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drawings/drawing3.xml" ContentType="application/vnd.openxmlformats-officedocument.drawing+xml"/>
  <Override PartName="/xl/activeX/activeX5.xml" ContentType="application/vnd.ms-office.activeX+xml"/>
  <Override PartName="/xl/activeX/activeX6.xml" ContentType="application/vnd.ms-office.activeX+xml"/>
  <Override PartName="/xl/printerSettings/printerSettings2.bin" ContentType="application/vnd.openxmlformats-officedocument.spreadsheetml.printerSettings"/>
  <Override PartName="/xl/drawings/drawing4.xml" ContentType="application/vnd.openxmlformats-officedocument.drawing+xml"/>
  <Override PartName="/xl/printerSettings/printerSettings3.bin" ContentType="application/vnd.openxmlformats-officedocument.spreadsheetml.printerSettings"/>
  <Override PartName="/xl/drawings/drawing5.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activeX/activeX7.xml" ContentType="application/vnd.ms-office.activeX+xml"/>
  <Override PartName="/xl/activeX/activeX8.xml" ContentType="application/vnd.ms-office.activeX+xml"/>
  <Override PartName="/xl/ctrlProps/ctrlProp1.xml" ContentType="application/vnd.ms-excel.controlproperties+xml"/>
  <Override PartName="/xl/ctrlProps/ctrlProp2.xml" ContentType="application/vnd.ms-excel.controlproperties+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7.xml" ContentType="application/vnd.openxmlformats-officedocument.drawing+xml"/>
  <Override PartName="/xl/activeX/activeX9.xml" ContentType="application/vnd.ms-office.activeX+xml"/>
  <Override PartName="/xl/activeX/activeX10.xml" ContentType="application/vnd.ms-office.activeX+xml"/>
  <Override PartName="/xl/printerSettings/printerSettings11.bin" ContentType="application/vnd.openxmlformats-officedocument.spreadsheetml.printerSettings"/>
  <Override PartName="/xl/drawings/drawing8.xml" ContentType="application/vnd.openxmlformats-officedocument.drawing+xml"/>
  <Override PartName="/xl/activeX/activeX11.xml" ContentType="application/vnd.ms-office.activeX+xml"/>
  <Override PartName="/xl/activeX/activeX12.xml" ContentType="application/vnd.ms-office.activeX+xml"/>
  <Override PartName="/xl/printerSettings/printerSettings12.bin" ContentType="application/vnd.openxmlformats-officedocument.spreadsheetml.printerSettings"/>
  <Override PartName="/xl/drawings/drawing9.xml" ContentType="application/vnd.openxmlformats-officedocument.drawing+xml"/>
  <Override PartName="/xl/activeX/activeX13.xml" ContentType="application/vnd.ms-office.activeX+xml"/>
  <Override PartName="/xl/activeX/activeX14.xml" ContentType="application/vnd.ms-office.activeX+xml"/>
  <Override PartName="/xl/drawings/drawing10.xml" ContentType="application/vnd.openxmlformats-officedocument.drawing+xml"/>
  <Override PartName="/xl/activeX/activeX15.xml" ContentType="application/vnd.ms-office.activeX+xml"/>
  <Override PartName="/xl/activeX/activeX16.xml" ContentType="application/vnd.ms-office.activeX+xml"/>
  <Override PartName="/xl/drawings/drawing11.xml" ContentType="application/vnd.openxmlformats-officedocument.drawing+xml"/>
  <Override PartName="/xl/activeX/activeX17.xml" ContentType="application/vnd.ms-office.activeX+xml"/>
  <Override PartName="/xl/activeX/activeX18.xml" ContentType="application/vnd.ms-office.activeX+xml"/>
  <Override PartName="/xl/drawings/drawing12.xml" ContentType="application/vnd.openxmlformats-officedocument.drawing+xml"/>
  <Override PartName="/xl/drawings/drawing13.xml" ContentType="application/vnd.openxmlformats-officedocument.drawing+xml"/>
  <Override PartName="/xl/activeX/activeX19.xml" ContentType="application/vnd.ms-office.activeX+xml"/>
  <Override PartName="/xl/activeX/activeX20.xml" ContentType="application/vnd.ms-office.activeX+xml"/>
  <Override PartName="/xl/drawings/drawing14.xml" ContentType="application/vnd.openxmlformats-officedocument.drawing+xml"/>
  <Override PartName="/xl/activeX/activeX21.xml" ContentType="application/vnd.ms-office.activeX+xml"/>
  <Override PartName="/xl/activeX/activeX22.xml" ContentType="application/vnd.ms-office.activeX+xml"/>
  <Override PartName="/xl/drawings/drawing15.xml" ContentType="application/vnd.openxmlformats-officedocument.drawing+xml"/>
  <Override PartName="/xl/activeX/activeX23.xml" ContentType="application/vnd.ms-office.activeX+xml"/>
  <Override PartName="/xl/activeX/activeX24.xml" ContentType="application/vnd.ms-office.activeX+xml"/>
  <Override PartName="/xl/drawings/drawing16.xml" ContentType="application/vnd.openxmlformats-officedocument.drawing+xml"/>
  <Override PartName="/xl/activeX/activeX25.xml" ContentType="application/vnd.ms-office.activeX+xml"/>
  <Override PartName="/xl/activeX/activeX26.xml" ContentType="application/vnd.ms-office.activeX+xml"/>
  <Override PartName="/xl/drawings/drawing17.xml" ContentType="application/vnd.openxmlformats-officedocument.drawing+xml"/>
  <Override PartName="/xl/activeX/activeX27.xml" ContentType="application/vnd.ms-office.activeX+xml"/>
  <Override PartName="/xl/activeX/activeX28.xml" ContentType="application/vnd.ms-office.activeX+xml"/>
  <Override PartName="/xl/drawings/drawing18.xml" ContentType="application/vnd.openxmlformats-officedocument.drawing+xml"/>
  <Override PartName="/xl/activeX/activeX29.xml" ContentType="application/vnd.ms-office.activeX+xml"/>
  <Override PartName="/xl/activeX/activeX30.xml" ContentType="application/vnd.ms-office.activeX+xml"/>
  <Override PartName="/xl/printerSettings/printerSettings13.bin" ContentType="application/vnd.openxmlformats-officedocument.spreadsheetml.printerSettings"/>
  <Override PartName="/xl/drawings/drawing19.xml" ContentType="application/vnd.openxmlformats-officedocument.drawing+xml"/>
  <Override PartName="/xl/activeX/activeX31.xml" ContentType="application/vnd.ms-office.activeX+xml"/>
  <Override PartName="/xl/activeX/activeX32.xml" ContentType="application/vnd.ms-office.activeX+xml"/>
  <Override PartName="/xl/drawings/drawing20.xml" ContentType="application/vnd.openxmlformats-officedocument.drawing+xml"/>
  <Override PartName="/xl/activeX/activeX33.xml" ContentType="application/vnd.ms-office.activeX+xml"/>
  <Override PartName="/xl/activeX/activeX34.xml" ContentType="application/vnd.ms-office.activeX+xml"/>
  <Override PartName="/xl/comments1.xml" ContentType="application/vnd.openxmlformats-officedocument.spreadsheetml.comments+xml"/>
  <Override PartName="/xl/printerSettings/printerSettings14.bin" ContentType="application/vnd.openxmlformats-officedocument.spreadsheetml.printerSettings"/>
  <Override PartName="/xl/drawings/drawing21.xml" ContentType="application/vnd.openxmlformats-officedocument.drawing+xml"/>
  <Override PartName="/xl/activeX/activeX35.xml" ContentType="application/vnd.ms-office.activeX+xml"/>
  <Override PartName="/xl/activeX/activeX36.xml" ContentType="application/vnd.ms-office.activeX+xml"/>
  <Override PartName="/xl/drawings/drawing22.xml" ContentType="application/vnd.openxmlformats-officedocument.drawing+xml"/>
  <Override PartName="/xl/activeX/activeX37.xml" ContentType="application/vnd.ms-office.activeX+xml"/>
  <Override PartName="/xl/activeX/activeX38.xml" ContentType="application/vnd.ms-office.activeX+xml"/>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rinterSettings/printerSettings20.bin" ContentType="application/vnd.openxmlformats-officedocument.spreadsheetml.printerSettings"/>
  <Override PartName="/xl/drawings/drawing23.xml" ContentType="application/vnd.openxmlformats-officedocument.drawing+xml"/>
  <Override PartName="/xl/activeX/activeX39.xml" ContentType="application/vnd.ms-office.activeX+xml"/>
  <Override PartName="/xl/activeX/activeX40.xml" ContentType="application/vnd.ms-office.activeX+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printerSettings/printerSettings23.bin" ContentType="application/vnd.openxmlformats-officedocument.spreadsheetml.printerSettings"/>
  <Override PartName="/xl/printerSettings/printerSettings24.bin" ContentType="application/vnd.openxmlformats-officedocument.spreadsheetml.printerSettings"/>
  <Override PartName="/xl/printerSettings/printerSettings25.bin" ContentType="application/vnd.openxmlformats-officedocument.spreadsheetml.printerSettings"/>
  <Override PartName="/xl/printerSettings/printerSettings26.bin" ContentType="application/vnd.openxmlformats-officedocument.spreadsheetml.printerSettings"/>
  <Override PartName="/xl/printerSettings/printerSettings27.bin" ContentType="application/vnd.openxmlformats-officedocument.spreadsheetml.printerSettings"/>
  <Override PartName="/xl/printerSettings/printerSettings28.bin" ContentType="application/vnd.openxmlformats-officedocument.spreadsheetml.printerSettings"/>
  <Override PartName="/xl/printerSettings/printerSettings29.bin" ContentType="application/vnd.openxmlformats-officedocument.spreadsheetml.printerSettings"/>
  <Override PartName="/xl/printerSettings/printerSettings30.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28389E77-7640-9E18-AD5C-E98E2F4A8B83}"/>
  <workbookPr codeName="EstaPastaDeTrabalho" defaultThemeVersion="124226"/>
  <mc:AlternateContent xmlns:mc="http://schemas.openxmlformats.org/markup-compatibility/2006">
    <mc:Choice Requires="x15">
      <x15ac:absPath xmlns:x15ac="http://schemas.microsoft.com/office/spreadsheetml/2010/11/ac" url="https://mendesloboconstrucao.sharepoint.com/sites/ML/2Engenharia/0.Orcamentos/HOCHSCHILD MINING/2026_03_06_SUPRESSÃO E SUMP_MARA ROSA (GO)/ENGENHARIA/"/>
    </mc:Choice>
  </mc:AlternateContent>
  <xr:revisionPtr revIDLastSave="11534" documentId="13_ncr:1_{77627915-681A-45EB-B109-81FEE121FB3B}" xr6:coauthVersionLast="47" xr6:coauthVersionMax="47" xr10:uidLastSave="{617E6558-7FFC-45B6-B246-753FB98ACDDF}"/>
  <bookViews>
    <workbookView xWindow="-108" yWindow="-108" windowWidth="23256" windowHeight="12456" tabRatio="873" firstSheet="3" activeTab="5" xr2:uid="{00000000-000D-0000-FFFF-FFFF00000000}"/>
  </bookViews>
  <sheets>
    <sheet name="ENCARGOS" sheetId="142" state="hidden" r:id="rId1"/>
    <sheet name="ORÇAMENTO" sheetId="107" state="hidden" r:id="rId2"/>
    <sheet name="BDI" sheetId="136" r:id="rId3"/>
    <sheet name="PRODUÇÕES" sheetId="166" r:id="rId4"/>
    <sheet name="PRATICABILIDADE" sheetId="152" state="hidden" r:id="rId5"/>
    <sheet name="CRONOGRAMA" sheetId="26" r:id="rId6"/>
    <sheet name="PLANEJAMENTO" sheetId="22" r:id="rId7"/>
    <sheet name="DESEMBOLSO" sheetId="58" state="hidden" r:id="rId8"/>
    <sheet name="C_INDIRETO" sheetId="96" r:id="rId9"/>
    <sheet name="PAVIM" sheetId="169" state="hidden" r:id="rId10"/>
    <sheet name="BASE" sheetId="170" state="hidden" r:id="rId11"/>
    <sheet name="SUBBASE" sheetId="183" state="hidden" r:id="rId12"/>
    <sheet name="C_FIXO" sheetId="95" r:id="rId13"/>
    <sheet name="CPU" sheetId="164" r:id="rId14"/>
    <sheet name="EQUIPE" sheetId="135" r:id="rId15"/>
    <sheet name="DRE" sheetId="162" state="hidden" r:id="rId16"/>
    <sheet name="AGUA" sheetId="163" state="hidden" r:id="rId17"/>
    <sheet name="EQUIPE 2" sheetId="188" state="hidden" r:id="rId18"/>
    <sheet name="HORAS" sheetId="189" state="hidden" r:id="rId19"/>
    <sheet name="ADM" sheetId="155" r:id="rId20"/>
    <sheet name="TOP" sheetId="156" r:id="rId21"/>
    <sheet name="LAB" sheetId="157" r:id="rId22"/>
    <sheet name="QSMS" sheetId="159" r:id="rId23"/>
    <sheet name="MOB" sheetId="101" r:id="rId24"/>
    <sheet name="MEC" sheetId="158" state="hidden" r:id="rId25"/>
    <sheet name="CPU (2)" sheetId="190" r:id="rId26"/>
    <sheet name="MÃO DE OBRA" sheetId="140" r:id="rId27"/>
    <sheet name="EQUIPAMENTOS" sheetId="141" r:id="rId28"/>
    <sheet name="MATERIAIS" sheetId="122" state="hidden" r:id="rId29"/>
    <sheet name="SERVIÇOS TERCEIRIZADOS" sheetId="145" state="hidden" r:id="rId30"/>
    <sheet name="ESCAVAÇÃO CARGA E TRANSPORTE" sheetId="165" state="hidden" r:id="rId31"/>
    <sheet name="COMPACTAÇÃO" sheetId="167" state="hidden" r:id="rId32"/>
    <sheet name="ESPALHAMENTO" sheetId="168" state="hidden" r:id="rId33"/>
    <sheet name="ESCAVAÇÃO DRN" sheetId="174" state="hidden" r:id="rId34"/>
    <sheet name="BOTA FORA DRN" sheetId="175" state="hidden" r:id="rId35"/>
    <sheet name="DADOS" sheetId="94" r:id="rId36"/>
    <sheet name="DRENAGEM" sheetId="173" state="hidden" r:id="rId37"/>
    <sheet name="ESCAVAÇÃO SAA-SES" sheetId="179" state="hidden" r:id="rId38"/>
    <sheet name="BOTA FORA SAA-SES" sheetId="180" state="hidden" r:id="rId39"/>
    <sheet name="ÁGUA" sheetId="178" state="hidden" r:id="rId40"/>
    <sheet name="ESGOTO" sheetId="181" state="hidden" r:id="rId41"/>
    <sheet name="REMOÇAO PAV" sheetId="184" state="hidden" r:id="rId42"/>
    <sheet name="CONCRETO" sheetId="185" state="hidden" r:id="rId43"/>
    <sheet name="ALA" sheetId="177" state="hidden" r:id="rId44"/>
    <sheet name="IMPRIMAÇÃO" sheetId="171" state="hidden" r:id="rId45"/>
    <sheet name="TSD" sheetId="172" state="hidden" r:id="rId46"/>
  </sheets>
  <definedNames>
    <definedName name="\I" localSheetId="19">#REF!</definedName>
    <definedName name="\I" localSheetId="16">#REF!</definedName>
    <definedName name="\I" localSheetId="15">#REF!</definedName>
    <definedName name="\I" localSheetId="14">#REF!</definedName>
    <definedName name="\I" localSheetId="17">#REF!</definedName>
    <definedName name="\I" localSheetId="18">#REF!</definedName>
    <definedName name="\I" localSheetId="21">#REF!</definedName>
    <definedName name="\I" localSheetId="24">#REF!</definedName>
    <definedName name="\I" localSheetId="22">#REF!</definedName>
    <definedName name="\I" localSheetId="20">#REF!</definedName>
    <definedName name="\I">#REF!</definedName>
    <definedName name="\S" localSheetId="19">#REF!</definedName>
    <definedName name="\S" localSheetId="16">#REF!</definedName>
    <definedName name="\S" localSheetId="15">#REF!</definedName>
    <definedName name="\S" localSheetId="14">#REF!</definedName>
    <definedName name="\S" localSheetId="17">#REF!</definedName>
    <definedName name="\S" localSheetId="18">#REF!</definedName>
    <definedName name="\S" localSheetId="21">#REF!</definedName>
    <definedName name="\S" localSheetId="24">#REF!</definedName>
    <definedName name="\S" localSheetId="22">#REF!</definedName>
    <definedName name="\S" localSheetId="20">#REF!</definedName>
    <definedName name="\S">#REF!</definedName>
    <definedName name="__________________OUT98" hidden="1">{#N/A,#N/A,TRUE,"Serviços"}</definedName>
    <definedName name="________________OUT98" hidden="1">{#N/A,#N/A,TRUE,"Serviços"}</definedName>
    <definedName name="_____________OUT98" hidden="1">{#N/A,#N/A,TRUE,"Serviços"}</definedName>
    <definedName name="____________OUT98" hidden="1">{#N/A,#N/A,TRUE,"Serviços"}</definedName>
    <definedName name="____________OUT988" hidden="1">{#N/A,#N/A,TRUE,"Serviços"}</definedName>
    <definedName name="___________OUT98" hidden="1">{#N/A,#N/A,TRUE,"Serviços"}</definedName>
    <definedName name="___________OUT988" hidden="1">{#N/A,#N/A,TRUE,"Serviços"}</definedName>
    <definedName name="___________OUT9888" hidden="1">{#N/A,#N/A,TRUE,"Serviços"}</definedName>
    <definedName name="__________OUT98" hidden="1">{#N/A,#N/A,TRUE,"Serviços"}</definedName>
    <definedName name="_________OUT98" hidden="1">{#N/A,#N/A,TRUE,"Serviços"}</definedName>
    <definedName name="_________OUTT98" hidden="1">{#N/A,#N/A,TRUE,"Serviços"}</definedName>
    <definedName name="_________OUTT988" hidden="1">{#N/A,#N/A,TRUE,"Serviços"}</definedName>
    <definedName name="_________xlfn.BAHTTEXT" hidden="1">#NAME?</definedName>
    <definedName name="________OUT98" hidden="1">{#N/A,#N/A,TRUE,"Serviços"}</definedName>
    <definedName name="________OUTTT98" hidden="1">{#N/A,#N/A,TRUE,"Serviços"}</definedName>
    <definedName name="________xlfn.BAHTTEXT" hidden="1">#NAME?</definedName>
    <definedName name="_______OUT98" hidden="1">{#N/A,#N/A,TRUE,"Serviços"}</definedName>
    <definedName name="_______OUT9888" hidden="1">{#N/A,#N/A,TRUE,"Serviços"}</definedName>
    <definedName name="_______xlfn.BAHTTEXT" hidden="1">#NAME?</definedName>
    <definedName name="______out2008" hidden="1">{#N/A,#N/A,TRUE,"Serviços"}</definedName>
    <definedName name="______OUT98" hidden="1">{#N/A,#N/A,TRUE,"Serviços"}</definedName>
    <definedName name="______OUTT98888" hidden="1">{#N/A,#N/A,TRUE,"Serviços"}</definedName>
    <definedName name="______xlfn.BAHTTEXT" hidden="1">#NAME?</definedName>
    <definedName name="_____out2008" hidden="1">{#N/A,#N/A,TRUE,"Serviços"}</definedName>
    <definedName name="_____OUT98" hidden="1">{#N/A,#N/A,TRUE,"Serviços"}</definedName>
    <definedName name="_____OUTTT988" hidden="1">{#N/A,#N/A,TRUE,"Serviços"}</definedName>
    <definedName name="_____xlfn.BAHTTEXT" hidden="1">#NAME?</definedName>
    <definedName name="____la8" localSheetId="19" hidden="1">#REF!</definedName>
    <definedName name="____la8" localSheetId="16" hidden="1">#REF!</definedName>
    <definedName name="____la8" localSheetId="7" hidden="1">#REF!</definedName>
    <definedName name="____la8" localSheetId="15" hidden="1">#REF!</definedName>
    <definedName name="____la8" localSheetId="14" hidden="1">#REF!</definedName>
    <definedName name="____la8" localSheetId="17" hidden="1">#REF!</definedName>
    <definedName name="____la8" localSheetId="18" hidden="1">#REF!</definedName>
    <definedName name="____la8" localSheetId="21" hidden="1">#REF!</definedName>
    <definedName name="____la8" localSheetId="24" hidden="1">#REF!</definedName>
    <definedName name="____la8" localSheetId="22" hidden="1">#REF!</definedName>
    <definedName name="____la8" localSheetId="20" hidden="1">#REF!</definedName>
    <definedName name="____la8" hidden="1">#REF!</definedName>
    <definedName name="____OUT98" hidden="1">{#N/A,#N/A,TRUE,"Serviços"}</definedName>
    <definedName name="____out99" hidden="1">{#N/A,#N/A,TRUE,"Serviços"}</definedName>
    <definedName name="____OUTTT98" hidden="1">{#N/A,#N/A,TRUE,"Serviços"}</definedName>
    <definedName name="____TT4" localSheetId="19">#REF!</definedName>
    <definedName name="____TT4" localSheetId="16">#REF!</definedName>
    <definedName name="____TT4" localSheetId="7">#REF!</definedName>
    <definedName name="____TT4" localSheetId="15">#REF!</definedName>
    <definedName name="____TT4" localSheetId="14">#REF!</definedName>
    <definedName name="____TT4" localSheetId="17">#REF!</definedName>
    <definedName name="____TT4" localSheetId="18">#REF!</definedName>
    <definedName name="____TT4" localSheetId="21">#REF!</definedName>
    <definedName name="____TT4" localSheetId="24">#REF!</definedName>
    <definedName name="____TT4" localSheetId="22">#REF!</definedName>
    <definedName name="____TT4" localSheetId="20">#REF!</definedName>
    <definedName name="____TT4">#REF!</definedName>
    <definedName name="____TT5" localSheetId="19">#REF!</definedName>
    <definedName name="____TT5" localSheetId="16">#REF!</definedName>
    <definedName name="____TT5" localSheetId="7">#REF!</definedName>
    <definedName name="____TT5" localSheetId="15">#REF!</definedName>
    <definedName name="____TT5" localSheetId="14">#REF!</definedName>
    <definedName name="____TT5" localSheetId="17">#REF!</definedName>
    <definedName name="____TT5" localSheetId="18">#REF!</definedName>
    <definedName name="____TT5" localSheetId="21">#REF!</definedName>
    <definedName name="____TT5" localSheetId="24">#REF!</definedName>
    <definedName name="____TT5" localSheetId="22">#REF!</definedName>
    <definedName name="____TT5" localSheetId="20">#REF!</definedName>
    <definedName name="____TT5">#REF!</definedName>
    <definedName name="____xlfn.BAHTTEXT" hidden="1">#NAME?</definedName>
    <definedName name="___br4" localSheetId="19">#REF!</definedName>
    <definedName name="___br4" localSheetId="16">#REF!</definedName>
    <definedName name="___br4" localSheetId="7">#REF!</definedName>
    <definedName name="___br4" localSheetId="15">#REF!</definedName>
    <definedName name="___br4" localSheetId="14">#REF!</definedName>
    <definedName name="___br4" localSheetId="17">#REF!</definedName>
    <definedName name="___br4" localSheetId="18">#REF!</definedName>
    <definedName name="___br4" localSheetId="21">#REF!</definedName>
    <definedName name="___br4" localSheetId="24">#REF!</definedName>
    <definedName name="___br4" localSheetId="22">#REF!</definedName>
    <definedName name="___br4" localSheetId="20">#REF!</definedName>
    <definedName name="___br4">#REF!</definedName>
    <definedName name="___la31" localSheetId="19" hidden="1">#REF!</definedName>
    <definedName name="___la31" localSheetId="16" hidden="1">#REF!</definedName>
    <definedName name="___la31" localSheetId="7" hidden="1">#REF!</definedName>
    <definedName name="___la31" localSheetId="15" hidden="1">#REF!</definedName>
    <definedName name="___la31" localSheetId="14" hidden="1">#REF!</definedName>
    <definedName name="___la31" localSheetId="17" hidden="1">#REF!</definedName>
    <definedName name="___la31" localSheetId="18" hidden="1">#REF!</definedName>
    <definedName name="___la31" localSheetId="21" hidden="1">#REF!</definedName>
    <definedName name="___la31" localSheetId="24" hidden="1">#REF!</definedName>
    <definedName name="___la31" localSheetId="22" hidden="1">#REF!</definedName>
    <definedName name="___la31" localSheetId="20" hidden="1">#REF!</definedName>
    <definedName name="___la31" hidden="1">#REF!</definedName>
    <definedName name="___out2008" hidden="1">{#N/A,#N/A,TRUE,"Serviços"}</definedName>
    <definedName name="___OUT98" hidden="1">{#N/A,#N/A,TRUE,"Serviços"}</definedName>
    <definedName name="___out99" hidden="1">{#N/A,#N/A,TRUE,"Serviços"}</definedName>
    <definedName name="___sjp4" localSheetId="19">#REF!</definedName>
    <definedName name="___sjp4" localSheetId="16">#REF!</definedName>
    <definedName name="___sjp4" localSheetId="7">#REF!</definedName>
    <definedName name="___sjp4" localSheetId="15">#REF!</definedName>
    <definedName name="___sjp4" localSheetId="14">#REF!</definedName>
    <definedName name="___sjp4" localSheetId="17">#REF!</definedName>
    <definedName name="___sjp4" localSheetId="18">#REF!</definedName>
    <definedName name="___sjp4" localSheetId="21">#REF!</definedName>
    <definedName name="___sjp4" localSheetId="24">#REF!</definedName>
    <definedName name="___sjp4" localSheetId="22">#REF!</definedName>
    <definedName name="___sjp4" localSheetId="20">#REF!</definedName>
    <definedName name="___sjp4">#REF!</definedName>
    <definedName name="___TT1" localSheetId="19">#REF!</definedName>
    <definedName name="___TT1" localSheetId="16">#REF!</definedName>
    <definedName name="___TT1" localSheetId="7">#REF!</definedName>
    <definedName name="___TT1" localSheetId="15">#REF!</definedName>
    <definedName name="___TT1" localSheetId="14">#REF!</definedName>
    <definedName name="___TT1" localSheetId="17">#REF!</definedName>
    <definedName name="___TT1" localSheetId="18">#REF!</definedName>
    <definedName name="___TT1" localSheetId="21">#REF!</definedName>
    <definedName name="___TT1" localSheetId="24">#REF!</definedName>
    <definedName name="___TT1" localSheetId="22">#REF!</definedName>
    <definedName name="___TT1" localSheetId="20">#REF!</definedName>
    <definedName name="___TT1">#REF!</definedName>
    <definedName name="___TT2" localSheetId="19">#REF!</definedName>
    <definedName name="___TT2" localSheetId="16">#REF!</definedName>
    <definedName name="___TT2" localSheetId="7">#REF!</definedName>
    <definedName name="___TT2" localSheetId="15">#REF!</definedName>
    <definedName name="___TT2" localSheetId="14">#REF!</definedName>
    <definedName name="___TT2" localSheetId="17">#REF!</definedName>
    <definedName name="___TT2" localSheetId="18">#REF!</definedName>
    <definedName name="___TT2" localSheetId="21">#REF!</definedName>
    <definedName name="___TT2" localSheetId="24">#REF!</definedName>
    <definedName name="___TT2" localSheetId="22">#REF!</definedName>
    <definedName name="___TT2" localSheetId="20">#REF!</definedName>
    <definedName name="___TT2">#REF!</definedName>
    <definedName name="___xlfn.BAHTTEXT" hidden="1">#NAME?</definedName>
    <definedName name="__123Graph_A" localSheetId="19" hidden="1">#REF!</definedName>
    <definedName name="__123Graph_A" localSheetId="16" hidden="1">#REF!</definedName>
    <definedName name="__123Graph_A" localSheetId="15" hidden="1">#REF!</definedName>
    <definedName name="__123Graph_A" localSheetId="14" hidden="1">#REF!</definedName>
    <definedName name="__123Graph_A" localSheetId="17" hidden="1">#REF!</definedName>
    <definedName name="__123Graph_A" localSheetId="18" hidden="1">#REF!</definedName>
    <definedName name="__123Graph_A" localSheetId="21" hidden="1">#REF!</definedName>
    <definedName name="__123Graph_A" localSheetId="24" hidden="1">#REF!</definedName>
    <definedName name="__123Graph_A" localSheetId="22" hidden="1">#REF!</definedName>
    <definedName name="__123Graph_A" localSheetId="20" hidden="1">#REF!</definedName>
    <definedName name="__123Graph_A" hidden="1">#REF!</definedName>
    <definedName name="__123Graph_A1" localSheetId="19" hidden="1">#REF!</definedName>
    <definedName name="__123Graph_A1" localSheetId="16" hidden="1">#REF!</definedName>
    <definedName name="__123Graph_A1" localSheetId="15" hidden="1">#REF!</definedName>
    <definedName name="__123Graph_A1" localSheetId="14" hidden="1">#REF!</definedName>
    <definedName name="__123Graph_A1" localSheetId="17" hidden="1">#REF!</definedName>
    <definedName name="__123Graph_A1" localSheetId="18" hidden="1">#REF!</definedName>
    <definedName name="__123Graph_A1" localSheetId="21" hidden="1">#REF!</definedName>
    <definedName name="__123Graph_A1" localSheetId="24" hidden="1">#REF!</definedName>
    <definedName name="__123Graph_A1" localSheetId="22" hidden="1">#REF!</definedName>
    <definedName name="__123Graph_A1" localSheetId="20" hidden="1">#REF!</definedName>
    <definedName name="__123Graph_A1" hidden="1">#REF!</definedName>
    <definedName name="__123Graph_A2" localSheetId="19" hidden="1">#REF!</definedName>
    <definedName name="__123Graph_A2" localSheetId="16" hidden="1">#REF!</definedName>
    <definedName name="__123Graph_A2" localSheetId="15" hidden="1">#REF!</definedName>
    <definedName name="__123Graph_A2" localSheetId="14" hidden="1">#REF!</definedName>
    <definedName name="__123Graph_A2" localSheetId="17" hidden="1">#REF!</definedName>
    <definedName name="__123Graph_A2" localSheetId="18" hidden="1">#REF!</definedName>
    <definedName name="__123Graph_A2" localSheetId="21" hidden="1">#REF!</definedName>
    <definedName name="__123Graph_A2" localSheetId="24" hidden="1">#REF!</definedName>
    <definedName name="__123Graph_A2" localSheetId="22" hidden="1">#REF!</definedName>
    <definedName name="__123Graph_A2" localSheetId="20" hidden="1">#REF!</definedName>
    <definedName name="__123Graph_A2" hidden="1">#REF!</definedName>
    <definedName name="__123Graph_A3" localSheetId="19" hidden="1">#REF!</definedName>
    <definedName name="__123Graph_A3" localSheetId="16" hidden="1">#REF!</definedName>
    <definedName name="__123Graph_A3" localSheetId="15" hidden="1">#REF!</definedName>
    <definedName name="__123Graph_A3" localSheetId="14" hidden="1">#REF!</definedName>
    <definedName name="__123Graph_A3" localSheetId="17" hidden="1">#REF!</definedName>
    <definedName name="__123Graph_A3" localSheetId="18" hidden="1">#REF!</definedName>
    <definedName name="__123Graph_A3" localSheetId="21" hidden="1">#REF!</definedName>
    <definedName name="__123Graph_A3" localSheetId="24" hidden="1">#REF!</definedName>
    <definedName name="__123Graph_A3" localSheetId="22" hidden="1">#REF!</definedName>
    <definedName name="__123Graph_A3" localSheetId="20" hidden="1">#REF!</definedName>
    <definedName name="__123Graph_A3" hidden="1">#REF!</definedName>
    <definedName name="__123Graph_AActual" localSheetId="19" hidden="1">#REF!</definedName>
    <definedName name="__123Graph_AActual" localSheetId="16" hidden="1">#REF!</definedName>
    <definedName name="__123Graph_AActual" localSheetId="15" hidden="1">#REF!</definedName>
    <definedName name="__123Graph_AActual" localSheetId="14" hidden="1">#REF!</definedName>
    <definedName name="__123Graph_AActual" localSheetId="17" hidden="1">#REF!</definedName>
    <definedName name="__123Graph_AActual" localSheetId="18" hidden="1">#REF!</definedName>
    <definedName name="__123Graph_AActual" localSheetId="21" hidden="1">#REF!</definedName>
    <definedName name="__123Graph_AActual" localSheetId="24" hidden="1">#REF!</definedName>
    <definedName name="__123Graph_AActual" localSheetId="22" hidden="1">#REF!</definedName>
    <definedName name="__123Graph_AActual" localSheetId="20" hidden="1">#REF!</definedName>
    <definedName name="__123Graph_AActual" hidden="1">#REF!</definedName>
    <definedName name="__123Graph_AGraph1" hidden="1">#REF!</definedName>
    <definedName name="__123Graph_AGraph10" hidden="1">#REF!</definedName>
    <definedName name="__123Graph_AGraph11" hidden="1">#REF!</definedName>
    <definedName name="__123Graph_AGraph12"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9" hidden="1">#REF!</definedName>
    <definedName name="__123Graph_B" localSheetId="19" hidden="1">#REF!</definedName>
    <definedName name="__123Graph_B" localSheetId="16" hidden="1">#REF!</definedName>
    <definedName name="__123Graph_B" localSheetId="15" hidden="1">#REF!</definedName>
    <definedName name="__123Graph_B" localSheetId="14" hidden="1">#REF!</definedName>
    <definedName name="__123Graph_B" localSheetId="17" hidden="1">#REF!</definedName>
    <definedName name="__123Graph_B" localSheetId="18" hidden="1">#REF!</definedName>
    <definedName name="__123Graph_B" localSheetId="21" hidden="1">#REF!</definedName>
    <definedName name="__123Graph_B" localSheetId="24" hidden="1">#REF!</definedName>
    <definedName name="__123Graph_B" localSheetId="22" hidden="1">#REF!</definedName>
    <definedName name="__123Graph_B" localSheetId="20" hidden="1">#REF!</definedName>
    <definedName name="__123Graph_B" hidden="1">#REF!</definedName>
    <definedName name="__123Graph_B1" localSheetId="19" hidden="1">#REF!</definedName>
    <definedName name="__123Graph_B1" localSheetId="16" hidden="1">#REF!</definedName>
    <definedName name="__123Graph_B1" localSheetId="15" hidden="1">#REF!</definedName>
    <definedName name="__123Graph_B1" localSheetId="14" hidden="1">#REF!</definedName>
    <definedName name="__123Graph_B1" localSheetId="17" hidden="1">#REF!</definedName>
    <definedName name="__123Graph_B1" localSheetId="18" hidden="1">#REF!</definedName>
    <definedName name="__123Graph_B1" localSheetId="21" hidden="1">#REF!</definedName>
    <definedName name="__123Graph_B1" localSheetId="24" hidden="1">#REF!</definedName>
    <definedName name="__123Graph_B1" localSheetId="22" hidden="1">#REF!</definedName>
    <definedName name="__123Graph_B1" localSheetId="20" hidden="1">#REF!</definedName>
    <definedName name="__123Graph_B1" hidden="1">#REF!</definedName>
    <definedName name="__123Graph_B2" localSheetId="19" hidden="1">#REF!</definedName>
    <definedName name="__123Graph_B2" localSheetId="16" hidden="1">#REF!</definedName>
    <definedName name="__123Graph_B2" localSheetId="15" hidden="1">#REF!</definedName>
    <definedName name="__123Graph_B2" localSheetId="14" hidden="1">#REF!</definedName>
    <definedName name="__123Graph_B2" localSheetId="17" hidden="1">#REF!</definedName>
    <definedName name="__123Graph_B2" localSheetId="18" hidden="1">#REF!</definedName>
    <definedName name="__123Graph_B2" localSheetId="21" hidden="1">#REF!</definedName>
    <definedName name="__123Graph_B2" localSheetId="24" hidden="1">#REF!</definedName>
    <definedName name="__123Graph_B2" localSheetId="22" hidden="1">#REF!</definedName>
    <definedName name="__123Graph_B2" localSheetId="20" hidden="1">#REF!</definedName>
    <definedName name="__123Graph_B2" hidden="1">#REF!</definedName>
    <definedName name="__123Graph_B3" localSheetId="19" hidden="1">#REF!</definedName>
    <definedName name="__123Graph_B3" localSheetId="16" hidden="1">#REF!</definedName>
    <definedName name="__123Graph_B3" localSheetId="15" hidden="1">#REF!</definedName>
    <definedName name="__123Graph_B3" localSheetId="14" hidden="1">#REF!</definedName>
    <definedName name="__123Graph_B3" localSheetId="17" hidden="1">#REF!</definedName>
    <definedName name="__123Graph_B3" localSheetId="18" hidden="1">#REF!</definedName>
    <definedName name="__123Graph_B3" localSheetId="21" hidden="1">#REF!</definedName>
    <definedName name="__123Graph_B3" localSheetId="24" hidden="1">#REF!</definedName>
    <definedName name="__123Graph_B3" localSheetId="22" hidden="1">#REF!</definedName>
    <definedName name="__123Graph_B3" localSheetId="20" hidden="1">#REF!</definedName>
    <definedName name="__123Graph_B3" hidden="1">#REF!</definedName>
    <definedName name="__123Graph_BActual" localSheetId="19" hidden="1">#REF!</definedName>
    <definedName name="__123Graph_BActual" localSheetId="16" hidden="1">#REF!</definedName>
    <definedName name="__123Graph_BActual" localSheetId="15" hidden="1">#REF!</definedName>
    <definedName name="__123Graph_BActual" localSheetId="14" hidden="1">#REF!</definedName>
    <definedName name="__123Graph_BActual" localSheetId="17" hidden="1">#REF!</definedName>
    <definedName name="__123Graph_BActual" localSheetId="18" hidden="1">#REF!</definedName>
    <definedName name="__123Graph_BActual" localSheetId="21" hidden="1">#REF!</definedName>
    <definedName name="__123Graph_BActual" localSheetId="24" hidden="1">#REF!</definedName>
    <definedName name="__123Graph_BActual" localSheetId="22" hidden="1">#REF!</definedName>
    <definedName name="__123Graph_BActual" localSheetId="20" hidden="1">#REF!</definedName>
    <definedName name="__123Graph_BActual" hidden="1">#REF!</definedName>
    <definedName name="__123Graph_BGraph1" hidden="1">#REF!</definedName>
    <definedName name="__123Graph_BGraph10" hidden="1">#REF!</definedName>
    <definedName name="__123Graph_BGraph11" hidden="1">#REF!</definedName>
    <definedName name="__123Graph_BGraph12" hidden="1">#REF!</definedName>
    <definedName name="__123Graph_BGraph2" hidden="1">#REF!</definedName>
    <definedName name="__123Graph_BGraph3" hidden="1">#REF!</definedName>
    <definedName name="__123Graph_BGraph4" hidden="1">#REF!</definedName>
    <definedName name="__123Graph_BGraph5" hidden="1">#REF!</definedName>
    <definedName name="__123Graph_BGraph6" hidden="1">#REF!</definedName>
    <definedName name="__123Graph_BGraph7" hidden="1">#REF!</definedName>
    <definedName name="__123Graph_BGraph8" hidden="1">#REF!</definedName>
    <definedName name="__123Graph_BGraph9" hidden="1">#REF!</definedName>
    <definedName name="__123Graph_C" localSheetId="19" hidden="1">#REF!</definedName>
    <definedName name="__123Graph_C" localSheetId="16" hidden="1">#REF!</definedName>
    <definedName name="__123Graph_C" localSheetId="15" hidden="1">#REF!</definedName>
    <definedName name="__123Graph_C" localSheetId="14" hidden="1">#REF!</definedName>
    <definedName name="__123Graph_C" localSheetId="17" hidden="1">#REF!</definedName>
    <definedName name="__123Graph_C" localSheetId="18" hidden="1">#REF!</definedName>
    <definedName name="__123Graph_C" localSheetId="21" hidden="1">#REF!</definedName>
    <definedName name="__123Graph_C" localSheetId="24" hidden="1">#REF!</definedName>
    <definedName name="__123Graph_C" localSheetId="22" hidden="1">#REF!</definedName>
    <definedName name="__123Graph_C" localSheetId="20" hidden="1">#REF!</definedName>
    <definedName name="__123Graph_C" hidden="1">#REF!</definedName>
    <definedName name="__123Graph_C1" localSheetId="19" hidden="1">#REF!</definedName>
    <definedName name="__123Graph_C1" localSheetId="16" hidden="1">#REF!</definedName>
    <definedName name="__123Graph_C1" localSheetId="15" hidden="1">#REF!</definedName>
    <definedName name="__123Graph_C1" localSheetId="14" hidden="1">#REF!</definedName>
    <definedName name="__123Graph_C1" localSheetId="17" hidden="1">#REF!</definedName>
    <definedName name="__123Graph_C1" localSheetId="18" hidden="1">#REF!</definedName>
    <definedName name="__123Graph_C1" localSheetId="21" hidden="1">#REF!</definedName>
    <definedName name="__123Graph_C1" localSheetId="24" hidden="1">#REF!</definedName>
    <definedName name="__123Graph_C1" localSheetId="22" hidden="1">#REF!</definedName>
    <definedName name="__123Graph_C1" localSheetId="20" hidden="1">#REF!</definedName>
    <definedName name="__123Graph_C1" hidden="1">#REF!</definedName>
    <definedName name="__123Graph_C2" localSheetId="19" hidden="1">#REF!</definedName>
    <definedName name="__123Graph_C2" localSheetId="16" hidden="1">#REF!</definedName>
    <definedName name="__123Graph_C2" localSheetId="15" hidden="1">#REF!</definedName>
    <definedName name="__123Graph_C2" localSheetId="14" hidden="1">#REF!</definedName>
    <definedName name="__123Graph_C2" localSheetId="17" hidden="1">#REF!</definedName>
    <definedName name="__123Graph_C2" localSheetId="18" hidden="1">#REF!</definedName>
    <definedName name="__123Graph_C2" localSheetId="21" hidden="1">#REF!</definedName>
    <definedName name="__123Graph_C2" localSheetId="24" hidden="1">#REF!</definedName>
    <definedName name="__123Graph_C2" localSheetId="22" hidden="1">#REF!</definedName>
    <definedName name="__123Graph_C2" localSheetId="20" hidden="1">#REF!</definedName>
    <definedName name="__123Graph_C2" hidden="1">#REF!</definedName>
    <definedName name="__123Graph_C3" localSheetId="19" hidden="1">#REF!</definedName>
    <definedName name="__123Graph_C3" localSheetId="16" hidden="1">#REF!</definedName>
    <definedName name="__123Graph_C3" localSheetId="15" hidden="1">#REF!</definedName>
    <definedName name="__123Graph_C3" localSheetId="14" hidden="1">#REF!</definedName>
    <definedName name="__123Graph_C3" localSheetId="17" hidden="1">#REF!</definedName>
    <definedName name="__123Graph_C3" localSheetId="18" hidden="1">#REF!</definedName>
    <definedName name="__123Graph_C3" localSheetId="21" hidden="1">#REF!</definedName>
    <definedName name="__123Graph_C3" localSheetId="24" hidden="1">#REF!</definedName>
    <definedName name="__123Graph_C3" localSheetId="22" hidden="1">#REF!</definedName>
    <definedName name="__123Graph_C3" localSheetId="20" hidden="1">#REF!</definedName>
    <definedName name="__123Graph_C3" hidden="1">#REF!</definedName>
    <definedName name="__123Graph_CActual" localSheetId="19" hidden="1">#REF!</definedName>
    <definedName name="__123Graph_CActual" localSheetId="16" hidden="1">#REF!</definedName>
    <definedName name="__123Graph_CActual" localSheetId="15" hidden="1">#REF!</definedName>
    <definedName name="__123Graph_CActual" localSheetId="14" hidden="1">#REF!</definedName>
    <definedName name="__123Graph_CActual" localSheetId="17" hidden="1">#REF!</definedName>
    <definedName name="__123Graph_CActual" localSheetId="18" hidden="1">#REF!</definedName>
    <definedName name="__123Graph_CActual" localSheetId="21" hidden="1">#REF!</definedName>
    <definedName name="__123Graph_CActual" localSheetId="24" hidden="1">#REF!</definedName>
    <definedName name="__123Graph_CActual" localSheetId="22" hidden="1">#REF!</definedName>
    <definedName name="__123Graph_CActual" localSheetId="20" hidden="1">#REF!</definedName>
    <definedName name="__123Graph_CActual" hidden="1">#REF!</definedName>
    <definedName name="__123Graph_CGraph7" hidden="1">#REF!</definedName>
    <definedName name="__123Graph_CGraph8" hidden="1">#REF!</definedName>
    <definedName name="__123Graph_D" localSheetId="19" hidden="1">#REF!</definedName>
    <definedName name="__123Graph_D" localSheetId="16" hidden="1">#REF!</definedName>
    <definedName name="__123Graph_D" localSheetId="15" hidden="1">#REF!</definedName>
    <definedName name="__123Graph_D" localSheetId="14" hidden="1">#REF!</definedName>
    <definedName name="__123Graph_D" localSheetId="17" hidden="1">#REF!</definedName>
    <definedName name="__123Graph_D" localSheetId="18" hidden="1">#REF!</definedName>
    <definedName name="__123Graph_D" localSheetId="21" hidden="1">#REF!</definedName>
    <definedName name="__123Graph_D" localSheetId="24" hidden="1">#REF!</definedName>
    <definedName name="__123Graph_D" localSheetId="22" hidden="1">#REF!</definedName>
    <definedName name="__123Graph_D" localSheetId="20" hidden="1">#REF!</definedName>
    <definedName name="__123Graph_D" hidden="1">#REF!</definedName>
    <definedName name="__123Graph_D1" localSheetId="19" hidden="1">#REF!</definedName>
    <definedName name="__123Graph_D1" localSheetId="16" hidden="1">#REF!</definedName>
    <definedName name="__123Graph_D1" localSheetId="15" hidden="1">#REF!</definedName>
    <definedName name="__123Graph_D1" localSheetId="14" hidden="1">#REF!</definedName>
    <definedName name="__123Graph_D1" localSheetId="17" hidden="1">#REF!</definedName>
    <definedName name="__123Graph_D1" localSheetId="18" hidden="1">#REF!</definedName>
    <definedName name="__123Graph_D1" localSheetId="21" hidden="1">#REF!</definedName>
    <definedName name="__123Graph_D1" localSheetId="24" hidden="1">#REF!</definedName>
    <definedName name="__123Graph_D1" localSheetId="22" hidden="1">#REF!</definedName>
    <definedName name="__123Graph_D1" localSheetId="20" hidden="1">#REF!</definedName>
    <definedName name="__123Graph_D1" hidden="1">#REF!</definedName>
    <definedName name="__123Graph_D2" localSheetId="19" hidden="1">#REF!</definedName>
    <definedName name="__123Graph_D2" localSheetId="16" hidden="1">#REF!</definedName>
    <definedName name="__123Graph_D2" localSheetId="15" hidden="1">#REF!</definedName>
    <definedName name="__123Graph_D2" localSheetId="14" hidden="1">#REF!</definedName>
    <definedName name="__123Graph_D2" localSheetId="17" hidden="1">#REF!</definedName>
    <definedName name="__123Graph_D2" localSheetId="18" hidden="1">#REF!</definedName>
    <definedName name="__123Graph_D2" localSheetId="21" hidden="1">#REF!</definedName>
    <definedName name="__123Graph_D2" localSheetId="24" hidden="1">#REF!</definedName>
    <definedName name="__123Graph_D2" localSheetId="22" hidden="1">#REF!</definedName>
    <definedName name="__123Graph_D2" localSheetId="20" hidden="1">#REF!</definedName>
    <definedName name="__123Graph_D2" hidden="1">#REF!</definedName>
    <definedName name="__123Graph_D3" localSheetId="19" hidden="1">#REF!</definedName>
    <definedName name="__123Graph_D3" localSheetId="16" hidden="1">#REF!</definedName>
    <definedName name="__123Graph_D3" localSheetId="15" hidden="1">#REF!</definedName>
    <definedName name="__123Graph_D3" localSheetId="14" hidden="1">#REF!</definedName>
    <definedName name="__123Graph_D3" localSheetId="17" hidden="1">#REF!</definedName>
    <definedName name="__123Graph_D3" localSheetId="18" hidden="1">#REF!</definedName>
    <definedName name="__123Graph_D3" localSheetId="21" hidden="1">#REF!</definedName>
    <definedName name="__123Graph_D3" localSheetId="24" hidden="1">#REF!</definedName>
    <definedName name="__123Graph_D3" localSheetId="22" hidden="1">#REF!</definedName>
    <definedName name="__123Graph_D3" localSheetId="20" hidden="1">#REF!</definedName>
    <definedName name="__123Graph_D3" hidden="1">#REF!</definedName>
    <definedName name="__123Graph_DActual" localSheetId="19" hidden="1">#REF!</definedName>
    <definedName name="__123Graph_DActual" localSheetId="16" hidden="1">#REF!</definedName>
    <definedName name="__123Graph_DActual" localSheetId="15" hidden="1">#REF!</definedName>
    <definedName name="__123Graph_DActual" localSheetId="14" hidden="1">#REF!</definedName>
    <definedName name="__123Graph_DActual" localSheetId="17" hidden="1">#REF!</definedName>
    <definedName name="__123Graph_DActual" localSheetId="18" hidden="1">#REF!</definedName>
    <definedName name="__123Graph_DActual" localSheetId="21" hidden="1">#REF!</definedName>
    <definedName name="__123Graph_DActual" localSheetId="24" hidden="1">#REF!</definedName>
    <definedName name="__123Graph_DActual" localSheetId="22" hidden="1">#REF!</definedName>
    <definedName name="__123Graph_DActual" localSheetId="20" hidden="1">#REF!</definedName>
    <definedName name="__123Graph_DActual" hidden="1">#REF!</definedName>
    <definedName name="__123Graph_DGraph7" hidden="1">#REF!</definedName>
    <definedName name="__123Graph_DGraph8" hidden="1">#REF!</definedName>
    <definedName name="__123Graph_E" localSheetId="19" hidden="1">#REF!</definedName>
    <definedName name="__123Graph_E" localSheetId="16" hidden="1">#REF!</definedName>
    <definedName name="__123Graph_E" localSheetId="15" hidden="1">#REF!</definedName>
    <definedName name="__123Graph_E" localSheetId="14" hidden="1">#REF!</definedName>
    <definedName name="__123Graph_E" localSheetId="17" hidden="1">#REF!</definedName>
    <definedName name="__123Graph_E" localSheetId="18" hidden="1">#REF!</definedName>
    <definedName name="__123Graph_E" localSheetId="21" hidden="1">#REF!</definedName>
    <definedName name="__123Graph_E" localSheetId="24" hidden="1">#REF!</definedName>
    <definedName name="__123Graph_E" localSheetId="22" hidden="1">#REF!</definedName>
    <definedName name="__123Graph_E" localSheetId="20" hidden="1">#REF!</definedName>
    <definedName name="__123Graph_E" hidden="1">#REF!</definedName>
    <definedName name="__123Graph_E1" localSheetId="19" hidden="1">#REF!</definedName>
    <definedName name="__123Graph_E1" localSheetId="16" hidden="1">#REF!</definedName>
    <definedName name="__123Graph_E1" localSheetId="15" hidden="1">#REF!</definedName>
    <definedName name="__123Graph_E1" localSheetId="14" hidden="1">#REF!</definedName>
    <definedName name="__123Graph_E1" localSheetId="17" hidden="1">#REF!</definedName>
    <definedName name="__123Graph_E1" localSheetId="18" hidden="1">#REF!</definedName>
    <definedName name="__123Graph_E1" localSheetId="21" hidden="1">#REF!</definedName>
    <definedName name="__123Graph_E1" localSheetId="24" hidden="1">#REF!</definedName>
    <definedName name="__123Graph_E1" localSheetId="22" hidden="1">#REF!</definedName>
    <definedName name="__123Graph_E1" localSheetId="20" hidden="1">#REF!</definedName>
    <definedName name="__123Graph_E1" hidden="1">#REF!</definedName>
    <definedName name="__123Graph_E2" localSheetId="19" hidden="1">#REF!</definedName>
    <definedName name="__123Graph_E2" localSheetId="16" hidden="1">#REF!</definedName>
    <definedName name="__123Graph_E2" localSheetId="15" hidden="1">#REF!</definedName>
    <definedName name="__123Graph_E2" localSheetId="14" hidden="1">#REF!</definedName>
    <definedName name="__123Graph_E2" localSheetId="17" hidden="1">#REF!</definedName>
    <definedName name="__123Graph_E2" localSheetId="18" hidden="1">#REF!</definedName>
    <definedName name="__123Graph_E2" localSheetId="21" hidden="1">#REF!</definedName>
    <definedName name="__123Graph_E2" localSheetId="24" hidden="1">#REF!</definedName>
    <definedName name="__123Graph_E2" localSheetId="22" hidden="1">#REF!</definedName>
    <definedName name="__123Graph_E2" localSheetId="20" hidden="1">#REF!</definedName>
    <definedName name="__123Graph_E2" hidden="1">#REF!</definedName>
    <definedName name="__123Graph_E3" localSheetId="19" hidden="1">#REF!</definedName>
    <definedName name="__123Graph_E3" localSheetId="16" hidden="1">#REF!</definedName>
    <definedName name="__123Graph_E3" localSheetId="15" hidden="1">#REF!</definedName>
    <definedName name="__123Graph_E3" localSheetId="14" hidden="1">#REF!</definedName>
    <definedName name="__123Graph_E3" localSheetId="17" hidden="1">#REF!</definedName>
    <definedName name="__123Graph_E3" localSheetId="18" hidden="1">#REF!</definedName>
    <definedName name="__123Graph_E3" localSheetId="21" hidden="1">#REF!</definedName>
    <definedName name="__123Graph_E3" localSheetId="24" hidden="1">#REF!</definedName>
    <definedName name="__123Graph_E3" localSheetId="22" hidden="1">#REF!</definedName>
    <definedName name="__123Graph_E3" localSheetId="20" hidden="1">#REF!</definedName>
    <definedName name="__123Graph_E3" hidden="1">#REF!</definedName>
    <definedName name="__123Graph_EActual" localSheetId="19" hidden="1">#REF!</definedName>
    <definedName name="__123Graph_EActual" localSheetId="16" hidden="1">#REF!</definedName>
    <definedName name="__123Graph_EActual" localSheetId="15" hidden="1">#REF!</definedName>
    <definedName name="__123Graph_EActual" localSheetId="14" hidden="1">#REF!</definedName>
    <definedName name="__123Graph_EActual" localSheetId="17" hidden="1">#REF!</definedName>
    <definedName name="__123Graph_EActual" localSheetId="18" hidden="1">#REF!</definedName>
    <definedName name="__123Graph_EActual" localSheetId="21" hidden="1">#REF!</definedName>
    <definedName name="__123Graph_EActual" localSheetId="24" hidden="1">#REF!</definedName>
    <definedName name="__123Graph_EActual" localSheetId="22" hidden="1">#REF!</definedName>
    <definedName name="__123Graph_EActual" localSheetId="20" hidden="1">#REF!</definedName>
    <definedName name="__123Graph_EActual" hidden="1">#REF!</definedName>
    <definedName name="__123Graph_EGraph7" hidden="1">#REF!</definedName>
    <definedName name="__123Graph_EGraph8" hidden="1">#REF!</definedName>
    <definedName name="__123Graph_F" localSheetId="19" hidden="1">#REF!</definedName>
    <definedName name="__123Graph_F" localSheetId="16" hidden="1">#REF!</definedName>
    <definedName name="__123Graph_F" localSheetId="15" hidden="1">#REF!</definedName>
    <definedName name="__123Graph_F" localSheetId="14" hidden="1">#REF!</definedName>
    <definedName name="__123Graph_F" localSheetId="17" hidden="1">#REF!</definedName>
    <definedName name="__123Graph_F" localSheetId="18" hidden="1">#REF!</definedName>
    <definedName name="__123Graph_F" localSheetId="21" hidden="1">#REF!</definedName>
    <definedName name="__123Graph_F" localSheetId="24" hidden="1">#REF!</definedName>
    <definedName name="__123Graph_F" localSheetId="22" hidden="1">#REF!</definedName>
    <definedName name="__123Graph_F" localSheetId="20" hidden="1">#REF!</definedName>
    <definedName name="__123Graph_F" hidden="1">#REF!</definedName>
    <definedName name="__123Graph_F1" localSheetId="19" hidden="1">#REF!</definedName>
    <definedName name="__123Graph_F1" localSheetId="16" hidden="1">#REF!</definedName>
    <definedName name="__123Graph_F1" localSheetId="15" hidden="1">#REF!</definedName>
    <definedName name="__123Graph_F1" localSheetId="14" hidden="1">#REF!</definedName>
    <definedName name="__123Graph_F1" localSheetId="17" hidden="1">#REF!</definedName>
    <definedName name="__123Graph_F1" localSheetId="18" hidden="1">#REF!</definedName>
    <definedName name="__123Graph_F1" localSheetId="21" hidden="1">#REF!</definedName>
    <definedName name="__123Graph_F1" localSheetId="24" hidden="1">#REF!</definedName>
    <definedName name="__123Graph_F1" localSheetId="22" hidden="1">#REF!</definedName>
    <definedName name="__123Graph_F1" localSheetId="20" hidden="1">#REF!</definedName>
    <definedName name="__123Graph_F1" hidden="1">#REF!</definedName>
    <definedName name="__123Graph_F2" localSheetId="19" hidden="1">#REF!</definedName>
    <definedName name="__123Graph_F2" localSheetId="16" hidden="1">#REF!</definedName>
    <definedName name="__123Graph_F2" localSheetId="15" hidden="1">#REF!</definedName>
    <definedName name="__123Graph_F2" localSheetId="14" hidden="1">#REF!</definedName>
    <definedName name="__123Graph_F2" localSheetId="17" hidden="1">#REF!</definedName>
    <definedName name="__123Graph_F2" localSheetId="18" hidden="1">#REF!</definedName>
    <definedName name="__123Graph_F2" localSheetId="21" hidden="1">#REF!</definedName>
    <definedName name="__123Graph_F2" localSheetId="24" hidden="1">#REF!</definedName>
    <definedName name="__123Graph_F2" localSheetId="22" hidden="1">#REF!</definedName>
    <definedName name="__123Graph_F2" localSheetId="20" hidden="1">#REF!</definedName>
    <definedName name="__123Graph_F2" hidden="1">#REF!</definedName>
    <definedName name="__123Graph_F3" localSheetId="19" hidden="1">#REF!</definedName>
    <definedName name="__123Graph_F3" localSheetId="16" hidden="1">#REF!</definedName>
    <definedName name="__123Graph_F3" localSheetId="15" hidden="1">#REF!</definedName>
    <definedName name="__123Graph_F3" localSheetId="14" hidden="1">#REF!</definedName>
    <definedName name="__123Graph_F3" localSheetId="17" hidden="1">#REF!</definedName>
    <definedName name="__123Graph_F3" localSheetId="18" hidden="1">#REF!</definedName>
    <definedName name="__123Graph_F3" localSheetId="21" hidden="1">#REF!</definedName>
    <definedName name="__123Graph_F3" localSheetId="24" hidden="1">#REF!</definedName>
    <definedName name="__123Graph_F3" localSheetId="22" hidden="1">#REF!</definedName>
    <definedName name="__123Graph_F3" localSheetId="20" hidden="1">#REF!</definedName>
    <definedName name="__123Graph_F3" hidden="1">#REF!</definedName>
    <definedName name="__123Graph_FActual" localSheetId="19" hidden="1">#REF!</definedName>
    <definedName name="__123Graph_FActual" localSheetId="16" hidden="1">#REF!</definedName>
    <definedName name="__123Graph_FActual" localSheetId="15" hidden="1">#REF!</definedName>
    <definedName name="__123Graph_FActual" localSheetId="14" hidden="1">#REF!</definedName>
    <definedName name="__123Graph_FActual" localSheetId="17" hidden="1">#REF!</definedName>
    <definedName name="__123Graph_FActual" localSheetId="18" hidden="1">#REF!</definedName>
    <definedName name="__123Graph_FActual" localSheetId="21" hidden="1">#REF!</definedName>
    <definedName name="__123Graph_FActual" localSheetId="24" hidden="1">#REF!</definedName>
    <definedName name="__123Graph_FActual" localSheetId="22" hidden="1">#REF!</definedName>
    <definedName name="__123Graph_FActual" localSheetId="20" hidden="1">#REF!</definedName>
    <definedName name="__123Graph_FActual" hidden="1">#REF!</definedName>
    <definedName name="__123Graph_X" localSheetId="19" hidden="1">#REF!</definedName>
    <definedName name="__123Graph_X" localSheetId="16" hidden="1">#REF!</definedName>
    <definedName name="__123Graph_X" localSheetId="15" hidden="1">#REF!</definedName>
    <definedName name="__123Graph_X" localSheetId="14" hidden="1">#REF!</definedName>
    <definedName name="__123Graph_X" localSheetId="17" hidden="1">#REF!</definedName>
    <definedName name="__123Graph_X" localSheetId="18" hidden="1">#REF!</definedName>
    <definedName name="__123Graph_X" localSheetId="21" hidden="1">#REF!</definedName>
    <definedName name="__123Graph_X" localSheetId="24" hidden="1">#REF!</definedName>
    <definedName name="__123Graph_X" localSheetId="22" hidden="1">#REF!</definedName>
    <definedName name="__123Graph_X" localSheetId="20" hidden="1">#REF!</definedName>
    <definedName name="__123Graph_X" hidden="1">#REF!</definedName>
    <definedName name="__123Graph_X1" localSheetId="19" hidden="1">#REF!</definedName>
    <definedName name="__123Graph_X1" localSheetId="16" hidden="1">#REF!</definedName>
    <definedName name="__123Graph_X1" localSheetId="15" hidden="1">#REF!</definedName>
    <definedName name="__123Graph_X1" localSheetId="14" hidden="1">#REF!</definedName>
    <definedName name="__123Graph_X1" localSheetId="17" hidden="1">#REF!</definedName>
    <definedName name="__123Graph_X1" localSheetId="18" hidden="1">#REF!</definedName>
    <definedName name="__123Graph_X1" localSheetId="21" hidden="1">#REF!</definedName>
    <definedName name="__123Graph_X1" localSheetId="24" hidden="1">#REF!</definedName>
    <definedName name="__123Graph_X1" localSheetId="22" hidden="1">#REF!</definedName>
    <definedName name="__123Graph_X1" localSheetId="20" hidden="1">#REF!</definedName>
    <definedName name="__123Graph_X1" hidden="1">#REF!</definedName>
    <definedName name="__123Graph_X2" localSheetId="19" hidden="1">#REF!</definedName>
    <definedName name="__123Graph_X2" localSheetId="16" hidden="1">#REF!</definedName>
    <definedName name="__123Graph_X2" localSheetId="15" hidden="1">#REF!</definedName>
    <definedName name="__123Graph_X2" localSheetId="14" hidden="1">#REF!</definedName>
    <definedName name="__123Graph_X2" localSheetId="17" hidden="1">#REF!</definedName>
    <definedName name="__123Graph_X2" localSheetId="18" hidden="1">#REF!</definedName>
    <definedName name="__123Graph_X2" localSheetId="21" hidden="1">#REF!</definedName>
    <definedName name="__123Graph_X2" localSheetId="24" hidden="1">#REF!</definedName>
    <definedName name="__123Graph_X2" localSheetId="22" hidden="1">#REF!</definedName>
    <definedName name="__123Graph_X2" localSheetId="20" hidden="1">#REF!</definedName>
    <definedName name="__123Graph_X2" hidden="1">#REF!</definedName>
    <definedName name="__123Graph_XActual" localSheetId="19" hidden="1">#REF!</definedName>
    <definedName name="__123Graph_XActual" localSheetId="16" hidden="1">#REF!</definedName>
    <definedName name="__123Graph_XActual" localSheetId="15" hidden="1">#REF!</definedName>
    <definedName name="__123Graph_XActual" localSheetId="14" hidden="1">#REF!</definedName>
    <definedName name="__123Graph_XActual" localSheetId="17" hidden="1">#REF!</definedName>
    <definedName name="__123Graph_XActual" localSheetId="18" hidden="1">#REF!</definedName>
    <definedName name="__123Graph_XActual" localSheetId="21" hidden="1">#REF!</definedName>
    <definedName name="__123Graph_XActual" localSheetId="24" hidden="1">#REF!</definedName>
    <definedName name="__123Graph_XActual" localSheetId="22" hidden="1">#REF!</definedName>
    <definedName name="__123Graph_XActual" localSheetId="20" hidden="1">#REF!</definedName>
    <definedName name="__123Graph_XActual" hidden="1">#REF!</definedName>
    <definedName name="__123Graph_XGraph1" hidden="1">#REF!</definedName>
    <definedName name="__123Graph_XGraph10" hidden="1">#REF!</definedName>
    <definedName name="__123Graph_XGraph11" hidden="1">#REF!</definedName>
    <definedName name="__123Graph_XGraph12"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aph6" hidden="1">#REF!</definedName>
    <definedName name="__123Graph_XGraph7" hidden="1">#REF!</definedName>
    <definedName name="__123Graph_XGraph8" hidden="1">#REF!</definedName>
    <definedName name="__123Graph_XGraph9" hidden="1">#REF!</definedName>
    <definedName name="__2_0__123Grap" localSheetId="19" hidden="1">#REF!</definedName>
    <definedName name="__2_0__123Grap" localSheetId="16" hidden="1">#REF!</definedName>
    <definedName name="__2_0__123Grap" localSheetId="15" hidden="1">#REF!</definedName>
    <definedName name="__2_0__123Grap" localSheetId="14" hidden="1">#REF!</definedName>
    <definedName name="__2_0__123Grap" localSheetId="17" hidden="1">#REF!</definedName>
    <definedName name="__2_0__123Grap" localSheetId="18" hidden="1">#REF!</definedName>
    <definedName name="__2_0__123Grap" localSheetId="21" hidden="1">#REF!</definedName>
    <definedName name="__2_0__123Grap" localSheetId="24" hidden="1">#REF!</definedName>
    <definedName name="__2_0__123Grap" localSheetId="22" hidden="1">#REF!</definedName>
    <definedName name="__2_0__123Grap" localSheetId="20" hidden="1">#REF!</definedName>
    <definedName name="__2_0__123Grap" hidden="1">#REF!</definedName>
    <definedName name="__br4" localSheetId="19">#REF!</definedName>
    <definedName name="__br4" localSheetId="16">#REF!</definedName>
    <definedName name="__br4" localSheetId="7">#REF!</definedName>
    <definedName name="__br4" localSheetId="15">#REF!</definedName>
    <definedName name="__br4" localSheetId="14">#REF!</definedName>
    <definedName name="__br4" localSheetId="17">#REF!</definedName>
    <definedName name="__br4" localSheetId="18">#REF!</definedName>
    <definedName name="__br4" localSheetId="21">#REF!</definedName>
    <definedName name="__br4" localSheetId="24">#REF!</definedName>
    <definedName name="__br4" localSheetId="22">#REF!</definedName>
    <definedName name="__br4" localSheetId="20">#REF!</definedName>
    <definedName name="__br4">#REF!</definedName>
    <definedName name="__IntlFixup" hidden="1">TRUE</definedName>
    <definedName name="__la31" localSheetId="19" hidden="1">#REF!</definedName>
    <definedName name="__la31" localSheetId="16" hidden="1">#REF!</definedName>
    <definedName name="__la31" localSheetId="7" hidden="1">#REF!</definedName>
    <definedName name="__la31" localSheetId="15" hidden="1">#REF!</definedName>
    <definedName name="__la31" localSheetId="14" hidden="1">#REF!</definedName>
    <definedName name="__la31" localSheetId="17" hidden="1">#REF!</definedName>
    <definedName name="__la31" localSheetId="18" hidden="1">#REF!</definedName>
    <definedName name="__la31" localSheetId="21" hidden="1">#REF!</definedName>
    <definedName name="__la31" localSheetId="24" hidden="1">#REF!</definedName>
    <definedName name="__la31" localSheetId="22" hidden="1">#REF!</definedName>
    <definedName name="__la31" localSheetId="20" hidden="1">#REF!</definedName>
    <definedName name="__la31" hidden="1">#REF!</definedName>
    <definedName name="__la312" localSheetId="19" hidden="1">#REF!</definedName>
    <definedName name="__la312" localSheetId="16" hidden="1">#REF!</definedName>
    <definedName name="__la312" localSheetId="7" hidden="1">#REF!</definedName>
    <definedName name="__la312" localSheetId="15" hidden="1">#REF!</definedName>
    <definedName name="__la312" localSheetId="14" hidden="1">#REF!</definedName>
    <definedName name="__la312" localSheetId="17" hidden="1">#REF!</definedName>
    <definedName name="__la312" localSheetId="18" hidden="1">#REF!</definedName>
    <definedName name="__la312" localSheetId="21" hidden="1">#REF!</definedName>
    <definedName name="__la312" localSheetId="24" hidden="1">#REF!</definedName>
    <definedName name="__la312" localSheetId="22" hidden="1">#REF!</definedName>
    <definedName name="__la312" localSheetId="20" hidden="1">#REF!</definedName>
    <definedName name="__la312" hidden="1">#REF!</definedName>
    <definedName name="__la32" localSheetId="19" hidden="1">#REF!</definedName>
    <definedName name="__la32" localSheetId="16" hidden="1">#REF!</definedName>
    <definedName name="__la32" localSheetId="7" hidden="1">#REF!</definedName>
    <definedName name="__la32" localSheetId="15" hidden="1">#REF!</definedName>
    <definedName name="__la32" localSheetId="14" hidden="1">#REF!</definedName>
    <definedName name="__la32" localSheetId="17" hidden="1">#REF!</definedName>
    <definedName name="__la32" localSheetId="18" hidden="1">#REF!</definedName>
    <definedName name="__la32" localSheetId="21" hidden="1">#REF!</definedName>
    <definedName name="__la32" localSheetId="24" hidden="1">#REF!</definedName>
    <definedName name="__la32" localSheetId="22" hidden="1">#REF!</definedName>
    <definedName name="__la32" localSheetId="20" hidden="1">#REF!</definedName>
    <definedName name="__la32" hidden="1">#REF!</definedName>
    <definedName name="__la4" localSheetId="19" hidden="1">#REF!</definedName>
    <definedName name="__la4" localSheetId="16" hidden="1">#REF!</definedName>
    <definedName name="__la4" localSheetId="7" hidden="1">#REF!</definedName>
    <definedName name="__la4" localSheetId="15" hidden="1">#REF!</definedName>
    <definedName name="__la4" localSheetId="14" hidden="1">#REF!</definedName>
    <definedName name="__la4" localSheetId="17" hidden="1">#REF!</definedName>
    <definedName name="__la4" localSheetId="18" hidden="1">#REF!</definedName>
    <definedName name="__la4" localSheetId="21" hidden="1">#REF!</definedName>
    <definedName name="__la4" localSheetId="24" hidden="1">#REF!</definedName>
    <definedName name="__la4" localSheetId="22" hidden="1">#REF!</definedName>
    <definedName name="__la4" localSheetId="20" hidden="1">#REF!</definedName>
    <definedName name="__la4" hidden="1">#REF!</definedName>
    <definedName name="__la5" localSheetId="19" hidden="1">#REF!</definedName>
    <definedName name="__la5" localSheetId="16" hidden="1">#REF!</definedName>
    <definedName name="__la5" localSheetId="7" hidden="1">#REF!</definedName>
    <definedName name="__la5" localSheetId="15" hidden="1">#REF!</definedName>
    <definedName name="__la5" localSheetId="14" hidden="1">#REF!</definedName>
    <definedName name="__la5" localSheetId="17" hidden="1">#REF!</definedName>
    <definedName name="__la5" localSheetId="18" hidden="1">#REF!</definedName>
    <definedName name="__la5" localSheetId="21" hidden="1">#REF!</definedName>
    <definedName name="__la5" localSheetId="24" hidden="1">#REF!</definedName>
    <definedName name="__la5" localSheetId="22" hidden="1">#REF!</definedName>
    <definedName name="__la5" localSheetId="20" hidden="1">#REF!</definedName>
    <definedName name="__la5" hidden="1">#REF!</definedName>
    <definedName name="__la6" localSheetId="19" hidden="1">#REF!</definedName>
    <definedName name="__la6" localSheetId="16" hidden="1">#REF!</definedName>
    <definedName name="__la6" localSheetId="7" hidden="1">#REF!</definedName>
    <definedName name="__la6" localSheetId="15" hidden="1">#REF!</definedName>
    <definedName name="__la6" localSheetId="14" hidden="1">#REF!</definedName>
    <definedName name="__la6" localSheetId="17" hidden="1">#REF!</definedName>
    <definedName name="__la6" localSheetId="18" hidden="1">#REF!</definedName>
    <definedName name="__la6" localSheetId="21" hidden="1">#REF!</definedName>
    <definedName name="__la6" localSheetId="24" hidden="1">#REF!</definedName>
    <definedName name="__la6" localSheetId="22" hidden="1">#REF!</definedName>
    <definedName name="__la6" localSheetId="20" hidden="1">#REF!</definedName>
    <definedName name="__la6" hidden="1">#REF!</definedName>
    <definedName name="__la7" localSheetId="19" hidden="1">#REF!</definedName>
    <definedName name="__la7" localSheetId="16" hidden="1">#REF!</definedName>
    <definedName name="__la7" localSheetId="7" hidden="1">#REF!</definedName>
    <definedName name="__la7" localSheetId="15" hidden="1">#REF!</definedName>
    <definedName name="__la7" localSheetId="14" hidden="1">#REF!</definedName>
    <definedName name="__la7" localSheetId="17" hidden="1">#REF!</definedName>
    <definedName name="__la7" localSheetId="18" hidden="1">#REF!</definedName>
    <definedName name="__la7" localSheetId="21" hidden="1">#REF!</definedName>
    <definedName name="__la7" localSheetId="24" hidden="1">#REF!</definedName>
    <definedName name="__la7" localSheetId="22" hidden="1">#REF!</definedName>
    <definedName name="__la7" localSheetId="20" hidden="1">#REF!</definedName>
    <definedName name="__la7" hidden="1">#REF!</definedName>
    <definedName name="__la8" localSheetId="19" hidden="1">#REF!</definedName>
    <definedName name="__la8" localSheetId="16" hidden="1">#REF!</definedName>
    <definedName name="__la8" localSheetId="7" hidden="1">#REF!</definedName>
    <definedName name="__la8" localSheetId="15" hidden="1">#REF!</definedName>
    <definedName name="__la8" localSheetId="14" hidden="1">#REF!</definedName>
    <definedName name="__la8" localSheetId="17" hidden="1">#REF!</definedName>
    <definedName name="__la8" localSheetId="18" hidden="1">#REF!</definedName>
    <definedName name="__la8" localSheetId="21" hidden="1">#REF!</definedName>
    <definedName name="__la8" localSheetId="24" hidden="1">#REF!</definedName>
    <definedName name="__la8" localSheetId="22" hidden="1">#REF!</definedName>
    <definedName name="__la8" localSheetId="20" hidden="1">#REF!</definedName>
    <definedName name="__la8" hidden="1">#REF!</definedName>
    <definedName name="__la9" localSheetId="19" hidden="1">#REF!</definedName>
    <definedName name="__la9" localSheetId="16" hidden="1">#REF!</definedName>
    <definedName name="__la9" localSheetId="7" hidden="1">#REF!</definedName>
    <definedName name="__la9" localSheetId="15" hidden="1">#REF!</definedName>
    <definedName name="__la9" localSheetId="14" hidden="1">#REF!</definedName>
    <definedName name="__la9" localSheetId="17" hidden="1">#REF!</definedName>
    <definedName name="__la9" localSheetId="18" hidden="1">#REF!</definedName>
    <definedName name="__la9" localSheetId="21" hidden="1">#REF!</definedName>
    <definedName name="__la9" localSheetId="24" hidden="1">#REF!</definedName>
    <definedName name="__la9" localSheetId="22" hidden="1">#REF!</definedName>
    <definedName name="__la9" localSheetId="20" hidden="1">#REF!</definedName>
    <definedName name="__la9" hidden="1">#REF!</definedName>
    <definedName name="__lb1" localSheetId="19" hidden="1">#REF!</definedName>
    <definedName name="__lb1" localSheetId="16" hidden="1">#REF!</definedName>
    <definedName name="__lb1" localSheetId="7" hidden="1">#REF!</definedName>
    <definedName name="__lb1" localSheetId="15" hidden="1">#REF!</definedName>
    <definedName name="__lb1" localSheetId="14" hidden="1">#REF!</definedName>
    <definedName name="__lb1" localSheetId="17" hidden="1">#REF!</definedName>
    <definedName name="__lb1" localSheetId="18" hidden="1">#REF!</definedName>
    <definedName name="__lb1" localSheetId="21" hidden="1">#REF!</definedName>
    <definedName name="__lb1" localSheetId="24" hidden="1">#REF!</definedName>
    <definedName name="__lb1" localSheetId="22" hidden="1">#REF!</definedName>
    <definedName name="__lb1" localSheetId="20" hidden="1">#REF!</definedName>
    <definedName name="__lb1" hidden="1">#REF!</definedName>
    <definedName name="__lb10" localSheetId="19" hidden="1">#REF!</definedName>
    <definedName name="__lb10" localSheetId="16" hidden="1">#REF!</definedName>
    <definedName name="__lb10" localSheetId="7" hidden="1">#REF!</definedName>
    <definedName name="__lb10" localSheetId="15" hidden="1">#REF!</definedName>
    <definedName name="__lb10" localSheetId="14" hidden="1">#REF!</definedName>
    <definedName name="__lb10" localSheetId="17" hidden="1">#REF!</definedName>
    <definedName name="__lb10" localSheetId="18" hidden="1">#REF!</definedName>
    <definedName name="__lb10" localSheetId="21" hidden="1">#REF!</definedName>
    <definedName name="__lb10" localSheetId="24" hidden="1">#REF!</definedName>
    <definedName name="__lb10" localSheetId="22" hidden="1">#REF!</definedName>
    <definedName name="__lb10" localSheetId="20" hidden="1">#REF!</definedName>
    <definedName name="__lb10" hidden="1">#REF!</definedName>
    <definedName name="__lb11" localSheetId="19" hidden="1">#REF!</definedName>
    <definedName name="__lb11" localSheetId="16" hidden="1">#REF!</definedName>
    <definedName name="__lb11" localSheetId="7" hidden="1">#REF!</definedName>
    <definedName name="__lb11" localSheetId="15" hidden="1">#REF!</definedName>
    <definedName name="__lb11" localSheetId="14" hidden="1">#REF!</definedName>
    <definedName name="__lb11" localSheetId="17" hidden="1">#REF!</definedName>
    <definedName name="__lb11" localSheetId="18" hidden="1">#REF!</definedName>
    <definedName name="__lb11" localSheetId="21" hidden="1">#REF!</definedName>
    <definedName name="__lb11" localSheetId="24" hidden="1">#REF!</definedName>
    <definedName name="__lb11" localSheetId="22" hidden="1">#REF!</definedName>
    <definedName name="__lb11" localSheetId="20" hidden="1">#REF!</definedName>
    <definedName name="__lb11" hidden="1">#REF!</definedName>
    <definedName name="__lb12" localSheetId="19" hidden="1">#REF!</definedName>
    <definedName name="__lb12" localSheetId="16" hidden="1">#REF!</definedName>
    <definedName name="__lb12" localSheetId="7" hidden="1">#REF!</definedName>
    <definedName name="__lb12" localSheetId="15" hidden="1">#REF!</definedName>
    <definedName name="__lb12" localSheetId="14" hidden="1">#REF!</definedName>
    <definedName name="__lb12" localSheetId="17" hidden="1">#REF!</definedName>
    <definedName name="__lb12" localSheetId="18" hidden="1">#REF!</definedName>
    <definedName name="__lb12" localSheetId="21" hidden="1">#REF!</definedName>
    <definedName name="__lb12" localSheetId="24" hidden="1">#REF!</definedName>
    <definedName name="__lb12" localSheetId="22" hidden="1">#REF!</definedName>
    <definedName name="__lb12" localSheetId="20" hidden="1">#REF!</definedName>
    <definedName name="__lb12" hidden="1">#REF!</definedName>
    <definedName name="__lb13" localSheetId="19" hidden="1">#REF!</definedName>
    <definedName name="__lb13" localSheetId="16" hidden="1">#REF!</definedName>
    <definedName name="__lb13" localSheetId="7" hidden="1">#REF!</definedName>
    <definedName name="__lb13" localSheetId="15" hidden="1">#REF!</definedName>
    <definedName name="__lb13" localSheetId="14" hidden="1">#REF!</definedName>
    <definedName name="__lb13" localSheetId="17" hidden="1">#REF!</definedName>
    <definedName name="__lb13" localSheetId="18" hidden="1">#REF!</definedName>
    <definedName name="__lb13" localSheetId="21" hidden="1">#REF!</definedName>
    <definedName name="__lb13" localSheetId="24" hidden="1">#REF!</definedName>
    <definedName name="__lb13" localSheetId="22" hidden="1">#REF!</definedName>
    <definedName name="__lb13" localSheetId="20" hidden="1">#REF!</definedName>
    <definedName name="__lb13" hidden="1">#REF!</definedName>
    <definedName name="__lb14" localSheetId="19" hidden="1">#REF!</definedName>
    <definedName name="__lb14" localSheetId="16" hidden="1">#REF!</definedName>
    <definedName name="__lb14" localSheetId="7" hidden="1">#REF!</definedName>
    <definedName name="__lb14" localSheetId="15" hidden="1">#REF!</definedName>
    <definedName name="__lb14" localSheetId="14" hidden="1">#REF!</definedName>
    <definedName name="__lb14" localSheetId="17" hidden="1">#REF!</definedName>
    <definedName name="__lb14" localSheetId="18" hidden="1">#REF!</definedName>
    <definedName name="__lb14" localSheetId="21" hidden="1">#REF!</definedName>
    <definedName name="__lb14" localSheetId="24" hidden="1">#REF!</definedName>
    <definedName name="__lb14" localSheetId="22" hidden="1">#REF!</definedName>
    <definedName name="__lb14" localSheetId="20" hidden="1">#REF!</definedName>
    <definedName name="__lb14" hidden="1">#REF!</definedName>
    <definedName name="__lb15" localSheetId="19" hidden="1">#REF!</definedName>
    <definedName name="__lb15" localSheetId="16" hidden="1">#REF!</definedName>
    <definedName name="__lb15" localSheetId="7" hidden="1">#REF!</definedName>
    <definedName name="__lb15" localSheetId="15" hidden="1">#REF!</definedName>
    <definedName name="__lb15" localSheetId="14" hidden="1">#REF!</definedName>
    <definedName name="__lb15" localSheetId="17" hidden="1">#REF!</definedName>
    <definedName name="__lb15" localSheetId="18" hidden="1">#REF!</definedName>
    <definedName name="__lb15" localSheetId="21" hidden="1">#REF!</definedName>
    <definedName name="__lb15" localSheetId="24" hidden="1">#REF!</definedName>
    <definedName name="__lb15" localSheetId="22" hidden="1">#REF!</definedName>
    <definedName name="__lb15" localSheetId="20" hidden="1">#REF!</definedName>
    <definedName name="__lb15" hidden="1">#REF!</definedName>
    <definedName name="__lb16" localSheetId="19" hidden="1">#REF!</definedName>
    <definedName name="__lb16" localSheetId="16" hidden="1">#REF!</definedName>
    <definedName name="__lb16" localSheetId="7" hidden="1">#REF!</definedName>
    <definedName name="__lb16" localSheetId="15" hidden="1">#REF!</definedName>
    <definedName name="__lb16" localSheetId="14" hidden="1">#REF!</definedName>
    <definedName name="__lb16" localSheetId="17" hidden="1">#REF!</definedName>
    <definedName name="__lb16" localSheetId="18" hidden="1">#REF!</definedName>
    <definedName name="__lb16" localSheetId="21" hidden="1">#REF!</definedName>
    <definedName name="__lb16" localSheetId="24" hidden="1">#REF!</definedName>
    <definedName name="__lb16" localSheetId="22" hidden="1">#REF!</definedName>
    <definedName name="__lb16" localSheetId="20" hidden="1">#REF!</definedName>
    <definedName name="__lb16" hidden="1">#REF!</definedName>
    <definedName name="__lb17" localSheetId="19" hidden="1">#REF!</definedName>
    <definedName name="__lb17" localSheetId="16" hidden="1">#REF!</definedName>
    <definedName name="__lb17" localSheetId="7" hidden="1">#REF!</definedName>
    <definedName name="__lb17" localSheetId="15" hidden="1">#REF!</definedName>
    <definedName name="__lb17" localSheetId="14" hidden="1">#REF!</definedName>
    <definedName name="__lb17" localSheetId="17" hidden="1">#REF!</definedName>
    <definedName name="__lb17" localSheetId="18" hidden="1">#REF!</definedName>
    <definedName name="__lb17" localSheetId="21" hidden="1">#REF!</definedName>
    <definedName name="__lb17" localSheetId="24" hidden="1">#REF!</definedName>
    <definedName name="__lb17" localSheetId="22" hidden="1">#REF!</definedName>
    <definedName name="__lb17" localSheetId="20" hidden="1">#REF!</definedName>
    <definedName name="__lb17" hidden="1">#REF!</definedName>
    <definedName name="__lb18" localSheetId="19" hidden="1">#REF!</definedName>
    <definedName name="__lb18" localSheetId="16" hidden="1">#REF!</definedName>
    <definedName name="__lb18" localSheetId="7" hidden="1">#REF!</definedName>
    <definedName name="__lb18" localSheetId="15" hidden="1">#REF!</definedName>
    <definedName name="__lb18" localSheetId="14" hidden="1">#REF!</definedName>
    <definedName name="__lb18" localSheetId="17" hidden="1">#REF!</definedName>
    <definedName name="__lb18" localSheetId="18" hidden="1">#REF!</definedName>
    <definedName name="__lb18" localSheetId="21" hidden="1">#REF!</definedName>
    <definedName name="__lb18" localSheetId="24" hidden="1">#REF!</definedName>
    <definedName name="__lb18" localSheetId="22" hidden="1">#REF!</definedName>
    <definedName name="__lb18" localSheetId="20" hidden="1">#REF!</definedName>
    <definedName name="__lb18" hidden="1">#REF!</definedName>
    <definedName name="__lb19" localSheetId="19" hidden="1">#REF!</definedName>
    <definedName name="__lb19" localSheetId="16" hidden="1">#REF!</definedName>
    <definedName name="__lb19" localSheetId="7" hidden="1">#REF!</definedName>
    <definedName name="__lb19" localSheetId="15" hidden="1">#REF!</definedName>
    <definedName name="__lb19" localSheetId="14" hidden="1">#REF!</definedName>
    <definedName name="__lb19" localSheetId="17" hidden="1">#REF!</definedName>
    <definedName name="__lb19" localSheetId="18" hidden="1">#REF!</definedName>
    <definedName name="__lb19" localSheetId="21" hidden="1">#REF!</definedName>
    <definedName name="__lb19" localSheetId="24" hidden="1">#REF!</definedName>
    <definedName name="__lb19" localSheetId="22" hidden="1">#REF!</definedName>
    <definedName name="__lb19" localSheetId="20" hidden="1">#REF!</definedName>
    <definedName name="__lb19" hidden="1">#REF!</definedName>
    <definedName name="__lb2" localSheetId="19" hidden="1">#REF!</definedName>
    <definedName name="__lb2" localSheetId="16" hidden="1">#REF!</definedName>
    <definedName name="__lb2" localSheetId="7" hidden="1">#REF!</definedName>
    <definedName name="__lb2" localSheetId="15" hidden="1">#REF!</definedName>
    <definedName name="__lb2" localSheetId="14" hidden="1">#REF!</definedName>
    <definedName name="__lb2" localSheetId="17" hidden="1">#REF!</definedName>
    <definedName name="__lb2" localSheetId="18" hidden="1">#REF!</definedName>
    <definedName name="__lb2" localSheetId="21" hidden="1">#REF!</definedName>
    <definedName name="__lb2" localSheetId="24" hidden="1">#REF!</definedName>
    <definedName name="__lb2" localSheetId="22" hidden="1">#REF!</definedName>
    <definedName name="__lb2" localSheetId="20" hidden="1">#REF!</definedName>
    <definedName name="__lb2" hidden="1">#REF!</definedName>
    <definedName name="__lb20" localSheetId="19" hidden="1">#REF!</definedName>
    <definedName name="__lb20" localSheetId="16" hidden="1">#REF!</definedName>
    <definedName name="__lb20" localSheetId="7" hidden="1">#REF!</definedName>
    <definedName name="__lb20" localSheetId="15" hidden="1">#REF!</definedName>
    <definedName name="__lb20" localSheetId="14" hidden="1">#REF!</definedName>
    <definedName name="__lb20" localSheetId="17" hidden="1">#REF!</definedName>
    <definedName name="__lb20" localSheetId="18" hidden="1">#REF!</definedName>
    <definedName name="__lb20" localSheetId="21" hidden="1">#REF!</definedName>
    <definedName name="__lb20" localSheetId="24" hidden="1">#REF!</definedName>
    <definedName name="__lb20" localSheetId="22" hidden="1">#REF!</definedName>
    <definedName name="__lb20" localSheetId="20" hidden="1">#REF!</definedName>
    <definedName name="__lb20" hidden="1">#REF!</definedName>
    <definedName name="__lb21" localSheetId="19" hidden="1">#REF!</definedName>
    <definedName name="__lb21" localSheetId="16" hidden="1">#REF!</definedName>
    <definedName name="__lb21" localSheetId="7" hidden="1">#REF!</definedName>
    <definedName name="__lb21" localSheetId="15" hidden="1">#REF!</definedName>
    <definedName name="__lb21" localSheetId="14" hidden="1">#REF!</definedName>
    <definedName name="__lb21" localSheetId="17" hidden="1">#REF!</definedName>
    <definedName name="__lb21" localSheetId="18" hidden="1">#REF!</definedName>
    <definedName name="__lb21" localSheetId="21" hidden="1">#REF!</definedName>
    <definedName name="__lb21" localSheetId="24" hidden="1">#REF!</definedName>
    <definedName name="__lb21" localSheetId="22" hidden="1">#REF!</definedName>
    <definedName name="__lb21" localSheetId="20" hidden="1">#REF!</definedName>
    <definedName name="__lb21" hidden="1">#REF!</definedName>
    <definedName name="__lb22" localSheetId="19" hidden="1">#REF!</definedName>
    <definedName name="__lb22" localSheetId="16" hidden="1">#REF!</definedName>
    <definedName name="__lb22" localSheetId="7" hidden="1">#REF!</definedName>
    <definedName name="__lb22" localSheetId="15" hidden="1">#REF!</definedName>
    <definedName name="__lb22" localSheetId="14" hidden="1">#REF!</definedName>
    <definedName name="__lb22" localSheetId="17" hidden="1">#REF!</definedName>
    <definedName name="__lb22" localSheetId="18" hidden="1">#REF!</definedName>
    <definedName name="__lb22" localSheetId="21" hidden="1">#REF!</definedName>
    <definedName name="__lb22" localSheetId="24" hidden="1">#REF!</definedName>
    <definedName name="__lb22" localSheetId="22" hidden="1">#REF!</definedName>
    <definedName name="__lb22" localSheetId="20" hidden="1">#REF!</definedName>
    <definedName name="__lb22" hidden="1">#REF!</definedName>
    <definedName name="__lb23" localSheetId="19" hidden="1">#REF!</definedName>
    <definedName name="__lb23" localSheetId="16" hidden="1">#REF!</definedName>
    <definedName name="__lb23" localSheetId="7" hidden="1">#REF!</definedName>
    <definedName name="__lb23" localSheetId="15" hidden="1">#REF!</definedName>
    <definedName name="__lb23" localSheetId="14" hidden="1">#REF!</definedName>
    <definedName name="__lb23" localSheetId="17" hidden="1">#REF!</definedName>
    <definedName name="__lb23" localSheetId="18" hidden="1">#REF!</definedName>
    <definedName name="__lb23" localSheetId="21" hidden="1">#REF!</definedName>
    <definedName name="__lb23" localSheetId="24" hidden="1">#REF!</definedName>
    <definedName name="__lb23" localSheetId="22" hidden="1">#REF!</definedName>
    <definedName name="__lb23" localSheetId="20" hidden="1">#REF!</definedName>
    <definedName name="__lb23" hidden="1">#REF!</definedName>
    <definedName name="__lb24" localSheetId="19" hidden="1">#REF!</definedName>
    <definedName name="__lb24" localSheetId="16" hidden="1">#REF!</definedName>
    <definedName name="__lb24" localSheetId="7" hidden="1">#REF!</definedName>
    <definedName name="__lb24" localSheetId="15" hidden="1">#REF!</definedName>
    <definedName name="__lb24" localSheetId="14" hidden="1">#REF!</definedName>
    <definedName name="__lb24" localSheetId="17" hidden="1">#REF!</definedName>
    <definedName name="__lb24" localSheetId="18" hidden="1">#REF!</definedName>
    <definedName name="__lb24" localSheetId="21" hidden="1">#REF!</definedName>
    <definedName name="__lb24" localSheetId="24" hidden="1">#REF!</definedName>
    <definedName name="__lb24" localSheetId="22" hidden="1">#REF!</definedName>
    <definedName name="__lb24" localSheetId="20" hidden="1">#REF!</definedName>
    <definedName name="__lb24" hidden="1">#REF!</definedName>
    <definedName name="__lb25" localSheetId="19" hidden="1">#REF!</definedName>
    <definedName name="__lb25" localSheetId="16" hidden="1">#REF!</definedName>
    <definedName name="__lb25" localSheetId="7" hidden="1">#REF!</definedName>
    <definedName name="__lb25" localSheetId="15" hidden="1">#REF!</definedName>
    <definedName name="__lb25" localSheetId="14" hidden="1">#REF!</definedName>
    <definedName name="__lb25" localSheetId="17" hidden="1">#REF!</definedName>
    <definedName name="__lb25" localSheetId="18" hidden="1">#REF!</definedName>
    <definedName name="__lb25" localSheetId="21" hidden="1">#REF!</definedName>
    <definedName name="__lb25" localSheetId="24" hidden="1">#REF!</definedName>
    <definedName name="__lb25" localSheetId="22" hidden="1">#REF!</definedName>
    <definedName name="__lb25" localSheetId="20" hidden="1">#REF!</definedName>
    <definedName name="__lb25" hidden="1">#REF!</definedName>
    <definedName name="__lb27" localSheetId="19" hidden="1">#REF!</definedName>
    <definedName name="__lb27" localSheetId="16" hidden="1">#REF!</definedName>
    <definedName name="__lb27" localSheetId="7" hidden="1">#REF!</definedName>
    <definedName name="__lb27" localSheetId="15" hidden="1">#REF!</definedName>
    <definedName name="__lb27" localSheetId="14" hidden="1">#REF!</definedName>
    <definedName name="__lb27" localSheetId="17" hidden="1">#REF!</definedName>
    <definedName name="__lb27" localSheetId="18" hidden="1">#REF!</definedName>
    <definedName name="__lb27" localSheetId="21" hidden="1">#REF!</definedName>
    <definedName name="__lb27" localSheetId="24" hidden="1">#REF!</definedName>
    <definedName name="__lb27" localSheetId="22" hidden="1">#REF!</definedName>
    <definedName name="__lb27" localSheetId="20" hidden="1">#REF!</definedName>
    <definedName name="__lb27" hidden="1">#REF!</definedName>
    <definedName name="__lb28" localSheetId="19" hidden="1">#REF!</definedName>
    <definedName name="__lb28" localSheetId="16" hidden="1">#REF!</definedName>
    <definedName name="__lb28" localSheetId="7" hidden="1">#REF!</definedName>
    <definedName name="__lb28" localSheetId="15" hidden="1">#REF!</definedName>
    <definedName name="__lb28" localSheetId="14" hidden="1">#REF!</definedName>
    <definedName name="__lb28" localSheetId="17" hidden="1">#REF!</definedName>
    <definedName name="__lb28" localSheetId="18" hidden="1">#REF!</definedName>
    <definedName name="__lb28" localSheetId="21" hidden="1">#REF!</definedName>
    <definedName name="__lb28" localSheetId="24" hidden="1">#REF!</definedName>
    <definedName name="__lb28" localSheetId="22" hidden="1">#REF!</definedName>
    <definedName name="__lb28" localSheetId="20" hidden="1">#REF!</definedName>
    <definedName name="__lb28" hidden="1">#REF!</definedName>
    <definedName name="__lb29" localSheetId="19" hidden="1">#REF!</definedName>
    <definedName name="__lb29" localSheetId="16" hidden="1">#REF!</definedName>
    <definedName name="__lb29" localSheetId="7" hidden="1">#REF!</definedName>
    <definedName name="__lb29" localSheetId="15" hidden="1">#REF!</definedName>
    <definedName name="__lb29" localSheetId="14" hidden="1">#REF!</definedName>
    <definedName name="__lb29" localSheetId="17" hidden="1">#REF!</definedName>
    <definedName name="__lb29" localSheetId="18" hidden="1">#REF!</definedName>
    <definedName name="__lb29" localSheetId="21" hidden="1">#REF!</definedName>
    <definedName name="__lb29" localSheetId="24" hidden="1">#REF!</definedName>
    <definedName name="__lb29" localSheetId="22" hidden="1">#REF!</definedName>
    <definedName name="__lb29" localSheetId="20" hidden="1">#REF!</definedName>
    <definedName name="__lb29" hidden="1">#REF!</definedName>
    <definedName name="__lb3" localSheetId="19" hidden="1">#REF!</definedName>
    <definedName name="__lb3" localSheetId="16" hidden="1">#REF!</definedName>
    <definedName name="__lb3" localSheetId="7" hidden="1">#REF!</definedName>
    <definedName name="__lb3" localSheetId="15" hidden="1">#REF!</definedName>
    <definedName name="__lb3" localSheetId="14" hidden="1">#REF!</definedName>
    <definedName name="__lb3" localSheetId="17" hidden="1">#REF!</definedName>
    <definedName name="__lb3" localSheetId="18" hidden="1">#REF!</definedName>
    <definedName name="__lb3" localSheetId="21" hidden="1">#REF!</definedName>
    <definedName name="__lb3" localSheetId="24" hidden="1">#REF!</definedName>
    <definedName name="__lb3" localSheetId="22" hidden="1">#REF!</definedName>
    <definedName name="__lb3" localSheetId="20" hidden="1">#REF!</definedName>
    <definedName name="__lb3" hidden="1">#REF!</definedName>
    <definedName name="__lb30" localSheetId="19" hidden="1">#REF!</definedName>
    <definedName name="__lb30" localSheetId="16" hidden="1">#REF!</definedName>
    <definedName name="__lb30" localSheetId="7" hidden="1">#REF!</definedName>
    <definedName name="__lb30" localSheetId="15" hidden="1">#REF!</definedName>
    <definedName name="__lb30" localSheetId="14" hidden="1">#REF!</definedName>
    <definedName name="__lb30" localSheetId="17" hidden="1">#REF!</definedName>
    <definedName name="__lb30" localSheetId="18" hidden="1">#REF!</definedName>
    <definedName name="__lb30" localSheetId="21" hidden="1">#REF!</definedName>
    <definedName name="__lb30" localSheetId="24" hidden="1">#REF!</definedName>
    <definedName name="__lb30" localSheetId="22" hidden="1">#REF!</definedName>
    <definedName name="__lb30" localSheetId="20" hidden="1">#REF!</definedName>
    <definedName name="__lb30" hidden="1">#REF!</definedName>
    <definedName name="__lb31" localSheetId="19" hidden="1">#REF!</definedName>
    <definedName name="__lb31" localSheetId="16" hidden="1">#REF!</definedName>
    <definedName name="__lb31" localSheetId="7" hidden="1">#REF!</definedName>
    <definedName name="__lb31" localSheetId="15" hidden="1">#REF!</definedName>
    <definedName name="__lb31" localSheetId="14" hidden="1">#REF!</definedName>
    <definedName name="__lb31" localSheetId="17" hidden="1">#REF!</definedName>
    <definedName name="__lb31" localSheetId="18" hidden="1">#REF!</definedName>
    <definedName name="__lb31" localSheetId="21" hidden="1">#REF!</definedName>
    <definedName name="__lb31" localSheetId="24" hidden="1">#REF!</definedName>
    <definedName name="__lb31" localSheetId="22" hidden="1">#REF!</definedName>
    <definedName name="__lb31" localSheetId="20" hidden="1">#REF!</definedName>
    <definedName name="__lb31" hidden="1">#REF!</definedName>
    <definedName name="__lb32" localSheetId="19" hidden="1">#REF!</definedName>
    <definedName name="__lb32" localSheetId="16" hidden="1">#REF!</definedName>
    <definedName name="__lb32" localSheetId="7" hidden="1">#REF!</definedName>
    <definedName name="__lb32" localSheetId="15" hidden="1">#REF!</definedName>
    <definedName name="__lb32" localSheetId="14" hidden="1">#REF!</definedName>
    <definedName name="__lb32" localSheetId="17" hidden="1">#REF!</definedName>
    <definedName name="__lb32" localSheetId="18" hidden="1">#REF!</definedName>
    <definedName name="__lb32" localSheetId="21" hidden="1">#REF!</definedName>
    <definedName name="__lb32" localSheetId="24" hidden="1">#REF!</definedName>
    <definedName name="__lb32" localSheetId="22" hidden="1">#REF!</definedName>
    <definedName name="__lb32" localSheetId="20" hidden="1">#REF!</definedName>
    <definedName name="__lb32" hidden="1">#REF!</definedName>
    <definedName name="__lb4" localSheetId="19" hidden="1">#REF!</definedName>
    <definedName name="__lb4" localSheetId="16" hidden="1">#REF!</definedName>
    <definedName name="__lb4" localSheetId="7" hidden="1">#REF!</definedName>
    <definedName name="__lb4" localSheetId="15" hidden="1">#REF!</definedName>
    <definedName name="__lb4" localSheetId="14" hidden="1">#REF!</definedName>
    <definedName name="__lb4" localSheetId="17" hidden="1">#REF!</definedName>
    <definedName name="__lb4" localSheetId="18" hidden="1">#REF!</definedName>
    <definedName name="__lb4" localSheetId="21" hidden="1">#REF!</definedName>
    <definedName name="__lb4" localSheetId="24" hidden="1">#REF!</definedName>
    <definedName name="__lb4" localSheetId="22" hidden="1">#REF!</definedName>
    <definedName name="__lb4" localSheetId="20" hidden="1">#REF!</definedName>
    <definedName name="__lb4" hidden="1">#REF!</definedName>
    <definedName name="__lb5" localSheetId="19" hidden="1">#REF!</definedName>
    <definedName name="__lb5" localSheetId="16" hidden="1">#REF!</definedName>
    <definedName name="__lb5" localSheetId="7" hidden="1">#REF!</definedName>
    <definedName name="__lb5" localSheetId="15" hidden="1">#REF!</definedName>
    <definedName name="__lb5" localSheetId="14" hidden="1">#REF!</definedName>
    <definedName name="__lb5" localSheetId="17" hidden="1">#REF!</definedName>
    <definedName name="__lb5" localSheetId="18" hidden="1">#REF!</definedName>
    <definedName name="__lb5" localSheetId="21" hidden="1">#REF!</definedName>
    <definedName name="__lb5" localSheetId="24" hidden="1">#REF!</definedName>
    <definedName name="__lb5" localSheetId="22" hidden="1">#REF!</definedName>
    <definedName name="__lb5" localSheetId="20" hidden="1">#REF!</definedName>
    <definedName name="__lb5" hidden="1">#REF!</definedName>
    <definedName name="__lb6" localSheetId="19" hidden="1">#REF!</definedName>
    <definedName name="__lb6" localSheetId="16" hidden="1">#REF!</definedName>
    <definedName name="__lb6" localSheetId="7" hidden="1">#REF!</definedName>
    <definedName name="__lb6" localSheetId="15" hidden="1">#REF!</definedName>
    <definedName name="__lb6" localSheetId="14" hidden="1">#REF!</definedName>
    <definedName name="__lb6" localSheetId="17" hidden="1">#REF!</definedName>
    <definedName name="__lb6" localSheetId="18" hidden="1">#REF!</definedName>
    <definedName name="__lb6" localSheetId="21" hidden="1">#REF!</definedName>
    <definedName name="__lb6" localSheetId="24" hidden="1">#REF!</definedName>
    <definedName name="__lb6" localSheetId="22" hidden="1">#REF!</definedName>
    <definedName name="__lb6" localSheetId="20" hidden="1">#REF!</definedName>
    <definedName name="__lb6" hidden="1">#REF!</definedName>
    <definedName name="__lb7" localSheetId="19" hidden="1">#REF!</definedName>
    <definedName name="__lb7" localSheetId="16" hidden="1">#REF!</definedName>
    <definedName name="__lb7" localSheetId="7" hidden="1">#REF!</definedName>
    <definedName name="__lb7" localSheetId="15" hidden="1">#REF!</definedName>
    <definedName name="__lb7" localSheetId="14" hidden="1">#REF!</definedName>
    <definedName name="__lb7" localSheetId="17" hidden="1">#REF!</definedName>
    <definedName name="__lb7" localSheetId="18" hidden="1">#REF!</definedName>
    <definedName name="__lb7" localSheetId="21" hidden="1">#REF!</definedName>
    <definedName name="__lb7" localSheetId="24" hidden="1">#REF!</definedName>
    <definedName name="__lb7" localSheetId="22" hidden="1">#REF!</definedName>
    <definedName name="__lb7" localSheetId="20" hidden="1">#REF!</definedName>
    <definedName name="__lb7" hidden="1">#REF!</definedName>
    <definedName name="__lb8" localSheetId="19" hidden="1">#REF!</definedName>
    <definedName name="__lb8" localSheetId="16" hidden="1">#REF!</definedName>
    <definedName name="__lb8" localSheetId="7" hidden="1">#REF!</definedName>
    <definedName name="__lb8" localSheetId="15" hidden="1">#REF!</definedName>
    <definedName name="__lb8" localSheetId="14" hidden="1">#REF!</definedName>
    <definedName name="__lb8" localSheetId="17" hidden="1">#REF!</definedName>
    <definedName name="__lb8" localSheetId="18" hidden="1">#REF!</definedName>
    <definedName name="__lb8" localSheetId="21" hidden="1">#REF!</definedName>
    <definedName name="__lb8" localSheetId="24" hidden="1">#REF!</definedName>
    <definedName name="__lb8" localSheetId="22" hidden="1">#REF!</definedName>
    <definedName name="__lb8" localSheetId="20" hidden="1">#REF!</definedName>
    <definedName name="__lb8" hidden="1">#REF!</definedName>
    <definedName name="__lb9" localSheetId="19" hidden="1">#REF!</definedName>
    <definedName name="__lb9" localSheetId="16" hidden="1">#REF!</definedName>
    <definedName name="__lb9" localSheetId="7" hidden="1">#REF!</definedName>
    <definedName name="__lb9" localSheetId="15" hidden="1">#REF!</definedName>
    <definedName name="__lb9" localSheetId="14" hidden="1">#REF!</definedName>
    <definedName name="__lb9" localSheetId="17" hidden="1">#REF!</definedName>
    <definedName name="__lb9" localSheetId="18" hidden="1">#REF!</definedName>
    <definedName name="__lb9" localSheetId="21" hidden="1">#REF!</definedName>
    <definedName name="__lb9" localSheetId="24" hidden="1">#REF!</definedName>
    <definedName name="__lb9" localSheetId="22" hidden="1">#REF!</definedName>
    <definedName name="__lb9" localSheetId="20" hidden="1">#REF!</definedName>
    <definedName name="__lb9" hidden="1">#REF!</definedName>
    <definedName name="__lbc1" localSheetId="19" hidden="1">#REF!</definedName>
    <definedName name="__lbc1" localSheetId="16" hidden="1">#REF!</definedName>
    <definedName name="__lbc1" localSheetId="7" hidden="1">#REF!</definedName>
    <definedName name="__lbc1" localSheetId="15" hidden="1">#REF!</definedName>
    <definedName name="__lbc1" localSheetId="14" hidden="1">#REF!</definedName>
    <definedName name="__lbc1" localSheetId="17" hidden="1">#REF!</definedName>
    <definedName name="__lbc1" localSheetId="18" hidden="1">#REF!</definedName>
    <definedName name="__lbc1" localSheetId="21" hidden="1">#REF!</definedName>
    <definedName name="__lbc1" localSheetId="24" hidden="1">#REF!</definedName>
    <definedName name="__lbc1" localSheetId="22" hidden="1">#REF!</definedName>
    <definedName name="__lbc1" localSheetId="20" hidden="1">#REF!</definedName>
    <definedName name="__lbc1" hidden="1">#REF!</definedName>
    <definedName name="__lbc10" localSheetId="19" hidden="1">#REF!</definedName>
    <definedName name="__lbc10" localSheetId="16" hidden="1">#REF!</definedName>
    <definedName name="__lbc10" localSheetId="7" hidden="1">#REF!</definedName>
    <definedName name="__lbc10" localSheetId="15" hidden="1">#REF!</definedName>
    <definedName name="__lbc10" localSheetId="14" hidden="1">#REF!</definedName>
    <definedName name="__lbc10" localSheetId="17" hidden="1">#REF!</definedName>
    <definedName name="__lbc10" localSheetId="18" hidden="1">#REF!</definedName>
    <definedName name="__lbc10" localSheetId="21" hidden="1">#REF!</definedName>
    <definedName name="__lbc10" localSheetId="24" hidden="1">#REF!</definedName>
    <definedName name="__lbc10" localSheetId="22" hidden="1">#REF!</definedName>
    <definedName name="__lbc10" localSheetId="20" hidden="1">#REF!</definedName>
    <definedName name="__lbc10" hidden="1">#REF!</definedName>
    <definedName name="__lbc11" localSheetId="19" hidden="1">#REF!</definedName>
    <definedName name="__lbc11" localSheetId="16" hidden="1">#REF!</definedName>
    <definedName name="__lbc11" localSheetId="7" hidden="1">#REF!</definedName>
    <definedName name="__lbc11" localSheetId="15" hidden="1">#REF!</definedName>
    <definedName name="__lbc11" localSheetId="14" hidden="1">#REF!</definedName>
    <definedName name="__lbc11" localSheetId="17" hidden="1">#REF!</definedName>
    <definedName name="__lbc11" localSheetId="18" hidden="1">#REF!</definedName>
    <definedName name="__lbc11" localSheetId="21" hidden="1">#REF!</definedName>
    <definedName name="__lbc11" localSheetId="24" hidden="1">#REF!</definedName>
    <definedName name="__lbc11" localSheetId="22" hidden="1">#REF!</definedName>
    <definedName name="__lbc11" localSheetId="20" hidden="1">#REF!</definedName>
    <definedName name="__lbc11" hidden="1">#REF!</definedName>
    <definedName name="__lbc12" localSheetId="19" hidden="1">#REF!</definedName>
    <definedName name="__lbc12" localSheetId="16" hidden="1">#REF!</definedName>
    <definedName name="__lbc12" localSheetId="7" hidden="1">#REF!</definedName>
    <definedName name="__lbc12" localSheetId="15" hidden="1">#REF!</definedName>
    <definedName name="__lbc12" localSheetId="14" hidden="1">#REF!</definedName>
    <definedName name="__lbc12" localSheetId="17" hidden="1">#REF!</definedName>
    <definedName name="__lbc12" localSheetId="18" hidden="1">#REF!</definedName>
    <definedName name="__lbc12" localSheetId="21" hidden="1">#REF!</definedName>
    <definedName name="__lbc12" localSheetId="24" hidden="1">#REF!</definedName>
    <definedName name="__lbc12" localSheetId="22" hidden="1">#REF!</definedName>
    <definedName name="__lbc12" localSheetId="20" hidden="1">#REF!</definedName>
    <definedName name="__lbc12" hidden="1">#REF!</definedName>
    <definedName name="__lbc13" localSheetId="19" hidden="1">#REF!</definedName>
    <definedName name="__lbc13" localSheetId="16" hidden="1">#REF!</definedName>
    <definedName name="__lbc13" localSheetId="7" hidden="1">#REF!</definedName>
    <definedName name="__lbc13" localSheetId="15" hidden="1">#REF!</definedName>
    <definedName name="__lbc13" localSheetId="14" hidden="1">#REF!</definedName>
    <definedName name="__lbc13" localSheetId="17" hidden="1">#REF!</definedName>
    <definedName name="__lbc13" localSheetId="18" hidden="1">#REF!</definedName>
    <definedName name="__lbc13" localSheetId="21" hidden="1">#REF!</definedName>
    <definedName name="__lbc13" localSheetId="24" hidden="1">#REF!</definedName>
    <definedName name="__lbc13" localSheetId="22" hidden="1">#REF!</definedName>
    <definedName name="__lbc13" localSheetId="20" hidden="1">#REF!</definedName>
    <definedName name="__lbc13" hidden="1">#REF!</definedName>
    <definedName name="__lbc14" localSheetId="19" hidden="1">#REF!</definedName>
    <definedName name="__lbc14" localSheetId="16" hidden="1">#REF!</definedName>
    <definedName name="__lbc14" localSheetId="7" hidden="1">#REF!</definedName>
    <definedName name="__lbc14" localSheetId="15" hidden="1">#REF!</definedName>
    <definedName name="__lbc14" localSheetId="14" hidden="1">#REF!</definedName>
    <definedName name="__lbc14" localSheetId="17" hidden="1">#REF!</definedName>
    <definedName name="__lbc14" localSheetId="18" hidden="1">#REF!</definedName>
    <definedName name="__lbc14" localSheetId="21" hidden="1">#REF!</definedName>
    <definedName name="__lbc14" localSheetId="24" hidden="1">#REF!</definedName>
    <definedName name="__lbc14" localSheetId="22" hidden="1">#REF!</definedName>
    <definedName name="__lbc14" localSheetId="20" hidden="1">#REF!</definedName>
    <definedName name="__lbc14" hidden="1">#REF!</definedName>
    <definedName name="__lbc15" localSheetId="19" hidden="1">#REF!</definedName>
    <definedName name="__lbc15" localSheetId="16" hidden="1">#REF!</definedName>
    <definedName name="__lbc15" localSheetId="7" hidden="1">#REF!</definedName>
    <definedName name="__lbc15" localSheetId="15" hidden="1">#REF!</definedName>
    <definedName name="__lbc15" localSheetId="14" hidden="1">#REF!</definedName>
    <definedName name="__lbc15" localSheetId="17" hidden="1">#REF!</definedName>
    <definedName name="__lbc15" localSheetId="18" hidden="1">#REF!</definedName>
    <definedName name="__lbc15" localSheetId="21" hidden="1">#REF!</definedName>
    <definedName name="__lbc15" localSheetId="24" hidden="1">#REF!</definedName>
    <definedName name="__lbc15" localSheetId="22" hidden="1">#REF!</definedName>
    <definedName name="__lbc15" localSheetId="20" hidden="1">#REF!</definedName>
    <definedName name="__lbc15" hidden="1">#REF!</definedName>
    <definedName name="__lbc16" localSheetId="19" hidden="1">#REF!</definedName>
    <definedName name="__lbc16" localSheetId="16" hidden="1">#REF!</definedName>
    <definedName name="__lbc16" localSheetId="7" hidden="1">#REF!</definedName>
    <definedName name="__lbc16" localSheetId="15" hidden="1">#REF!</definedName>
    <definedName name="__lbc16" localSheetId="14" hidden="1">#REF!</definedName>
    <definedName name="__lbc16" localSheetId="17" hidden="1">#REF!</definedName>
    <definedName name="__lbc16" localSheetId="18" hidden="1">#REF!</definedName>
    <definedName name="__lbc16" localSheetId="21" hidden="1">#REF!</definedName>
    <definedName name="__lbc16" localSheetId="24" hidden="1">#REF!</definedName>
    <definedName name="__lbc16" localSheetId="22" hidden="1">#REF!</definedName>
    <definedName name="__lbc16" localSheetId="20" hidden="1">#REF!</definedName>
    <definedName name="__lbc16" hidden="1">#REF!</definedName>
    <definedName name="__lbc17" localSheetId="19" hidden="1">#REF!</definedName>
    <definedName name="__lbc17" localSheetId="16" hidden="1">#REF!</definedName>
    <definedName name="__lbc17" localSheetId="7" hidden="1">#REF!</definedName>
    <definedName name="__lbc17" localSheetId="15" hidden="1">#REF!</definedName>
    <definedName name="__lbc17" localSheetId="14" hidden="1">#REF!</definedName>
    <definedName name="__lbc17" localSheetId="17" hidden="1">#REF!</definedName>
    <definedName name="__lbc17" localSheetId="18" hidden="1">#REF!</definedName>
    <definedName name="__lbc17" localSheetId="21" hidden="1">#REF!</definedName>
    <definedName name="__lbc17" localSheetId="24" hidden="1">#REF!</definedName>
    <definedName name="__lbc17" localSheetId="22" hidden="1">#REF!</definedName>
    <definedName name="__lbc17" localSheetId="20" hidden="1">#REF!</definedName>
    <definedName name="__lbc17" hidden="1">#REF!</definedName>
    <definedName name="__lbc18" localSheetId="19" hidden="1">#REF!</definedName>
    <definedName name="__lbc18" localSheetId="16" hidden="1">#REF!</definedName>
    <definedName name="__lbc18" localSheetId="7" hidden="1">#REF!</definedName>
    <definedName name="__lbc18" localSheetId="15" hidden="1">#REF!</definedName>
    <definedName name="__lbc18" localSheetId="14" hidden="1">#REF!</definedName>
    <definedName name="__lbc18" localSheetId="17" hidden="1">#REF!</definedName>
    <definedName name="__lbc18" localSheetId="18" hidden="1">#REF!</definedName>
    <definedName name="__lbc18" localSheetId="21" hidden="1">#REF!</definedName>
    <definedName name="__lbc18" localSheetId="24" hidden="1">#REF!</definedName>
    <definedName name="__lbc18" localSheetId="22" hidden="1">#REF!</definedName>
    <definedName name="__lbc18" localSheetId="20" hidden="1">#REF!</definedName>
    <definedName name="__lbc18" hidden="1">#REF!</definedName>
    <definedName name="__lbc19" localSheetId="19" hidden="1">#REF!</definedName>
    <definedName name="__lbc19" localSheetId="16" hidden="1">#REF!</definedName>
    <definedName name="__lbc19" localSheetId="7" hidden="1">#REF!</definedName>
    <definedName name="__lbc19" localSheetId="15" hidden="1">#REF!</definedName>
    <definedName name="__lbc19" localSheetId="14" hidden="1">#REF!</definedName>
    <definedName name="__lbc19" localSheetId="17" hidden="1">#REF!</definedName>
    <definedName name="__lbc19" localSheetId="18" hidden="1">#REF!</definedName>
    <definedName name="__lbc19" localSheetId="21" hidden="1">#REF!</definedName>
    <definedName name="__lbc19" localSheetId="24" hidden="1">#REF!</definedName>
    <definedName name="__lbc19" localSheetId="22" hidden="1">#REF!</definedName>
    <definedName name="__lbc19" localSheetId="20" hidden="1">#REF!</definedName>
    <definedName name="__lbc19" hidden="1">#REF!</definedName>
    <definedName name="__lbc2" localSheetId="19" hidden="1">#REF!</definedName>
    <definedName name="__lbc2" localSheetId="16" hidden="1">#REF!</definedName>
    <definedName name="__lbc2" localSheetId="7" hidden="1">#REF!</definedName>
    <definedName name="__lbc2" localSheetId="15" hidden="1">#REF!</definedName>
    <definedName name="__lbc2" localSheetId="14" hidden="1">#REF!</definedName>
    <definedName name="__lbc2" localSheetId="17" hidden="1">#REF!</definedName>
    <definedName name="__lbc2" localSheetId="18" hidden="1">#REF!</definedName>
    <definedName name="__lbc2" localSheetId="21" hidden="1">#REF!</definedName>
    <definedName name="__lbc2" localSheetId="24" hidden="1">#REF!</definedName>
    <definedName name="__lbc2" localSheetId="22" hidden="1">#REF!</definedName>
    <definedName name="__lbc2" localSheetId="20" hidden="1">#REF!</definedName>
    <definedName name="__lbc2" hidden="1">#REF!</definedName>
    <definedName name="__lbc20" localSheetId="19" hidden="1">#REF!</definedName>
    <definedName name="__lbc20" localSheetId="16" hidden="1">#REF!</definedName>
    <definedName name="__lbc20" localSheetId="7" hidden="1">#REF!</definedName>
    <definedName name="__lbc20" localSheetId="15" hidden="1">#REF!</definedName>
    <definedName name="__lbc20" localSheetId="14" hidden="1">#REF!</definedName>
    <definedName name="__lbc20" localSheetId="17" hidden="1">#REF!</definedName>
    <definedName name="__lbc20" localSheetId="18" hidden="1">#REF!</definedName>
    <definedName name="__lbc20" localSheetId="21" hidden="1">#REF!</definedName>
    <definedName name="__lbc20" localSheetId="24" hidden="1">#REF!</definedName>
    <definedName name="__lbc20" localSheetId="22" hidden="1">#REF!</definedName>
    <definedName name="__lbc20" localSheetId="20" hidden="1">#REF!</definedName>
    <definedName name="__lbc20" hidden="1">#REF!</definedName>
    <definedName name="__lbc21" localSheetId="19" hidden="1">#REF!</definedName>
    <definedName name="__lbc21" localSheetId="16" hidden="1">#REF!</definedName>
    <definedName name="__lbc21" localSheetId="7" hidden="1">#REF!</definedName>
    <definedName name="__lbc21" localSheetId="15" hidden="1">#REF!</definedName>
    <definedName name="__lbc21" localSheetId="14" hidden="1">#REF!</definedName>
    <definedName name="__lbc21" localSheetId="17" hidden="1">#REF!</definedName>
    <definedName name="__lbc21" localSheetId="18" hidden="1">#REF!</definedName>
    <definedName name="__lbc21" localSheetId="21" hidden="1">#REF!</definedName>
    <definedName name="__lbc21" localSheetId="24" hidden="1">#REF!</definedName>
    <definedName name="__lbc21" localSheetId="22" hidden="1">#REF!</definedName>
    <definedName name="__lbc21" localSheetId="20" hidden="1">#REF!</definedName>
    <definedName name="__lbc21" hidden="1">#REF!</definedName>
    <definedName name="__lbc22" localSheetId="19" hidden="1">#REF!</definedName>
    <definedName name="__lbc22" localSheetId="16" hidden="1">#REF!</definedName>
    <definedName name="__lbc22" localSheetId="7" hidden="1">#REF!</definedName>
    <definedName name="__lbc22" localSheetId="15" hidden="1">#REF!</definedName>
    <definedName name="__lbc22" localSheetId="14" hidden="1">#REF!</definedName>
    <definedName name="__lbc22" localSheetId="17" hidden="1">#REF!</definedName>
    <definedName name="__lbc22" localSheetId="18" hidden="1">#REF!</definedName>
    <definedName name="__lbc22" localSheetId="21" hidden="1">#REF!</definedName>
    <definedName name="__lbc22" localSheetId="24" hidden="1">#REF!</definedName>
    <definedName name="__lbc22" localSheetId="22" hidden="1">#REF!</definedName>
    <definedName name="__lbc22" localSheetId="20" hidden="1">#REF!</definedName>
    <definedName name="__lbc22" hidden="1">#REF!</definedName>
    <definedName name="__lbc23" localSheetId="19" hidden="1">#REF!</definedName>
    <definedName name="__lbc23" localSheetId="16" hidden="1">#REF!</definedName>
    <definedName name="__lbc23" localSheetId="7" hidden="1">#REF!</definedName>
    <definedName name="__lbc23" localSheetId="15" hidden="1">#REF!</definedName>
    <definedName name="__lbc23" localSheetId="14" hidden="1">#REF!</definedName>
    <definedName name="__lbc23" localSheetId="17" hidden="1">#REF!</definedName>
    <definedName name="__lbc23" localSheetId="18" hidden="1">#REF!</definedName>
    <definedName name="__lbc23" localSheetId="21" hidden="1">#REF!</definedName>
    <definedName name="__lbc23" localSheetId="24" hidden="1">#REF!</definedName>
    <definedName name="__lbc23" localSheetId="22" hidden="1">#REF!</definedName>
    <definedName name="__lbc23" localSheetId="20" hidden="1">#REF!</definedName>
    <definedName name="__lbc23" hidden="1">#REF!</definedName>
    <definedName name="__lbc24" localSheetId="19" hidden="1">#REF!</definedName>
    <definedName name="__lbc24" localSheetId="16" hidden="1">#REF!</definedName>
    <definedName name="__lbc24" localSheetId="7" hidden="1">#REF!</definedName>
    <definedName name="__lbc24" localSheetId="15" hidden="1">#REF!</definedName>
    <definedName name="__lbc24" localSheetId="14" hidden="1">#REF!</definedName>
    <definedName name="__lbc24" localSheetId="17" hidden="1">#REF!</definedName>
    <definedName name="__lbc24" localSheetId="18" hidden="1">#REF!</definedName>
    <definedName name="__lbc24" localSheetId="21" hidden="1">#REF!</definedName>
    <definedName name="__lbc24" localSheetId="24" hidden="1">#REF!</definedName>
    <definedName name="__lbc24" localSheetId="22" hidden="1">#REF!</definedName>
    <definedName name="__lbc24" localSheetId="20" hidden="1">#REF!</definedName>
    <definedName name="__lbc24" hidden="1">#REF!</definedName>
    <definedName name="__lbc25" localSheetId="19" hidden="1">#REF!</definedName>
    <definedName name="__lbc25" localSheetId="16" hidden="1">#REF!</definedName>
    <definedName name="__lbc25" localSheetId="7" hidden="1">#REF!</definedName>
    <definedName name="__lbc25" localSheetId="15" hidden="1">#REF!</definedName>
    <definedName name="__lbc25" localSheetId="14" hidden="1">#REF!</definedName>
    <definedName name="__lbc25" localSheetId="17" hidden="1">#REF!</definedName>
    <definedName name="__lbc25" localSheetId="18" hidden="1">#REF!</definedName>
    <definedName name="__lbc25" localSheetId="21" hidden="1">#REF!</definedName>
    <definedName name="__lbc25" localSheetId="24" hidden="1">#REF!</definedName>
    <definedName name="__lbc25" localSheetId="22" hidden="1">#REF!</definedName>
    <definedName name="__lbc25" localSheetId="20" hidden="1">#REF!</definedName>
    <definedName name="__lbc25" hidden="1">#REF!</definedName>
    <definedName name="__lbc26" localSheetId="19" hidden="1">#REF!</definedName>
    <definedName name="__lbc26" localSheetId="16" hidden="1">#REF!</definedName>
    <definedName name="__lbc26" localSheetId="7" hidden="1">#REF!</definedName>
    <definedName name="__lbc26" localSheetId="15" hidden="1">#REF!</definedName>
    <definedName name="__lbc26" localSheetId="14" hidden="1">#REF!</definedName>
    <definedName name="__lbc26" localSheetId="17" hidden="1">#REF!</definedName>
    <definedName name="__lbc26" localSheetId="18" hidden="1">#REF!</definedName>
    <definedName name="__lbc26" localSheetId="21" hidden="1">#REF!</definedName>
    <definedName name="__lbc26" localSheetId="24" hidden="1">#REF!</definedName>
    <definedName name="__lbc26" localSheetId="22" hidden="1">#REF!</definedName>
    <definedName name="__lbc26" localSheetId="20" hidden="1">#REF!</definedName>
    <definedName name="__lbc26" hidden="1">#REF!</definedName>
    <definedName name="__lbc27" localSheetId="19" hidden="1">#REF!</definedName>
    <definedName name="__lbc27" localSheetId="16" hidden="1">#REF!</definedName>
    <definedName name="__lbc27" localSheetId="7" hidden="1">#REF!</definedName>
    <definedName name="__lbc27" localSheetId="15" hidden="1">#REF!</definedName>
    <definedName name="__lbc27" localSheetId="14" hidden="1">#REF!</definedName>
    <definedName name="__lbc27" localSheetId="17" hidden="1">#REF!</definedName>
    <definedName name="__lbc27" localSheetId="18" hidden="1">#REF!</definedName>
    <definedName name="__lbc27" localSheetId="21" hidden="1">#REF!</definedName>
    <definedName name="__lbc27" localSheetId="24" hidden="1">#REF!</definedName>
    <definedName name="__lbc27" localSheetId="22" hidden="1">#REF!</definedName>
    <definedName name="__lbc27" localSheetId="20" hidden="1">#REF!</definedName>
    <definedName name="__lbc27" hidden="1">#REF!</definedName>
    <definedName name="__lbc28" localSheetId="19" hidden="1">#REF!</definedName>
    <definedName name="__lbc28" localSheetId="16" hidden="1">#REF!</definedName>
    <definedName name="__lbc28" localSheetId="7" hidden="1">#REF!</definedName>
    <definedName name="__lbc28" localSheetId="15" hidden="1">#REF!</definedName>
    <definedName name="__lbc28" localSheetId="14" hidden="1">#REF!</definedName>
    <definedName name="__lbc28" localSheetId="17" hidden="1">#REF!</definedName>
    <definedName name="__lbc28" localSheetId="18" hidden="1">#REF!</definedName>
    <definedName name="__lbc28" localSheetId="21" hidden="1">#REF!</definedName>
    <definedName name="__lbc28" localSheetId="24" hidden="1">#REF!</definedName>
    <definedName name="__lbc28" localSheetId="22" hidden="1">#REF!</definedName>
    <definedName name="__lbc28" localSheetId="20" hidden="1">#REF!</definedName>
    <definedName name="__lbc28" hidden="1">#REF!</definedName>
    <definedName name="__lbc29" localSheetId="19" hidden="1">#REF!</definedName>
    <definedName name="__lbc29" localSheetId="16" hidden="1">#REF!</definedName>
    <definedName name="__lbc29" localSheetId="7" hidden="1">#REF!</definedName>
    <definedName name="__lbc29" localSheetId="15" hidden="1">#REF!</definedName>
    <definedName name="__lbc29" localSheetId="14" hidden="1">#REF!</definedName>
    <definedName name="__lbc29" localSheetId="17" hidden="1">#REF!</definedName>
    <definedName name="__lbc29" localSheetId="18" hidden="1">#REF!</definedName>
    <definedName name="__lbc29" localSheetId="21" hidden="1">#REF!</definedName>
    <definedName name="__lbc29" localSheetId="24" hidden="1">#REF!</definedName>
    <definedName name="__lbc29" localSheetId="22" hidden="1">#REF!</definedName>
    <definedName name="__lbc29" localSheetId="20" hidden="1">#REF!</definedName>
    <definedName name="__lbc29" hidden="1">#REF!</definedName>
    <definedName name="__lbc3" localSheetId="19" hidden="1">#REF!</definedName>
    <definedName name="__lbc3" localSheetId="16" hidden="1">#REF!</definedName>
    <definedName name="__lbc3" localSheetId="7" hidden="1">#REF!</definedName>
    <definedName name="__lbc3" localSheetId="15" hidden="1">#REF!</definedName>
    <definedName name="__lbc3" localSheetId="14" hidden="1">#REF!</definedName>
    <definedName name="__lbc3" localSheetId="17" hidden="1">#REF!</definedName>
    <definedName name="__lbc3" localSheetId="18" hidden="1">#REF!</definedName>
    <definedName name="__lbc3" localSheetId="21" hidden="1">#REF!</definedName>
    <definedName name="__lbc3" localSheetId="24" hidden="1">#REF!</definedName>
    <definedName name="__lbc3" localSheetId="22" hidden="1">#REF!</definedName>
    <definedName name="__lbc3" localSheetId="20" hidden="1">#REF!</definedName>
    <definedName name="__lbc3" hidden="1">#REF!</definedName>
    <definedName name="__lbc31" localSheetId="19" hidden="1">#REF!</definedName>
    <definedName name="__lbc31" localSheetId="16" hidden="1">#REF!</definedName>
    <definedName name="__lbc31" localSheetId="7" hidden="1">#REF!</definedName>
    <definedName name="__lbc31" localSheetId="15" hidden="1">#REF!</definedName>
    <definedName name="__lbc31" localSheetId="14" hidden="1">#REF!</definedName>
    <definedName name="__lbc31" localSheetId="17" hidden="1">#REF!</definedName>
    <definedName name="__lbc31" localSheetId="18" hidden="1">#REF!</definedName>
    <definedName name="__lbc31" localSheetId="21" hidden="1">#REF!</definedName>
    <definedName name="__lbc31" localSheetId="24" hidden="1">#REF!</definedName>
    <definedName name="__lbc31" localSheetId="22" hidden="1">#REF!</definedName>
    <definedName name="__lbc31" localSheetId="20" hidden="1">#REF!</definedName>
    <definedName name="__lbc31" hidden="1">#REF!</definedName>
    <definedName name="__lbc32" localSheetId="19" hidden="1">#REF!</definedName>
    <definedName name="__lbc32" localSheetId="16" hidden="1">#REF!</definedName>
    <definedName name="__lbc32" localSheetId="7" hidden="1">#REF!</definedName>
    <definedName name="__lbc32" localSheetId="15" hidden="1">#REF!</definedName>
    <definedName name="__lbc32" localSheetId="14" hidden="1">#REF!</definedName>
    <definedName name="__lbc32" localSheetId="17" hidden="1">#REF!</definedName>
    <definedName name="__lbc32" localSheetId="18" hidden="1">#REF!</definedName>
    <definedName name="__lbc32" localSheetId="21" hidden="1">#REF!</definedName>
    <definedName name="__lbc32" localSheetId="24" hidden="1">#REF!</definedName>
    <definedName name="__lbc32" localSheetId="22" hidden="1">#REF!</definedName>
    <definedName name="__lbc32" localSheetId="20" hidden="1">#REF!</definedName>
    <definedName name="__lbc32" hidden="1">#REF!</definedName>
    <definedName name="__lbc4" localSheetId="19" hidden="1">#REF!</definedName>
    <definedName name="__lbc4" localSheetId="16" hidden="1">#REF!</definedName>
    <definedName name="__lbc4" localSheetId="7" hidden="1">#REF!</definedName>
    <definedName name="__lbc4" localSheetId="15" hidden="1">#REF!</definedName>
    <definedName name="__lbc4" localSheetId="14" hidden="1">#REF!</definedName>
    <definedName name="__lbc4" localSheetId="17" hidden="1">#REF!</definedName>
    <definedName name="__lbc4" localSheetId="18" hidden="1">#REF!</definedName>
    <definedName name="__lbc4" localSheetId="21" hidden="1">#REF!</definedName>
    <definedName name="__lbc4" localSheetId="24" hidden="1">#REF!</definedName>
    <definedName name="__lbc4" localSheetId="22" hidden="1">#REF!</definedName>
    <definedName name="__lbc4" localSheetId="20" hidden="1">#REF!</definedName>
    <definedName name="__lbc4" hidden="1">#REF!</definedName>
    <definedName name="__lbc5" localSheetId="19" hidden="1">#REF!</definedName>
    <definedName name="__lbc5" localSheetId="16" hidden="1">#REF!</definedName>
    <definedName name="__lbc5" localSheetId="7" hidden="1">#REF!</definedName>
    <definedName name="__lbc5" localSheetId="15" hidden="1">#REF!</definedName>
    <definedName name="__lbc5" localSheetId="14" hidden="1">#REF!</definedName>
    <definedName name="__lbc5" localSheetId="17" hidden="1">#REF!</definedName>
    <definedName name="__lbc5" localSheetId="18" hidden="1">#REF!</definedName>
    <definedName name="__lbc5" localSheetId="21" hidden="1">#REF!</definedName>
    <definedName name="__lbc5" localSheetId="24" hidden="1">#REF!</definedName>
    <definedName name="__lbc5" localSheetId="22" hidden="1">#REF!</definedName>
    <definedName name="__lbc5" localSheetId="20" hidden="1">#REF!</definedName>
    <definedName name="__lbc5" hidden="1">#REF!</definedName>
    <definedName name="__lbc6" localSheetId="19" hidden="1">#REF!</definedName>
    <definedName name="__lbc6" localSheetId="16" hidden="1">#REF!</definedName>
    <definedName name="__lbc6" localSheetId="7" hidden="1">#REF!</definedName>
    <definedName name="__lbc6" localSheetId="15" hidden="1">#REF!</definedName>
    <definedName name="__lbc6" localSheetId="14" hidden="1">#REF!</definedName>
    <definedName name="__lbc6" localSheetId="17" hidden="1">#REF!</definedName>
    <definedName name="__lbc6" localSheetId="18" hidden="1">#REF!</definedName>
    <definedName name="__lbc6" localSheetId="21" hidden="1">#REF!</definedName>
    <definedName name="__lbc6" localSheetId="24" hidden="1">#REF!</definedName>
    <definedName name="__lbc6" localSheetId="22" hidden="1">#REF!</definedName>
    <definedName name="__lbc6" localSheetId="20" hidden="1">#REF!</definedName>
    <definedName name="__lbc6" hidden="1">#REF!</definedName>
    <definedName name="__lbc7" localSheetId="19" hidden="1">#REF!</definedName>
    <definedName name="__lbc7" localSheetId="16" hidden="1">#REF!</definedName>
    <definedName name="__lbc7" localSheetId="7" hidden="1">#REF!</definedName>
    <definedName name="__lbc7" localSheetId="15" hidden="1">#REF!</definedName>
    <definedName name="__lbc7" localSheetId="14" hidden="1">#REF!</definedName>
    <definedName name="__lbc7" localSheetId="17" hidden="1">#REF!</definedName>
    <definedName name="__lbc7" localSheetId="18" hidden="1">#REF!</definedName>
    <definedName name="__lbc7" localSheetId="21" hidden="1">#REF!</definedName>
    <definedName name="__lbc7" localSheetId="24" hidden="1">#REF!</definedName>
    <definedName name="__lbc7" localSheetId="22" hidden="1">#REF!</definedName>
    <definedName name="__lbc7" localSheetId="20" hidden="1">#REF!</definedName>
    <definedName name="__lbc7" hidden="1">#REF!</definedName>
    <definedName name="__lbc8" localSheetId="19" hidden="1">#REF!</definedName>
    <definedName name="__lbc8" localSheetId="16" hidden="1">#REF!</definedName>
    <definedName name="__lbc8" localSheetId="7" hidden="1">#REF!</definedName>
    <definedName name="__lbc8" localSheetId="15" hidden="1">#REF!</definedName>
    <definedName name="__lbc8" localSheetId="14" hidden="1">#REF!</definedName>
    <definedName name="__lbc8" localSheetId="17" hidden="1">#REF!</definedName>
    <definedName name="__lbc8" localSheetId="18" hidden="1">#REF!</definedName>
    <definedName name="__lbc8" localSheetId="21" hidden="1">#REF!</definedName>
    <definedName name="__lbc8" localSheetId="24" hidden="1">#REF!</definedName>
    <definedName name="__lbc8" localSheetId="22" hidden="1">#REF!</definedName>
    <definedName name="__lbc8" localSheetId="20" hidden="1">#REF!</definedName>
    <definedName name="__lbc8" hidden="1">#REF!</definedName>
    <definedName name="__lbc9" localSheetId="19" hidden="1">#REF!</definedName>
    <definedName name="__lbc9" localSheetId="16" hidden="1">#REF!</definedName>
    <definedName name="__lbc9" localSheetId="7" hidden="1">#REF!</definedName>
    <definedName name="__lbc9" localSheetId="15" hidden="1">#REF!</definedName>
    <definedName name="__lbc9" localSheetId="14" hidden="1">#REF!</definedName>
    <definedName name="__lbc9" localSheetId="17" hidden="1">#REF!</definedName>
    <definedName name="__lbc9" localSheetId="18" hidden="1">#REF!</definedName>
    <definedName name="__lbc9" localSheetId="21" hidden="1">#REF!</definedName>
    <definedName name="__lbc9" localSheetId="24" hidden="1">#REF!</definedName>
    <definedName name="__lbc9" localSheetId="22" hidden="1">#REF!</definedName>
    <definedName name="__lbc9" localSheetId="20" hidden="1">#REF!</definedName>
    <definedName name="__lbc9" hidden="1">#REF!</definedName>
    <definedName name="__ld26" localSheetId="19" hidden="1">#REF!</definedName>
    <definedName name="__ld26" localSheetId="16" hidden="1">#REF!</definedName>
    <definedName name="__ld26" localSheetId="7" hidden="1">#REF!</definedName>
    <definedName name="__ld26" localSheetId="15" hidden="1">#REF!</definedName>
    <definedName name="__ld26" localSheetId="14" hidden="1">#REF!</definedName>
    <definedName name="__ld26" localSheetId="17" hidden="1">#REF!</definedName>
    <definedName name="__ld26" localSheetId="18" hidden="1">#REF!</definedName>
    <definedName name="__ld26" localSheetId="21" hidden="1">#REF!</definedName>
    <definedName name="__ld26" localSheetId="24" hidden="1">#REF!</definedName>
    <definedName name="__ld26" localSheetId="22" hidden="1">#REF!</definedName>
    <definedName name="__ld26" localSheetId="20" hidden="1">#REF!</definedName>
    <definedName name="__ld26" hidden="1">#REF!</definedName>
    <definedName name="__ld31" localSheetId="19" hidden="1">#REF!</definedName>
    <definedName name="__ld31" localSheetId="16" hidden="1">#REF!</definedName>
    <definedName name="__ld31" localSheetId="7" hidden="1">#REF!</definedName>
    <definedName name="__ld31" localSheetId="15" hidden="1">#REF!</definedName>
    <definedName name="__ld31" localSheetId="14" hidden="1">#REF!</definedName>
    <definedName name="__ld31" localSheetId="17" hidden="1">#REF!</definedName>
    <definedName name="__ld31" localSheetId="18" hidden="1">#REF!</definedName>
    <definedName name="__ld31" localSheetId="21" hidden="1">#REF!</definedName>
    <definedName name="__ld31" localSheetId="24" hidden="1">#REF!</definedName>
    <definedName name="__ld31" localSheetId="22" hidden="1">#REF!</definedName>
    <definedName name="__ld31" localSheetId="20" hidden="1">#REF!</definedName>
    <definedName name="__ld31" hidden="1">#REF!</definedName>
    <definedName name="__le31" localSheetId="19" hidden="1">#REF!</definedName>
    <definedName name="__le31" localSheetId="16" hidden="1">#REF!</definedName>
    <definedName name="__le31" localSheetId="7" hidden="1">#REF!</definedName>
    <definedName name="__le31" localSheetId="15" hidden="1">#REF!</definedName>
    <definedName name="__le31" localSheetId="14" hidden="1">#REF!</definedName>
    <definedName name="__le31" localSheetId="17" hidden="1">#REF!</definedName>
    <definedName name="__le31" localSheetId="18" hidden="1">#REF!</definedName>
    <definedName name="__le31" localSheetId="21" hidden="1">#REF!</definedName>
    <definedName name="__le31" localSheetId="24" hidden="1">#REF!</definedName>
    <definedName name="__le31" localSheetId="22" hidden="1">#REF!</definedName>
    <definedName name="__le31" localSheetId="20" hidden="1">#REF!</definedName>
    <definedName name="__le31" hidden="1">#REF!</definedName>
    <definedName name="__lf31" localSheetId="19" hidden="1">#REF!</definedName>
    <definedName name="__lf31" localSheetId="16" hidden="1">#REF!</definedName>
    <definedName name="__lf31" localSheetId="7" hidden="1">#REF!</definedName>
    <definedName name="__lf31" localSheetId="15" hidden="1">#REF!</definedName>
    <definedName name="__lf31" localSheetId="14" hidden="1">#REF!</definedName>
    <definedName name="__lf31" localSheetId="17" hidden="1">#REF!</definedName>
    <definedName name="__lf31" localSheetId="18" hidden="1">#REF!</definedName>
    <definedName name="__lf31" localSheetId="21" hidden="1">#REF!</definedName>
    <definedName name="__lf31" localSheetId="24" hidden="1">#REF!</definedName>
    <definedName name="__lf31" localSheetId="22" hidden="1">#REF!</definedName>
    <definedName name="__lf31" localSheetId="20" hidden="1">#REF!</definedName>
    <definedName name="__lf31" hidden="1">#REF!</definedName>
    <definedName name="__out2008" hidden="1">{#N/A,#N/A,TRUE,"Serviços"}</definedName>
    <definedName name="__OUT98" hidden="1">{#N/A,#N/A,TRUE,"Serviços"}</definedName>
    <definedName name="__OUT988888" hidden="1">{#N/A,#N/A,TRUE,"Serviços"}</definedName>
    <definedName name="__sjp4" localSheetId="19">#REF!</definedName>
    <definedName name="__sjp4" localSheetId="16">#REF!</definedName>
    <definedName name="__sjp4" localSheetId="7">#REF!</definedName>
    <definedName name="__sjp4" localSheetId="15">#REF!</definedName>
    <definedName name="__sjp4" localSheetId="14">#REF!</definedName>
    <definedName name="__sjp4" localSheetId="17">#REF!</definedName>
    <definedName name="__sjp4" localSheetId="18">#REF!</definedName>
    <definedName name="__sjp4" localSheetId="21">#REF!</definedName>
    <definedName name="__sjp4" localSheetId="24">#REF!</definedName>
    <definedName name="__sjp4" localSheetId="22">#REF!</definedName>
    <definedName name="__sjp4" localSheetId="20">#REF!</definedName>
    <definedName name="__sjp4">#REF!</definedName>
    <definedName name="__TT1" localSheetId="19">#REF!</definedName>
    <definedName name="__TT1" localSheetId="16">#REF!</definedName>
    <definedName name="__TT1" localSheetId="7">#REF!</definedName>
    <definedName name="__TT1" localSheetId="15">#REF!</definedName>
    <definedName name="__TT1" localSheetId="14">#REF!</definedName>
    <definedName name="__TT1" localSheetId="17">#REF!</definedName>
    <definedName name="__TT1" localSheetId="18">#REF!</definedName>
    <definedName name="__TT1" localSheetId="21">#REF!</definedName>
    <definedName name="__TT1" localSheetId="24">#REF!</definedName>
    <definedName name="__TT1" localSheetId="22">#REF!</definedName>
    <definedName name="__TT1" localSheetId="20">#REF!</definedName>
    <definedName name="__TT1">#REF!</definedName>
    <definedName name="__TT2" localSheetId="19">#REF!</definedName>
    <definedName name="__TT2" localSheetId="16">#REF!</definedName>
    <definedName name="__TT2" localSheetId="7">#REF!</definedName>
    <definedName name="__TT2" localSheetId="15">#REF!</definedName>
    <definedName name="__TT2" localSheetId="14">#REF!</definedName>
    <definedName name="__TT2" localSheetId="17">#REF!</definedName>
    <definedName name="__TT2" localSheetId="18">#REF!</definedName>
    <definedName name="__TT2" localSheetId="21">#REF!</definedName>
    <definedName name="__TT2" localSheetId="24">#REF!</definedName>
    <definedName name="__TT2" localSheetId="22">#REF!</definedName>
    <definedName name="__TT2" localSheetId="20">#REF!</definedName>
    <definedName name="__TT2">#REF!</definedName>
    <definedName name="__TT4" localSheetId="19">#REF!</definedName>
    <definedName name="__TT4" localSheetId="16">#REF!</definedName>
    <definedName name="__TT4" localSheetId="7">#REF!</definedName>
    <definedName name="__TT4" localSheetId="15">#REF!</definedName>
    <definedName name="__TT4" localSheetId="14">#REF!</definedName>
    <definedName name="__TT4" localSheetId="17">#REF!</definedName>
    <definedName name="__TT4" localSheetId="18">#REF!</definedName>
    <definedName name="__TT4" localSheetId="21">#REF!</definedName>
    <definedName name="__TT4" localSheetId="24">#REF!</definedName>
    <definedName name="__TT4" localSheetId="22">#REF!</definedName>
    <definedName name="__TT4" localSheetId="20">#REF!</definedName>
    <definedName name="__TT4">#REF!</definedName>
    <definedName name="__TT5" localSheetId="19">#REF!</definedName>
    <definedName name="__TT5" localSheetId="16">#REF!</definedName>
    <definedName name="__TT5" localSheetId="7">#REF!</definedName>
    <definedName name="__TT5" localSheetId="15">#REF!</definedName>
    <definedName name="__TT5" localSheetId="14">#REF!</definedName>
    <definedName name="__TT5" localSheetId="17">#REF!</definedName>
    <definedName name="__TT5" localSheetId="18">#REF!</definedName>
    <definedName name="__TT5" localSheetId="21">#REF!</definedName>
    <definedName name="__TT5" localSheetId="24">#REF!</definedName>
    <definedName name="__TT5" localSheetId="22">#REF!</definedName>
    <definedName name="__TT5" localSheetId="20">#REF!</definedName>
    <definedName name="__TT5">#REF!</definedName>
    <definedName name="__x10" localSheetId="19" hidden="1">#REF!</definedName>
    <definedName name="__x10" localSheetId="16" hidden="1">#REF!</definedName>
    <definedName name="__x10" localSheetId="7" hidden="1">#REF!</definedName>
    <definedName name="__x10" localSheetId="15" hidden="1">#REF!</definedName>
    <definedName name="__x10" localSheetId="14" hidden="1">#REF!</definedName>
    <definedName name="__x10" localSheetId="17" hidden="1">#REF!</definedName>
    <definedName name="__x10" localSheetId="18" hidden="1">#REF!</definedName>
    <definedName name="__x10" localSheetId="21" hidden="1">#REF!</definedName>
    <definedName name="__x10" localSheetId="24" hidden="1">#REF!</definedName>
    <definedName name="__x10" localSheetId="22" hidden="1">#REF!</definedName>
    <definedName name="__x10" localSheetId="20" hidden="1">#REF!</definedName>
    <definedName name="__x10" hidden="1">#REF!</definedName>
    <definedName name="__x11" localSheetId="19" hidden="1">#REF!</definedName>
    <definedName name="__x11" localSheetId="16" hidden="1">#REF!</definedName>
    <definedName name="__x11" localSheetId="7" hidden="1">#REF!</definedName>
    <definedName name="__x11" localSheetId="15" hidden="1">#REF!</definedName>
    <definedName name="__x11" localSheetId="14" hidden="1">#REF!</definedName>
    <definedName name="__x11" localSheetId="17" hidden="1">#REF!</definedName>
    <definedName name="__x11" localSheetId="18" hidden="1">#REF!</definedName>
    <definedName name="__x11" localSheetId="21" hidden="1">#REF!</definedName>
    <definedName name="__x11" localSheetId="24" hidden="1">#REF!</definedName>
    <definedName name="__x11" localSheetId="22" hidden="1">#REF!</definedName>
    <definedName name="__x11" localSheetId="20" hidden="1">#REF!</definedName>
    <definedName name="__x11" hidden="1">#REF!</definedName>
    <definedName name="__x12" localSheetId="19" hidden="1">#REF!</definedName>
    <definedName name="__x12" localSheetId="16" hidden="1">#REF!</definedName>
    <definedName name="__x12" localSheetId="7" hidden="1">#REF!</definedName>
    <definedName name="__x12" localSheetId="15" hidden="1">#REF!</definedName>
    <definedName name="__x12" localSheetId="14" hidden="1">#REF!</definedName>
    <definedName name="__x12" localSheetId="17" hidden="1">#REF!</definedName>
    <definedName name="__x12" localSheetId="18" hidden="1">#REF!</definedName>
    <definedName name="__x12" localSheetId="21" hidden="1">#REF!</definedName>
    <definedName name="__x12" localSheetId="24" hidden="1">#REF!</definedName>
    <definedName name="__x12" localSheetId="22" hidden="1">#REF!</definedName>
    <definedName name="__x12" localSheetId="20" hidden="1">#REF!</definedName>
    <definedName name="__x12" hidden="1">#REF!</definedName>
    <definedName name="__x13" localSheetId="19" hidden="1">#REF!</definedName>
    <definedName name="__x13" localSheetId="16" hidden="1">#REF!</definedName>
    <definedName name="__x13" localSheetId="7" hidden="1">#REF!</definedName>
    <definedName name="__x13" localSheetId="15" hidden="1">#REF!</definedName>
    <definedName name="__x13" localSheetId="14" hidden="1">#REF!</definedName>
    <definedName name="__x13" localSheetId="17" hidden="1">#REF!</definedName>
    <definedName name="__x13" localSheetId="18" hidden="1">#REF!</definedName>
    <definedName name="__x13" localSheetId="21" hidden="1">#REF!</definedName>
    <definedName name="__x13" localSheetId="24" hidden="1">#REF!</definedName>
    <definedName name="__x13" localSheetId="22" hidden="1">#REF!</definedName>
    <definedName name="__x13" localSheetId="20" hidden="1">#REF!</definedName>
    <definedName name="__x13" hidden="1">#REF!</definedName>
    <definedName name="__x14" localSheetId="19" hidden="1">#REF!</definedName>
    <definedName name="__x14" localSheetId="16" hidden="1">#REF!</definedName>
    <definedName name="__x14" localSheetId="7" hidden="1">#REF!</definedName>
    <definedName name="__x14" localSheetId="15" hidden="1">#REF!</definedName>
    <definedName name="__x14" localSheetId="14" hidden="1">#REF!</definedName>
    <definedName name="__x14" localSheetId="17" hidden="1">#REF!</definedName>
    <definedName name="__x14" localSheetId="18" hidden="1">#REF!</definedName>
    <definedName name="__x14" localSheetId="21" hidden="1">#REF!</definedName>
    <definedName name="__x14" localSheetId="24" hidden="1">#REF!</definedName>
    <definedName name="__x14" localSheetId="22" hidden="1">#REF!</definedName>
    <definedName name="__x14" localSheetId="20" hidden="1">#REF!</definedName>
    <definedName name="__x14" hidden="1">#REF!</definedName>
    <definedName name="__x15" localSheetId="19" hidden="1">#REF!</definedName>
    <definedName name="__x15" localSheetId="16" hidden="1">#REF!</definedName>
    <definedName name="__x15" localSheetId="7" hidden="1">#REF!</definedName>
    <definedName name="__x15" localSheetId="15" hidden="1">#REF!</definedName>
    <definedName name="__x15" localSheetId="14" hidden="1">#REF!</definedName>
    <definedName name="__x15" localSheetId="17" hidden="1">#REF!</definedName>
    <definedName name="__x15" localSheetId="18" hidden="1">#REF!</definedName>
    <definedName name="__x15" localSheetId="21" hidden="1">#REF!</definedName>
    <definedName name="__x15" localSheetId="24" hidden="1">#REF!</definedName>
    <definedName name="__x15" localSheetId="22" hidden="1">#REF!</definedName>
    <definedName name="__x15" localSheetId="20" hidden="1">#REF!</definedName>
    <definedName name="__x15" hidden="1">#REF!</definedName>
    <definedName name="__x16" localSheetId="19" hidden="1">#REF!</definedName>
    <definedName name="__x16" localSheetId="16" hidden="1">#REF!</definedName>
    <definedName name="__x16" localSheetId="7" hidden="1">#REF!</definedName>
    <definedName name="__x16" localSheetId="15" hidden="1">#REF!</definedName>
    <definedName name="__x16" localSheetId="14" hidden="1">#REF!</definedName>
    <definedName name="__x16" localSheetId="17" hidden="1">#REF!</definedName>
    <definedName name="__x16" localSheetId="18" hidden="1">#REF!</definedName>
    <definedName name="__x16" localSheetId="21" hidden="1">#REF!</definedName>
    <definedName name="__x16" localSheetId="24" hidden="1">#REF!</definedName>
    <definedName name="__x16" localSheetId="22" hidden="1">#REF!</definedName>
    <definedName name="__x16" localSheetId="20" hidden="1">#REF!</definedName>
    <definedName name="__x16" hidden="1">#REF!</definedName>
    <definedName name="__x17" localSheetId="19" hidden="1">#REF!</definedName>
    <definedName name="__x17" localSheetId="16" hidden="1">#REF!</definedName>
    <definedName name="__x17" localSheetId="7" hidden="1">#REF!</definedName>
    <definedName name="__x17" localSheetId="15" hidden="1">#REF!</definedName>
    <definedName name="__x17" localSheetId="14" hidden="1">#REF!</definedName>
    <definedName name="__x17" localSheetId="17" hidden="1">#REF!</definedName>
    <definedName name="__x17" localSheetId="18" hidden="1">#REF!</definedName>
    <definedName name="__x17" localSheetId="21" hidden="1">#REF!</definedName>
    <definedName name="__x17" localSheetId="24" hidden="1">#REF!</definedName>
    <definedName name="__x17" localSheetId="22" hidden="1">#REF!</definedName>
    <definedName name="__x17" localSheetId="20" hidden="1">#REF!</definedName>
    <definedName name="__x17" hidden="1">#REF!</definedName>
    <definedName name="__x18" localSheetId="19" hidden="1">#REF!</definedName>
    <definedName name="__x18" localSheetId="16" hidden="1">#REF!</definedName>
    <definedName name="__x18" localSheetId="7" hidden="1">#REF!</definedName>
    <definedName name="__x18" localSheetId="15" hidden="1">#REF!</definedName>
    <definedName name="__x18" localSheetId="14" hidden="1">#REF!</definedName>
    <definedName name="__x18" localSheetId="17" hidden="1">#REF!</definedName>
    <definedName name="__x18" localSheetId="18" hidden="1">#REF!</definedName>
    <definedName name="__x18" localSheetId="21" hidden="1">#REF!</definedName>
    <definedName name="__x18" localSheetId="24" hidden="1">#REF!</definedName>
    <definedName name="__x18" localSheetId="22" hidden="1">#REF!</definedName>
    <definedName name="__x18" localSheetId="20" hidden="1">#REF!</definedName>
    <definedName name="__x18" hidden="1">#REF!</definedName>
    <definedName name="__x19" localSheetId="19" hidden="1">#REF!</definedName>
    <definedName name="__x19" localSheetId="16" hidden="1">#REF!</definedName>
    <definedName name="__x19" localSheetId="7" hidden="1">#REF!</definedName>
    <definedName name="__x19" localSheetId="15" hidden="1">#REF!</definedName>
    <definedName name="__x19" localSheetId="14" hidden="1">#REF!</definedName>
    <definedName name="__x19" localSheetId="17" hidden="1">#REF!</definedName>
    <definedName name="__x19" localSheetId="18" hidden="1">#REF!</definedName>
    <definedName name="__x19" localSheetId="21" hidden="1">#REF!</definedName>
    <definedName name="__x19" localSheetId="24" hidden="1">#REF!</definedName>
    <definedName name="__x19" localSheetId="22" hidden="1">#REF!</definedName>
    <definedName name="__x19" localSheetId="20" hidden="1">#REF!</definedName>
    <definedName name="__x19" hidden="1">#REF!</definedName>
    <definedName name="__x20" localSheetId="19" hidden="1">#REF!</definedName>
    <definedName name="__x20" localSheetId="16" hidden="1">#REF!</definedName>
    <definedName name="__x20" localSheetId="7" hidden="1">#REF!</definedName>
    <definedName name="__x20" localSheetId="15" hidden="1">#REF!</definedName>
    <definedName name="__x20" localSheetId="14" hidden="1">#REF!</definedName>
    <definedName name="__x20" localSheetId="17" hidden="1">#REF!</definedName>
    <definedName name="__x20" localSheetId="18" hidden="1">#REF!</definedName>
    <definedName name="__x20" localSheetId="21" hidden="1">#REF!</definedName>
    <definedName name="__x20" localSheetId="24" hidden="1">#REF!</definedName>
    <definedName name="__x20" localSheetId="22" hidden="1">#REF!</definedName>
    <definedName name="__x20" localSheetId="20" hidden="1">#REF!</definedName>
    <definedName name="__x20" hidden="1">#REF!</definedName>
    <definedName name="__x21" localSheetId="19" hidden="1">#REF!</definedName>
    <definedName name="__x21" localSheetId="16" hidden="1">#REF!</definedName>
    <definedName name="__x21" localSheetId="7" hidden="1">#REF!</definedName>
    <definedName name="__x21" localSheetId="15" hidden="1">#REF!</definedName>
    <definedName name="__x21" localSheetId="14" hidden="1">#REF!</definedName>
    <definedName name="__x21" localSheetId="17" hidden="1">#REF!</definedName>
    <definedName name="__x21" localSheetId="18" hidden="1">#REF!</definedName>
    <definedName name="__x21" localSheetId="21" hidden="1">#REF!</definedName>
    <definedName name="__x21" localSheetId="24" hidden="1">#REF!</definedName>
    <definedName name="__x21" localSheetId="22" hidden="1">#REF!</definedName>
    <definedName name="__x21" localSheetId="20" hidden="1">#REF!</definedName>
    <definedName name="__x21" hidden="1">#REF!</definedName>
    <definedName name="__x22" localSheetId="19" hidden="1">#REF!</definedName>
    <definedName name="__x22" localSheetId="16" hidden="1">#REF!</definedName>
    <definedName name="__x22" localSheetId="7" hidden="1">#REF!</definedName>
    <definedName name="__x22" localSheetId="15" hidden="1">#REF!</definedName>
    <definedName name="__x22" localSheetId="14" hidden="1">#REF!</definedName>
    <definedName name="__x22" localSheetId="17" hidden="1">#REF!</definedName>
    <definedName name="__x22" localSheetId="18" hidden="1">#REF!</definedName>
    <definedName name="__x22" localSheetId="21" hidden="1">#REF!</definedName>
    <definedName name="__x22" localSheetId="24" hidden="1">#REF!</definedName>
    <definedName name="__x22" localSheetId="22" hidden="1">#REF!</definedName>
    <definedName name="__x22" localSheetId="20" hidden="1">#REF!</definedName>
    <definedName name="__x22" hidden="1">#REF!</definedName>
    <definedName name="__x23" localSheetId="19" hidden="1">#REF!</definedName>
    <definedName name="__x23" localSheetId="16" hidden="1">#REF!</definedName>
    <definedName name="__x23" localSheetId="7" hidden="1">#REF!</definedName>
    <definedName name="__x23" localSheetId="15" hidden="1">#REF!</definedName>
    <definedName name="__x23" localSheetId="14" hidden="1">#REF!</definedName>
    <definedName name="__x23" localSheetId="17" hidden="1">#REF!</definedName>
    <definedName name="__x23" localSheetId="18" hidden="1">#REF!</definedName>
    <definedName name="__x23" localSheetId="21" hidden="1">#REF!</definedName>
    <definedName name="__x23" localSheetId="24" hidden="1">#REF!</definedName>
    <definedName name="__x23" localSheetId="22" hidden="1">#REF!</definedName>
    <definedName name="__x23" localSheetId="20" hidden="1">#REF!</definedName>
    <definedName name="__x23" hidden="1">#REF!</definedName>
    <definedName name="__x24" localSheetId="19" hidden="1">#REF!</definedName>
    <definedName name="__x24" localSheetId="16" hidden="1">#REF!</definedName>
    <definedName name="__x24" localSheetId="7" hidden="1">#REF!</definedName>
    <definedName name="__x24" localSheetId="15" hidden="1">#REF!</definedName>
    <definedName name="__x24" localSheetId="14" hidden="1">#REF!</definedName>
    <definedName name="__x24" localSheetId="17" hidden="1">#REF!</definedName>
    <definedName name="__x24" localSheetId="18" hidden="1">#REF!</definedName>
    <definedName name="__x24" localSheetId="21" hidden="1">#REF!</definedName>
    <definedName name="__x24" localSheetId="24" hidden="1">#REF!</definedName>
    <definedName name="__x24" localSheetId="22" hidden="1">#REF!</definedName>
    <definedName name="__x24" localSheetId="20" hidden="1">#REF!</definedName>
    <definedName name="__x24" hidden="1">#REF!</definedName>
    <definedName name="__x25" localSheetId="19" hidden="1">#REF!</definedName>
    <definedName name="__x25" localSheetId="16" hidden="1">#REF!</definedName>
    <definedName name="__x25" localSheetId="7" hidden="1">#REF!</definedName>
    <definedName name="__x25" localSheetId="15" hidden="1">#REF!</definedName>
    <definedName name="__x25" localSheetId="14" hidden="1">#REF!</definedName>
    <definedName name="__x25" localSheetId="17" hidden="1">#REF!</definedName>
    <definedName name="__x25" localSheetId="18" hidden="1">#REF!</definedName>
    <definedName name="__x25" localSheetId="21" hidden="1">#REF!</definedName>
    <definedName name="__x25" localSheetId="24" hidden="1">#REF!</definedName>
    <definedName name="__x25" localSheetId="22" hidden="1">#REF!</definedName>
    <definedName name="__x25" localSheetId="20" hidden="1">#REF!</definedName>
    <definedName name="__x25" hidden="1">#REF!</definedName>
    <definedName name="__x28" localSheetId="19" hidden="1">#REF!</definedName>
    <definedName name="__x28" localSheetId="16" hidden="1">#REF!</definedName>
    <definedName name="__x28" localSheetId="7" hidden="1">#REF!</definedName>
    <definedName name="__x28" localSheetId="15" hidden="1">#REF!</definedName>
    <definedName name="__x28" localSheetId="14" hidden="1">#REF!</definedName>
    <definedName name="__x28" localSheetId="17" hidden="1">#REF!</definedName>
    <definedName name="__x28" localSheetId="18" hidden="1">#REF!</definedName>
    <definedName name="__x28" localSheetId="21" hidden="1">#REF!</definedName>
    <definedName name="__x28" localSheetId="24" hidden="1">#REF!</definedName>
    <definedName name="__x28" localSheetId="22" hidden="1">#REF!</definedName>
    <definedName name="__x28" localSheetId="20" hidden="1">#REF!</definedName>
    <definedName name="__x28" hidden="1">#REF!</definedName>
    <definedName name="__x29" localSheetId="19" hidden="1">#REF!</definedName>
    <definedName name="__x29" localSheetId="16" hidden="1">#REF!</definedName>
    <definedName name="__x29" localSheetId="7" hidden="1">#REF!</definedName>
    <definedName name="__x29" localSheetId="15" hidden="1">#REF!</definedName>
    <definedName name="__x29" localSheetId="14" hidden="1">#REF!</definedName>
    <definedName name="__x29" localSheetId="17" hidden="1">#REF!</definedName>
    <definedName name="__x29" localSheetId="18" hidden="1">#REF!</definedName>
    <definedName name="__x29" localSheetId="21" hidden="1">#REF!</definedName>
    <definedName name="__x29" localSheetId="24" hidden="1">#REF!</definedName>
    <definedName name="__x29" localSheetId="22" hidden="1">#REF!</definedName>
    <definedName name="__x29" localSheetId="20" hidden="1">#REF!</definedName>
    <definedName name="__x29" hidden="1">#REF!</definedName>
    <definedName name="__x32" localSheetId="19" hidden="1">#REF!</definedName>
    <definedName name="__x32" localSheetId="16" hidden="1">#REF!</definedName>
    <definedName name="__x32" localSheetId="7" hidden="1">#REF!</definedName>
    <definedName name="__x32" localSheetId="15" hidden="1">#REF!</definedName>
    <definedName name="__x32" localSheetId="14" hidden="1">#REF!</definedName>
    <definedName name="__x32" localSheetId="17" hidden="1">#REF!</definedName>
    <definedName name="__x32" localSheetId="18" hidden="1">#REF!</definedName>
    <definedName name="__x32" localSheetId="21" hidden="1">#REF!</definedName>
    <definedName name="__x32" localSheetId="24" hidden="1">#REF!</definedName>
    <definedName name="__x32" localSheetId="22" hidden="1">#REF!</definedName>
    <definedName name="__x32" localSheetId="20" hidden="1">#REF!</definedName>
    <definedName name="__x32" hidden="1">#REF!</definedName>
    <definedName name="__x4" localSheetId="19" hidden="1">#REF!</definedName>
    <definedName name="__x4" localSheetId="16" hidden="1">#REF!</definedName>
    <definedName name="__x4" localSheetId="7" hidden="1">#REF!</definedName>
    <definedName name="__x4" localSheetId="15" hidden="1">#REF!</definedName>
    <definedName name="__x4" localSheetId="14" hidden="1">#REF!</definedName>
    <definedName name="__x4" localSheetId="17" hidden="1">#REF!</definedName>
    <definedName name="__x4" localSheetId="18" hidden="1">#REF!</definedName>
    <definedName name="__x4" localSheetId="21" hidden="1">#REF!</definedName>
    <definedName name="__x4" localSheetId="24" hidden="1">#REF!</definedName>
    <definedName name="__x4" localSheetId="22" hidden="1">#REF!</definedName>
    <definedName name="__x4" localSheetId="20" hidden="1">#REF!</definedName>
    <definedName name="__x4" hidden="1">#REF!</definedName>
    <definedName name="__x5" localSheetId="19" hidden="1">#REF!</definedName>
    <definedName name="__x5" localSheetId="16" hidden="1">#REF!</definedName>
    <definedName name="__x5" localSheetId="7" hidden="1">#REF!</definedName>
    <definedName name="__x5" localSheetId="15" hidden="1">#REF!</definedName>
    <definedName name="__x5" localSheetId="14" hidden="1">#REF!</definedName>
    <definedName name="__x5" localSheetId="17" hidden="1">#REF!</definedName>
    <definedName name="__x5" localSheetId="18" hidden="1">#REF!</definedName>
    <definedName name="__x5" localSheetId="21" hidden="1">#REF!</definedName>
    <definedName name="__x5" localSheetId="24" hidden="1">#REF!</definedName>
    <definedName name="__x5" localSheetId="22" hidden="1">#REF!</definedName>
    <definedName name="__x5" localSheetId="20" hidden="1">#REF!</definedName>
    <definedName name="__x5" hidden="1">#REF!</definedName>
    <definedName name="__x6" localSheetId="19" hidden="1">#REF!</definedName>
    <definedName name="__x6" localSheetId="16" hidden="1">#REF!</definedName>
    <definedName name="__x6" localSheetId="7" hidden="1">#REF!</definedName>
    <definedName name="__x6" localSheetId="15" hidden="1">#REF!</definedName>
    <definedName name="__x6" localSheetId="14" hidden="1">#REF!</definedName>
    <definedName name="__x6" localSheetId="17" hidden="1">#REF!</definedName>
    <definedName name="__x6" localSheetId="18" hidden="1">#REF!</definedName>
    <definedName name="__x6" localSheetId="21" hidden="1">#REF!</definedName>
    <definedName name="__x6" localSheetId="24" hidden="1">#REF!</definedName>
    <definedName name="__x6" localSheetId="22" hidden="1">#REF!</definedName>
    <definedName name="__x6" localSheetId="20" hidden="1">#REF!</definedName>
    <definedName name="__x6" hidden="1">#REF!</definedName>
    <definedName name="__x7" localSheetId="19" hidden="1">#REF!</definedName>
    <definedName name="__x7" localSheetId="16" hidden="1">#REF!</definedName>
    <definedName name="__x7" localSheetId="7" hidden="1">#REF!</definedName>
    <definedName name="__x7" localSheetId="15" hidden="1">#REF!</definedName>
    <definedName name="__x7" localSheetId="14" hidden="1">#REF!</definedName>
    <definedName name="__x7" localSheetId="17" hidden="1">#REF!</definedName>
    <definedName name="__x7" localSheetId="18" hidden="1">#REF!</definedName>
    <definedName name="__x7" localSheetId="21" hidden="1">#REF!</definedName>
    <definedName name="__x7" localSheetId="24" hidden="1">#REF!</definedName>
    <definedName name="__x7" localSheetId="22" hidden="1">#REF!</definedName>
    <definedName name="__x7" localSheetId="20" hidden="1">#REF!</definedName>
    <definedName name="__x7" hidden="1">#REF!</definedName>
    <definedName name="__x8" localSheetId="19" hidden="1">#REF!</definedName>
    <definedName name="__x8" localSheetId="16" hidden="1">#REF!</definedName>
    <definedName name="__x8" localSheetId="7" hidden="1">#REF!</definedName>
    <definedName name="__x8" localSheetId="15" hidden="1">#REF!</definedName>
    <definedName name="__x8" localSheetId="14" hidden="1">#REF!</definedName>
    <definedName name="__x8" localSheetId="17" hidden="1">#REF!</definedName>
    <definedName name="__x8" localSheetId="18" hidden="1">#REF!</definedName>
    <definedName name="__x8" localSheetId="21" hidden="1">#REF!</definedName>
    <definedName name="__x8" localSheetId="24" hidden="1">#REF!</definedName>
    <definedName name="__x8" localSheetId="22" hidden="1">#REF!</definedName>
    <definedName name="__x8" localSheetId="20" hidden="1">#REF!</definedName>
    <definedName name="__x8" hidden="1">#REF!</definedName>
    <definedName name="__x9" localSheetId="19" hidden="1">#REF!</definedName>
    <definedName name="__x9" localSheetId="16" hidden="1">#REF!</definedName>
    <definedName name="__x9" localSheetId="7" hidden="1">#REF!</definedName>
    <definedName name="__x9" localSheetId="15" hidden="1">#REF!</definedName>
    <definedName name="__x9" localSheetId="14" hidden="1">#REF!</definedName>
    <definedName name="__x9" localSheetId="17" hidden="1">#REF!</definedName>
    <definedName name="__x9" localSheetId="18" hidden="1">#REF!</definedName>
    <definedName name="__x9" localSheetId="21" hidden="1">#REF!</definedName>
    <definedName name="__x9" localSheetId="24" hidden="1">#REF!</definedName>
    <definedName name="__x9" localSheetId="22" hidden="1">#REF!</definedName>
    <definedName name="__x9" localSheetId="20" hidden="1">#REF!</definedName>
    <definedName name="__x9" hidden="1">#REF!</definedName>
    <definedName name="__xlfn.AVERAGEIF" hidden="1">#NAME?</definedName>
    <definedName name="__xlfn.BAHTTEXT" hidden="1">#NAME?</definedName>
    <definedName name="__xlfn.RTD" hidden="1">#NAME?</definedName>
    <definedName name="_1__123Graph_BGrßfico_10C" localSheetId="19" hidden="1">#REF!</definedName>
    <definedName name="_1__123Graph_BGrßfico_10C" localSheetId="16" hidden="1">#REF!</definedName>
    <definedName name="_1__123Graph_BGrßfico_10C" localSheetId="15" hidden="1">#REF!</definedName>
    <definedName name="_1__123Graph_BGrßfico_10C" localSheetId="14" hidden="1">#REF!</definedName>
    <definedName name="_1__123Graph_BGrßfico_10C" localSheetId="17" hidden="1">#REF!</definedName>
    <definedName name="_1__123Graph_BGrßfico_10C" localSheetId="18" hidden="1">#REF!</definedName>
    <definedName name="_1__123Graph_BGrßfico_10C" localSheetId="21" hidden="1">#REF!</definedName>
    <definedName name="_1__123Graph_BGrßfico_10C" localSheetId="24" hidden="1">#REF!</definedName>
    <definedName name="_1__123Graph_BGrßfico_10C" localSheetId="22" hidden="1">#REF!</definedName>
    <definedName name="_1__123Graph_BGrßfico_10C" localSheetId="20" hidden="1">#REF!</definedName>
    <definedName name="_1__123Graph_BGrßfico_10C" hidden="1">#REF!</definedName>
    <definedName name="_1_0__123Grap" localSheetId="19" hidden="1">#REF!</definedName>
    <definedName name="_1_0__123Grap" localSheetId="16" hidden="1">#REF!</definedName>
    <definedName name="_1_0__123Grap" localSheetId="15" hidden="1">#REF!</definedName>
    <definedName name="_1_0__123Grap" localSheetId="14" hidden="1">#REF!</definedName>
    <definedName name="_1_0__123Grap" localSheetId="17" hidden="1">#REF!</definedName>
    <definedName name="_1_0__123Grap" localSheetId="18" hidden="1">#REF!</definedName>
    <definedName name="_1_0__123Grap" localSheetId="21" hidden="1">#REF!</definedName>
    <definedName name="_1_0__123Grap" localSheetId="24" hidden="1">#REF!</definedName>
    <definedName name="_1_0__123Grap" localSheetId="22" hidden="1">#REF!</definedName>
    <definedName name="_1_0__123Grap" localSheetId="20" hidden="1">#REF!</definedName>
    <definedName name="_1_0__123Grap" hidden="1">#REF!</definedName>
    <definedName name="_1_123Grap" localSheetId="19" hidden="1">#REF!</definedName>
    <definedName name="_1_123Grap" localSheetId="16" hidden="1">#REF!</definedName>
    <definedName name="_1_123Grap" localSheetId="15" hidden="1">#REF!</definedName>
    <definedName name="_1_123Grap" localSheetId="14" hidden="1">#REF!</definedName>
    <definedName name="_1_123Grap" localSheetId="17" hidden="1">#REF!</definedName>
    <definedName name="_1_123Grap" localSheetId="18" hidden="1">#REF!</definedName>
    <definedName name="_1_123Grap" localSheetId="21" hidden="1">#REF!</definedName>
    <definedName name="_1_123Grap" localSheetId="24" hidden="1">#REF!</definedName>
    <definedName name="_1_123Grap" localSheetId="22" hidden="1">#REF!</definedName>
    <definedName name="_1_123Grap" localSheetId="20" hidden="1">#REF!</definedName>
    <definedName name="_1_123Grap" hidden="1">#REF!</definedName>
    <definedName name="_11_123Grap" localSheetId="19" hidden="1">#REF!</definedName>
    <definedName name="_11_123Grap" localSheetId="16" hidden="1">#REF!</definedName>
    <definedName name="_11_123Grap" localSheetId="15" hidden="1">#REF!</definedName>
    <definedName name="_11_123Grap" localSheetId="14" hidden="1">#REF!</definedName>
    <definedName name="_11_123Grap" localSheetId="17" hidden="1">#REF!</definedName>
    <definedName name="_11_123Grap" localSheetId="18" hidden="1">#REF!</definedName>
    <definedName name="_11_123Grap" localSheetId="21" hidden="1">#REF!</definedName>
    <definedName name="_11_123Grap" localSheetId="24" hidden="1">#REF!</definedName>
    <definedName name="_11_123Grap" localSheetId="22" hidden="1">#REF!</definedName>
    <definedName name="_11_123Grap" localSheetId="20" hidden="1">#REF!</definedName>
    <definedName name="_11_123Grap" hidden="1">#REF!</definedName>
    <definedName name="_1830201" hidden="1">#N/A</definedName>
    <definedName name="_1Excel_BuiltIn_Print_Area_7_1" localSheetId="19">#REF!</definedName>
    <definedName name="_1Excel_BuiltIn_Print_Area_7_1" localSheetId="16">#REF!</definedName>
    <definedName name="_1Excel_BuiltIn_Print_Area_7_1" localSheetId="15">#REF!</definedName>
    <definedName name="_1Excel_BuiltIn_Print_Area_7_1" localSheetId="14">#REF!</definedName>
    <definedName name="_1Excel_BuiltIn_Print_Area_7_1" localSheetId="17">#REF!</definedName>
    <definedName name="_1Excel_BuiltIn_Print_Area_7_1" localSheetId="18">#REF!</definedName>
    <definedName name="_1Excel_BuiltIn_Print_Area_7_1" localSheetId="21">#REF!</definedName>
    <definedName name="_1Excel_BuiltIn_Print_Area_7_1" localSheetId="24">#REF!</definedName>
    <definedName name="_1Excel_BuiltIn_Print_Area_7_1" localSheetId="22">#REF!</definedName>
    <definedName name="_1Excel_BuiltIn_Print_Area_7_1" localSheetId="20">#REF!</definedName>
    <definedName name="_1Excel_BuiltIn_Print_Area_7_1">#REF!</definedName>
    <definedName name="_2_0__123Grap" localSheetId="19" hidden="1">#REF!</definedName>
    <definedName name="_2_0__123Grap" localSheetId="16" hidden="1">#REF!</definedName>
    <definedName name="_2_0__123Grap" localSheetId="15" hidden="1">#REF!</definedName>
    <definedName name="_2_0__123Grap" localSheetId="14" hidden="1">#REF!</definedName>
    <definedName name="_2_0__123Grap" localSheetId="17" hidden="1">#REF!</definedName>
    <definedName name="_2_0__123Grap" localSheetId="18" hidden="1">#REF!</definedName>
    <definedName name="_2_0__123Grap" localSheetId="21" hidden="1">#REF!</definedName>
    <definedName name="_2_0__123Grap" localSheetId="24" hidden="1">#REF!</definedName>
    <definedName name="_2_0__123Grap" localSheetId="22" hidden="1">#REF!</definedName>
    <definedName name="_2_0__123Grap" localSheetId="20" hidden="1">#REF!</definedName>
    <definedName name="_2_0__123Grap" hidden="1">#REF!</definedName>
    <definedName name="_22_0__123Grap" localSheetId="19" hidden="1">#REF!</definedName>
    <definedName name="_22_0__123Grap" localSheetId="16" hidden="1">#REF!</definedName>
    <definedName name="_22_0__123Grap" localSheetId="15" hidden="1">#REF!</definedName>
    <definedName name="_22_0__123Grap" localSheetId="14" hidden="1">#REF!</definedName>
    <definedName name="_22_0__123Grap" localSheetId="17" hidden="1">#REF!</definedName>
    <definedName name="_22_0__123Grap" localSheetId="18" hidden="1">#REF!</definedName>
    <definedName name="_22_0__123Grap" localSheetId="21" hidden="1">#REF!</definedName>
    <definedName name="_22_0__123Grap" localSheetId="24" hidden="1">#REF!</definedName>
    <definedName name="_22_0__123Grap" localSheetId="22" hidden="1">#REF!</definedName>
    <definedName name="_22_0__123Grap" localSheetId="20" hidden="1">#REF!</definedName>
    <definedName name="_22_0__123Grap" hidden="1">#REF!</definedName>
    <definedName name="_2Excel_BuiltIn_Print_Area_8_1" localSheetId="19">#REF!</definedName>
    <definedName name="_2Excel_BuiltIn_Print_Area_8_1" localSheetId="16">#REF!</definedName>
    <definedName name="_2Excel_BuiltIn_Print_Area_8_1" localSheetId="15">#REF!</definedName>
    <definedName name="_2Excel_BuiltIn_Print_Area_8_1" localSheetId="14">#REF!</definedName>
    <definedName name="_2Excel_BuiltIn_Print_Area_8_1" localSheetId="17">#REF!</definedName>
    <definedName name="_2Excel_BuiltIn_Print_Area_8_1" localSheetId="18">#REF!</definedName>
    <definedName name="_2Excel_BuiltIn_Print_Area_8_1" localSheetId="21">#REF!</definedName>
    <definedName name="_2Excel_BuiltIn_Print_Area_8_1" localSheetId="24">#REF!</definedName>
    <definedName name="_2Excel_BuiltIn_Print_Area_8_1" localSheetId="22">#REF!</definedName>
    <definedName name="_2Excel_BuiltIn_Print_Area_8_1" localSheetId="20">#REF!</definedName>
    <definedName name="_2Excel_BuiltIn_Print_Area_8_1">#REF!</definedName>
    <definedName name="_3_0__123Grap" localSheetId="19" hidden="1">#REF!</definedName>
    <definedName name="_3_0__123Grap" localSheetId="16" hidden="1">#REF!</definedName>
    <definedName name="_3_0__123Grap" localSheetId="15" hidden="1">#REF!</definedName>
    <definedName name="_3_0__123Grap" localSheetId="14" hidden="1">#REF!</definedName>
    <definedName name="_3_0__123Grap" localSheetId="17" hidden="1">#REF!</definedName>
    <definedName name="_3_0__123Grap" localSheetId="18" hidden="1">#REF!</definedName>
    <definedName name="_3_0__123Grap" localSheetId="21" hidden="1">#REF!</definedName>
    <definedName name="_3_0__123Grap" localSheetId="24" hidden="1">#REF!</definedName>
    <definedName name="_3_0__123Grap" localSheetId="22" hidden="1">#REF!</definedName>
    <definedName name="_3_0__123Grap" localSheetId="20" hidden="1">#REF!</definedName>
    <definedName name="_3_0__123Grap" hidden="1">#REF!</definedName>
    <definedName name="_3Excel_BuiltIn_Print_Titles_1_1" localSheetId="19">#REF!</definedName>
    <definedName name="_3Excel_BuiltIn_Print_Titles_1_1" localSheetId="16">#REF!</definedName>
    <definedName name="_3Excel_BuiltIn_Print_Titles_1_1" localSheetId="15">#REF!</definedName>
    <definedName name="_3Excel_BuiltIn_Print_Titles_1_1" localSheetId="14">#REF!</definedName>
    <definedName name="_3Excel_BuiltIn_Print_Titles_1_1" localSheetId="17">#REF!</definedName>
    <definedName name="_3Excel_BuiltIn_Print_Titles_1_1" localSheetId="18">#REF!</definedName>
    <definedName name="_3Excel_BuiltIn_Print_Titles_1_1" localSheetId="21">#REF!</definedName>
    <definedName name="_3Excel_BuiltIn_Print_Titles_1_1" localSheetId="24">#REF!</definedName>
    <definedName name="_3Excel_BuiltIn_Print_Titles_1_1" localSheetId="22">#REF!</definedName>
    <definedName name="_3Excel_BuiltIn_Print_Titles_1_1" localSheetId="20">#REF!</definedName>
    <definedName name="_3Excel_BuiltIn_Print_Titles_1_1">#REF!</definedName>
    <definedName name="_br4" localSheetId="19">#REF!</definedName>
    <definedName name="_br4" localSheetId="16">#REF!</definedName>
    <definedName name="_br4" localSheetId="7">#REF!</definedName>
    <definedName name="_br4" localSheetId="15">#REF!</definedName>
    <definedName name="_br4" localSheetId="14">#REF!</definedName>
    <definedName name="_br4" localSheetId="17">#REF!</definedName>
    <definedName name="_br4" localSheetId="18">#REF!</definedName>
    <definedName name="_br4" localSheetId="21">#REF!</definedName>
    <definedName name="_br4" localSheetId="24">#REF!</definedName>
    <definedName name="_br4" localSheetId="22">#REF!</definedName>
    <definedName name="_br4" localSheetId="20">#REF!</definedName>
    <definedName name="_br4">#REF!</definedName>
    <definedName name="_Fill" hidden="1">#REF!</definedName>
    <definedName name="_Filll" localSheetId="19" hidden="1">#REF!</definedName>
    <definedName name="_Filll" localSheetId="16" hidden="1">#REF!</definedName>
    <definedName name="_Filll" localSheetId="15" hidden="1">#REF!</definedName>
    <definedName name="_Filll" localSheetId="14" hidden="1">#REF!</definedName>
    <definedName name="_Filll" localSheetId="17" hidden="1">#REF!</definedName>
    <definedName name="_Filll" localSheetId="18" hidden="1">#REF!</definedName>
    <definedName name="_Filll" localSheetId="21" hidden="1">#REF!</definedName>
    <definedName name="_Filll" localSheetId="24" hidden="1">#REF!</definedName>
    <definedName name="_Filll" localSheetId="22" hidden="1">#REF!</definedName>
    <definedName name="_Filll" localSheetId="20" hidden="1">#REF!</definedName>
    <definedName name="_Filll" hidden="1">#REF!</definedName>
    <definedName name="_xlnm._FilterDatabase" localSheetId="19" hidden="1">ADM!$J$16:$J$33</definedName>
    <definedName name="_xlnm._FilterDatabase" localSheetId="16" hidden="1">AGUA!$J$16:$J$22</definedName>
    <definedName name="_xlnm._FilterDatabase" localSheetId="5" hidden="1">CRONOGRAMA!$A$8:$B$169</definedName>
    <definedName name="_xlnm._FilterDatabase" localSheetId="15" hidden="1">DRE!$J$16:$J$21</definedName>
    <definedName name="_xlnm._FilterDatabase" localSheetId="27" hidden="1">EQUIPAMENTOS!$A$2:$O$308</definedName>
    <definedName name="_xlnm._FilterDatabase" localSheetId="14" hidden="1">EQUIPE!$J$17:$J$20</definedName>
    <definedName name="_xlnm._FilterDatabase" localSheetId="17" hidden="1">'EQUIPE 2'!#REF!</definedName>
    <definedName name="_xlnm._FilterDatabase" localSheetId="18" hidden="1">HORAS!#REF!</definedName>
    <definedName name="_xlnm._FilterDatabase" localSheetId="21" hidden="1">LAB!$J$16:$J$27</definedName>
    <definedName name="_xlnm._FilterDatabase" localSheetId="26" hidden="1">'MÃO DE OBRA'!$A$2:$F$501</definedName>
    <definedName name="_xlnm._FilterDatabase" localSheetId="28" hidden="1">MATERIAIS!$A$2:$F$104</definedName>
    <definedName name="_xlnm._FilterDatabase" localSheetId="24" hidden="1">MEC!$J$16:$J$27</definedName>
    <definedName name="_xlnm._FilterDatabase" localSheetId="23" hidden="1">MOB!$B$14:$BF$27</definedName>
    <definedName name="_xlnm._FilterDatabase" localSheetId="6" hidden="1">PLANEJAMENTO!$B$6:$C$83</definedName>
    <definedName name="_xlnm._FilterDatabase" localSheetId="22" hidden="1">QSMS!$J$16:$J$20</definedName>
    <definedName name="_xlnm._FilterDatabase" localSheetId="20" hidden="1">TOP!$J$16:$J$27</definedName>
    <definedName name="_xlnm._FilterDatabase" hidden="1">#REF!</definedName>
    <definedName name="_I" localSheetId="19">#REF!</definedName>
    <definedName name="_I" localSheetId="16">#REF!</definedName>
    <definedName name="_I" localSheetId="15">#REF!</definedName>
    <definedName name="_I" localSheetId="14">#REF!</definedName>
    <definedName name="_I" localSheetId="17">#REF!</definedName>
    <definedName name="_I" localSheetId="18">#REF!</definedName>
    <definedName name="_I" localSheetId="21">#REF!</definedName>
    <definedName name="_I" localSheetId="24">#REF!</definedName>
    <definedName name="_I" localSheetId="22">#REF!</definedName>
    <definedName name="_I" localSheetId="20">#REF!</definedName>
    <definedName name="_I">#REF!</definedName>
    <definedName name="_Key1" localSheetId="19" hidden="1">#REF!</definedName>
    <definedName name="_Key1" localSheetId="16" hidden="1">#REF!</definedName>
    <definedName name="_Key1" localSheetId="15" hidden="1">#REF!</definedName>
    <definedName name="_Key1" localSheetId="14" hidden="1">#REF!</definedName>
    <definedName name="_Key1" localSheetId="17" hidden="1">#REF!</definedName>
    <definedName name="_Key1" localSheetId="18" hidden="1">#REF!</definedName>
    <definedName name="_Key1" localSheetId="21" hidden="1">#REF!</definedName>
    <definedName name="_Key1" localSheetId="24" hidden="1">#REF!</definedName>
    <definedName name="_Key1" localSheetId="22" hidden="1">#REF!</definedName>
    <definedName name="_Key1" localSheetId="20" hidden="1">#REF!</definedName>
    <definedName name="_Key1" hidden="1">#REF!</definedName>
    <definedName name="_Key2" localSheetId="19" hidden="1">#REF!</definedName>
    <definedName name="_Key2" localSheetId="16" hidden="1">#REF!</definedName>
    <definedName name="_Key2" localSheetId="15" hidden="1">#REF!</definedName>
    <definedName name="_Key2" localSheetId="14" hidden="1">#REF!</definedName>
    <definedName name="_Key2" localSheetId="17" hidden="1">#REF!</definedName>
    <definedName name="_Key2" localSheetId="18" hidden="1">#REF!</definedName>
    <definedName name="_Key2" localSheetId="21" hidden="1">#REF!</definedName>
    <definedName name="_Key2" localSheetId="24" hidden="1">#REF!</definedName>
    <definedName name="_Key2" localSheetId="22" hidden="1">#REF!</definedName>
    <definedName name="_Key2" localSheetId="20" hidden="1">#REF!</definedName>
    <definedName name="_Key2" hidden="1">#REF!</definedName>
    <definedName name="_la4" localSheetId="19" hidden="1">#REF!</definedName>
    <definedName name="_la4" localSheetId="16" hidden="1">#REF!</definedName>
    <definedName name="_la4" localSheetId="7" hidden="1">#REF!</definedName>
    <definedName name="_la4" localSheetId="15" hidden="1">#REF!</definedName>
    <definedName name="_la4" localSheetId="14" hidden="1">#REF!</definedName>
    <definedName name="_la4" localSheetId="17" hidden="1">#REF!</definedName>
    <definedName name="_la4" localSheetId="18" hidden="1">#REF!</definedName>
    <definedName name="_la4" localSheetId="21" hidden="1">#REF!</definedName>
    <definedName name="_la4" localSheetId="24" hidden="1">#REF!</definedName>
    <definedName name="_la4" localSheetId="22" hidden="1">#REF!</definedName>
    <definedName name="_la4" localSheetId="20" hidden="1">#REF!</definedName>
    <definedName name="_la4" hidden="1">#REF!</definedName>
    <definedName name="_la5" localSheetId="19" hidden="1">#REF!</definedName>
    <definedName name="_la5" localSheetId="16" hidden="1">#REF!</definedName>
    <definedName name="_la5" localSheetId="7" hidden="1">#REF!</definedName>
    <definedName name="_la5" localSheetId="15" hidden="1">#REF!</definedName>
    <definedName name="_la5" localSheetId="14" hidden="1">#REF!</definedName>
    <definedName name="_la5" localSheetId="17" hidden="1">#REF!</definedName>
    <definedName name="_la5" localSheetId="18" hidden="1">#REF!</definedName>
    <definedName name="_la5" localSheetId="21" hidden="1">#REF!</definedName>
    <definedName name="_la5" localSheetId="24" hidden="1">#REF!</definedName>
    <definedName name="_la5" localSheetId="22" hidden="1">#REF!</definedName>
    <definedName name="_la5" localSheetId="20" hidden="1">#REF!</definedName>
    <definedName name="_la5" hidden="1">#REF!</definedName>
    <definedName name="_la6" localSheetId="19" hidden="1">#REF!</definedName>
    <definedName name="_la6" localSheetId="16" hidden="1">#REF!</definedName>
    <definedName name="_la6" localSheetId="7" hidden="1">#REF!</definedName>
    <definedName name="_la6" localSheetId="15" hidden="1">#REF!</definedName>
    <definedName name="_la6" localSheetId="14" hidden="1">#REF!</definedName>
    <definedName name="_la6" localSheetId="17" hidden="1">#REF!</definedName>
    <definedName name="_la6" localSheetId="18" hidden="1">#REF!</definedName>
    <definedName name="_la6" localSheetId="21" hidden="1">#REF!</definedName>
    <definedName name="_la6" localSheetId="24" hidden="1">#REF!</definedName>
    <definedName name="_la6" localSheetId="22" hidden="1">#REF!</definedName>
    <definedName name="_la6" localSheetId="20" hidden="1">#REF!</definedName>
    <definedName name="_la6" hidden="1">#REF!</definedName>
    <definedName name="_la7" localSheetId="19" hidden="1">#REF!</definedName>
    <definedName name="_la7" localSheetId="16" hidden="1">#REF!</definedName>
    <definedName name="_la7" localSheetId="7" hidden="1">#REF!</definedName>
    <definedName name="_la7" localSheetId="15" hidden="1">#REF!</definedName>
    <definedName name="_la7" localSheetId="14" hidden="1">#REF!</definedName>
    <definedName name="_la7" localSheetId="17" hidden="1">#REF!</definedName>
    <definedName name="_la7" localSheetId="18" hidden="1">#REF!</definedName>
    <definedName name="_la7" localSheetId="21" hidden="1">#REF!</definedName>
    <definedName name="_la7" localSheetId="24" hidden="1">#REF!</definedName>
    <definedName name="_la7" localSheetId="22" hidden="1">#REF!</definedName>
    <definedName name="_la7" localSheetId="20" hidden="1">#REF!</definedName>
    <definedName name="_la7" hidden="1">#REF!</definedName>
    <definedName name="_la8" localSheetId="19" hidden="1">#REF!</definedName>
    <definedName name="_la8" localSheetId="16" hidden="1">#REF!</definedName>
    <definedName name="_la8" localSheetId="7" hidden="1">#REF!</definedName>
    <definedName name="_la8" localSheetId="15" hidden="1">#REF!</definedName>
    <definedName name="_la8" localSheetId="14" hidden="1">#REF!</definedName>
    <definedName name="_la8" localSheetId="17" hidden="1">#REF!</definedName>
    <definedName name="_la8" localSheetId="18" hidden="1">#REF!</definedName>
    <definedName name="_la8" localSheetId="21" hidden="1">#REF!</definedName>
    <definedName name="_la8" localSheetId="24" hidden="1">#REF!</definedName>
    <definedName name="_la8" localSheetId="22" hidden="1">#REF!</definedName>
    <definedName name="_la8" localSheetId="20" hidden="1">#REF!</definedName>
    <definedName name="_la8" hidden="1">#REF!</definedName>
    <definedName name="_la9" localSheetId="19" hidden="1">#REF!</definedName>
    <definedName name="_la9" localSheetId="16" hidden="1">#REF!</definedName>
    <definedName name="_la9" localSheetId="7" hidden="1">#REF!</definedName>
    <definedName name="_la9" localSheetId="15" hidden="1">#REF!</definedName>
    <definedName name="_la9" localSheetId="14" hidden="1">#REF!</definedName>
    <definedName name="_la9" localSheetId="17" hidden="1">#REF!</definedName>
    <definedName name="_la9" localSheetId="18" hidden="1">#REF!</definedName>
    <definedName name="_la9" localSheetId="21" hidden="1">#REF!</definedName>
    <definedName name="_la9" localSheetId="24" hidden="1">#REF!</definedName>
    <definedName name="_la9" localSheetId="22" hidden="1">#REF!</definedName>
    <definedName name="_la9" localSheetId="20" hidden="1">#REF!</definedName>
    <definedName name="_la9" hidden="1">#REF!</definedName>
    <definedName name="_lb1" localSheetId="19" hidden="1">#REF!</definedName>
    <definedName name="_lb1" localSheetId="16" hidden="1">#REF!</definedName>
    <definedName name="_lb1" localSheetId="7" hidden="1">#REF!</definedName>
    <definedName name="_lb1" localSheetId="15" hidden="1">#REF!</definedName>
    <definedName name="_lb1" localSheetId="14" hidden="1">#REF!</definedName>
    <definedName name="_lb1" localSheetId="17" hidden="1">#REF!</definedName>
    <definedName name="_lb1" localSheetId="18" hidden="1">#REF!</definedName>
    <definedName name="_lb1" localSheetId="21" hidden="1">#REF!</definedName>
    <definedName name="_lb1" localSheetId="24" hidden="1">#REF!</definedName>
    <definedName name="_lb1" localSheetId="22" hidden="1">#REF!</definedName>
    <definedName name="_lb1" localSheetId="20" hidden="1">#REF!</definedName>
    <definedName name="_lb1" hidden="1">#REF!</definedName>
    <definedName name="_lb10" localSheetId="19" hidden="1">#REF!</definedName>
    <definedName name="_lb10" localSheetId="16" hidden="1">#REF!</definedName>
    <definedName name="_lb10" localSheetId="7" hidden="1">#REF!</definedName>
    <definedName name="_lb10" localSheetId="15" hidden="1">#REF!</definedName>
    <definedName name="_lb10" localSheetId="14" hidden="1">#REF!</definedName>
    <definedName name="_lb10" localSheetId="17" hidden="1">#REF!</definedName>
    <definedName name="_lb10" localSheetId="18" hidden="1">#REF!</definedName>
    <definedName name="_lb10" localSheetId="21" hidden="1">#REF!</definedName>
    <definedName name="_lb10" localSheetId="24" hidden="1">#REF!</definedName>
    <definedName name="_lb10" localSheetId="22" hidden="1">#REF!</definedName>
    <definedName name="_lb10" localSheetId="20" hidden="1">#REF!</definedName>
    <definedName name="_lb10" hidden="1">#REF!</definedName>
    <definedName name="_lb11" localSheetId="19" hidden="1">#REF!</definedName>
    <definedName name="_lb11" localSheetId="16" hidden="1">#REF!</definedName>
    <definedName name="_lb11" localSheetId="7" hidden="1">#REF!</definedName>
    <definedName name="_lb11" localSheetId="15" hidden="1">#REF!</definedName>
    <definedName name="_lb11" localSheetId="14" hidden="1">#REF!</definedName>
    <definedName name="_lb11" localSheetId="17" hidden="1">#REF!</definedName>
    <definedName name="_lb11" localSheetId="18" hidden="1">#REF!</definedName>
    <definedName name="_lb11" localSheetId="21" hidden="1">#REF!</definedName>
    <definedName name="_lb11" localSheetId="24" hidden="1">#REF!</definedName>
    <definedName name="_lb11" localSheetId="22" hidden="1">#REF!</definedName>
    <definedName name="_lb11" localSheetId="20" hidden="1">#REF!</definedName>
    <definedName name="_lb11" hidden="1">#REF!</definedName>
    <definedName name="_lb12" localSheetId="19" hidden="1">#REF!</definedName>
    <definedName name="_lb12" localSheetId="16" hidden="1">#REF!</definedName>
    <definedName name="_lb12" localSheetId="7" hidden="1">#REF!</definedName>
    <definedName name="_lb12" localSheetId="15" hidden="1">#REF!</definedName>
    <definedName name="_lb12" localSheetId="14" hidden="1">#REF!</definedName>
    <definedName name="_lb12" localSheetId="17" hidden="1">#REF!</definedName>
    <definedName name="_lb12" localSheetId="18" hidden="1">#REF!</definedName>
    <definedName name="_lb12" localSheetId="21" hidden="1">#REF!</definedName>
    <definedName name="_lb12" localSheetId="24" hidden="1">#REF!</definedName>
    <definedName name="_lb12" localSheetId="22" hidden="1">#REF!</definedName>
    <definedName name="_lb12" localSheetId="20" hidden="1">#REF!</definedName>
    <definedName name="_lb12" hidden="1">#REF!</definedName>
    <definedName name="_lb13" localSheetId="19" hidden="1">#REF!</definedName>
    <definedName name="_lb13" localSheetId="16" hidden="1">#REF!</definedName>
    <definedName name="_lb13" localSheetId="7" hidden="1">#REF!</definedName>
    <definedName name="_lb13" localSheetId="15" hidden="1">#REF!</definedName>
    <definedName name="_lb13" localSheetId="14" hidden="1">#REF!</definedName>
    <definedName name="_lb13" localSheetId="17" hidden="1">#REF!</definedName>
    <definedName name="_lb13" localSheetId="18" hidden="1">#REF!</definedName>
    <definedName name="_lb13" localSheetId="21" hidden="1">#REF!</definedName>
    <definedName name="_lb13" localSheetId="24" hidden="1">#REF!</definedName>
    <definedName name="_lb13" localSheetId="22" hidden="1">#REF!</definedName>
    <definedName name="_lb13" localSheetId="20" hidden="1">#REF!</definedName>
    <definedName name="_lb13" hidden="1">#REF!</definedName>
    <definedName name="_lb14" localSheetId="19" hidden="1">#REF!</definedName>
    <definedName name="_lb14" localSheetId="16" hidden="1">#REF!</definedName>
    <definedName name="_lb14" localSheetId="7" hidden="1">#REF!</definedName>
    <definedName name="_lb14" localSheetId="15" hidden="1">#REF!</definedName>
    <definedName name="_lb14" localSheetId="14" hidden="1">#REF!</definedName>
    <definedName name="_lb14" localSheetId="17" hidden="1">#REF!</definedName>
    <definedName name="_lb14" localSheetId="18" hidden="1">#REF!</definedName>
    <definedName name="_lb14" localSheetId="21" hidden="1">#REF!</definedName>
    <definedName name="_lb14" localSheetId="24" hidden="1">#REF!</definedName>
    <definedName name="_lb14" localSheetId="22" hidden="1">#REF!</definedName>
    <definedName name="_lb14" localSheetId="20" hidden="1">#REF!</definedName>
    <definedName name="_lb14" hidden="1">#REF!</definedName>
    <definedName name="_lb15" localSheetId="19" hidden="1">#REF!</definedName>
    <definedName name="_lb15" localSheetId="16" hidden="1">#REF!</definedName>
    <definedName name="_lb15" localSheetId="7" hidden="1">#REF!</definedName>
    <definedName name="_lb15" localSheetId="15" hidden="1">#REF!</definedName>
    <definedName name="_lb15" localSheetId="14" hidden="1">#REF!</definedName>
    <definedName name="_lb15" localSheetId="17" hidden="1">#REF!</definedName>
    <definedName name="_lb15" localSheetId="18" hidden="1">#REF!</definedName>
    <definedName name="_lb15" localSheetId="21" hidden="1">#REF!</definedName>
    <definedName name="_lb15" localSheetId="24" hidden="1">#REF!</definedName>
    <definedName name="_lb15" localSheetId="22" hidden="1">#REF!</definedName>
    <definedName name="_lb15" localSheetId="20" hidden="1">#REF!</definedName>
    <definedName name="_lb15" hidden="1">#REF!</definedName>
    <definedName name="_lb16" localSheetId="19" hidden="1">#REF!</definedName>
    <definedName name="_lb16" localSheetId="16" hidden="1">#REF!</definedName>
    <definedName name="_lb16" localSheetId="7" hidden="1">#REF!</definedName>
    <definedName name="_lb16" localSheetId="15" hidden="1">#REF!</definedName>
    <definedName name="_lb16" localSheetId="14" hidden="1">#REF!</definedName>
    <definedName name="_lb16" localSheetId="17" hidden="1">#REF!</definedName>
    <definedName name="_lb16" localSheetId="18" hidden="1">#REF!</definedName>
    <definedName name="_lb16" localSheetId="21" hidden="1">#REF!</definedName>
    <definedName name="_lb16" localSheetId="24" hidden="1">#REF!</definedName>
    <definedName name="_lb16" localSheetId="22" hidden="1">#REF!</definedName>
    <definedName name="_lb16" localSheetId="20" hidden="1">#REF!</definedName>
    <definedName name="_lb16" hidden="1">#REF!</definedName>
    <definedName name="_lb17" localSheetId="19" hidden="1">#REF!</definedName>
    <definedName name="_lb17" localSheetId="16" hidden="1">#REF!</definedName>
    <definedName name="_lb17" localSheetId="7" hidden="1">#REF!</definedName>
    <definedName name="_lb17" localSheetId="15" hidden="1">#REF!</definedName>
    <definedName name="_lb17" localSheetId="14" hidden="1">#REF!</definedName>
    <definedName name="_lb17" localSheetId="17" hidden="1">#REF!</definedName>
    <definedName name="_lb17" localSheetId="18" hidden="1">#REF!</definedName>
    <definedName name="_lb17" localSheetId="21" hidden="1">#REF!</definedName>
    <definedName name="_lb17" localSheetId="24" hidden="1">#REF!</definedName>
    <definedName name="_lb17" localSheetId="22" hidden="1">#REF!</definedName>
    <definedName name="_lb17" localSheetId="20" hidden="1">#REF!</definedName>
    <definedName name="_lb17" hidden="1">#REF!</definedName>
    <definedName name="_lb18" localSheetId="19" hidden="1">#REF!</definedName>
    <definedName name="_lb18" localSheetId="16" hidden="1">#REF!</definedName>
    <definedName name="_lb18" localSheetId="7" hidden="1">#REF!</definedName>
    <definedName name="_lb18" localSheetId="15" hidden="1">#REF!</definedName>
    <definedName name="_lb18" localSheetId="14" hidden="1">#REF!</definedName>
    <definedName name="_lb18" localSheetId="17" hidden="1">#REF!</definedName>
    <definedName name="_lb18" localSheetId="18" hidden="1">#REF!</definedName>
    <definedName name="_lb18" localSheetId="21" hidden="1">#REF!</definedName>
    <definedName name="_lb18" localSheetId="24" hidden="1">#REF!</definedName>
    <definedName name="_lb18" localSheetId="22" hidden="1">#REF!</definedName>
    <definedName name="_lb18" localSheetId="20" hidden="1">#REF!</definedName>
    <definedName name="_lb18" hidden="1">#REF!</definedName>
    <definedName name="_lb19" localSheetId="19" hidden="1">#REF!</definedName>
    <definedName name="_lb19" localSheetId="16" hidden="1">#REF!</definedName>
    <definedName name="_lb19" localSheetId="7" hidden="1">#REF!</definedName>
    <definedName name="_lb19" localSheetId="15" hidden="1">#REF!</definedName>
    <definedName name="_lb19" localSheetId="14" hidden="1">#REF!</definedName>
    <definedName name="_lb19" localSheetId="17" hidden="1">#REF!</definedName>
    <definedName name="_lb19" localSheetId="18" hidden="1">#REF!</definedName>
    <definedName name="_lb19" localSheetId="21" hidden="1">#REF!</definedName>
    <definedName name="_lb19" localSheetId="24" hidden="1">#REF!</definedName>
    <definedName name="_lb19" localSheetId="22" hidden="1">#REF!</definedName>
    <definedName name="_lb19" localSheetId="20" hidden="1">#REF!</definedName>
    <definedName name="_lb19" hidden="1">#REF!</definedName>
    <definedName name="_lb2" localSheetId="19" hidden="1">#REF!</definedName>
    <definedName name="_lb2" localSheetId="16" hidden="1">#REF!</definedName>
    <definedName name="_lb2" localSheetId="7" hidden="1">#REF!</definedName>
    <definedName name="_lb2" localSheetId="15" hidden="1">#REF!</definedName>
    <definedName name="_lb2" localSheetId="14" hidden="1">#REF!</definedName>
    <definedName name="_lb2" localSheetId="17" hidden="1">#REF!</definedName>
    <definedName name="_lb2" localSheetId="18" hidden="1">#REF!</definedName>
    <definedName name="_lb2" localSheetId="21" hidden="1">#REF!</definedName>
    <definedName name="_lb2" localSheetId="24" hidden="1">#REF!</definedName>
    <definedName name="_lb2" localSheetId="22" hidden="1">#REF!</definedName>
    <definedName name="_lb2" localSheetId="20" hidden="1">#REF!</definedName>
    <definedName name="_lb2" hidden="1">#REF!</definedName>
    <definedName name="_lb20" localSheetId="19" hidden="1">#REF!</definedName>
    <definedName name="_lb20" localSheetId="16" hidden="1">#REF!</definedName>
    <definedName name="_lb20" localSheetId="7" hidden="1">#REF!</definedName>
    <definedName name="_lb20" localSheetId="15" hidden="1">#REF!</definedName>
    <definedName name="_lb20" localSheetId="14" hidden="1">#REF!</definedName>
    <definedName name="_lb20" localSheetId="17" hidden="1">#REF!</definedName>
    <definedName name="_lb20" localSheetId="18" hidden="1">#REF!</definedName>
    <definedName name="_lb20" localSheetId="21" hidden="1">#REF!</definedName>
    <definedName name="_lb20" localSheetId="24" hidden="1">#REF!</definedName>
    <definedName name="_lb20" localSheetId="22" hidden="1">#REF!</definedName>
    <definedName name="_lb20" localSheetId="20" hidden="1">#REF!</definedName>
    <definedName name="_lb20" hidden="1">#REF!</definedName>
    <definedName name="_lb21" localSheetId="19" hidden="1">#REF!</definedName>
    <definedName name="_lb21" localSheetId="16" hidden="1">#REF!</definedName>
    <definedName name="_lb21" localSheetId="7" hidden="1">#REF!</definedName>
    <definedName name="_lb21" localSheetId="15" hidden="1">#REF!</definedName>
    <definedName name="_lb21" localSheetId="14" hidden="1">#REF!</definedName>
    <definedName name="_lb21" localSheetId="17" hidden="1">#REF!</definedName>
    <definedName name="_lb21" localSheetId="18" hidden="1">#REF!</definedName>
    <definedName name="_lb21" localSheetId="21" hidden="1">#REF!</definedName>
    <definedName name="_lb21" localSheetId="24" hidden="1">#REF!</definedName>
    <definedName name="_lb21" localSheetId="22" hidden="1">#REF!</definedName>
    <definedName name="_lb21" localSheetId="20" hidden="1">#REF!</definedName>
    <definedName name="_lb21" hidden="1">#REF!</definedName>
    <definedName name="_lb22" localSheetId="19" hidden="1">#REF!</definedName>
    <definedName name="_lb22" localSheetId="16" hidden="1">#REF!</definedName>
    <definedName name="_lb22" localSheetId="7" hidden="1">#REF!</definedName>
    <definedName name="_lb22" localSheetId="15" hidden="1">#REF!</definedName>
    <definedName name="_lb22" localSheetId="14" hidden="1">#REF!</definedName>
    <definedName name="_lb22" localSheetId="17" hidden="1">#REF!</definedName>
    <definedName name="_lb22" localSheetId="18" hidden="1">#REF!</definedName>
    <definedName name="_lb22" localSheetId="21" hidden="1">#REF!</definedName>
    <definedName name="_lb22" localSheetId="24" hidden="1">#REF!</definedName>
    <definedName name="_lb22" localSheetId="22" hidden="1">#REF!</definedName>
    <definedName name="_lb22" localSheetId="20" hidden="1">#REF!</definedName>
    <definedName name="_lb22" hidden="1">#REF!</definedName>
    <definedName name="_lb23" localSheetId="19" hidden="1">#REF!</definedName>
    <definedName name="_lb23" localSheetId="16" hidden="1">#REF!</definedName>
    <definedName name="_lb23" localSheetId="7" hidden="1">#REF!</definedName>
    <definedName name="_lb23" localSheetId="15" hidden="1">#REF!</definedName>
    <definedName name="_lb23" localSheetId="14" hidden="1">#REF!</definedName>
    <definedName name="_lb23" localSheetId="17" hidden="1">#REF!</definedName>
    <definedName name="_lb23" localSheetId="18" hidden="1">#REF!</definedName>
    <definedName name="_lb23" localSheetId="21" hidden="1">#REF!</definedName>
    <definedName name="_lb23" localSheetId="24" hidden="1">#REF!</definedName>
    <definedName name="_lb23" localSheetId="22" hidden="1">#REF!</definedName>
    <definedName name="_lb23" localSheetId="20" hidden="1">#REF!</definedName>
    <definedName name="_lb23" hidden="1">#REF!</definedName>
    <definedName name="_lb24" localSheetId="19" hidden="1">#REF!</definedName>
    <definedName name="_lb24" localSheetId="16" hidden="1">#REF!</definedName>
    <definedName name="_lb24" localSheetId="7" hidden="1">#REF!</definedName>
    <definedName name="_lb24" localSheetId="15" hidden="1">#REF!</definedName>
    <definedName name="_lb24" localSheetId="14" hidden="1">#REF!</definedName>
    <definedName name="_lb24" localSheetId="17" hidden="1">#REF!</definedName>
    <definedName name="_lb24" localSheetId="18" hidden="1">#REF!</definedName>
    <definedName name="_lb24" localSheetId="21" hidden="1">#REF!</definedName>
    <definedName name="_lb24" localSheetId="24" hidden="1">#REF!</definedName>
    <definedName name="_lb24" localSheetId="22" hidden="1">#REF!</definedName>
    <definedName name="_lb24" localSheetId="20" hidden="1">#REF!</definedName>
    <definedName name="_lb24" hidden="1">#REF!</definedName>
    <definedName name="_lb25" localSheetId="19" hidden="1">#REF!</definedName>
    <definedName name="_lb25" localSheetId="16" hidden="1">#REF!</definedName>
    <definedName name="_lb25" localSheetId="7" hidden="1">#REF!</definedName>
    <definedName name="_lb25" localSheetId="15" hidden="1">#REF!</definedName>
    <definedName name="_lb25" localSheetId="14" hidden="1">#REF!</definedName>
    <definedName name="_lb25" localSheetId="17" hidden="1">#REF!</definedName>
    <definedName name="_lb25" localSheetId="18" hidden="1">#REF!</definedName>
    <definedName name="_lb25" localSheetId="21" hidden="1">#REF!</definedName>
    <definedName name="_lb25" localSheetId="24" hidden="1">#REF!</definedName>
    <definedName name="_lb25" localSheetId="22" hidden="1">#REF!</definedName>
    <definedName name="_lb25" localSheetId="20" hidden="1">#REF!</definedName>
    <definedName name="_lb25" hidden="1">#REF!</definedName>
    <definedName name="_lb27" localSheetId="19" hidden="1">#REF!</definedName>
    <definedName name="_lb27" localSheetId="16" hidden="1">#REF!</definedName>
    <definedName name="_lb27" localSheetId="7" hidden="1">#REF!</definedName>
    <definedName name="_lb27" localSheetId="15" hidden="1">#REF!</definedName>
    <definedName name="_lb27" localSheetId="14" hidden="1">#REF!</definedName>
    <definedName name="_lb27" localSheetId="17" hidden="1">#REF!</definedName>
    <definedName name="_lb27" localSheetId="18" hidden="1">#REF!</definedName>
    <definedName name="_lb27" localSheetId="21" hidden="1">#REF!</definedName>
    <definedName name="_lb27" localSheetId="24" hidden="1">#REF!</definedName>
    <definedName name="_lb27" localSheetId="22" hidden="1">#REF!</definedName>
    <definedName name="_lb27" localSheetId="20" hidden="1">#REF!</definedName>
    <definedName name="_lb27" hidden="1">#REF!</definedName>
    <definedName name="_lb28" localSheetId="19" hidden="1">#REF!</definedName>
    <definedName name="_lb28" localSheetId="16" hidden="1">#REF!</definedName>
    <definedName name="_lb28" localSheetId="7" hidden="1">#REF!</definedName>
    <definedName name="_lb28" localSheetId="15" hidden="1">#REF!</definedName>
    <definedName name="_lb28" localSheetId="14" hidden="1">#REF!</definedName>
    <definedName name="_lb28" localSheetId="17" hidden="1">#REF!</definedName>
    <definedName name="_lb28" localSheetId="18" hidden="1">#REF!</definedName>
    <definedName name="_lb28" localSheetId="21" hidden="1">#REF!</definedName>
    <definedName name="_lb28" localSheetId="24" hidden="1">#REF!</definedName>
    <definedName name="_lb28" localSheetId="22" hidden="1">#REF!</definedName>
    <definedName name="_lb28" localSheetId="20" hidden="1">#REF!</definedName>
    <definedName name="_lb28" hidden="1">#REF!</definedName>
    <definedName name="_lb29" localSheetId="19" hidden="1">#REF!</definedName>
    <definedName name="_lb29" localSheetId="16" hidden="1">#REF!</definedName>
    <definedName name="_lb29" localSheetId="7" hidden="1">#REF!</definedName>
    <definedName name="_lb29" localSheetId="15" hidden="1">#REF!</definedName>
    <definedName name="_lb29" localSheetId="14" hidden="1">#REF!</definedName>
    <definedName name="_lb29" localSheetId="17" hidden="1">#REF!</definedName>
    <definedName name="_lb29" localSheetId="18" hidden="1">#REF!</definedName>
    <definedName name="_lb29" localSheetId="21" hidden="1">#REF!</definedName>
    <definedName name="_lb29" localSheetId="24" hidden="1">#REF!</definedName>
    <definedName name="_lb29" localSheetId="22" hidden="1">#REF!</definedName>
    <definedName name="_lb29" localSheetId="20" hidden="1">#REF!</definedName>
    <definedName name="_lb29" hidden="1">#REF!</definedName>
    <definedName name="_lb3" localSheetId="19" hidden="1">#REF!</definedName>
    <definedName name="_lb3" localSheetId="16" hidden="1">#REF!</definedName>
    <definedName name="_lb3" localSheetId="7" hidden="1">#REF!</definedName>
    <definedName name="_lb3" localSheetId="15" hidden="1">#REF!</definedName>
    <definedName name="_lb3" localSheetId="14" hidden="1">#REF!</definedName>
    <definedName name="_lb3" localSheetId="17" hidden="1">#REF!</definedName>
    <definedName name="_lb3" localSheetId="18" hidden="1">#REF!</definedName>
    <definedName name="_lb3" localSheetId="21" hidden="1">#REF!</definedName>
    <definedName name="_lb3" localSheetId="24" hidden="1">#REF!</definedName>
    <definedName name="_lb3" localSheetId="22" hidden="1">#REF!</definedName>
    <definedName name="_lb3" localSheetId="20" hidden="1">#REF!</definedName>
    <definedName name="_lb3" hidden="1">#REF!</definedName>
    <definedName name="_lb30" localSheetId="19" hidden="1">#REF!</definedName>
    <definedName name="_lb30" localSheetId="16" hidden="1">#REF!</definedName>
    <definedName name="_lb30" localSheetId="7" hidden="1">#REF!</definedName>
    <definedName name="_lb30" localSheetId="15" hidden="1">#REF!</definedName>
    <definedName name="_lb30" localSheetId="14" hidden="1">#REF!</definedName>
    <definedName name="_lb30" localSheetId="17" hidden="1">#REF!</definedName>
    <definedName name="_lb30" localSheetId="18" hidden="1">#REF!</definedName>
    <definedName name="_lb30" localSheetId="21" hidden="1">#REF!</definedName>
    <definedName name="_lb30" localSheetId="24" hidden="1">#REF!</definedName>
    <definedName name="_lb30" localSheetId="22" hidden="1">#REF!</definedName>
    <definedName name="_lb30" localSheetId="20" hidden="1">#REF!</definedName>
    <definedName name="_lb30" hidden="1">#REF!</definedName>
    <definedName name="_lb31" localSheetId="19" hidden="1">#REF!</definedName>
    <definedName name="_lb31" localSheetId="16" hidden="1">#REF!</definedName>
    <definedName name="_lb31" localSheetId="7" hidden="1">#REF!</definedName>
    <definedName name="_lb31" localSheetId="15" hidden="1">#REF!</definedName>
    <definedName name="_lb31" localSheetId="14" hidden="1">#REF!</definedName>
    <definedName name="_lb31" localSheetId="17" hidden="1">#REF!</definedName>
    <definedName name="_lb31" localSheetId="18" hidden="1">#REF!</definedName>
    <definedName name="_lb31" localSheetId="21" hidden="1">#REF!</definedName>
    <definedName name="_lb31" localSheetId="24" hidden="1">#REF!</definedName>
    <definedName name="_lb31" localSheetId="22" hidden="1">#REF!</definedName>
    <definedName name="_lb31" localSheetId="20" hidden="1">#REF!</definedName>
    <definedName name="_lb31" hidden="1">#REF!</definedName>
    <definedName name="_lb32" localSheetId="19" hidden="1">#REF!</definedName>
    <definedName name="_lb32" localSheetId="16" hidden="1">#REF!</definedName>
    <definedName name="_lb32" localSheetId="7" hidden="1">#REF!</definedName>
    <definedName name="_lb32" localSheetId="15" hidden="1">#REF!</definedName>
    <definedName name="_lb32" localSheetId="14" hidden="1">#REF!</definedName>
    <definedName name="_lb32" localSheetId="17" hidden="1">#REF!</definedName>
    <definedName name="_lb32" localSheetId="18" hidden="1">#REF!</definedName>
    <definedName name="_lb32" localSheetId="21" hidden="1">#REF!</definedName>
    <definedName name="_lb32" localSheetId="24" hidden="1">#REF!</definedName>
    <definedName name="_lb32" localSheetId="22" hidden="1">#REF!</definedName>
    <definedName name="_lb32" localSheetId="20" hidden="1">#REF!</definedName>
    <definedName name="_lb32" hidden="1">#REF!</definedName>
    <definedName name="_lb4" localSheetId="19" hidden="1">#REF!</definedName>
    <definedName name="_lb4" localSheetId="16" hidden="1">#REF!</definedName>
    <definedName name="_lb4" localSheetId="7" hidden="1">#REF!</definedName>
    <definedName name="_lb4" localSheetId="15" hidden="1">#REF!</definedName>
    <definedName name="_lb4" localSheetId="14" hidden="1">#REF!</definedName>
    <definedName name="_lb4" localSheetId="17" hidden="1">#REF!</definedName>
    <definedName name="_lb4" localSheetId="18" hidden="1">#REF!</definedName>
    <definedName name="_lb4" localSheetId="21" hidden="1">#REF!</definedName>
    <definedName name="_lb4" localSheetId="24" hidden="1">#REF!</definedName>
    <definedName name="_lb4" localSheetId="22" hidden="1">#REF!</definedName>
    <definedName name="_lb4" localSheetId="20" hidden="1">#REF!</definedName>
    <definedName name="_lb4" hidden="1">#REF!</definedName>
    <definedName name="_lb5" localSheetId="19" hidden="1">#REF!</definedName>
    <definedName name="_lb5" localSheetId="16" hidden="1">#REF!</definedName>
    <definedName name="_lb5" localSheetId="7" hidden="1">#REF!</definedName>
    <definedName name="_lb5" localSheetId="15" hidden="1">#REF!</definedName>
    <definedName name="_lb5" localSheetId="14" hidden="1">#REF!</definedName>
    <definedName name="_lb5" localSheetId="17" hidden="1">#REF!</definedName>
    <definedName name="_lb5" localSheetId="18" hidden="1">#REF!</definedName>
    <definedName name="_lb5" localSheetId="21" hidden="1">#REF!</definedName>
    <definedName name="_lb5" localSheetId="24" hidden="1">#REF!</definedName>
    <definedName name="_lb5" localSheetId="22" hidden="1">#REF!</definedName>
    <definedName name="_lb5" localSheetId="20" hidden="1">#REF!</definedName>
    <definedName name="_lb5" hidden="1">#REF!</definedName>
    <definedName name="_lb6" localSheetId="19" hidden="1">#REF!</definedName>
    <definedName name="_lb6" localSheetId="16" hidden="1">#REF!</definedName>
    <definedName name="_lb6" localSheetId="7" hidden="1">#REF!</definedName>
    <definedName name="_lb6" localSheetId="15" hidden="1">#REF!</definedName>
    <definedName name="_lb6" localSheetId="14" hidden="1">#REF!</definedName>
    <definedName name="_lb6" localSheetId="17" hidden="1">#REF!</definedName>
    <definedName name="_lb6" localSheetId="18" hidden="1">#REF!</definedName>
    <definedName name="_lb6" localSheetId="21" hidden="1">#REF!</definedName>
    <definedName name="_lb6" localSheetId="24" hidden="1">#REF!</definedName>
    <definedName name="_lb6" localSheetId="22" hidden="1">#REF!</definedName>
    <definedName name="_lb6" localSheetId="20" hidden="1">#REF!</definedName>
    <definedName name="_lb6" hidden="1">#REF!</definedName>
    <definedName name="_lb7" localSheetId="19" hidden="1">#REF!</definedName>
    <definedName name="_lb7" localSheetId="16" hidden="1">#REF!</definedName>
    <definedName name="_lb7" localSheetId="7" hidden="1">#REF!</definedName>
    <definedName name="_lb7" localSheetId="15" hidden="1">#REF!</definedName>
    <definedName name="_lb7" localSheetId="14" hidden="1">#REF!</definedName>
    <definedName name="_lb7" localSheetId="17" hidden="1">#REF!</definedName>
    <definedName name="_lb7" localSheetId="18" hidden="1">#REF!</definedName>
    <definedName name="_lb7" localSheetId="21" hidden="1">#REF!</definedName>
    <definedName name="_lb7" localSheetId="24" hidden="1">#REF!</definedName>
    <definedName name="_lb7" localSheetId="22" hidden="1">#REF!</definedName>
    <definedName name="_lb7" localSheetId="20" hidden="1">#REF!</definedName>
    <definedName name="_lb7" hidden="1">#REF!</definedName>
    <definedName name="_lb8" localSheetId="19" hidden="1">#REF!</definedName>
    <definedName name="_lb8" localSheetId="16" hidden="1">#REF!</definedName>
    <definedName name="_lb8" localSheetId="7" hidden="1">#REF!</definedName>
    <definedName name="_lb8" localSheetId="15" hidden="1">#REF!</definedName>
    <definedName name="_lb8" localSheetId="14" hidden="1">#REF!</definedName>
    <definedName name="_lb8" localSheetId="17" hidden="1">#REF!</definedName>
    <definedName name="_lb8" localSheetId="18" hidden="1">#REF!</definedName>
    <definedName name="_lb8" localSheetId="21" hidden="1">#REF!</definedName>
    <definedName name="_lb8" localSheetId="24" hidden="1">#REF!</definedName>
    <definedName name="_lb8" localSheetId="22" hidden="1">#REF!</definedName>
    <definedName name="_lb8" localSheetId="20" hidden="1">#REF!</definedName>
    <definedName name="_lb8" hidden="1">#REF!</definedName>
    <definedName name="_lb9" localSheetId="19" hidden="1">#REF!</definedName>
    <definedName name="_lb9" localSheetId="16" hidden="1">#REF!</definedName>
    <definedName name="_lb9" localSheetId="7" hidden="1">#REF!</definedName>
    <definedName name="_lb9" localSheetId="15" hidden="1">#REF!</definedName>
    <definedName name="_lb9" localSheetId="14" hidden="1">#REF!</definedName>
    <definedName name="_lb9" localSheetId="17" hidden="1">#REF!</definedName>
    <definedName name="_lb9" localSheetId="18" hidden="1">#REF!</definedName>
    <definedName name="_lb9" localSheetId="21" hidden="1">#REF!</definedName>
    <definedName name="_lb9" localSheetId="24" hidden="1">#REF!</definedName>
    <definedName name="_lb9" localSheetId="22" hidden="1">#REF!</definedName>
    <definedName name="_lb9" localSheetId="20" hidden="1">#REF!</definedName>
    <definedName name="_lb9" hidden="1">#REF!</definedName>
    <definedName name="_lbc1" localSheetId="19" hidden="1">#REF!</definedName>
    <definedName name="_lbc1" localSheetId="16" hidden="1">#REF!</definedName>
    <definedName name="_lbc1" localSheetId="7" hidden="1">#REF!</definedName>
    <definedName name="_lbc1" localSheetId="15" hidden="1">#REF!</definedName>
    <definedName name="_lbc1" localSheetId="14" hidden="1">#REF!</definedName>
    <definedName name="_lbc1" localSheetId="17" hidden="1">#REF!</definedName>
    <definedName name="_lbc1" localSheetId="18" hidden="1">#REF!</definedName>
    <definedName name="_lbc1" localSheetId="21" hidden="1">#REF!</definedName>
    <definedName name="_lbc1" localSheetId="24" hidden="1">#REF!</definedName>
    <definedName name="_lbc1" localSheetId="22" hidden="1">#REF!</definedName>
    <definedName name="_lbc1" localSheetId="20" hidden="1">#REF!</definedName>
    <definedName name="_lbc1" hidden="1">#REF!</definedName>
    <definedName name="_lbc10" localSheetId="19" hidden="1">#REF!</definedName>
    <definedName name="_lbc10" localSheetId="16" hidden="1">#REF!</definedName>
    <definedName name="_lbc10" localSheetId="7" hidden="1">#REF!</definedName>
    <definedName name="_lbc10" localSheetId="15" hidden="1">#REF!</definedName>
    <definedName name="_lbc10" localSheetId="14" hidden="1">#REF!</definedName>
    <definedName name="_lbc10" localSheetId="17" hidden="1">#REF!</definedName>
    <definedName name="_lbc10" localSheetId="18" hidden="1">#REF!</definedName>
    <definedName name="_lbc10" localSheetId="21" hidden="1">#REF!</definedName>
    <definedName name="_lbc10" localSheetId="24" hidden="1">#REF!</definedName>
    <definedName name="_lbc10" localSheetId="22" hidden="1">#REF!</definedName>
    <definedName name="_lbc10" localSheetId="20" hidden="1">#REF!</definedName>
    <definedName name="_lbc10" hidden="1">#REF!</definedName>
    <definedName name="_lbc11" localSheetId="19" hidden="1">#REF!</definedName>
    <definedName name="_lbc11" localSheetId="16" hidden="1">#REF!</definedName>
    <definedName name="_lbc11" localSheetId="7" hidden="1">#REF!</definedName>
    <definedName name="_lbc11" localSheetId="15" hidden="1">#REF!</definedName>
    <definedName name="_lbc11" localSheetId="14" hidden="1">#REF!</definedName>
    <definedName name="_lbc11" localSheetId="17" hidden="1">#REF!</definedName>
    <definedName name="_lbc11" localSheetId="18" hidden="1">#REF!</definedName>
    <definedName name="_lbc11" localSheetId="21" hidden="1">#REF!</definedName>
    <definedName name="_lbc11" localSheetId="24" hidden="1">#REF!</definedName>
    <definedName name="_lbc11" localSheetId="22" hidden="1">#REF!</definedName>
    <definedName name="_lbc11" localSheetId="20" hidden="1">#REF!</definedName>
    <definedName name="_lbc11" hidden="1">#REF!</definedName>
    <definedName name="_lbc12" localSheetId="19" hidden="1">#REF!</definedName>
    <definedName name="_lbc12" localSheetId="16" hidden="1">#REF!</definedName>
    <definedName name="_lbc12" localSheetId="7" hidden="1">#REF!</definedName>
    <definedName name="_lbc12" localSheetId="15" hidden="1">#REF!</definedName>
    <definedName name="_lbc12" localSheetId="14" hidden="1">#REF!</definedName>
    <definedName name="_lbc12" localSheetId="17" hidden="1">#REF!</definedName>
    <definedName name="_lbc12" localSheetId="18" hidden="1">#REF!</definedName>
    <definedName name="_lbc12" localSheetId="21" hidden="1">#REF!</definedName>
    <definedName name="_lbc12" localSheetId="24" hidden="1">#REF!</definedName>
    <definedName name="_lbc12" localSheetId="22" hidden="1">#REF!</definedName>
    <definedName name="_lbc12" localSheetId="20" hidden="1">#REF!</definedName>
    <definedName name="_lbc12" hidden="1">#REF!</definedName>
    <definedName name="_lbc13" localSheetId="19" hidden="1">#REF!</definedName>
    <definedName name="_lbc13" localSheetId="16" hidden="1">#REF!</definedName>
    <definedName name="_lbc13" localSheetId="7" hidden="1">#REF!</definedName>
    <definedName name="_lbc13" localSheetId="15" hidden="1">#REF!</definedName>
    <definedName name="_lbc13" localSheetId="14" hidden="1">#REF!</definedName>
    <definedName name="_lbc13" localSheetId="17" hidden="1">#REF!</definedName>
    <definedName name="_lbc13" localSheetId="18" hidden="1">#REF!</definedName>
    <definedName name="_lbc13" localSheetId="21" hidden="1">#REF!</definedName>
    <definedName name="_lbc13" localSheetId="24" hidden="1">#REF!</definedName>
    <definedName name="_lbc13" localSheetId="22" hidden="1">#REF!</definedName>
    <definedName name="_lbc13" localSheetId="20" hidden="1">#REF!</definedName>
    <definedName name="_lbc13" hidden="1">#REF!</definedName>
    <definedName name="_lbc14" localSheetId="19" hidden="1">#REF!</definedName>
    <definedName name="_lbc14" localSheetId="16" hidden="1">#REF!</definedName>
    <definedName name="_lbc14" localSheetId="7" hidden="1">#REF!</definedName>
    <definedName name="_lbc14" localSheetId="15" hidden="1">#REF!</definedName>
    <definedName name="_lbc14" localSheetId="14" hidden="1">#REF!</definedName>
    <definedName name="_lbc14" localSheetId="17" hidden="1">#REF!</definedName>
    <definedName name="_lbc14" localSheetId="18" hidden="1">#REF!</definedName>
    <definedName name="_lbc14" localSheetId="21" hidden="1">#REF!</definedName>
    <definedName name="_lbc14" localSheetId="24" hidden="1">#REF!</definedName>
    <definedName name="_lbc14" localSheetId="22" hidden="1">#REF!</definedName>
    <definedName name="_lbc14" localSheetId="20" hidden="1">#REF!</definedName>
    <definedName name="_lbc14" hidden="1">#REF!</definedName>
    <definedName name="_lbc15" localSheetId="19" hidden="1">#REF!</definedName>
    <definedName name="_lbc15" localSheetId="16" hidden="1">#REF!</definedName>
    <definedName name="_lbc15" localSheetId="7" hidden="1">#REF!</definedName>
    <definedName name="_lbc15" localSheetId="15" hidden="1">#REF!</definedName>
    <definedName name="_lbc15" localSheetId="14" hidden="1">#REF!</definedName>
    <definedName name="_lbc15" localSheetId="17" hidden="1">#REF!</definedName>
    <definedName name="_lbc15" localSheetId="18" hidden="1">#REF!</definedName>
    <definedName name="_lbc15" localSheetId="21" hidden="1">#REF!</definedName>
    <definedName name="_lbc15" localSheetId="24" hidden="1">#REF!</definedName>
    <definedName name="_lbc15" localSheetId="22" hidden="1">#REF!</definedName>
    <definedName name="_lbc15" localSheetId="20" hidden="1">#REF!</definedName>
    <definedName name="_lbc15" hidden="1">#REF!</definedName>
    <definedName name="_lbc16" localSheetId="19" hidden="1">#REF!</definedName>
    <definedName name="_lbc16" localSheetId="16" hidden="1">#REF!</definedName>
    <definedName name="_lbc16" localSheetId="7" hidden="1">#REF!</definedName>
    <definedName name="_lbc16" localSheetId="15" hidden="1">#REF!</definedName>
    <definedName name="_lbc16" localSheetId="14" hidden="1">#REF!</definedName>
    <definedName name="_lbc16" localSheetId="17" hidden="1">#REF!</definedName>
    <definedName name="_lbc16" localSheetId="18" hidden="1">#REF!</definedName>
    <definedName name="_lbc16" localSheetId="21" hidden="1">#REF!</definedName>
    <definedName name="_lbc16" localSheetId="24" hidden="1">#REF!</definedName>
    <definedName name="_lbc16" localSheetId="22" hidden="1">#REF!</definedName>
    <definedName name="_lbc16" localSheetId="20" hidden="1">#REF!</definedName>
    <definedName name="_lbc16" hidden="1">#REF!</definedName>
    <definedName name="_lbc17" localSheetId="19" hidden="1">#REF!</definedName>
    <definedName name="_lbc17" localSheetId="16" hidden="1">#REF!</definedName>
    <definedName name="_lbc17" localSheetId="7" hidden="1">#REF!</definedName>
    <definedName name="_lbc17" localSheetId="15" hidden="1">#REF!</definedName>
    <definedName name="_lbc17" localSheetId="14" hidden="1">#REF!</definedName>
    <definedName name="_lbc17" localSheetId="17" hidden="1">#REF!</definedName>
    <definedName name="_lbc17" localSheetId="18" hidden="1">#REF!</definedName>
    <definedName name="_lbc17" localSheetId="21" hidden="1">#REF!</definedName>
    <definedName name="_lbc17" localSheetId="24" hidden="1">#REF!</definedName>
    <definedName name="_lbc17" localSheetId="22" hidden="1">#REF!</definedName>
    <definedName name="_lbc17" localSheetId="20" hidden="1">#REF!</definedName>
    <definedName name="_lbc17" hidden="1">#REF!</definedName>
    <definedName name="_lbc18" localSheetId="19" hidden="1">#REF!</definedName>
    <definedName name="_lbc18" localSheetId="16" hidden="1">#REF!</definedName>
    <definedName name="_lbc18" localSheetId="7" hidden="1">#REF!</definedName>
    <definedName name="_lbc18" localSheetId="15" hidden="1">#REF!</definedName>
    <definedName name="_lbc18" localSheetId="14" hidden="1">#REF!</definedName>
    <definedName name="_lbc18" localSheetId="17" hidden="1">#REF!</definedName>
    <definedName name="_lbc18" localSheetId="18" hidden="1">#REF!</definedName>
    <definedName name="_lbc18" localSheetId="21" hidden="1">#REF!</definedName>
    <definedName name="_lbc18" localSheetId="24" hidden="1">#REF!</definedName>
    <definedName name="_lbc18" localSheetId="22" hidden="1">#REF!</definedName>
    <definedName name="_lbc18" localSheetId="20" hidden="1">#REF!</definedName>
    <definedName name="_lbc18" hidden="1">#REF!</definedName>
    <definedName name="_lbc19" localSheetId="19" hidden="1">#REF!</definedName>
    <definedName name="_lbc19" localSheetId="16" hidden="1">#REF!</definedName>
    <definedName name="_lbc19" localSheetId="7" hidden="1">#REF!</definedName>
    <definedName name="_lbc19" localSheetId="15" hidden="1">#REF!</definedName>
    <definedName name="_lbc19" localSheetId="14" hidden="1">#REF!</definedName>
    <definedName name="_lbc19" localSheetId="17" hidden="1">#REF!</definedName>
    <definedName name="_lbc19" localSheetId="18" hidden="1">#REF!</definedName>
    <definedName name="_lbc19" localSheetId="21" hidden="1">#REF!</definedName>
    <definedName name="_lbc19" localSheetId="24" hidden="1">#REF!</definedName>
    <definedName name="_lbc19" localSheetId="22" hidden="1">#REF!</definedName>
    <definedName name="_lbc19" localSheetId="20" hidden="1">#REF!</definedName>
    <definedName name="_lbc19" hidden="1">#REF!</definedName>
    <definedName name="_lbc2" localSheetId="19" hidden="1">#REF!</definedName>
    <definedName name="_lbc2" localSheetId="16" hidden="1">#REF!</definedName>
    <definedName name="_lbc2" localSheetId="7" hidden="1">#REF!</definedName>
    <definedName name="_lbc2" localSheetId="15" hidden="1">#REF!</definedName>
    <definedName name="_lbc2" localSheetId="14" hidden="1">#REF!</definedName>
    <definedName name="_lbc2" localSheetId="17" hidden="1">#REF!</definedName>
    <definedName name="_lbc2" localSheetId="18" hidden="1">#REF!</definedName>
    <definedName name="_lbc2" localSheetId="21" hidden="1">#REF!</definedName>
    <definedName name="_lbc2" localSheetId="24" hidden="1">#REF!</definedName>
    <definedName name="_lbc2" localSheetId="22" hidden="1">#REF!</definedName>
    <definedName name="_lbc2" localSheetId="20" hidden="1">#REF!</definedName>
    <definedName name="_lbc2" hidden="1">#REF!</definedName>
    <definedName name="_lbc20" localSheetId="19" hidden="1">#REF!</definedName>
    <definedName name="_lbc20" localSheetId="16" hidden="1">#REF!</definedName>
    <definedName name="_lbc20" localSheetId="7" hidden="1">#REF!</definedName>
    <definedName name="_lbc20" localSheetId="15" hidden="1">#REF!</definedName>
    <definedName name="_lbc20" localSheetId="14" hidden="1">#REF!</definedName>
    <definedName name="_lbc20" localSheetId="17" hidden="1">#REF!</definedName>
    <definedName name="_lbc20" localSheetId="18" hidden="1">#REF!</definedName>
    <definedName name="_lbc20" localSheetId="21" hidden="1">#REF!</definedName>
    <definedName name="_lbc20" localSheetId="24" hidden="1">#REF!</definedName>
    <definedName name="_lbc20" localSheetId="22" hidden="1">#REF!</definedName>
    <definedName name="_lbc20" localSheetId="20" hidden="1">#REF!</definedName>
    <definedName name="_lbc20" hidden="1">#REF!</definedName>
    <definedName name="_lbc21" localSheetId="19" hidden="1">#REF!</definedName>
    <definedName name="_lbc21" localSheetId="16" hidden="1">#REF!</definedName>
    <definedName name="_lbc21" localSheetId="7" hidden="1">#REF!</definedName>
    <definedName name="_lbc21" localSheetId="15" hidden="1">#REF!</definedName>
    <definedName name="_lbc21" localSheetId="14" hidden="1">#REF!</definedName>
    <definedName name="_lbc21" localSheetId="17" hidden="1">#REF!</definedName>
    <definedName name="_lbc21" localSheetId="18" hidden="1">#REF!</definedName>
    <definedName name="_lbc21" localSheetId="21" hidden="1">#REF!</definedName>
    <definedName name="_lbc21" localSheetId="24" hidden="1">#REF!</definedName>
    <definedName name="_lbc21" localSheetId="22" hidden="1">#REF!</definedName>
    <definedName name="_lbc21" localSheetId="20" hidden="1">#REF!</definedName>
    <definedName name="_lbc21" hidden="1">#REF!</definedName>
    <definedName name="_lbc22" localSheetId="19" hidden="1">#REF!</definedName>
    <definedName name="_lbc22" localSheetId="16" hidden="1">#REF!</definedName>
    <definedName name="_lbc22" localSheetId="7" hidden="1">#REF!</definedName>
    <definedName name="_lbc22" localSheetId="15" hidden="1">#REF!</definedName>
    <definedName name="_lbc22" localSheetId="14" hidden="1">#REF!</definedName>
    <definedName name="_lbc22" localSheetId="17" hidden="1">#REF!</definedName>
    <definedName name="_lbc22" localSheetId="18" hidden="1">#REF!</definedName>
    <definedName name="_lbc22" localSheetId="21" hidden="1">#REF!</definedName>
    <definedName name="_lbc22" localSheetId="24" hidden="1">#REF!</definedName>
    <definedName name="_lbc22" localSheetId="22" hidden="1">#REF!</definedName>
    <definedName name="_lbc22" localSheetId="20" hidden="1">#REF!</definedName>
    <definedName name="_lbc22" hidden="1">#REF!</definedName>
    <definedName name="_lbc23" localSheetId="19" hidden="1">#REF!</definedName>
    <definedName name="_lbc23" localSheetId="16" hidden="1">#REF!</definedName>
    <definedName name="_lbc23" localSheetId="7" hidden="1">#REF!</definedName>
    <definedName name="_lbc23" localSheetId="15" hidden="1">#REF!</definedName>
    <definedName name="_lbc23" localSheetId="14" hidden="1">#REF!</definedName>
    <definedName name="_lbc23" localSheetId="17" hidden="1">#REF!</definedName>
    <definedName name="_lbc23" localSheetId="18" hidden="1">#REF!</definedName>
    <definedName name="_lbc23" localSheetId="21" hidden="1">#REF!</definedName>
    <definedName name="_lbc23" localSheetId="24" hidden="1">#REF!</definedName>
    <definedName name="_lbc23" localSheetId="22" hidden="1">#REF!</definedName>
    <definedName name="_lbc23" localSheetId="20" hidden="1">#REF!</definedName>
    <definedName name="_lbc23" hidden="1">#REF!</definedName>
    <definedName name="_lbc24" localSheetId="19" hidden="1">#REF!</definedName>
    <definedName name="_lbc24" localSheetId="16" hidden="1">#REF!</definedName>
    <definedName name="_lbc24" localSheetId="7" hidden="1">#REF!</definedName>
    <definedName name="_lbc24" localSheetId="15" hidden="1">#REF!</definedName>
    <definedName name="_lbc24" localSheetId="14" hidden="1">#REF!</definedName>
    <definedName name="_lbc24" localSheetId="17" hidden="1">#REF!</definedName>
    <definedName name="_lbc24" localSheetId="18" hidden="1">#REF!</definedName>
    <definedName name="_lbc24" localSheetId="21" hidden="1">#REF!</definedName>
    <definedName name="_lbc24" localSheetId="24" hidden="1">#REF!</definedName>
    <definedName name="_lbc24" localSheetId="22" hidden="1">#REF!</definedName>
    <definedName name="_lbc24" localSheetId="20" hidden="1">#REF!</definedName>
    <definedName name="_lbc24" hidden="1">#REF!</definedName>
    <definedName name="_lbc25" localSheetId="19" hidden="1">#REF!</definedName>
    <definedName name="_lbc25" localSheetId="16" hidden="1">#REF!</definedName>
    <definedName name="_lbc25" localSheetId="7" hidden="1">#REF!</definedName>
    <definedName name="_lbc25" localSheetId="15" hidden="1">#REF!</definedName>
    <definedName name="_lbc25" localSheetId="14" hidden="1">#REF!</definedName>
    <definedName name="_lbc25" localSheetId="17" hidden="1">#REF!</definedName>
    <definedName name="_lbc25" localSheetId="18" hidden="1">#REF!</definedName>
    <definedName name="_lbc25" localSheetId="21" hidden="1">#REF!</definedName>
    <definedName name="_lbc25" localSheetId="24" hidden="1">#REF!</definedName>
    <definedName name="_lbc25" localSheetId="22" hidden="1">#REF!</definedName>
    <definedName name="_lbc25" localSheetId="20" hidden="1">#REF!</definedName>
    <definedName name="_lbc25" hidden="1">#REF!</definedName>
    <definedName name="_lbc26" localSheetId="19" hidden="1">#REF!</definedName>
    <definedName name="_lbc26" localSheetId="16" hidden="1">#REF!</definedName>
    <definedName name="_lbc26" localSheetId="7" hidden="1">#REF!</definedName>
    <definedName name="_lbc26" localSheetId="15" hidden="1">#REF!</definedName>
    <definedName name="_lbc26" localSheetId="14" hidden="1">#REF!</definedName>
    <definedName name="_lbc26" localSheetId="17" hidden="1">#REF!</definedName>
    <definedName name="_lbc26" localSheetId="18" hidden="1">#REF!</definedName>
    <definedName name="_lbc26" localSheetId="21" hidden="1">#REF!</definedName>
    <definedName name="_lbc26" localSheetId="24" hidden="1">#REF!</definedName>
    <definedName name="_lbc26" localSheetId="22" hidden="1">#REF!</definedName>
    <definedName name="_lbc26" localSheetId="20" hidden="1">#REF!</definedName>
    <definedName name="_lbc26" hidden="1">#REF!</definedName>
    <definedName name="_lbc27" localSheetId="19" hidden="1">#REF!</definedName>
    <definedName name="_lbc27" localSheetId="16" hidden="1">#REF!</definedName>
    <definedName name="_lbc27" localSheetId="7" hidden="1">#REF!</definedName>
    <definedName name="_lbc27" localSheetId="15" hidden="1">#REF!</definedName>
    <definedName name="_lbc27" localSheetId="14" hidden="1">#REF!</definedName>
    <definedName name="_lbc27" localSheetId="17" hidden="1">#REF!</definedName>
    <definedName name="_lbc27" localSheetId="18" hidden="1">#REF!</definedName>
    <definedName name="_lbc27" localSheetId="21" hidden="1">#REF!</definedName>
    <definedName name="_lbc27" localSheetId="24" hidden="1">#REF!</definedName>
    <definedName name="_lbc27" localSheetId="22" hidden="1">#REF!</definedName>
    <definedName name="_lbc27" localSheetId="20" hidden="1">#REF!</definedName>
    <definedName name="_lbc27" hidden="1">#REF!</definedName>
    <definedName name="_lbc28" localSheetId="19" hidden="1">#REF!</definedName>
    <definedName name="_lbc28" localSheetId="16" hidden="1">#REF!</definedName>
    <definedName name="_lbc28" localSheetId="7" hidden="1">#REF!</definedName>
    <definedName name="_lbc28" localSheetId="15" hidden="1">#REF!</definedName>
    <definedName name="_lbc28" localSheetId="14" hidden="1">#REF!</definedName>
    <definedName name="_lbc28" localSheetId="17" hidden="1">#REF!</definedName>
    <definedName name="_lbc28" localSheetId="18" hidden="1">#REF!</definedName>
    <definedName name="_lbc28" localSheetId="21" hidden="1">#REF!</definedName>
    <definedName name="_lbc28" localSheetId="24" hidden="1">#REF!</definedName>
    <definedName name="_lbc28" localSheetId="22" hidden="1">#REF!</definedName>
    <definedName name="_lbc28" localSheetId="20" hidden="1">#REF!</definedName>
    <definedName name="_lbc28" hidden="1">#REF!</definedName>
    <definedName name="_lbc29" localSheetId="19" hidden="1">#REF!</definedName>
    <definedName name="_lbc29" localSheetId="16" hidden="1">#REF!</definedName>
    <definedName name="_lbc29" localSheetId="7" hidden="1">#REF!</definedName>
    <definedName name="_lbc29" localSheetId="15" hidden="1">#REF!</definedName>
    <definedName name="_lbc29" localSheetId="14" hidden="1">#REF!</definedName>
    <definedName name="_lbc29" localSheetId="17" hidden="1">#REF!</definedName>
    <definedName name="_lbc29" localSheetId="18" hidden="1">#REF!</definedName>
    <definedName name="_lbc29" localSheetId="21" hidden="1">#REF!</definedName>
    <definedName name="_lbc29" localSheetId="24" hidden="1">#REF!</definedName>
    <definedName name="_lbc29" localSheetId="22" hidden="1">#REF!</definedName>
    <definedName name="_lbc29" localSheetId="20" hidden="1">#REF!</definedName>
    <definedName name="_lbc29" hidden="1">#REF!</definedName>
    <definedName name="_lbc3" localSheetId="19" hidden="1">#REF!</definedName>
    <definedName name="_lbc3" localSheetId="16" hidden="1">#REF!</definedName>
    <definedName name="_lbc3" localSheetId="7" hidden="1">#REF!</definedName>
    <definedName name="_lbc3" localSheetId="15" hidden="1">#REF!</definedName>
    <definedName name="_lbc3" localSheetId="14" hidden="1">#REF!</definedName>
    <definedName name="_lbc3" localSheetId="17" hidden="1">#REF!</definedName>
    <definedName name="_lbc3" localSheetId="18" hidden="1">#REF!</definedName>
    <definedName name="_lbc3" localSheetId="21" hidden="1">#REF!</definedName>
    <definedName name="_lbc3" localSheetId="24" hidden="1">#REF!</definedName>
    <definedName name="_lbc3" localSheetId="22" hidden="1">#REF!</definedName>
    <definedName name="_lbc3" localSheetId="20" hidden="1">#REF!</definedName>
    <definedName name="_lbc3" hidden="1">#REF!</definedName>
    <definedName name="_lbc31" localSheetId="19" hidden="1">#REF!</definedName>
    <definedName name="_lbc31" localSheetId="16" hidden="1">#REF!</definedName>
    <definedName name="_lbc31" localSheetId="7" hidden="1">#REF!</definedName>
    <definedName name="_lbc31" localSheetId="15" hidden="1">#REF!</definedName>
    <definedName name="_lbc31" localSheetId="14" hidden="1">#REF!</definedName>
    <definedName name="_lbc31" localSheetId="17" hidden="1">#REF!</definedName>
    <definedName name="_lbc31" localSheetId="18" hidden="1">#REF!</definedName>
    <definedName name="_lbc31" localSheetId="21" hidden="1">#REF!</definedName>
    <definedName name="_lbc31" localSheetId="24" hidden="1">#REF!</definedName>
    <definedName name="_lbc31" localSheetId="22" hidden="1">#REF!</definedName>
    <definedName name="_lbc31" localSheetId="20" hidden="1">#REF!</definedName>
    <definedName name="_lbc31" hidden="1">#REF!</definedName>
    <definedName name="_lbc32" localSheetId="19" hidden="1">#REF!</definedName>
    <definedName name="_lbc32" localSheetId="16" hidden="1">#REF!</definedName>
    <definedName name="_lbc32" localSheetId="7" hidden="1">#REF!</definedName>
    <definedName name="_lbc32" localSheetId="15" hidden="1">#REF!</definedName>
    <definedName name="_lbc32" localSheetId="14" hidden="1">#REF!</definedName>
    <definedName name="_lbc32" localSheetId="17" hidden="1">#REF!</definedName>
    <definedName name="_lbc32" localSheetId="18" hidden="1">#REF!</definedName>
    <definedName name="_lbc32" localSheetId="21" hidden="1">#REF!</definedName>
    <definedName name="_lbc32" localSheetId="24" hidden="1">#REF!</definedName>
    <definedName name="_lbc32" localSheetId="22" hidden="1">#REF!</definedName>
    <definedName name="_lbc32" localSheetId="20" hidden="1">#REF!</definedName>
    <definedName name="_lbc32" hidden="1">#REF!</definedName>
    <definedName name="_lbc4" localSheetId="19" hidden="1">#REF!</definedName>
    <definedName name="_lbc4" localSheetId="16" hidden="1">#REF!</definedName>
    <definedName name="_lbc4" localSheetId="7" hidden="1">#REF!</definedName>
    <definedName name="_lbc4" localSheetId="15" hidden="1">#REF!</definedName>
    <definedName name="_lbc4" localSheetId="14" hidden="1">#REF!</definedName>
    <definedName name="_lbc4" localSheetId="17" hidden="1">#REF!</definedName>
    <definedName name="_lbc4" localSheetId="18" hidden="1">#REF!</definedName>
    <definedName name="_lbc4" localSheetId="21" hidden="1">#REF!</definedName>
    <definedName name="_lbc4" localSheetId="24" hidden="1">#REF!</definedName>
    <definedName name="_lbc4" localSheetId="22" hidden="1">#REF!</definedName>
    <definedName name="_lbc4" localSheetId="20" hidden="1">#REF!</definedName>
    <definedName name="_lbc4" hidden="1">#REF!</definedName>
    <definedName name="_lbc5" localSheetId="19" hidden="1">#REF!</definedName>
    <definedName name="_lbc5" localSheetId="16" hidden="1">#REF!</definedName>
    <definedName name="_lbc5" localSheetId="7" hidden="1">#REF!</definedName>
    <definedName name="_lbc5" localSheetId="15" hidden="1">#REF!</definedName>
    <definedName name="_lbc5" localSheetId="14" hidden="1">#REF!</definedName>
    <definedName name="_lbc5" localSheetId="17" hidden="1">#REF!</definedName>
    <definedName name="_lbc5" localSheetId="18" hidden="1">#REF!</definedName>
    <definedName name="_lbc5" localSheetId="21" hidden="1">#REF!</definedName>
    <definedName name="_lbc5" localSheetId="24" hidden="1">#REF!</definedName>
    <definedName name="_lbc5" localSheetId="22" hidden="1">#REF!</definedName>
    <definedName name="_lbc5" localSheetId="20" hidden="1">#REF!</definedName>
    <definedName name="_lbc5" hidden="1">#REF!</definedName>
    <definedName name="_lbc6" localSheetId="19" hidden="1">#REF!</definedName>
    <definedName name="_lbc6" localSheetId="16" hidden="1">#REF!</definedName>
    <definedName name="_lbc6" localSheetId="7" hidden="1">#REF!</definedName>
    <definedName name="_lbc6" localSheetId="15" hidden="1">#REF!</definedName>
    <definedName name="_lbc6" localSheetId="14" hidden="1">#REF!</definedName>
    <definedName name="_lbc6" localSheetId="17" hidden="1">#REF!</definedName>
    <definedName name="_lbc6" localSheetId="18" hidden="1">#REF!</definedName>
    <definedName name="_lbc6" localSheetId="21" hidden="1">#REF!</definedName>
    <definedName name="_lbc6" localSheetId="24" hidden="1">#REF!</definedName>
    <definedName name="_lbc6" localSheetId="22" hidden="1">#REF!</definedName>
    <definedName name="_lbc6" localSheetId="20" hidden="1">#REF!</definedName>
    <definedName name="_lbc6" hidden="1">#REF!</definedName>
    <definedName name="_lbc7" localSheetId="19" hidden="1">#REF!</definedName>
    <definedName name="_lbc7" localSheetId="16" hidden="1">#REF!</definedName>
    <definedName name="_lbc7" localSheetId="7" hidden="1">#REF!</definedName>
    <definedName name="_lbc7" localSheetId="15" hidden="1">#REF!</definedName>
    <definedName name="_lbc7" localSheetId="14" hidden="1">#REF!</definedName>
    <definedName name="_lbc7" localSheetId="17" hidden="1">#REF!</definedName>
    <definedName name="_lbc7" localSheetId="18" hidden="1">#REF!</definedName>
    <definedName name="_lbc7" localSheetId="21" hidden="1">#REF!</definedName>
    <definedName name="_lbc7" localSheetId="24" hidden="1">#REF!</definedName>
    <definedName name="_lbc7" localSheetId="22" hidden="1">#REF!</definedName>
    <definedName name="_lbc7" localSheetId="20" hidden="1">#REF!</definedName>
    <definedName name="_lbc7" hidden="1">#REF!</definedName>
    <definedName name="_lbc8" localSheetId="19" hidden="1">#REF!</definedName>
    <definedName name="_lbc8" localSheetId="16" hidden="1">#REF!</definedName>
    <definedName name="_lbc8" localSheetId="7" hidden="1">#REF!</definedName>
    <definedName name="_lbc8" localSheetId="15" hidden="1">#REF!</definedName>
    <definedName name="_lbc8" localSheetId="14" hidden="1">#REF!</definedName>
    <definedName name="_lbc8" localSheetId="17" hidden="1">#REF!</definedName>
    <definedName name="_lbc8" localSheetId="18" hidden="1">#REF!</definedName>
    <definedName name="_lbc8" localSheetId="21" hidden="1">#REF!</definedName>
    <definedName name="_lbc8" localSheetId="24" hidden="1">#REF!</definedName>
    <definedName name="_lbc8" localSheetId="22" hidden="1">#REF!</definedName>
    <definedName name="_lbc8" localSheetId="20" hidden="1">#REF!</definedName>
    <definedName name="_lbc8" hidden="1">#REF!</definedName>
    <definedName name="_lbc9" localSheetId="19" hidden="1">#REF!</definedName>
    <definedName name="_lbc9" localSheetId="16" hidden="1">#REF!</definedName>
    <definedName name="_lbc9" localSheetId="7" hidden="1">#REF!</definedName>
    <definedName name="_lbc9" localSheetId="15" hidden="1">#REF!</definedName>
    <definedName name="_lbc9" localSheetId="14" hidden="1">#REF!</definedName>
    <definedName name="_lbc9" localSheetId="17" hidden="1">#REF!</definedName>
    <definedName name="_lbc9" localSheetId="18" hidden="1">#REF!</definedName>
    <definedName name="_lbc9" localSheetId="21" hidden="1">#REF!</definedName>
    <definedName name="_lbc9" localSheetId="24" hidden="1">#REF!</definedName>
    <definedName name="_lbc9" localSheetId="22" hidden="1">#REF!</definedName>
    <definedName name="_lbc9" localSheetId="20" hidden="1">#REF!</definedName>
    <definedName name="_lbc9" hidden="1">#REF!</definedName>
    <definedName name="_ld26" localSheetId="19" hidden="1">#REF!</definedName>
    <definedName name="_ld26" localSheetId="16" hidden="1">#REF!</definedName>
    <definedName name="_ld26" localSheetId="7" hidden="1">#REF!</definedName>
    <definedName name="_ld26" localSheetId="15" hidden="1">#REF!</definedName>
    <definedName name="_ld26" localSheetId="14" hidden="1">#REF!</definedName>
    <definedName name="_ld26" localSheetId="17" hidden="1">#REF!</definedName>
    <definedName name="_ld26" localSheetId="18" hidden="1">#REF!</definedName>
    <definedName name="_ld26" localSheetId="21" hidden="1">#REF!</definedName>
    <definedName name="_ld26" localSheetId="24" hidden="1">#REF!</definedName>
    <definedName name="_ld26" localSheetId="22" hidden="1">#REF!</definedName>
    <definedName name="_ld26" localSheetId="20" hidden="1">#REF!</definedName>
    <definedName name="_ld26" hidden="1">#REF!</definedName>
    <definedName name="_ld31" localSheetId="19" hidden="1">#REF!</definedName>
    <definedName name="_ld31" localSheetId="16" hidden="1">#REF!</definedName>
    <definedName name="_ld31" localSheetId="7" hidden="1">#REF!</definedName>
    <definedName name="_ld31" localSheetId="15" hidden="1">#REF!</definedName>
    <definedName name="_ld31" localSheetId="14" hidden="1">#REF!</definedName>
    <definedName name="_ld31" localSheetId="17" hidden="1">#REF!</definedName>
    <definedName name="_ld31" localSheetId="18" hidden="1">#REF!</definedName>
    <definedName name="_ld31" localSheetId="21" hidden="1">#REF!</definedName>
    <definedName name="_ld31" localSheetId="24" hidden="1">#REF!</definedName>
    <definedName name="_ld31" localSheetId="22" hidden="1">#REF!</definedName>
    <definedName name="_ld31" localSheetId="20" hidden="1">#REF!</definedName>
    <definedName name="_ld31" hidden="1">#REF!</definedName>
    <definedName name="_le31" localSheetId="19" hidden="1">#REF!</definedName>
    <definedName name="_le31" localSheetId="16" hidden="1">#REF!</definedName>
    <definedName name="_le31" localSheetId="7" hidden="1">#REF!</definedName>
    <definedName name="_le31" localSheetId="15" hidden="1">#REF!</definedName>
    <definedName name="_le31" localSheetId="14" hidden="1">#REF!</definedName>
    <definedName name="_le31" localSheetId="17" hidden="1">#REF!</definedName>
    <definedName name="_le31" localSheetId="18" hidden="1">#REF!</definedName>
    <definedName name="_le31" localSheetId="21" hidden="1">#REF!</definedName>
    <definedName name="_le31" localSheetId="24" hidden="1">#REF!</definedName>
    <definedName name="_le31" localSheetId="22" hidden="1">#REF!</definedName>
    <definedName name="_le31" localSheetId="20" hidden="1">#REF!</definedName>
    <definedName name="_le31" hidden="1">#REF!</definedName>
    <definedName name="_lf31" localSheetId="19" hidden="1">#REF!</definedName>
    <definedName name="_lf31" localSheetId="16" hidden="1">#REF!</definedName>
    <definedName name="_lf31" localSheetId="7" hidden="1">#REF!</definedName>
    <definedName name="_lf31" localSheetId="15" hidden="1">#REF!</definedName>
    <definedName name="_lf31" localSheetId="14" hidden="1">#REF!</definedName>
    <definedName name="_lf31" localSheetId="17" hidden="1">#REF!</definedName>
    <definedName name="_lf31" localSheetId="18" hidden="1">#REF!</definedName>
    <definedName name="_lf31" localSheetId="21" hidden="1">#REF!</definedName>
    <definedName name="_lf31" localSheetId="24" hidden="1">#REF!</definedName>
    <definedName name="_lf31" localSheetId="22" hidden="1">#REF!</definedName>
    <definedName name="_lf31" localSheetId="20" hidden="1">#REF!</definedName>
    <definedName name="_lf31" hidden="1">#REF!</definedName>
    <definedName name="_Order1" hidden="1">255</definedName>
    <definedName name="_Order2" hidden="1">255</definedName>
    <definedName name="_out2008" hidden="1">{#N/A,#N/A,TRUE,"Serviços"}</definedName>
    <definedName name="_OUT98" hidden="1">{#N/A,#N/A,TRUE,"Serviços"}</definedName>
    <definedName name="_OUT98_" hidden="1">{#N/A,#N/A,TRUE,"Serviços"}</definedName>
    <definedName name="_OUTTTT9888" hidden="1">{#N/A,#N/A,TRUE,"Serviços"}</definedName>
    <definedName name="_Parse_On" localSheetId="19" hidden="1">#REF!</definedName>
    <definedName name="_Parse_On" localSheetId="16" hidden="1">#REF!</definedName>
    <definedName name="_Parse_On" localSheetId="15" hidden="1">#REF!</definedName>
    <definedName name="_Parse_On" localSheetId="14" hidden="1">#REF!</definedName>
    <definedName name="_Parse_On" localSheetId="17" hidden="1">#REF!</definedName>
    <definedName name="_Parse_On" localSheetId="18" hidden="1">#REF!</definedName>
    <definedName name="_Parse_On" localSheetId="21" hidden="1">#REF!</definedName>
    <definedName name="_Parse_On" localSheetId="24" hidden="1">#REF!</definedName>
    <definedName name="_Parse_On" localSheetId="22" hidden="1">#REF!</definedName>
    <definedName name="_Parse_On" localSheetId="20" hidden="1">#REF!</definedName>
    <definedName name="_Parse_On" hidden="1">#REF!</definedName>
    <definedName name="_Parse_Out" localSheetId="19" hidden="1">#REF!</definedName>
    <definedName name="_Parse_Out" localSheetId="16" hidden="1">#REF!</definedName>
    <definedName name="_Parse_Out" localSheetId="15" hidden="1">#REF!</definedName>
    <definedName name="_Parse_Out" localSheetId="14" hidden="1">#REF!</definedName>
    <definedName name="_Parse_Out" localSheetId="17" hidden="1">#REF!</definedName>
    <definedName name="_Parse_Out" localSheetId="18" hidden="1">#REF!</definedName>
    <definedName name="_Parse_Out" localSheetId="21" hidden="1">#REF!</definedName>
    <definedName name="_Parse_Out" localSheetId="24" hidden="1">#REF!</definedName>
    <definedName name="_Parse_Out" localSheetId="22" hidden="1">#REF!</definedName>
    <definedName name="_Parse_Out" localSheetId="20" hidden="1">#REF!</definedName>
    <definedName name="_Parse_Out" hidden="1">#REF!</definedName>
    <definedName name="_Regression_Int" hidden="1">1</definedName>
    <definedName name="_S" localSheetId="19">#REF!</definedName>
    <definedName name="_S" localSheetId="16">#REF!</definedName>
    <definedName name="_S" localSheetId="15">#REF!</definedName>
    <definedName name="_S" localSheetId="14">#REF!</definedName>
    <definedName name="_S" localSheetId="17">#REF!</definedName>
    <definedName name="_S" localSheetId="18">#REF!</definedName>
    <definedName name="_S" localSheetId="21">#REF!</definedName>
    <definedName name="_S" localSheetId="24">#REF!</definedName>
    <definedName name="_S" localSheetId="22">#REF!</definedName>
    <definedName name="_S" localSheetId="20">#REF!</definedName>
    <definedName name="_S">#REF!</definedName>
    <definedName name="_sjp4" localSheetId="19">#REF!</definedName>
    <definedName name="_sjp4" localSheetId="16">#REF!</definedName>
    <definedName name="_sjp4" localSheetId="7">#REF!</definedName>
    <definedName name="_sjp4" localSheetId="15">#REF!</definedName>
    <definedName name="_sjp4" localSheetId="14">#REF!</definedName>
    <definedName name="_sjp4" localSheetId="17">#REF!</definedName>
    <definedName name="_sjp4" localSheetId="18">#REF!</definedName>
    <definedName name="_sjp4" localSheetId="21">#REF!</definedName>
    <definedName name="_sjp4" localSheetId="24">#REF!</definedName>
    <definedName name="_sjp4" localSheetId="22">#REF!</definedName>
    <definedName name="_sjp4" localSheetId="20">#REF!</definedName>
    <definedName name="_sjp4">#REF!</definedName>
    <definedName name="_Sort" localSheetId="19" hidden="1">#REF!</definedName>
    <definedName name="_Sort" localSheetId="16" hidden="1">#REF!</definedName>
    <definedName name="_Sort" localSheetId="15" hidden="1">#REF!</definedName>
    <definedName name="_Sort" localSheetId="14" hidden="1">#REF!</definedName>
    <definedName name="_Sort" localSheetId="17" hidden="1">#REF!</definedName>
    <definedName name="_Sort" localSheetId="18" hidden="1">#REF!</definedName>
    <definedName name="_Sort" localSheetId="21" hidden="1">#REF!</definedName>
    <definedName name="_Sort" localSheetId="24" hidden="1">#REF!</definedName>
    <definedName name="_Sort" localSheetId="22" hidden="1">#REF!</definedName>
    <definedName name="_Sort" localSheetId="20" hidden="1">#REF!</definedName>
    <definedName name="_Sort" hidden="1">#REF!</definedName>
    <definedName name="_Table1_In1" localSheetId="19" hidden="1">#REF!</definedName>
    <definedName name="_Table1_In1" localSheetId="16" hidden="1">#REF!</definedName>
    <definedName name="_Table1_In1" localSheetId="15" hidden="1">#REF!</definedName>
    <definedName name="_Table1_In1" localSheetId="14" hidden="1">#REF!</definedName>
    <definedName name="_Table1_In1" localSheetId="17" hidden="1">#REF!</definedName>
    <definedName name="_Table1_In1" localSheetId="18" hidden="1">#REF!</definedName>
    <definedName name="_Table1_In1" localSheetId="21" hidden="1">#REF!</definedName>
    <definedName name="_Table1_In1" localSheetId="24" hidden="1">#REF!</definedName>
    <definedName name="_Table1_In1" localSheetId="22" hidden="1">#REF!</definedName>
    <definedName name="_Table1_In1" localSheetId="20" hidden="1">#REF!</definedName>
    <definedName name="_Table1_In1" hidden="1">#REF!</definedName>
    <definedName name="_Table1_Out" localSheetId="19" hidden="1">#REF!</definedName>
    <definedName name="_Table1_Out" localSheetId="16" hidden="1">#REF!</definedName>
    <definedName name="_Table1_Out" localSheetId="15" hidden="1">#REF!</definedName>
    <definedName name="_Table1_Out" localSheetId="14" hidden="1">#REF!</definedName>
    <definedName name="_Table1_Out" localSheetId="17" hidden="1">#REF!</definedName>
    <definedName name="_Table1_Out" localSheetId="18" hidden="1">#REF!</definedName>
    <definedName name="_Table1_Out" localSheetId="21" hidden="1">#REF!</definedName>
    <definedName name="_Table1_Out" localSheetId="24" hidden="1">#REF!</definedName>
    <definedName name="_Table1_Out" localSheetId="22" hidden="1">#REF!</definedName>
    <definedName name="_Table1_Out" localSheetId="20" hidden="1">#REF!</definedName>
    <definedName name="_Table1_Out" hidden="1">#REF!</definedName>
    <definedName name="_Table2_In1" localSheetId="19" hidden="1">#REF!</definedName>
    <definedName name="_Table2_In1" localSheetId="16" hidden="1">#REF!</definedName>
    <definedName name="_Table2_In1" localSheetId="15" hidden="1">#REF!</definedName>
    <definedName name="_Table2_In1" localSheetId="14" hidden="1">#REF!</definedName>
    <definedName name="_Table2_In1" localSheetId="17" hidden="1">#REF!</definedName>
    <definedName name="_Table2_In1" localSheetId="18" hidden="1">#REF!</definedName>
    <definedName name="_Table2_In1" localSheetId="21" hidden="1">#REF!</definedName>
    <definedName name="_Table2_In1" localSheetId="24" hidden="1">#REF!</definedName>
    <definedName name="_Table2_In1" localSheetId="22" hidden="1">#REF!</definedName>
    <definedName name="_Table2_In1" localSheetId="20" hidden="1">#REF!</definedName>
    <definedName name="_Table2_In1" hidden="1">#REF!</definedName>
    <definedName name="_Table2_In2" localSheetId="19" hidden="1">#REF!</definedName>
    <definedName name="_Table2_In2" localSheetId="16" hidden="1">#REF!</definedName>
    <definedName name="_Table2_In2" localSheetId="15" hidden="1">#REF!</definedName>
    <definedName name="_Table2_In2" localSheetId="14" hidden="1">#REF!</definedName>
    <definedName name="_Table2_In2" localSheetId="17" hidden="1">#REF!</definedName>
    <definedName name="_Table2_In2" localSheetId="18" hidden="1">#REF!</definedName>
    <definedName name="_Table2_In2" localSheetId="21" hidden="1">#REF!</definedName>
    <definedName name="_Table2_In2" localSheetId="24" hidden="1">#REF!</definedName>
    <definedName name="_Table2_In2" localSheetId="22" hidden="1">#REF!</definedName>
    <definedName name="_Table2_In2" localSheetId="20" hidden="1">#REF!</definedName>
    <definedName name="_Table2_In2" hidden="1">#REF!</definedName>
    <definedName name="_Table2_Out" localSheetId="19" hidden="1">#REF!</definedName>
    <definedName name="_Table2_Out" localSheetId="16" hidden="1">#REF!</definedName>
    <definedName name="_Table2_Out" localSheetId="15" hidden="1">#REF!</definedName>
    <definedName name="_Table2_Out" localSheetId="14" hidden="1">#REF!</definedName>
    <definedName name="_Table2_Out" localSheetId="17" hidden="1">#REF!</definedName>
    <definedName name="_Table2_Out" localSheetId="18" hidden="1">#REF!</definedName>
    <definedName name="_Table2_Out" localSheetId="21" hidden="1">#REF!</definedName>
    <definedName name="_Table2_Out" localSheetId="24" hidden="1">#REF!</definedName>
    <definedName name="_Table2_Out" localSheetId="22" hidden="1">#REF!</definedName>
    <definedName name="_Table2_Out" localSheetId="20" hidden="1">#REF!</definedName>
    <definedName name="_Table2_Out" hidden="1">#REF!</definedName>
    <definedName name="_TT1" localSheetId="19">#REF!</definedName>
    <definedName name="_TT1" localSheetId="16">#REF!</definedName>
    <definedName name="_TT1" localSheetId="7">#REF!</definedName>
    <definedName name="_TT1" localSheetId="15">#REF!</definedName>
    <definedName name="_TT1" localSheetId="14">#REF!</definedName>
    <definedName name="_TT1" localSheetId="17">#REF!</definedName>
    <definedName name="_TT1" localSheetId="18">#REF!</definedName>
    <definedName name="_TT1" localSheetId="21">#REF!</definedName>
    <definedName name="_TT1" localSheetId="24">#REF!</definedName>
    <definedName name="_TT1" localSheetId="22">#REF!</definedName>
    <definedName name="_TT1" localSheetId="20">#REF!</definedName>
    <definedName name="_TT1">#REF!</definedName>
    <definedName name="_TT2" localSheetId="19">#REF!</definedName>
    <definedName name="_TT2" localSheetId="16">#REF!</definedName>
    <definedName name="_TT2" localSheetId="7">#REF!</definedName>
    <definedName name="_TT2" localSheetId="15">#REF!</definedName>
    <definedName name="_TT2" localSheetId="14">#REF!</definedName>
    <definedName name="_TT2" localSheetId="17">#REF!</definedName>
    <definedName name="_TT2" localSheetId="18">#REF!</definedName>
    <definedName name="_TT2" localSheetId="21">#REF!</definedName>
    <definedName name="_TT2" localSheetId="24">#REF!</definedName>
    <definedName name="_TT2" localSheetId="22">#REF!</definedName>
    <definedName name="_TT2" localSheetId="20">#REF!</definedName>
    <definedName name="_TT2">#REF!</definedName>
    <definedName name="_TT4" localSheetId="19">#REF!</definedName>
    <definedName name="_TT4" localSheetId="16">#REF!</definedName>
    <definedName name="_TT4" localSheetId="7">#REF!</definedName>
    <definedName name="_TT4" localSheetId="15">#REF!</definedName>
    <definedName name="_TT4" localSheetId="14">#REF!</definedName>
    <definedName name="_TT4" localSheetId="17">#REF!</definedName>
    <definedName name="_TT4" localSheetId="18">#REF!</definedName>
    <definedName name="_TT4" localSheetId="21">#REF!</definedName>
    <definedName name="_TT4" localSheetId="24">#REF!</definedName>
    <definedName name="_TT4" localSheetId="22">#REF!</definedName>
    <definedName name="_TT4" localSheetId="20">#REF!</definedName>
    <definedName name="_TT4">#REF!</definedName>
    <definedName name="_TT5" localSheetId="19">#REF!</definedName>
    <definedName name="_TT5" localSheetId="16">#REF!</definedName>
    <definedName name="_TT5" localSheetId="7">#REF!</definedName>
    <definedName name="_TT5" localSheetId="15">#REF!</definedName>
    <definedName name="_TT5" localSheetId="14">#REF!</definedName>
    <definedName name="_TT5" localSheetId="17">#REF!</definedName>
    <definedName name="_TT5" localSheetId="18">#REF!</definedName>
    <definedName name="_TT5" localSheetId="21">#REF!</definedName>
    <definedName name="_TT5" localSheetId="24">#REF!</definedName>
    <definedName name="_TT5" localSheetId="22">#REF!</definedName>
    <definedName name="_TT5" localSheetId="20">#REF!</definedName>
    <definedName name="_TT5">#REF!</definedName>
    <definedName name="_v3" localSheetId="19" hidden="1">#REF!</definedName>
    <definedName name="_v3" localSheetId="16" hidden="1">#REF!</definedName>
    <definedName name="_v3" localSheetId="7" hidden="1">#REF!</definedName>
    <definedName name="_v3" localSheetId="15" hidden="1">#REF!</definedName>
    <definedName name="_v3" localSheetId="14" hidden="1">#REF!</definedName>
    <definedName name="_v3" localSheetId="17" hidden="1">#REF!</definedName>
    <definedName name="_v3" localSheetId="18" hidden="1">#REF!</definedName>
    <definedName name="_v3" localSheetId="21" hidden="1">#REF!</definedName>
    <definedName name="_v3" localSheetId="24" hidden="1">#REF!</definedName>
    <definedName name="_v3" localSheetId="22" hidden="1">#REF!</definedName>
    <definedName name="_v3" localSheetId="20" hidden="1">#REF!</definedName>
    <definedName name="_v3" hidden="1">#REF!</definedName>
    <definedName name="_x13" localSheetId="19" hidden="1">#REF!</definedName>
    <definedName name="_x13" localSheetId="16" hidden="1">#REF!</definedName>
    <definedName name="_x13" localSheetId="7" hidden="1">#REF!</definedName>
    <definedName name="_x13" localSheetId="15" hidden="1">#REF!</definedName>
    <definedName name="_x13" localSheetId="14" hidden="1">#REF!</definedName>
    <definedName name="_x13" localSheetId="17" hidden="1">#REF!</definedName>
    <definedName name="_x13" localSheetId="18" hidden="1">#REF!</definedName>
    <definedName name="_x13" localSheetId="21" hidden="1">#REF!</definedName>
    <definedName name="_x13" localSheetId="24" hidden="1">#REF!</definedName>
    <definedName name="_x13" localSheetId="22" hidden="1">#REF!</definedName>
    <definedName name="_x13" localSheetId="20" hidden="1">#REF!</definedName>
    <definedName name="_x13" hidden="1">#REF!</definedName>
    <definedName name="_x14" localSheetId="19" hidden="1">#REF!</definedName>
    <definedName name="_x14" localSheetId="16" hidden="1">#REF!</definedName>
    <definedName name="_x14" localSheetId="7" hidden="1">#REF!</definedName>
    <definedName name="_x14" localSheetId="15" hidden="1">#REF!</definedName>
    <definedName name="_x14" localSheetId="14" hidden="1">#REF!</definedName>
    <definedName name="_x14" localSheetId="17" hidden="1">#REF!</definedName>
    <definedName name="_x14" localSheetId="18" hidden="1">#REF!</definedName>
    <definedName name="_x14" localSheetId="21" hidden="1">#REF!</definedName>
    <definedName name="_x14" localSheetId="24" hidden="1">#REF!</definedName>
    <definedName name="_x14" localSheetId="22" hidden="1">#REF!</definedName>
    <definedName name="_x14" localSheetId="20" hidden="1">#REF!</definedName>
    <definedName name="_x14" hidden="1">#REF!</definedName>
    <definedName name="_x15" localSheetId="19" hidden="1">#REF!</definedName>
    <definedName name="_x15" localSheetId="16" hidden="1">#REF!</definedName>
    <definedName name="_x15" localSheetId="7" hidden="1">#REF!</definedName>
    <definedName name="_x15" localSheetId="15" hidden="1">#REF!</definedName>
    <definedName name="_x15" localSheetId="14" hidden="1">#REF!</definedName>
    <definedName name="_x15" localSheetId="17" hidden="1">#REF!</definedName>
    <definedName name="_x15" localSheetId="18" hidden="1">#REF!</definedName>
    <definedName name="_x15" localSheetId="21" hidden="1">#REF!</definedName>
    <definedName name="_x15" localSheetId="24" hidden="1">#REF!</definedName>
    <definedName name="_x15" localSheetId="22" hidden="1">#REF!</definedName>
    <definedName name="_x15" localSheetId="20" hidden="1">#REF!</definedName>
    <definedName name="_x15" hidden="1">#REF!</definedName>
    <definedName name="_x16" localSheetId="19" hidden="1">#REF!</definedName>
    <definedName name="_x16" localSheetId="16" hidden="1">#REF!</definedName>
    <definedName name="_x16" localSheetId="7" hidden="1">#REF!</definedName>
    <definedName name="_x16" localSheetId="15" hidden="1">#REF!</definedName>
    <definedName name="_x16" localSheetId="14" hidden="1">#REF!</definedName>
    <definedName name="_x16" localSheetId="17" hidden="1">#REF!</definedName>
    <definedName name="_x16" localSheetId="18" hidden="1">#REF!</definedName>
    <definedName name="_x16" localSheetId="21" hidden="1">#REF!</definedName>
    <definedName name="_x16" localSheetId="24" hidden="1">#REF!</definedName>
    <definedName name="_x16" localSheetId="22" hidden="1">#REF!</definedName>
    <definedName name="_x16" localSheetId="20" hidden="1">#REF!</definedName>
    <definedName name="_x16" hidden="1">#REF!</definedName>
    <definedName name="_x17" localSheetId="19" hidden="1">#REF!</definedName>
    <definedName name="_x17" localSheetId="16" hidden="1">#REF!</definedName>
    <definedName name="_x17" localSheetId="7" hidden="1">#REF!</definedName>
    <definedName name="_x17" localSheetId="15" hidden="1">#REF!</definedName>
    <definedName name="_x17" localSheetId="14" hidden="1">#REF!</definedName>
    <definedName name="_x17" localSheetId="17" hidden="1">#REF!</definedName>
    <definedName name="_x17" localSheetId="18" hidden="1">#REF!</definedName>
    <definedName name="_x17" localSheetId="21" hidden="1">#REF!</definedName>
    <definedName name="_x17" localSheetId="24" hidden="1">#REF!</definedName>
    <definedName name="_x17" localSheetId="22" hidden="1">#REF!</definedName>
    <definedName name="_x17" localSheetId="20" hidden="1">#REF!</definedName>
    <definedName name="_x17" hidden="1">#REF!</definedName>
    <definedName name="_x18" localSheetId="19" hidden="1">#REF!</definedName>
    <definedName name="_x18" localSheetId="16" hidden="1">#REF!</definedName>
    <definedName name="_x18" localSheetId="7" hidden="1">#REF!</definedName>
    <definedName name="_x18" localSheetId="15" hidden="1">#REF!</definedName>
    <definedName name="_x18" localSheetId="14" hidden="1">#REF!</definedName>
    <definedName name="_x18" localSheetId="17" hidden="1">#REF!</definedName>
    <definedName name="_x18" localSheetId="18" hidden="1">#REF!</definedName>
    <definedName name="_x18" localSheetId="21" hidden="1">#REF!</definedName>
    <definedName name="_x18" localSheetId="24" hidden="1">#REF!</definedName>
    <definedName name="_x18" localSheetId="22" hidden="1">#REF!</definedName>
    <definedName name="_x18" localSheetId="20" hidden="1">#REF!</definedName>
    <definedName name="_x18" hidden="1">#REF!</definedName>
    <definedName name="_x19" localSheetId="19" hidden="1">#REF!</definedName>
    <definedName name="_x19" localSheetId="16" hidden="1">#REF!</definedName>
    <definedName name="_x19" localSheetId="7" hidden="1">#REF!</definedName>
    <definedName name="_x19" localSheetId="15" hidden="1">#REF!</definedName>
    <definedName name="_x19" localSheetId="14" hidden="1">#REF!</definedName>
    <definedName name="_x19" localSheetId="17" hidden="1">#REF!</definedName>
    <definedName name="_x19" localSheetId="18" hidden="1">#REF!</definedName>
    <definedName name="_x19" localSheetId="21" hidden="1">#REF!</definedName>
    <definedName name="_x19" localSheetId="24" hidden="1">#REF!</definedName>
    <definedName name="_x19" localSheetId="22" hidden="1">#REF!</definedName>
    <definedName name="_x19" localSheetId="20" hidden="1">#REF!</definedName>
    <definedName name="_x19" hidden="1">#REF!</definedName>
    <definedName name="_x20" localSheetId="19" hidden="1">#REF!</definedName>
    <definedName name="_x20" localSheetId="16" hidden="1">#REF!</definedName>
    <definedName name="_x20" localSheetId="7" hidden="1">#REF!</definedName>
    <definedName name="_x20" localSheetId="15" hidden="1">#REF!</definedName>
    <definedName name="_x20" localSheetId="14" hidden="1">#REF!</definedName>
    <definedName name="_x20" localSheetId="17" hidden="1">#REF!</definedName>
    <definedName name="_x20" localSheetId="18" hidden="1">#REF!</definedName>
    <definedName name="_x20" localSheetId="21" hidden="1">#REF!</definedName>
    <definedName name="_x20" localSheetId="24" hidden="1">#REF!</definedName>
    <definedName name="_x20" localSheetId="22" hidden="1">#REF!</definedName>
    <definedName name="_x20" localSheetId="20" hidden="1">#REF!</definedName>
    <definedName name="_x20" hidden="1">#REF!</definedName>
    <definedName name="_x21" localSheetId="19" hidden="1">#REF!</definedName>
    <definedName name="_x21" localSheetId="16" hidden="1">#REF!</definedName>
    <definedName name="_x21" localSheetId="7" hidden="1">#REF!</definedName>
    <definedName name="_x21" localSheetId="15" hidden="1">#REF!</definedName>
    <definedName name="_x21" localSheetId="14" hidden="1">#REF!</definedName>
    <definedName name="_x21" localSheetId="17" hidden="1">#REF!</definedName>
    <definedName name="_x21" localSheetId="18" hidden="1">#REF!</definedName>
    <definedName name="_x21" localSheetId="21" hidden="1">#REF!</definedName>
    <definedName name="_x21" localSheetId="24" hidden="1">#REF!</definedName>
    <definedName name="_x21" localSheetId="22" hidden="1">#REF!</definedName>
    <definedName name="_x21" localSheetId="20" hidden="1">#REF!</definedName>
    <definedName name="_x21" hidden="1">#REF!</definedName>
    <definedName name="_x22" localSheetId="19" hidden="1">#REF!</definedName>
    <definedName name="_x22" localSheetId="16" hidden="1">#REF!</definedName>
    <definedName name="_x22" localSheetId="7" hidden="1">#REF!</definedName>
    <definedName name="_x22" localSheetId="15" hidden="1">#REF!</definedName>
    <definedName name="_x22" localSheetId="14" hidden="1">#REF!</definedName>
    <definedName name="_x22" localSheetId="17" hidden="1">#REF!</definedName>
    <definedName name="_x22" localSheetId="18" hidden="1">#REF!</definedName>
    <definedName name="_x22" localSheetId="21" hidden="1">#REF!</definedName>
    <definedName name="_x22" localSheetId="24" hidden="1">#REF!</definedName>
    <definedName name="_x22" localSheetId="22" hidden="1">#REF!</definedName>
    <definedName name="_x22" localSheetId="20" hidden="1">#REF!</definedName>
    <definedName name="_x22" hidden="1">#REF!</definedName>
    <definedName name="_x23" localSheetId="19" hidden="1">#REF!</definedName>
    <definedName name="_x23" localSheetId="16" hidden="1">#REF!</definedName>
    <definedName name="_x23" localSheetId="7" hidden="1">#REF!</definedName>
    <definedName name="_x23" localSheetId="15" hidden="1">#REF!</definedName>
    <definedName name="_x23" localSheetId="14" hidden="1">#REF!</definedName>
    <definedName name="_x23" localSheetId="17" hidden="1">#REF!</definedName>
    <definedName name="_x23" localSheetId="18" hidden="1">#REF!</definedName>
    <definedName name="_x23" localSheetId="21" hidden="1">#REF!</definedName>
    <definedName name="_x23" localSheetId="24" hidden="1">#REF!</definedName>
    <definedName name="_x23" localSheetId="22" hidden="1">#REF!</definedName>
    <definedName name="_x23" localSheetId="20" hidden="1">#REF!</definedName>
    <definedName name="_x23" hidden="1">#REF!</definedName>
    <definedName name="_x24" localSheetId="19" hidden="1">#REF!</definedName>
    <definedName name="_x24" localSheetId="16" hidden="1">#REF!</definedName>
    <definedName name="_x24" localSheetId="7" hidden="1">#REF!</definedName>
    <definedName name="_x24" localSheetId="15" hidden="1">#REF!</definedName>
    <definedName name="_x24" localSheetId="14" hidden="1">#REF!</definedName>
    <definedName name="_x24" localSheetId="17" hidden="1">#REF!</definedName>
    <definedName name="_x24" localSheetId="18" hidden="1">#REF!</definedName>
    <definedName name="_x24" localSheetId="21" hidden="1">#REF!</definedName>
    <definedName name="_x24" localSheetId="24" hidden="1">#REF!</definedName>
    <definedName name="_x24" localSheetId="22" hidden="1">#REF!</definedName>
    <definedName name="_x24" localSheetId="20" hidden="1">#REF!</definedName>
    <definedName name="_x24" hidden="1">#REF!</definedName>
    <definedName name="_x25" localSheetId="19" hidden="1">#REF!</definedName>
    <definedName name="_x25" localSheetId="16" hidden="1">#REF!</definedName>
    <definedName name="_x25" localSheetId="7" hidden="1">#REF!</definedName>
    <definedName name="_x25" localSheetId="15" hidden="1">#REF!</definedName>
    <definedName name="_x25" localSheetId="14" hidden="1">#REF!</definedName>
    <definedName name="_x25" localSheetId="17" hidden="1">#REF!</definedName>
    <definedName name="_x25" localSheetId="18" hidden="1">#REF!</definedName>
    <definedName name="_x25" localSheetId="21" hidden="1">#REF!</definedName>
    <definedName name="_x25" localSheetId="24" hidden="1">#REF!</definedName>
    <definedName name="_x25" localSheetId="22" hidden="1">#REF!</definedName>
    <definedName name="_x25" localSheetId="20" hidden="1">#REF!</definedName>
    <definedName name="_x25" hidden="1">#REF!</definedName>
    <definedName name="_x28" localSheetId="19" hidden="1">#REF!</definedName>
    <definedName name="_x28" localSheetId="16" hidden="1">#REF!</definedName>
    <definedName name="_x28" localSheetId="7" hidden="1">#REF!</definedName>
    <definedName name="_x28" localSheetId="15" hidden="1">#REF!</definedName>
    <definedName name="_x28" localSheetId="14" hidden="1">#REF!</definedName>
    <definedName name="_x28" localSheetId="17" hidden="1">#REF!</definedName>
    <definedName name="_x28" localSheetId="18" hidden="1">#REF!</definedName>
    <definedName name="_x28" localSheetId="21" hidden="1">#REF!</definedName>
    <definedName name="_x28" localSheetId="24" hidden="1">#REF!</definedName>
    <definedName name="_x28" localSheetId="22" hidden="1">#REF!</definedName>
    <definedName name="_x28" localSheetId="20" hidden="1">#REF!</definedName>
    <definedName name="_x28" hidden="1">#REF!</definedName>
    <definedName name="_x29" localSheetId="19" hidden="1">#REF!</definedName>
    <definedName name="_x29" localSheetId="16" hidden="1">#REF!</definedName>
    <definedName name="_x29" localSheetId="7" hidden="1">#REF!</definedName>
    <definedName name="_x29" localSheetId="15" hidden="1">#REF!</definedName>
    <definedName name="_x29" localSheetId="14" hidden="1">#REF!</definedName>
    <definedName name="_x29" localSheetId="17" hidden="1">#REF!</definedName>
    <definedName name="_x29" localSheetId="18" hidden="1">#REF!</definedName>
    <definedName name="_x29" localSheetId="21" hidden="1">#REF!</definedName>
    <definedName name="_x29" localSheetId="24" hidden="1">#REF!</definedName>
    <definedName name="_x29" localSheetId="22" hidden="1">#REF!</definedName>
    <definedName name="_x29" localSheetId="20" hidden="1">#REF!</definedName>
    <definedName name="_x29" hidden="1">#REF!</definedName>
    <definedName name="_x32" localSheetId="19" hidden="1">#REF!</definedName>
    <definedName name="_x32" localSheetId="16" hidden="1">#REF!</definedName>
    <definedName name="_x32" localSheetId="7" hidden="1">#REF!</definedName>
    <definedName name="_x32" localSheetId="15" hidden="1">#REF!</definedName>
    <definedName name="_x32" localSheetId="14" hidden="1">#REF!</definedName>
    <definedName name="_x32" localSheetId="17" hidden="1">#REF!</definedName>
    <definedName name="_x32" localSheetId="18" hidden="1">#REF!</definedName>
    <definedName name="_x32" localSheetId="21" hidden="1">#REF!</definedName>
    <definedName name="_x32" localSheetId="24" hidden="1">#REF!</definedName>
    <definedName name="_x32" localSheetId="22" hidden="1">#REF!</definedName>
    <definedName name="_x32" localSheetId="20" hidden="1">#REF!</definedName>
    <definedName name="_x32" hidden="1">#REF!</definedName>
    <definedName name="_x4" localSheetId="19" hidden="1">#REF!</definedName>
    <definedName name="_x4" localSheetId="16" hidden="1">#REF!</definedName>
    <definedName name="_x4" localSheetId="7" hidden="1">#REF!</definedName>
    <definedName name="_x4" localSheetId="15" hidden="1">#REF!</definedName>
    <definedName name="_x4" localSheetId="14" hidden="1">#REF!</definedName>
    <definedName name="_x4" localSheetId="17" hidden="1">#REF!</definedName>
    <definedName name="_x4" localSheetId="18" hidden="1">#REF!</definedName>
    <definedName name="_x4" localSheetId="21" hidden="1">#REF!</definedName>
    <definedName name="_x4" localSheetId="24" hidden="1">#REF!</definedName>
    <definedName name="_x4" localSheetId="22" hidden="1">#REF!</definedName>
    <definedName name="_x4" localSheetId="20" hidden="1">#REF!</definedName>
    <definedName name="_x4" hidden="1">#REF!</definedName>
    <definedName name="_x5" localSheetId="19" hidden="1">#REF!</definedName>
    <definedName name="_x5" localSheetId="16" hidden="1">#REF!</definedName>
    <definedName name="_x5" localSheetId="7" hidden="1">#REF!</definedName>
    <definedName name="_x5" localSheetId="15" hidden="1">#REF!</definedName>
    <definedName name="_x5" localSheetId="14" hidden="1">#REF!</definedName>
    <definedName name="_x5" localSheetId="17" hidden="1">#REF!</definedName>
    <definedName name="_x5" localSheetId="18" hidden="1">#REF!</definedName>
    <definedName name="_x5" localSheetId="21" hidden="1">#REF!</definedName>
    <definedName name="_x5" localSheetId="24" hidden="1">#REF!</definedName>
    <definedName name="_x5" localSheetId="22" hidden="1">#REF!</definedName>
    <definedName name="_x5" localSheetId="20" hidden="1">#REF!</definedName>
    <definedName name="_x5" hidden="1">#REF!</definedName>
    <definedName name="_x6" localSheetId="19" hidden="1">#REF!</definedName>
    <definedName name="_x6" localSheetId="16" hidden="1">#REF!</definedName>
    <definedName name="_x6" localSheetId="7" hidden="1">#REF!</definedName>
    <definedName name="_x6" localSheetId="15" hidden="1">#REF!</definedName>
    <definedName name="_x6" localSheetId="14" hidden="1">#REF!</definedName>
    <definedName name="_x6" localSheetId="17" hidden="1">#REF!</definedName>
    <definedName name="_x6" localSheetId="18" hidden="1">#REF!</definedName>
    <definedName name="_x6" localSheetId="21" hidden="1">#REF!</definedName>
    <definedName name="_x6" localSheetId="24" hidden="1">#REF!</definedName>
    <definedName name="_x6" localSheetId="22" hidden="1">#REF!</definedName>
    <definedName name="_x6" localSheetId="20" hidden="1">#REF!</definedName>
    <definedName name="_x6" hidden="1">#REF!</definedName>
    <definedName name="_x7" localSheetId="19" hidden="1">#REF!</definedName>
    <definedName name="_x7" localSheetId="16" hidden="1">#REF!</definedName>
    <definedName name="_x7" localSheetId="7" hidden="1">#REF!</definedName>
    <definedName name="_x7" localSheetId="15" hidden="1">#REF!</definedName>
    <definedName name="_x7" localSheetId="14" hidden="1">#REF!</definedName>
    <definedName name="_x7" localSheetId="17" hidden="1">#REF!</definedName>
    <definedName name="_x7" localSheetId="18" hidden="1">#REF!</definedName>
    <definedName name="_x7" localSheetId="21" hidden="1">#REF!</definedName>
    <definedName name="_x7" localSheetId="24" hidden="1">#REF!</definedName>
    <definedName name="_x7" localSheetId="22" hidden="1">#REF!</definedName>
    <definedName name="_x7" localSheetId="20" hidden="1">#REF!</definedName>
    <definedName name="_x7" hidden="1">#REF!</definedName>
    <definedName name="_x8" localSheetId="19" hidden="1">#REF!</definedName>
    <definedName name="_x8" localSheetId="16" hidden="1">#REF!</definedName>
    <definedName name="_x8" localSheetId="7" hidden="1">#REF!</definedName>
    <definedName name="_x8" localSheetId="15" hidden="1">#REF!</definedName>
    <definedName name="_x8" localSheetId="14" hidden="1">#REF!</definedName>
    <definedName name="_x8" localSheetId="17" hidden="1">#REF!</definedName>
    <definedName name="_x8" localSheetId="18" hidden="1">#REF!</definedName>
    <definedName name="_x8" localSheetId="21" hidden="1">#REF!</definedName>
    <definedName name="_x8" localSheetId="24" hidden="1">#REF!</definedName>
    <definedName name="_x8" localSheetId="22" hidden="1">#REF!</definedName>
    <definedName name="_x8" localSheetId="20" hidden="1">#REF!</definedName>
    <definedName name="_x8" hidden="1">#REF!</definedName>
    <definedName name="_x9" localSheetId="19" hidden="1">#REF!</definedName>
    <definedName name="_x9" localSheetId="16" hidden="1">#REF!</definedName>
    <definedName name="_x9" localSheetId="7" hidden="1">#REF!</definedName>
    <definedName name="_x9" localSheetId="15" hidden="1">#REF!</definedName>
    <definedName name="_x9" localSheetId="14" hidden="1">#REF!</definedName>
    <definedName name="_x9" localSheetId="17" hidden="1">#REF!</definedName>
    <definedName name="_x9" localSheetId="18" hidden="1">#REF!</definedName>
    <definedName name="_x9" localSheetId="21" hidden="1">#REF!</definedName>
    <definedName name="_x9" localSheetId="24" hidden="1">#REF!</definedName>
    <definedName name="_x9" localSheetId="22" hidden="1">#REF!</definedName>
    <definedName name="_x9" localSheetId="20" hidden="1">#REF!</definedName>
    <definedName name="_x9" hidden="1">#REF!</definedName>
    <definedName name="a" localSheetId="19" hidden="1">#REF!</definedName>
    <definedName name="a" localSheetId="16" hidden="1">#REF!</definedName>
    <definedName name="a" localSheetId="15" hidden="1">#REF!</definedName>
    <definedName name="a" localSheetId="14" hidden="1">#REF!</definedName>
    <definedName name="a" localSheetId="17" hidden="1">#REF!</definedName>
    <definedName name="a" localSheetId="18" hidden="1">#REF!</definedName>
    <definedName name="a" localSheetId="21" hidden="1">#REF!</definedName>
    <definedName name="a" localSheetId="24" hidden="1">#REF!</definedName>
    <definedName name="a" localSheetId="22" hidden="1">#REF!</definedName>
    <definedName name="a" localSheetId="20" hidden="1">#REF!</definedName>
    <definedName name="a" hidden="1">#REF!</definedName>
    <definedName name="aa" hidden="1">#REF!</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a" hidden="1">{#N/A,#N/A,FALSE,"Graficos";#N/A,#N/A,FALSE,"P.Ingresos";#N/A,#N/A,FALSE,"P.Gastos";#N/A,#N/A,FALSE,"I.Trafico";#N/A,#N/A,FALSE,"I.Peajes";#N/A,#N/A,FALSE,"G.Operativos";#N/A,#N/A,FALSE,"Cf Proyecto";#N/A,#N/A,FALSE,"C.PYG";#N/A,#N/A,FALSE,"Balance";#N/A,#N/A,FALSE,"TIR AC";#N/A,#N/A,FALSE,"TIR E"}</definedName>
    <definedName name="aaaaaaaa" hidden="1">{#N/A,#N/A,FALSE,"IR E CS 1997";#N/A,#N/A,FALSE,"PR ND";#N/A,#N/A,FALSE,"8191";#N/A,#N/A,FALSE,"8383";#N/A,#N/A,FALSE,"MP 1024";#N/A,#N/A,FALSE,"AD_EX_97";#N/A,#N/A,FALSE,"BD 97"}</definedName>
    <definedName name="aaaaaaaaa" hidden="1">#REF!</definedName>
    <definedName name="AAAAAAAAAAAAAAAAAAAAAA" hidden="1">{#N/A,#N/A,TRUE,"Serviços"}</definedName>
    <definedName name="Abc" hidden="1">{#N/A,#N/A,FALSE,"IR E CS 1997";#N/A,#N/A,FALSE,"PR ND";#N/A,#N/A,FALSE,"8191";#N/A,#N/A,FALSE,"8383";#N/A,#N/A,FALSE,"MP 1024";#N/A,#N/A,FALSE,"AD_EX_97";#N/A,#N/A,FALSE,"BD 97"}</definedName>
    <definedName name="Abc_1" hidden="1">{#N/A,#N/A,FALSE,"IR E CS 1997";#N/A,#N/A,FALSE,"PR ND";#N/A,#N/A,FALSE,"8191";#N/A,#N/A,FALSE,"8383";#N/A,#N/A,FALSE,"MP 1024";#N/A,#N/A,FALSE,"AD_EX_97";#N/A,#N/A,FALSE,"BD 97"}</definedName>
    <definedName name="achart11" localSheetId="19" hidden="1">#REF!</definedName>
    <definedName name="achart11" localSheetId="16" hidden="1">#REF!</definedName>
    <definedName name="achart11" localSheetId="7" hidden="1">#REF!</definedName>
    <definedName name="achart11" localSheetId="15" hidden="1">#REF!</definedName>
    <definedName name="achart11" localSheetId="14" hidden="1">#REF!</definedName>
    <definedName name="achart11" localSheetId="17" hidden="1">#REF!</definedName>
    <definedName name="achart11" localSheetId="18" hidden="1">#REF!</definedName>
    <definedName name="achart11" localSheetId="21" hidden="1">#REF!</definedName>
    <definedName name="achart11" localSheetId="24" hidden="1">#REF!</definedName>
    <definedName name="achart11" localSheetId="22" hidden="1">#REF!</definedName>
    <definedName name="achart11" localSheetId="20" hidden="1">#REF!</definedName>
    <definedName name="achart11" hidden="1">#REF!</definedName>
    <definedName name="achart12" localSheetId="19" hidden="1">#REF!</definedName>
    <definedName name="achart12" localSheetId="16" hidden="1">#REF!</definedName>
    <definedName name="achart12" localSheetId="7" hidden="1">#REF!</definedName>
    <definedName name="achart12" localSheetId="15" hidden="1">#REF!</definedName>
    <definedName name="achart12" localSheetId="14" hidden="1">#REF!</definedName>
    <definedName name="achart12" localSheetId="17" hidden="1">#REF!</definedName>
    <definedName name="achart12" localSheetId="18" hidden="1">#REF!</definedName>
    <definedName name="achart12" localSheetId="21" hidden="1">#REF!</definedName>
    <definedName name="achart12" localSheetId="24" hidden="1">#REF!</definedName>
    <definedName name="achart12" localSheetId="22" hidden="1">#REF!</definedName>
    <definedName name="achart12" localSheetId="20" hidden="1">#REF!</definedName>
    <definedName name="achart12" hidden="1">#REF!</definedName>
    <definedName name="achart13" localSheetId="19" hidden="1">#REF!</definedName>
    <definedName name="achart13" localSheetId="16" hidden="1">#REF!</definedName>
    <definedName name="achart13" localSheetId="7" hidden="1">#REF!</definedName>
    <definedName name="achart13" localSheetId="15" hidden="1">#REF!</definedName>
    <definedName name="achart13" localSheetId="14" hidden="1">#REF!</definedName>
    <definedName name="achart13" localSheetId="17" hidden="1">#REF!</definedName>
    <definedName name="achart13" localSheetId="18" hidden="1">#REF!</definedName>
    <definedName name="achart13" localSheetId="21" hidden="1">#REF!</definedName>
    <definedName name="achart13" localSheetId="24" hidden="1">#REF!</definedName>
    <definedName name="achart13" localSheetId="22" hidden="1">#REF!</definedName>
    <definedName name="achart13" localSheetId="20" hidden="1">#REF!</definedName>
    <definedName name="achart13" hidden="1">#REF!</definedName>
    <definedName name="achart14" localSheetId="19" hidden="1">#REF!</definedName>
    <definedName name="achart14" localSheetId="16" hidden="1">#REF!</definedName>
    <definedName name="achart14" localSheetId="7" hidden="1">#REF!</definedName>
    <definedName name="achart14" localSheetId="15" hidden="1">#REF!</definedName>
    <definedName name="achart14" localSheetId="14" hidden="1">#REF!</definedName>
    <definedName name="achart14" localSheetId="17" hidden="1">#REF!</definedName>
    <definedName name="achart14" localSheetId="18" hidden="1">#REF!</definedName>
    <definedName name="achart14" localSheetId="21" hidden="1">#REF!</definedName>
    <definedName name="achart14" localSheetId="24" hidden="1">#REF!</definedName>
    <definedName name="achart14" localSheetId="22" hidden="1">#REF!</definedName>
    <definedName name="achart14" localSheetId="20" hidden="1">#REF!</definedName>
    <definedName name="achart14" hidden="1">#REF!</definedName>
    <definedName name="achart15" localSheetId="19" hidden="1">#REF!</definedName>
    <definedName name="achart15" localSheetId="16" hidden="1">#REF!</definedName>
    <definedName name="achart15" localSheetId="7" hidden="1">#REF!</definedName>
    <definedName name="achart15" localSheetId="15" hidden="1">#REF!</definedName>
    <definedName name="achart15" localSheetId="14" hidden="1">#REF!</definedName>
    <definedName name="achart15" localSheetId="17" hidden="1">#REF!</definedName>
    <definedName name="achart15" localSheetId="18" hidden="1">#REF!</definedName>
    <definedName name="achart15" localSheetId="21" hidden="1">#REF!</definedName>
    <definedName name="achart15" localSheetId="24" hidden="1">#REF!</definedName>
    <definedName name="achart15" localSheetId="22" hidden="1">#REF!</definedName>
    <definedName name="achart15" localSheetId="20" hidden="1">#REF!</definedName>
    <definedName name="achart15" hidden="1">#REF!</definedName>
    <definedName name="achart16" localSheetId="19" hidden="1">#REF!</definedName>
    <definedName name="achart16" localSheetId="16" hidden="1">#REF!</definedName>
    <definedName name="achart16" localSheetId="7" hidden="1">#REF!</definedName>
    <definedName name="achart16" localSheetId="15" hidden="1">#REF!</definedName>
    <definedName name="achart16" localSheetId="14" hidden="1">#REF!</definedName>
    <definedName name="achart16" localSheetId="17" hidden="1">#REF!</definedName>
    <definedName name="achart16" localSheetId="18" hidden="1">#REF!</definedName>
    <definedName name="achart16" localSheetId="21" hidden="1">#REF!</definedName>
    <definedName name="achart16" localSheetId="24" hidden="1">#REF!</definedName>
    <definedName name="achart16" localSheetId="22" hidden="1">#REF!</definedName>
    <definedName name="achart16" localSheetId="20" hidden="1">#REF!</definedName>
    <definedName name="achart16" hidden="1">#REF!</definedName>
    <definedName name="achart17" localSheetId="19" hidden="1">#REF!</definedName>
    <definedName name="achart17" localSheetId="16" hidden="1">#REF!</definedName>
    <definedName name="achart17" localSheetId="7" hidden="1">#REF!</definedName>
    <definedName name="achart17" localSheetId="15" hidden="1">#REF!</definedName>
    <definedName name="achart17" localSheetId="14" hidden="1">#REF!</definedName>
    <definedName name="achart17" localSheetId="17" hidden="1">#REF!</definedName>
    <definedName name="achart17" localSheetId="18" hidden="1">#REF!</definedName>
    <definedName name="achart17" localSheetId="21" hidden="1">#REF!</definedName>
    <definedName name="achart17" localSheetId="24" hidden="1">#REF!</definedName>
    <definedName name="achart17" localSheetId="22" hidden="1">#REF!</definedName>
    <definedName name="achart17" localSheetId="20" hidden="1">#REF!</definedName>
    <definedName name="achart17" hidden="1">#REF!</definedName>
    <definedName name="achart2" localSheetId="19" hidden="1">#REF!</definedName>
    <definedName name="achart2" localSheetId="16" hidden="1">#REF!</definedName>
    <definedName name="achart2" localSheetId="7" hidden="1">#REF!</definedName>
    <definedName name="achart2" localSheetId="15" hidden="1">#REF!</definedName>
    <definedName name="achart2" localSheetId="14" hidden="1">#REF!</definedName>
    <definedName name="achart2" localSheetId="17" hidden="1">#REF!</definedName>
    <definedName name="achart2" localSheetId="18" hidden="1">#REF!</definedName>
    <definedName name="achart2" localSheetId="21" hidden="1">#REF!</definedName>
    <definedName name="achart2" localSheetId="24" hidden="1">#REF!</definedName>
    <definedName name="achart2" localSheetId="22" hidden="1">#REF!</definedName>
    <definedName name="achart2" localSheetId="20" hidden="1">#REF!</definedName>
    <definedName name="achart2" hidden="1">#REF!</definedName>
    <definedName name="achart20" localSheetId="19" hidden="1">#REF!</definedName>
    <definedName name="achart20" localSheetId="16" hidden="1">#REF!</definedName>
    <definedName name="achart20" localSheetId="7" hidden="1">#REF!</definedName>
    <definedName name="achart20" localSheetId="15" hidden="1">#REF!</definedName>
    <definedName name="achart20" localSheetId="14" hidden="1">#REF!</definedName>
    <definedName name="achart20" localSheetId="17" hidden="1">#REF!</definedName>
    <definedName name="achart20" localSheetId="18" hidden="1">#REF!</definedName>
    <definedName name="achart20" localSheetId="21" hidden="1">#REF!</definedName>
    <definedName name="achart20" localSheetId="24" hidden="1">#REF!</definedName>
    <definedName name="achart20" localSheetId="22" hidden="1">#REF!</definedName>
    <definedName name="achart20" localSheetId="20" hidden="1">#REF!</definedName>
    <definedName name="achart20" hidden="1">#REF!</definedName>
    <definedName name="achart21" localSheetId="19" hidden="1">#REF!</definedName>
    <definedName name="achart21" localSheetId="16" hidden="1">#REF!</definedName>
    <definedName name="achart21" localSheetId="7" hidden="1">#REF!</definedName>
    <definedName name="achart21" localSheetId="15" hidden="1">#REF!</definedName>
    <definedName name="achart21" localSheetId="14" hidden="1">#REF!</definedName>
    <definedName name="achart21" localSheetId="17" hidden="1">#REF!</definedName>
    <definedName name="achart21" localSheetId="18" hidden="1">#REF!</definedName>
    <definedName name="achart21" localSheetId="21" hidden="1">#REF!</definedName>
    <definedName name="achart21" localSheetId="24" hidden="1">#REF!</definedName>
    <definedName name="achart21" localSheetId="22" hidden="1">#REF!</definedName>
    <definedName name="achart21" localSheetId="20" hidden="1">#REF!</definedName>
    <definedName name="achart21" hidden="1">#REF!</definedName>
    <definedName name="achart22" localSheetId="19" hidden="1">#REF!</definedName>
    <definedName name="achart22" localSheetId="16" hidden="1">#REF!</definedName>
    <definedName name="achart22" localSheetId="7" hidden="1">#REF!</definedName>
    <definedName name="achart22" localSheetId="15" hidden="1">#REF!</definedName>
    <definedName name="achart22" localSheetId="14" hidden="1">#REF!</definedName>
    <definedName name="achart22" localSheetId="17" hidden="1">#REF!</definedName>
    <definedName name="achart22" localSheetId="18" hidden="1">#REF!</definedName>
    <definedName name="achart22" localSheetId="21" hidden="1">#REF!</definedName>
    <definedName name="achart22" localSheetId="24" hidden="1">#REF!</definedName>
    <definedName name="achart22" localSheetId="22" hidden="1">#REF!</definedName>
    <definedName name="achart22" localSheetId="20" hidden="1">#REF!</definedName>
    <definedName name="achart22" hidden="1">#REF!</definedName>
    <definedName name="achart23" localSheetId="19" hidden="1">#REF!</definedName>
    <definedName name="achart23" localSheetId="16" hidden="1">#REF!</definedName>
    <definedName name="achart23" localSheetId="7" hidden="1">#REF!</definedName>
    <definedName name="achart23" localSheetId="15" hidden="1">#REF!</definedName>
    <definedName name="achart23" localSheetId="14" hidden="1">#REF!</definedName>
    <definedName name="achart23" localSheetId="17" hidden="1">#REF!</definedName>
    <definedName name="achart23" localSheetId="18" hidden="1">#REF!</definedName>
    <definedName name="achart23" localSheetId="21" hidden="1">#REF!</definedName>
    <definedName name="achart23" localSheetId="24" hidden="1">#REF!</definedName>
    <definedName name="achart23" localSheetId="22" hidden="1">#REF!</definedName>
    <definedName name="achart23" localSheetId="20" hidden="1">#REF!</definedName>
    <definedName name="achart23" hidden="1">#REF!</definedName>
    <definedName name="achart24" localSheetId="19" hidden="1">#REF!</definedName>
    <definedName name="achart24" localSheetId="16" hidden="1">#REF!</definedName>
    <definedName name="achart24" localSheetId="7" hidden="1">#REF!</definedName>
    <definedName name="achart24" localSheetId="15" hidden="1">#REF!</definedName>
    <definedName name="achart24" localSheetId="14" hidden="1">#REF!</definedName>
    <definedName name="achart24" localSheetId="17" hidden="1">#REF!</definedName>
    <definedName name="achart24" localSheetId="18" hidden="1">#REF!</definedName>
    <definedName name="achart24" localSheetId="21" hidden="1">#REF!</definedName>
    <definedName name="achart24" localSheetId="24" hidden="1">#REF!</definedName>
    <definedName name="achart24" localSheetId="22" hidden="1">#REF!</definedName>
    <definedName name="achart24" localSheetId="20" hidden="1">#REF!</definedName>
    <definedName name="achart24" hidden="1">#REF!</definedName>
    <definedName name="achart25" localSheetId="19" hidden="1">#REF!</definedName>
    <definedName name="achart25" localSheetId="16" hidden="1">#REF!</definedName>
    <definedName name="achart25" localSheetId="7" hidden="1">#REF!</definedName>
    <definedName name="achart25" localSheetId="15" hidden="1">#REF!</definedName>
    <definedName name="achart25" localSheetId="14" hidden="1">#REF!</definedName>
    <definedName name="achart25" localSheetId="17" hidden="1">#REF!</definedName>
    <definedName name="achart25" localSheetId="18" hidden="1">#REF!</definedName>
    <definedName name="achart25" localSheetId="21" hidden="1">#REF!</definedName>
    <definedName name="achart25" localSheetId="24" hidden="1">#REF!</definedName>
    <definedName name="achart25" localSheetId="22" hidden="1">#REF!</definedName>
    <definedName name="achart25" localSheetId="20" hidden="1">#REF!</definedName>
    <definedName name="achart25" hidden="1">#REF!</definedName>
    <definedName name="achart26" localSheetId="19" hidden="1">#REF!</definedName>
    <definedName name="achart26" localSheetId="16" hidden="1">#REF!</definedName>
    <definedName name="achart26" localSheetId="7" hidden="1">#REF!</definedName>
    <definedName name="achart26" localSheetId="15" hidden="1">#REF!</definedName>
    <definedName name="achart26" localSheetId="14" hidden="1">#REF!</definedName>
    <definedName name="achart26" localSheetId="17" hidden="1">#REF!</definedName>
    <definedName name="achart26" localSheetId="18" hidden="1">#REF!</definedName>
    <definedName name="achart26" localSheetId="21" hidden="1">#REF!</definedName>
    <definedName name="achart26" localSheetId="24" hidden="1">#REF!</definedName>
    <definedName name="achart26" localSheetId="22" hidden="1">#REF!</definedName>
    <definedName name="achart26" localSheetId="20" hidden="1">#REF!</definedName>
    <definedName name="achart26" hidden="1">#REF!</definedName>
    <definedName name="achart27" localSheetId="19" hidden="1">#REF!</definedName>
    <definedName name="achart27" localSheetId="16" hidden="1">#REF!</definedName>
    <definedName name="achart27" localSheetId="7" hidden="1">#REF!</definedName>
    <definedName name="achart27" localSheetId="15" hidden="1">#REF!</definedName>
    <definedName name="achart27" localSheetId="14" hidden="1">#REF!</definedName>
    <definedName name="achart27" localSheetId="17" hidden="1">#REF!</definedName>
    <definedName name="achart27" localSheetId="18" hidden="1">#REF!</definedName>
    <definedName name="achart27" localSheetId="21" hidden="1">#REF!</definedName>
    <definedName name="achart27" localSheetId="24" hidden="1">#REF!</definedName>
    <definedName name="achart27" localSheetId="22" hidden="1">#REF!</definedName>
    <definedName name="achart27" localSheetId="20" hidden="1">#REF!</definedName>
    <definedName name="achart27" hidden="1">#REF!</definedName>
    <definedName name="achart28" localSheetId="19" hidden="1">#REF!</definedName>
    <definedName name="achart28" localSheetId="16" hidden="1">#REF!</definedName>
    <definedName name="achart28" localSheetId="7" hidden="1">#REF!</definedName>
    <definedName name="achart28" localSheetId="15" hidden="1">#REF!</definedName>
    <definedName name="achart28" localSheetId="14" hidden="1">#REF!</definedName>
    <definedName name="achart28" localSheetId="17" hidden="1">#REF!</definedName>
    <definedName name="achart28" localSheetId="18" hidden="1">#REF!</definedName>
    <definedName name="achart28" localSheetId="21" hidden="1">#REF!</definedName>
    <definedName name="achart28" localSheetId="24" hidden="1">#REF!</definedName>
    <definedName name="achart28" localSheetId="22" hidden="1">#REF!</definedName>
    <definedName name="achart28" localSheetId="20" hidden="1">#REF!</definedName>
    <definedName name="achart28" hidden="1">#REF!</definedName>
    <definedName name="achart29" localSheetId="19" hidden="1">#REF!</definedName>
    <definedName name="achart29" localSheetId="16" hidden="1">#REF!</definedName>
    <definedName name="achart29" localSheetId="7" hidden="1">#REF!</definedName>
    <definedName name="achart29" localSheetId="15" hidden="1">#REF!</definedName>
    <definedName name="achart29" localSheetId="14" hidden="1">#REF!</definedName>
    <definedName name="achart29" localSheetId="17" hidden="1">#REF!</definedName>
    <definedName name="achart29" localSheetId="18" hidden="1">#REF!</definedName>
    <definedName name="achart29" localSheetId="21" hidden="1">#REF!</definedName>
    <definedName name="achart29" localSheetId="24" hidden="1">#REF!</definedName>
    <definedName name="achart29" localSheetId="22" hidden="1">#REF!</definedName>
    <definedName name="achart29" localSheetId="20" hidden="1">#REF!</definedName>
    <definedName name="achart29" hidden="1">#REF!</definedName>
    <definedName name="achart3" localSheetId="19" hidden="1">#REF!</definedName>
    <definedName name="achart3" localSheetId="16" hidden="1">#REF!</definedName>
    <definedName name="achart3" localSheetId="7" hidden="1">#REF!</definedName>
    <definedName name="achart3" localSheetId="15" hidden="1">#REF!</definedName>
    <definedName name="achart3" localSheetId="14" hidden="1">#REF!</definedName>
    <definedName name="achart3" localSheetId="17" hidden="1">#REF!</definedName>
    <definedName name="achart3" localSheetId="18" hidden="1">#REF!</definedName>
    <definedName name="achart3" localSheetId="21" hidden="1">#REF!</definedName>
    <definedName name="achart3" localSheetId="24" hidden="1">#REF!</definedName>
    <definedName name="achart3" localSheetId="22" hidden="1">#REF!</definedName>
    <definedName name="achart3" localSheetId="20" hidden="1">#REF!</definedName>
    <definedName name="achart3" hidden="1">#REF!</definedName>
    <definedName name="achart30" localSheetId="19" hidden="1">#REF!</definedName>
    <definedName name="achart30" localSheetId="16" hidden="1">#REF!</definedName>
    <definedName name="achart30" localSheetId="7" hidden="1">#REF!</definedName>
    <definedName name="achart30" localSheetId="15" hidden="1">#REF!</definedName>
    <definedName name="achart30" localSheetId="14" hidden="1">#REF!</definedName>
    <definedName name="achart30" localSheetId="17" hidden="1">#REF!</definedName>
    <definedName name="achart30" localSheetId="18" hidden="1">#REF!</definedName>
    <definedName name="achart30" localSheetId="21" hidden="1">#REF!</definedName>
    <definedName name="achart30" localSheetId="24" hidden="1">#REF!</definedName>
    <definedName name="achart30" localSheetId="22" hidden="1">#REF!</definedName>
    <definedName name="achart30" localSheetId="20" hidden="1">#REF!</definedName>
    <definedName name="achart30" hidden="1">#REF!</definedName>
    <definedName name="achart31" localSheetId="19" hidden="1">#REF!</definedName>
    <definedName name="achart31" localSheetId="16" hidden="1">#REF!</definedName>
    <definedName name="achart31" localSheetId="7" hidden="1">#REF!</definedName>
    <definedName name="achart31" localSheetId="15" hidden="1">#REF!</definedName>
    <definedName name="achart31" localSheetId="14" hidden="1">#REF!</definedName>
    <definedName name="achart31" localSheetId="17" hidden="1">#REF!</definedName>
    <definedName name="achart31" localSheetId="18" hidden="1">#REF!</definedName>
    <definedName name="achart31" localSheetId="21" hidden="1">#REF!</definedName>
    <definedName name="achart31" localSheetId="24" hidden="1">#REF!</definedName>
    <definedName name="achart31" localSheetId="22" hidden="1">#REF!</definedName>
    <definedName name="achart31" localSheetId="20" hidden="1">#REF!</definedName>
    <definedName name="achart31" hidden="1">#REF!</definedName>
    <definedName name="achart32" localSheetId="19" hidden="1">#REF!</definedName>
    <definedName name="achart32" localSheetId="16" hidden="1">#REF!</definedName>
    <definedName name="achart32" localSheetId="7" hidden="1">#REF!</definedName>
    <definedName name="achart32" localSheetId="15" hidden="1">#REF!</definedName>
    <definedName name="achart32" localSheetId="14" hidden="1">#REF!</definedName>
    <definedName name="achart32" localSheetId="17" hidden="1">#REF!</definedName>
    <definedName name="achart32" localSheetId="18" hidden="1">#REF!</definedName>
    <definedName name="achart32" localSheetId="21" hidden="1">#REF!</definedName>
    <definedName name="achart32" localSheetId="24" hidden="1">#REF!</definedName>
    <definedName name="achart32" localSheetId="22" hidden="1">#REF!</definedName>
    <definedName name="achart32" localSheetId="20" hidden="1">#REF!</definedName>
    <definedName name="achart32" hidden="1">#REF!</definedName>
    <definedName name="achart4" localSheetId="19" hidden="1">#REF!</definedName>
    <definedName name="achart4" localSheetId="16" hidden="1">#REF!</definedName>
    <definedName name="achart4" localSheetId="7" hidden="1">#REF!</definedName>
    <definedName name="achart4" localSheetId="15" hidden="1">#REF!</definedName>
    <definedName name="achart4" localSheetId="14" hidden="1">#REF!</definedName>
    <definedName name="achart4" localSheetId="17" hidden="1">#REF!</definedName>
    <definedName name="achart4" localSheetId="18" hidden="1">#REF!</definedName>
    <definedName name="achart4" localSheetId="21" hidden="1">#REF!</definedName>
    <definedName name="achart4" localSheetId="24" hidden="1">#REF!</definedName>
    <definedName name="achart4" localSheetId="22" hidden="1">#REF!</definedName>
    <definedName name="achart4" localSheetId="20" hidden="1">#REF!</definedName>
    <definedName name="achart4" hidden="1">#REF!</definedName>
    <definedName name="achart5" localSheetId="19" hidden="1">#REF!</definedName>
    <definedName name="achart5" localSheetId="16" hidden="1">#REF!</definedName>
    <definedName name="achart5" localSheetId="7" hidden="1">#REF!</definedName>
    <definedName name="achart5" localSheetId="15" hidden="1">#REF!</definedName>
    <definedName name="achart5" localSheetId="14" hidden="1">#REF!</definedName>
    <definedName name="achart5" localSheetId="17" hidden="1">#REF!</definedName>
    <definedName name="achart5" localSheetId="18" hidden="1">#REF!</definedName>
    <definedName name="achart5" localSheetId="21" hidden="1">#REF!</definedName>
    <definedName name="achart5" localSheetId="24" hidden="1">#REF!</definedName>
    <definedName name="achart5" localSheetId="22" hidden="1">#REF!</definedName>
    <definedName name="achart5" localSheetId="20" hidden="1">#REF!</definedName>
    <definedName name="achart5" hidden="1">#REF!</definedName>
    <definedName name="achart6" localSheetId="19" hidden="1">#REF!</definedName>
    <definedName name="achart6" localSheetId="16" hidden="1">#REF!</definedName>
    <definedName name="achart6" localSheetId="7" hidden="1">#REF!</definedName>
    <definedName name="achart6" localSheetId="15" hidden="1">#REF!</definedName>
    <definedName name="achart6" localSheetId="14" hidden="1">#REF!</definedName>
    <definedName name="achart6" localSheetId="17" hidden="1">#REF!</definedName>
    <definedName name="achart6" localSheetId="18" hidden="1">#REF!</definedName>
    <definedName name="achart6" localSheetId="21" hidden="1">#REF!</definedName>
    <definedName name="achart6" localSheetId="24" hidden="1">#REF!</definedName>
    <definedName name="achart6" localSheetId="22" hidden="1">#REF!</definedName>
    <definedName name="achart6" localSheetId="20" hidden="1">#REF!</definedName>
    <definedName name="achart6" hidden="1">#REF!</definedName>
    <definedName name="achart7" localSheetId="19" hidden="1">#REF!</definedName>
    <definedName name="achart7" localSheetId="16" hidden="1">#REF!</definedName>
    <definedName name="achart7" localSheetId="7" hidden="1">#REF!</definedName>
    <definedName name="achart7" localSheetId="15" hidden="1">#REF!</definedName>
    <definedName name="achart7" localSheetId="14" hidden="1">#REF!</definedName>
    <definedName name="achart7" localSheetId="17" hidden="1">#REF!</definedName>
    <definedName name="achart7" localSheetId="18" hidden="1">#REF!</definedName>
    <definedName name="achart7" localSheetId="21" hidden="1">#REF!</definedName>
    <definedName name="achart7" localSheetId="24" hidden="1">#REF!</definedName>
    <definedName name="achart7" localSheetId="22" hidden="1">#REF!</definedName>
    <definedName name="achart7" localSheetId="20" hidden="1">#REF!</definedName>
    <definedName name="achart7" hidden="1">#REF!</definedName>
    <definedName name="achart8" localSheetId="19" hidden="1">#REF!</definedName>
    <definedName name="achart8" localSheetId="16" hidden="1">#REF!</definedName>
    <definedName name="achart8" localSheetId="7" hidden="1">#REF!</definedName>
    <definedName name="achart8" localSheetId="15" hidden="1">#REF!</definedName>
    <definedName name="achart8" localSheetId="14" hidden="1">#REF!</definedName>
    <definedName name="achart8" localSheetId="17" hidden="1">#REF!</definedName>
    <definedName name="achart8" localSheetId="18" hidden="1">#REF!</definedName>
    <definedName name="achart8" localSheetId="21" hidden="1">#REF!</definedName>
    <definedName name="achart8" localSheetId="24" hidden="1">#REF!</definedName>
    <definedName name="achart8" localSheetId="22" hidden="1">#REF!</definedName>
    <definedName name="achart8" localSheetId="20" hidden="1">#REF!</definedName>
    <definedName name="achart8" hidden="1">#REF!</definedName>
    <definedName name="achart9" localSheetId="19" hidden="1">#REF!</definedName>
    <definedName name="achart9" localSheetId="16" hidden="1">#REF!</definedName>
    <definedName name="achart9" localSheetId="7" hidden="1">#REF!</definedName>
    <definedName name="achart9" localSheetId="15" hidden="1">#REF!</definedName>
    <definedName name="achart9" localSheetId="14" hidden="1">#REF!</definedName>
    <definedName name="achart9" localSheetId="17" hidden="1">#REF!</definedName>
    <definedName name="achart9" localSheetId="18" hidden="1">#REF!</definedName>
    <definedName name="achart9" localSheetId="21" hidden="1">#REF!</definedName>
    <definedName name="achart9" localSheetId="24" hidden="1">#REF!</definedName>
    <definedName name="achart9" localSheetId="22" hidden="1">#REF!</definedName>
    <definedName name="achart9" localSheetId="20" hidden="1">#REF!</definedName>
    <definedName name="achart9" hidden="1">#REF!</definedName>
    <definedName name="ACwvu.ACC." localSheetId="19" hidden="1">#REF!</definedName>
    <definedName name="ACwvu.ACC." localSheetId="16" hidden="1">#REF!</definedName>
    <definedName name="ACwvu.ACC." localSheetId="15" hidden="1">#REF!</definedName>
    <definedName name="ACwvu.ACC." localSheetId="14" hidden="1">#REF!</definedName>
    <definedName name="ACwvu.ACC." localSheetId="17" hidden="1">#REF!</definedName>
    <definedName name="ACwvu.ACC." localSheetId="18" hidden="1">#REF!</definedName>
    <definedName name="ACwvu.ACC." localSheetId="21" hidden="1">#REF!</definedName>
    <definedName name="ACwvu.ACC." localSheetId="24" hidden="1">#REF!</definedName>
    <definedName name="ACwvu.ACC." localSheetId="22" hidden="1">#REF!</definedName>
    <definedName name="ACwvu.ACC." localSheetId="20" hidden="1">#REF!</definedName>
    <definedName name="ACwvu.ACC." hidden="1">#REF!</definedName>
    <definedName name="ACwvu.AFAC." localSheetId="19" hidden="1">#REF!</definedName>
    <definedName name="ACwvu.AFAC." localSheetId="16" hidden="1">#REF!</definedName>
    <definedName name="ACwvu.AFAC." localSheetId="15" hidden="1">#REF!</definedName>
    <definedName name="ACwvu.AFAC." localSheetId="14" hidden="1">#REF!</definedName>
    <definedName name="ACwvu.AFAC." localSheetId="17" hidden="1">#REF!</definedName>
    <definedName name="ACwvu.AFAC." localSheetId="18" hidden="1">#REF!</definedName>
    <definedName name="ACwvu.AFAC." localSheetId="21" hidden="1">#REF!</definedName>
    <definedName name="ACwvu.AFAC." localSheetId="24" hidden="1">#REF!</definedName>
    <definedName name="ACwvu.AFAC." localSheetId="22" hidden="1">#REF!</definedName>
    <definedName name="ACwvu.AFAC." localSheetId="20" hidden="1">#REF!</definedName>
    <definedName name="ACwvu.AFAC." hidden="1">#REF!</definedName>
    <definedName name="ACwvu.ELIMLUCRO." localSheetId="19" hidden="1">#REF!</definedName>
    <definedName name="ACwvu.ELIMLUCRO." localSheetId="16" hidden="1">#REF!</definedName>
    <definedName name="ACwvu.ELIMLUCRO." localSheetId="15" hidden="1">#REF!</definedName>
    <definedName name="ACwvu.ELIMLUCRO." localSheetId="14" hidden="1">#REF!</definedName>
    <definedName name="ACwvu.ELIMLUCRO." localSheetId="17" hidden="1">#REF!</definedName>
    <definedName name="ACwvu.ELIMLUCRO." localSheetId="18" hidden="1">#REF!</definedName>
    <definedName name="ACwvu.ELIMLUCRO." localSheetId="21" hidden="1">#REF!</definedName>
    <definedName name="ACwvu.ELIMLUCRO." localSheetId="24" hidden="1">#REF!</definedName>
    <definedName name="ACwvu.ELIMLUCRO." localSheetId="22" hidden="1">#REF!</definedName>
    <definedName name="ACwvu.ELIMLUCRO." localSheetId="20" hidden="1">#REF!</definedName>
    <definedName name="ACwvu.ELIMLUCRO." hidden="1">#REF!</definedName>
    <definedName name="ACwvu.ESTOQUES." localSheetId="19" hidden="1">#REF!</definedName>
    <definedName name="ACwvu.ESTOQUES." localSheetId="16" hidden="1">#REF!</definedName>
    <definedName name="ACwvu.ESTOQUES." localSheetId="15" hidden="1">#REF!</definedName>
    <definedName name="ACwvu.ESTOQUES." localSheetId="14" hidden="1">#REF!</definedName>
    <definedName name="ACwvu.ESTOQUES." localSheetId="17" hidden="1">#REF!</definedName>
    <definedName name="ACwvu.ESTOQUES." localSheetId="18" hidden="1">#REF!</definedName>
    <definedName name="ACwvu.ESTOQUES." localSheetId="21" hidden="1">#REF!</definedName>
    <definedName name="ACwvu.ESTOQUES." localSheetId="24" hidden="1">#REF!</definedName>
    <definedName name="ACwvu.ESTOQUES." localSheetId="22" hidden="1">#REF!</definedName>
    <definedName name="ACwvu.ESTOQUES." localSheetId="20" hidden="1">#REF!</definedName>
    <definedName name="ACwvu.ESTOQUES." hidden="1">#REF!</definedName>
    <definedName name="ACwvu.Fabio." localSheetId="19" hidden="1">#REF!</definedName>
    <definedName name="ACwvu.Fabio." localSheetId="16" hidden="1">#REF!</definedName>
    <definedName name="ACwvu.Fabio." localSheetId="15" hidden="1">#REF!</definedName>
    <definedName name="ACwvu.Fabio." localSheetId="14" hidden="1">#REF!</definedName>
    <definedName name="ACwvu.Fabio." localSheetId="17" hidden="1">#REF!</definedName>
    <definedName name="ACwvu.Fabio." localSheetId="18" hidden="1">#REF!</definedName>
    <definedName name="ACwvu.Fabio." localSheetId="21" hidden="1">#REF!</definedName>
    <definedName name="ACwvu.Fabio." localSheetId="24" hidden="1">#REF!</definedName>
    <definedName name="ACwvu.Fabio." localSheetId="22" hidden="1">#REF!</definedName>
    <definedName name="ACwvu.Fabio." localSheetId="20" hidden="1">#REF!</definedName>
    <definedName name="ACwvu.Fabio." hidden="1">#REF!</definedName>
    <definedName name="ACwvu.LPERDAS." localSheetId="19" hidden="1">#REF!</definedName>
    <definedName name="ACwvu.LPERDAS." localSheetId="16" hidden="1">#REF!</definedName>
    <definedName name="ACwvu.LPERDAS." localSheetId="15" hidden="1">#REF!</definedName>
    <definedName name="ACwvu.LPERDAS." localSheetId="14" hidden="1">#REF!</definedName>
    <definedName name="ACwvu.LPERDAS." localSheetId="17" hidden="1">#REF!</definedName>
    <definedName name="ACwvu.LPERDAS." localSheetId="18" hidden="1">#REF!</definedName>
    <definedName name="ACwvu.LPERDAS." localSheetId="21" hidden="1">#REF!</definedName>
    <definedName name="ACwvu.LPERDAS." localSheetId="24" hidden="1">#REF!</definedName>
    <definedName name="ACwvu.LPERDAS." localSheetId="22" hidden="1">#REF!</definedName>
    <definedName name="ACwvu.LPERDAS." localSheetId="20" hidden="1">#REF!</definedName>
    <definedName name="ACwvu.LPERDAS." hidden="1">#REF!</definedName>
    <definedName name="ACwvu.PLANILHA2." localSheetId="19" hidden="1">#REF!</definedName>
    <definedName name="ACwvu.PLANILHA2." localSheetId="16" hidden="1">#REF!</definedName>
    <definedName name="ACwvu.PLANILHA2." localSheetId="7" hidden="1">#REF!</definedName>
    <definedName name="ACwvu.PLANILHA2." localSheetId="15" hidden="1">#REF!</definedName>
    <definedName name="ACwvu.PLANILHA2." localSheetId="14" hidden="1">#REF!</definedName>
    <definedName name="ACwvu.PLANILHA2." localSheetId="17" hidden="1">#REF!</definedName>
    <definedName name="ACwvu.PLANILHA2." localSheetId="18" hidden="1">#REF!</definedName>
    <definedName name="ACwvu.PLANILHA2." localSheetId="21" hidden="1">#REF!</definedName>
    <definedName name="ACwvu.PLANILHA2." localSheetId="24" hidden="1">#REF!</definedName>
    <definedName name="ACwvu.PLANILHA2." localSheetId="22" hidden="1">#REF!</definedName>
    <definedName name="ACwvu.PLANILHA2." localSheetId="20" hidden="1">#REF!</definedName>
    <definedName name="ACwvu.PLANILHA2." hidden="1">#REF!</definedName>
    <definedName name="ACwvu.RES432." localSheetId="19" hidden="1">#REF!</definedName>
    <definedName name="ACwvu.RES432." localSheetId="16" hidden="1">#REF!</definedName>
    <definedName name="ACwvu.RES432." localSheetId="15" hidden="1">#REF!</definedName>
    <definedName name="ACwvu.RES432." localSheetId="14" hidden="1">#REF!</definedName>
    <definedName name="ACwvu.RES432." localSheetId="17" hidden="1">#REF!</definedName>
    <definedName name="ACwvu.RES432." localSheetId="18" hidden="1">#REF!</definedName>
    <definedName name="ACwvu.RES432." localSheetId="21" hidden="1">#REF!</definedName>
    <definedName name="ACwvu.RES432." localSheetId="24" hidden="1">#REF!</definedName>
    <definedName name="ACwvu.RES432." localSheetId="22" hidden="1">#REF!</definedName>
    <definedName name="ACwvu.RES432." localSheetId="20" hidden="1">#REF!</definedName>
    <definedName name="ACwvu.RES432." hidden="1">#REF!</definedName>
    <definedName name="ACwvu.VERLUCRO." localSheetId="19" hidden="1">#REF!</definedName>
    <definedName name="ACwvu.VERLUCRO." localSheetId="16" hidden="1">#REF!</definedName>
    <definedName name="ACwvu.VERLUCRO." localSheetId="15" hidden="1">#REF!</definedName>
    <definedName name="ACwvu.VERLUCRO." localSheetId="14" hidden="1">#REF!</definedName>
    <definedName name="ACwvu.VERLUCRO." localSheetId="17" hidden="1">#REF!</definedName>
    <definedName name="ACwvu.VERLUCRO." localSheetId="18" hidden="1">#REF!</definedName>
    <definedName name="ACwvu.VERLUCRO." localSheetId="21" hidden="1">#REF!</definedName>
    <definedName name="ACwvu.VERLUCRO." localSheetId="24" hidden="1">#REF!</definedName>
    <definedName name="ACwvu.VERLUCRO." localSheetId="22" hidden="1">#REF!</definedName>
    <definedName name="ACwvu.VERLUCRO." localSheetId="20" hidden="1">#REF!</definedName>
    <definedName name="ACwvu.VERLUCRO." hidden="1">#REF!</definedName>
    <definedName name="aeoujre" hidden="1">{#N/A,#N/A,FALSE,"Aging Summary";#N/A,#N/A,FALSE,"Ratio Analysis";#N/A,#N/A,FALSE,"Test 120 Day Accts";#N/A,#N/A,FALSE,"Tickmarks"}</definedName>
    <definedName name="AGORA"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lex" hidden="1">{#N/A,#N/A,FALSE,"MO (2)"}</definedName>
    <definedName name="ALFA" hidden="1">{#N/A,#N/A,FALSE,"Graficos";#N/A,#N/A,FALSE,"P.Ingresos";#N/A,#N/A,FALSE,"P.Gastos";#N/A,#N/A,FALSE,"I.Trafico";#N/A,#N/A,FALSE,"I.Peajes";#N/A,#N/A,FALSE,"G.Operativos";#N/A,#N/A,FALSE,"Cf Proyecto";#N/A,#N/A,FALSE,"C.PYG";#N/A,#N/A,FALSE,"Balance";#N/A,#N/A,FALSE,"TIR AC";#N/A,#N/A,FALSE,"TIR E"}</definedName>
    <definedName name="Almoco">#REF!</definedName>
    <definedName name="anscount" hidden="1">1</definedName>
    <definedName name="ant" hidden="1">{#N/A,#N/A,FALSE,"MO (2)"}</definedName>
    <definedName name="AREA" localSheetId="19">#REF!</definedName>
    <definedName name="AREA" localSheetId="16">#REF!</definedName>
    <definedName name="AREA" localSheetId="15">#REF!</definedName>
    <definedName name="AREA" localSheetId="14">#REF!</definedName>
    <definedName name="AREA" localSheetId="17">#REF!</definedName>
    <definedName name="AREA" localSheetId="18">#REF!</definedName>
    <definedName name="AREA" localSheetId="21">#REF!</definedName>
    <definedName name="AREA" localSheetId="24">#REF!</definedName>
    <definedName name="AREA" localSheetId="22">#REF!</definedName>
    <definedName name="AREA" localSheetId="20">#REF!</definedName>
    <definedName name="AREA">#REF!</definedName>
    <definedName name="_xlnm.Print_Area" localSheetId="39">ÁGUA!$A$1:$K$391</definedName>
    <definedName name="_xlnm.Print_Area" localSheetId="31">COMPACTAÇÃO!$A$1:$K$322</definedName>
    <definedName name="_xlnm.Print_Area" localSheetId="13">CPU!$A$1:$K$1835</definedName>
    <definedName name="_xlnm.Print_Area" localSheetId="25">'CPU (2)'!$A$1:$K$2246</definedName>
    <definedName name="_xlnm.Print_Area" localSheetId="5">CRONOGRAMA!$A$1:$GU$169</definedName>
    <definedName name="_xlnm.Print_Area" localSheetId="36">DRENAGEM!$A$1:$K$529</definedName>
    <definedName name="_xlnm.Print_Area" localSheetId="30">'ESCAVAÇÃO CARGA E TRANSPORTE'!$A$1:$K$665</definedName>
    <definedName name="_xlnm.Print_Area" localSheetId="40">ESGOTO!$A$1:$K$395</definedName>
    <definedName name="_xlnm.Print_Area" localSheetId="32">ESPALHAMENTO!$A$1:$K$70</definedName>
    <definedName name="_xlnm.Print_Area" localSheetId="28">MATERIAIS!#REF!</definedName>
    <definedName name="_xlnm.Print_Area" localSheetId="1">ORÇAMENTO!$A$1:$H$105</definedName>
    <definedName name="_xlnm.Print_Area" localSheetId="9">PAVIM!$A$1:$K$354</definedName>
    <definedName name="_xlnm.Print_Area" localSheetId="6">PLANEJAMENTO!$A$1:$Z$83</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2DocOpenMode" hidden="1">"AS2DocumentEdit"</definedName>
    <definedName name="AS2HasNoAutoHeaderFooter" hidden="1">" "</definedName>
    <definedName name="AS2LinkLS" localSheetId="19" hidden="1">#REF!</definedName>
    <definedName name="AS2LinkLS" localSheetId="16" hidden="1">#REF!</definedName>
    <definedName name="AS2LinkLS" localSheetId="15" hidden="1">#REF!</definedName>
    <definedName name="AS2LinkLS" localSheetId="14" hidden="1">#REF!</definedName>
    <definedName name="AS2LinkLS" localSheetId="17" hidden="1">#REF!</definedName>
    <definedName name="AS2LinkLS" localSheetId="18" hidden="1">#REF!</definedName>
    <definedName name="AS2LinkLS" localSheetId="21" hidden="1">#REF!</definedName>
    <definedName name="AS2LinkLS" localSheetId="24" hidden="1">#REF!</definedName>
    <definedName name="AS2LinkLS" localSheetId="22" hidden="1">#REF!</definedName>
    <definedName name="AS2LinkLS" localSheetId="20" hidden="1">#REF!</definedName>
    <definedName name="AS2LinkLS" hidden="1">#REF!</definedName>
    <definedName name="AS2NamedRange" hidden="1">15</definedName>
    <definedName name="AS2ReportLS" hidden="1">1</definedName>
    <definedName name="AS2StaticLS" localSheetId="19" hidden="1">#REF!</definedName>
    <definedName name="AS2StaticLS" localSheetId="16" hidden="1">#REF!</definedName>
    <definedName name="AS2StaticLS" localSheetId="15" hidden="1">#REF!</definedName>
    <definedName name="AS2StaticLS" localSheetId="14" hidden="1">#REF!</definedName>
    <definedName name="AS2StaticLS" localSheetId="17" hidden="1">#REF!</definedName>
    <definedName name="AS2StaticLS" localSheetId="18" hidden="1">#REF!</definedName>
    <definedName name="AS2StaticLS" localSheetId="21" hidden="1">#REF!</definedName>
    <definedName name="AS2StaticLS" localSheetId="24" hidden="1">#REF!</definedName>
    <definedName name="AS2StaticLS" localSheetId="22" hidden="1">#REF!</definedName>
    <definedName name="AS2StaticLS" localSheetId="20" hidden="1">#REF!</definedName>
    <definedName name="AS2StaticLS" hidden="1">#REF!</definedName>
    <definedName name="AS2SyncStepLS" hidden="1">0</definedName>
    <definedName name="AS2TickmarkLS" localSheetId="19" hidden="1">#REF!</definedName>
    <definedName name="AS2TickmarkLS" localSheetId="16" hidden="1">#REF!</definedName>
    <definedName name="AS2TickmarkLS" localSheetId="15" hidden="1">#REF!</definedName>
    <definedName name="AS2TickmarkLS" localSheetId="14" hidden="1">#REF!</definedName>
    <definedName name="AS2TickmarkLS" localSheetId="17" hidden="1">#REF!</definedName>
    <definedName name="AS2TickmarkLS" localSheetId="18" hidden="1">#REF!</definedName>
    <definedName name="AS2TickmarkLS" localSheetId="21" hidden="1">#REF!</definedName>
    <definedName name="AS2TickmarkLS" localSheetId="24" hidden="1">#REF!</definedName>
    <definedName name="AS2TickmarkLS" localSheetId="22" hidden="1">#REF!</definedName>
    <definedName name="AS2TickmarkLS" localSheetId="20" hidden="1">#REF!</definedName>
    <definedName name="AS2TickmarkLS" hidden="1">#REF!</definedName>
    <definedName name="AS2VersionLS" hidden="1">300</definedName>
    <definedName name="ASDF" hidden="1">{#N/A,#N/A,TRUE,"Serviços"}</definedName>
    <definedName name="ASDFG" hidden="1">{#N/A,#N/A,TRUE,"Serviços"}</definedName>
    <definedName name="asdfghqefha" hidden="1">{#N/A,#N/A,FALSE,"MO (2)"}</definedName>
    <definedName name="ASF" hidden="1">{#N/A,#N/A,FALSE,"IR E CS 1997";#N/A,#N/A,FALSE,"PR ND";#N/A,#N/A,FALSE,"8191";#N/A,#N/A,FALSE,"8383";#N/A,#N/A,FALSE,"MP 1024";#N/A,#N/A,FALSE,"AD_EX_97";#N/A,#N/A,FALSE,"BD 97"}</definedName>
    <definedName name="ASFGG" hidden="1">{#N/A,#N/A,TRUE,"Serviços"}</definedName>
    <definedName name="ASGREQHÑY3" localSheetId="19" hidden="1">#REF!</definedName>
    <definedName name="ASGREQHÑY3" localSheetId="16" hidden="1">#REF!</definedName>
    <definedName name="ASGREQHÑY3" localSheetId="15" hidden="1">#REF!</definedName>
    <definedName name="ASGREQHÑY3" localSheetId="14" hidden="1">#REF!</definedName>
    <definedName name="ASGREQHÑY3" localSheetId="17" hidden="1">#REF!</definedName>
    <definedName name="ASGREQHÑY3" localSheetId="18" hidden="1">#REF!</definedName>
    <definedName name="ASGREQHÑY3" localSheetId="21" hidden="1">#REF!</definedName>
    <definedName name="ASGREQHÑY3" localSheetId="24" hidden="1">#REF!</definedName>
    <definedName name="ASGREQHÑY3" localSheetId="22" hidden="1">#REF!</definedName>
    <definedName name="ASGREQHÑY3" localSheetId="20" hidden="1">#REF!</definedName>
    <definedName name="ASGREQHÑY3" hidden="1">#REF!</definedName>
    <definedName name="ASRRYJHEYRMT" localSheetId="19" hidden="1">#REF!</definedName>
    <definedName name="ASRRYJHEYRMT" localSheetId="16" hidden="1">#REF!</definedName>
    <definedName name="ASRRYJHEYRMT" localSheetId="15" hidden="1">#REF!</definedName>
    <definedName name="ASRRYJHEYRMT" localSheetId="14" hidden="1">#REF!</definedName>
    <definedName name="ASRRYJHEYRMT" localSheetId="17" hidden="1">#REF!</definedName>
    <definedName name="ASRRYJHEYRMT" localSheetId="18" hidden="1">#REF!</definedName>
    <definedName name="ASRRYJHEYRMT" localSheetId="21" hidden="1">#REF!</definedName>
    <definedName name="ASRRYJHEYRMT" localSheetId="24" hidden="1">#REF!</definedName>
    <definedName name="ASRRYJHEYRMT" localSheetId="22" hidden="1">#REF!</definedName>
    <definedName name="ASRRYJHEYRMT" localSheetId="20" hidden="1">#REF!</definedName>
    <definedName name="ASRRYJHEYRMT" hidden="1">#REF!</definedName>
    <definedName name="asss" hidden="1">{#N/A,#N/A,TRUE,"Serviços"}</definedName>
    <definedName name="Aut_original" localSheetId="19">#REF!</definedName>
    <definedName name="Aut_original" localSheetId="16">#REF!</definedName>
    <definedName name="Aut_original" localSheetId="15">#REF!</definedName>
    <definedName name="Aut_original" localSheetId="14">#REF!</definedName>
    <definedName name="Aut_original" localSheetId="17">#REF!</definedName>
    <definedName name="Aut_original" localSheetId="18">#REF!</definedName>
    <definedName name="Aut_original" localSheetId="21">#REF!</definedName>
    <definedName name="Aut_original" localSheetId="24">#REF!</definedName>
    <definedName name="Aut_original" localSheetId="22">#REF!</definedName>
    <definedName name="Aut_original" localSheetId="20">#REF!</definedName>
    <definedName name="Aut_original">#REF!</definedName>
    <definedName name="Aut_resumo" localSheetId="19">#REF!</definedName>
    <definedName name="Aut_resumo" localSheetId="16">#REF!</definedName>
    <definedName name="Aut_resumo" localSheetId="15">#REF!</definedName>
    <definedName name="Aut_resumo" localSheetId="14">#REF!</definedName>
    <definedName name="Aut_resumo" localSheetId="17">#REF!</definedName>
    <definedName name="Aut_resumo" localSheetId="18">#REF!</definedName>
    <definedName name="Aut_resumo" localSheetId="21">#REF!</definedName>
    <definedName name="Aut_resumo" localSheetId="24">#REF!</definedName>
    <definedName name="Aut_resumo" localSheetId="22">#REF!</definedName>
    <definedName name="Aut_resumo" localSheetId="20">#REF!</definedName>
    <definedName name="Aut_resumo">#REF!</definedName>
    <definedName name="az" localSheetId="19" hidden="1">#REF!</definedName>
    <definedName name="az" localSheetId="16" hidden="1">#REF!</definedName>
    <definedName name="az" localSheetId="15" hidden="1">#REF!</definedName>
    <definedName name="az" localSheetId="14" hidden="1">#REF!</definedName>
    <definedName name="az" localSheetId="17" hidden="1">#REF!</definedName>
    <definedName name="az" localSheetId="18" hidden="1">#REF!</definedName>
    <definedName name="az" localSheetId="21" hidden="1">#REF!</definedName>
    <definedName name="az" localSheetId="24" hidden="1">#REF!</definedName>
    <definedName name="az" localSheetId="22" hidden="1">#REF!</definedName>
    <definedName name="az" localSheetId="20" hidden="1">#REF!</definedName>
    <definedName name="az" hidden="1">#REF!</definedName>
    <definedName name="b" localSheetId="19">#REF!</definedName>
    <definedName name="b" localSheetId="16">#REF!</definedName>
    <definedName name="b" localSheetId="15">#REF!</definedName>
    <definedName name="b" localSheetId="14">#REF!</definedName>
    <definedName name="b" localSheetId="17">#REF!</definedName>
    <definedName name="b" localSheetId="18">#REF!</definedName>
    <definedName name="b" localSheetId="21">#REF!</definedName>
    <definedName name="b" localSheetId="24">#REF!</definedName>
    <definedName name="b" localSheetId="22">#REF!</definedName>
    <definedName name="b" localSheetId="20">#REF!</definedName>
    <definedName name="b">#REF!</definedName>
    <definedName name="BalType" hidden="1">TRUE</definedName>
    <definedName name="_xlnm.Database" localSheetId="19">#REF!</definedName>
    <definedName name="_xlnm.Database" localSheetId="16">#REF!</definedName>
    <definedName name="_xlnm.Database" localSheetId="7">#REF!</definedName>
    <definedName name="_xlnm.Database" localSheetId="15">#REF!</definedName>
    <definedName name="_xlnm.Database" localSheetId="14">#REF!</definedName>
    <definedName name="_xlnm.Database" localSheetId="17">#REF!</definedName>
    <definedName name="_xlnm.Database" localSheetId="18">#REF!</definedName>
    <definedName name="_xlnm.Database" localSheetId="21">#REF!</definedName>
    <definedName name="_xlnm.Database" localSheetId="24">#REF!</definedName>
    <definedName name="_xlnm.Database" localSheetId="22">#REF!</definedName>
    <definedName name="_xlnm.Database" localSheetId="20">#REF!</definedName>
    <definedName name="_xlnm.Database">#REF!</definedName>
    <definedName name="bas" localSheetId="19">#REF!</definedName>
    <definedName name="bas" localSheetId="16">#REF!</definedName>
    <definedName name="bas" localSheetId="15">#REF!</definedName>
    <definedName name="bas" localSheetId="14">#REF!</definedName>
    <definedName name="bas" localSheetId="17">#REF!</definedName>
    <definedName name="bas" localSheetId="18">#REF!</definedName>
    <definedName name="bas" localSheetId="21">#REF!</definedName>
    <definedName name="bas" localSheetId="24">#REF!</definedName>
    <definedName name="bas" localSheetId="22">#REF!</definedName>
    <definedName name="bas" localSheetId="20">#REF!</definedName>
    <definedName name="bas">#REF!</definedName>
    <definedName name="batista" hidden="1">{#N/A,#N/A,FALSE,"SS 1";#N/A,#N/A,FALSE,"SS 2";#N/A,#N/A,FALSE,"TER 1 (1)";#N/A,#N/A,FALSE,"TER 1 (2)";#N/A,#N/A,FALSE,"TER 2 ";#N/A,#N/A,FALSE,"TP  (1)";#N/A,#N/A,FALSE,"TP  (2)";#N/A,#N/A,FALSE,"CM BAR"}</definedName>
    <definedName name="bbbb" hidden="1">{#N/A,#N/A,FALSE,"MO (2)"}</definedName>
    <definedName name="BBF" hidden="1">{#N/A,#N/A,FALSE,"Aging Summary";#N/A,#N/A,FALSE,"Ratio Analysis";#N/A,#N/A,FALSE,"Test 120 Day Accts";#N/A,#N/A,FALSE,"Tickmarks"}</definedName>
    <definedName name="BBF_1" hidden="1">{#N/A,#N/A,FALSE,"Aging Summary";#N/A,#N/A,FALSE,"Ratio Analysis";#N/A,#N/A,FALSE,"Test 120 Day Accts";#N/A,#N/A,FALSE,"Tickmarks"}</definedName>
    <definedName name="BBFB"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chart13" localSheetId="19" hidden="1">#REF!</definedName>
    <definedName name="bchart13" localSheetId="16" hidden="1">#REF!</definedName>
    <definedName name="bchart13" localSheetId="7" hidden="1">#REF!</definedName>
    <definedName name="bchart13" localSheetId="15" hidden="1">#REF!</definedName>
    <definedName name="bchart13" localSheetId="14" hidden="1">#REF!</definedName>
    <definedName name="bchart13" localSheetId="17" hidden="1">#REF!</definedName>
    <definedName name="bchart13" localSheetId="18" hidden="1">#REF!</definedName>
    <definedName name="bchart13" localSheetId="21" hidden="1">#REF!</definedName>
    <definedName name="bchart13" localSheetId="24" hidden="1">#REF!</definedName>
    <definedName name="bchart13" localSheetId="22" hidden="1">#REF!</definedName>
    <definedName name="bchart13" localSheetId="20" hidden="1">#REF!</definedName>
    <definedName name="bchart13" hidden="1">#REF!</definedName>
    <definedName name="bchart14" localSheetId="19" hidden="1">#REF!</definedName>
    <definedName name="bchart14" localSheetId="16" hidden="1">#REF!</definedName>
    <definedName name="bchart14" localSheetId="7" hidden="1">#REF!</definedName>
    <definedName name="bchart14" localSheetId="15" hidden="1">#REF!</definedName>
    <definedName name="bchart14" localSheetId="14" hidden="1">#REF!</definedName>
    <definedName name="bchart14" localSheetId="17" hidden="1">#REF!</definedName>
    <definedName name="bchart14" localSheetId="18" hidden="1">#REF!</definedName>
    <definedName name="bchart14" localSheetId="21" hidden="1">#REF!</definedName>
    <definedName name="bchart14" localSheetId="24" hidden="1">#REF!</definedName>
    <definedName name="bchart14" localSheetId="22" hidden="1">#REF!</definedName>
    <definedName name="bchart14" localSheetId="20" hidden="1">#REF!</definedName>
    <definedName name="bchart14" hidden="1">#REF!</definedName>
    <definedName name="bchart15" localSheetId="19" hidden="1">#REF!</definedName>
    <definedName name="bchart15" localSheetId="16" hidden="1">#REF!</definedName>
    <definedName name="bchart15" localSheetId="7" hidden="1">#REF!</definedName>
    <definedName name="bchart15" localSheetId="15" hidden="1">#REF!</definedName>
    <definedName name="bchart15" localSheetId="14" hidden="1">#REF!</definedName>
    <definedName name="bchart15" localSheetId="17" hidden="1">#REF!</definedName>
    <definedName name="bchart15" localSheetId="18" hidden="1">#REF!</definedName>
    <definedName name="bchart15" localSheetId="21" hidden="1">#REF!</definedName>
    <definedName name="bchart15" localSheetId="24" hidden="1">#REF!</definedName>
    <definedName name="bchart15" localSheetId="22" hidden="1">#REF!</definedName>
    <definedName name="bchart15" localSheetId="20" hidden="1">#REF!</definedName>
    <definedName name="bchart15" hidden="1">#REF!</definedName>
    <definedName name="bchart16" localSheetId="19" hidden="1">#REF!</definedName>
    <definedName name="bchart16" localSheetId="16" hidden="1">#REF!</definedName>
    <definedName name="bchart16" localSheetId="7" hidden="1">#REF!</definedName>
    <definedName name="bchart16" localSheetId="15" hidden="1">#REF!</definedName>
    <definedName name="bchart16" localSheetId="14" hidden="1">#REF!</definedName>
    <definedName name="bchart16" localSheetId="17" hidden="1">#REF!</definedName>
    <definedName name="bchart16" localSheetId="18" hidden="1">#REF!</definedName>
    <definedName name="bchart16" localSheetId="21" hidden="1">#REF!</definedName>
    <definedName name="bchart16" localSheetId="24" hidden="1">#REF!</definedName>
    <definedName name="bchart16" localSheetId="22" hidden="1">#REF!</definedName>
    <definedName name="bchart16" localSheetId="20" hidden="1">#REF!</definedName>
    <definedName name="bchart16" hidden="1">#REF!</definedName>
    <definedName name="bchart17" localSheetId="19" hidden="1">#REF!</definedName>
    <definedName name="bchart17" localSheetId="16" hidden="1">#REF!</definedName>
    <definedName name="bchart17" localSheetId="7" hidden="1">#REF!</definedName>
    <definedName name="bchart17" localSheetId="15" hidden="1">#REF!</definedName>
    <definedName name="bchart17" localSheetId="14" hidden="1">#REF!</definedName>
    <definedName name="bchart17" localSheetId="17" hidden="1">#REF!</definedName>
    <definedName name="bchart17" localSheetId="18" hidden="1">#REF!</definedName>
    <definedName name="bchart17" localSheetId="21" hidden="1">#REF!</definedName>
    <definedName name="bchart17" localSheetId="24" hidden="1">#REF!</definedName>
    <definedName name="bchart17" localSheetId="22" hidden="1">#REF!</definedName>
    <definedName name="bchart17" localSheetId="20" hidden="1">#REF!</definedName>
    <definedName name="bchart17" hidden="1">#REF!</definedName>
    <definedName name="bchart18" localSheetId="19" hidden="1">#REF!</definedName>
    <definedName name="bchart18" localSheetId="16" hidden="1">#REF!</definedName>
    <definedName name="bchart18" localSheetId="7" hidden="1">#REF!</definedName>
    <definedName name="bchart18" localSheetId="15" hidden="1">#REF!</definedName>
    <definedName name="bchart18" localSheetId="14" hidden="1">#REF!</definedName>
    <definedName name="bchart18" localSheetId="17" hidden="1">#REF!</definedName>
    <definedName name="bchart18" localSheetId="18" hidden="1">#REF!</definedName>
    <definedName name="bchart18" localSheetId="21" hidden="1">#REF!</definedName>
    <definedName name="bchart18" localSheetId="24" hidden="1">#REF!</definedName>
    <definedName name="bchart18" localSheetId="22" hidden="1">#REF!</definedName>
    <definedName name="bchart18" localSheetId="20" hidden="1">#REF!</definedName>
    <definedName name="bchart18" hidden="1">#REF!</definedName>
    <definedName name="bchart19" localSheetId="19" hidden="1">#REF!</definedName>
    <definedName name="bchart19" localSheetId="16" hidden="1">#REF!</definedName>
    <definedName name="bchart19" localSheetId="7" hidden="1">#REF!</definedName>
    <definedName name="bchart19" localSheetId="15" hidden="1">#REF!</definedName>
    <definedName name="bchart19" localSheetId="14" hidden="1">#REF!</definedName>
    <definedName name="bchart19" localSheetId="17" hidden="1">#REF!</definedName>
    <definedName name="bchart19" localSheetId="18" hidden="1">#REF!</definedName>
    <definedName name="bchart19" localSheetId="21" hidden="1">#REF!</definedName>
    <definedName name="bchart19" localSheetId="24" hidden="1">#REF!</definedName>
    <definedName name="bchart19" localSheetId="22" hidden="1">#REF!</definedName>
    <definedName name="bchart19" localSheetId="20" hidden="1">#REF!</definedName>
    <definedName name="bchart19" hidden="1">#REF!</definedName>
    <definedName name="bchart2" localSheetId="19" hidden="1">#REF!</definedName>
    <definedName name="bchart2" localSheetId="16" hidden="1">#REF!</definedName>
    <definedName name="bchart2" localSheetId="7" hidden="1">#REF!</definedName>
    <definedName name="bchart2" localSheetId="15" hidden="1">#REF!</definedName>
    <definedName name="bchart2" localSheetId="14" hidden="1">#REF!</definedName>
    <definedName name="bchart2" localSheetId="17" hidden="1">#REF!</definedName>
    <definedName name="bchart2" localSheetId="18" hidden="1">#REF!</definedName>
    <definedName name="bchart2" localSheetId="21" hidden="1">#REF!</definedName>
    <definedName name="bchart2" localSheetId="24" hidden="1">#REF!</definedName>
    <definedName name="bchart2" localSheetId="22" hidden="1">#REF!</definedName>
    <definedName name="bchart2" localSheetId="20" hidden="1">#REF!</definedName>
    <definedName name="bchart2" hidden="1">#REF!</definedName>
    <definedName name="bchart20" localSheetId="19" hidden="1">#REF!</definedName>
    <definedName name="bchart20" localSheetId="16" hidden="1">#REF!</definedName>
    <definedName name="bchart20" localSheetId="7" hidden="1">#REF!</definedName>
    <definedName name="bchart20" localSheetId="15" hidden="1">#REF!</definedName>
    <definedName name="bchart20" localSheetId="14" hidden="1">#REF!</definedName>
    <definedName name="bchart20" localSheetId="17" hidden="1">#REF!</definedName>
    <definedName name="bchart20" localSheetId="18" hidden="1">#REF!</definedName>
    <definedName name="bchart20" localSheetId="21" hidden="1">#REF!</definedName>
    <definedName name="bchart20" localSheetId="24" hidden="1">#REF!</definedName>
    <definedName name="bchart20" localSheetId="22" hidden="1">#REF!</definedName>
    <definedName name="bchart20" localSheetId="20" hidden="1">#REF!</definedName>
    <definedName name="bchart20" hidden="1">#REF!</definedName>
    <definedName name="bchart21" localSheetId="19" hidden="1">#REF!</definedName>
    <definedName name="bchart21" localSheetId="16" hidden="1">#REF!</definedName>
    <definedName name="bchart21" localSheetId="7" hidden="1">#REF!</definedName>
    <definedName name="bchart21" localSheetId="15" hidden="1">#REF!</definedName>
    <definedName name="bchart21" localSheetId="14" hidden="1">#REF!</definedName>
    <definedName name="bchart21" localSheetId="17" hidden="1">#REF!</definedName>
    <definedName name="bchart21" localSheetId="18" hidden="1">#REF!</definedName>
    <definedName name="bchart21" localSheetId="21" hidden="1">#REF!</definedName>
    <definedName name="bchart21" localSheetId="24" hidden="1">#REF!</definedName>
    <definedName name="bchart21" localSheetId="22" hidden="1">#REF!</definedName>
    <definedName name="bchart21" localSheetId="20" hidden="1">#REF!</definedName>
    <definedName name="bchart21" hidden="1">#REF!</definedName>
    <definedName name="bchart22" localSheetId="19" hidden="1">#REF!</definedName>
    <definedName name="bchart22" localSheetId="16" hidden="1">#REF!</definedName>
    <definedName name="bchart22" localSheetId="7" hidden="1">#REF!</definedName>
    <definedName name="bchart22" localSheetId="15" hidden="1">#REF!</definedName>
    <definedName name="bchart22" localSheetId="14" hidden="1">#REF!</definedName>
    <definedName name="bchart22" localSheetId="17" hidden="1">#REF!</definedName>
    <definedName name="bchart22" localSheetId="18" hidden="1">#REF!</definedName>
    <definedName name="bchart22" localSheetId="21" hidden="1">#REF!</definedName>
    <definedName name="bchart22" localSheetId="24" hidden="1">#REF!</definedName>
    <definedName name="bchart22" localSheetId="22" hidden="1">#REF!</definedName>
    <definedName name="bchart22" localSheetId="20" hidden="1">#REF!</definedName>
    <definedName name="bchart22" hidden="1">#REF!</definedName>
    <definedName name="bchart23" localSheetId="19" hidden="1">#REF!</definedName>
    <definedName name="bchart23" localSheetId="16" hidden="1">#REF!</definedName>
    <definedName name="bchart23" localSheetId="7" hidden="1">#REF!</definedName>
    <definedName name="bchart23" localSheetId="15" hidden="1">#REF!</definedName>
    <definedName name="bchart23" localSheetId="14" hidden="1">#REF!</definedName>
    <definedName name="bchart23" localSheetId="17" hidden="1">#REF!</definedName>
    <definedName name="bchart23" localSheetId="18" hidden="1">#REF!</definedName>
    <definedName name="bchart23" localSheetId="21" hidden="1">#REF!</definedName>
    <definedName name="bchart23" localSheetId="24" hidden="1">#REF!</definedName>
    <definedName name="bchart23" localSheetId="22" hidden="1">#REF!</definedName>
    <definedName name="bchart23" localSheetId="20" hidden="1">#REF!</definedName>
    <definedName name="bchart23" hidden="1">#REF!</definedName>
    <definedName name="bchart24" localSheetId="19" hidden="1">#REF!</definedName>
    <definedName name="bchart24" localSheetId="16" hidden="1">#REF!</definedName>
    <definedName name="bchart24" localSheetId="7" hidden="1">#REF!</definedName>
    <definedName name="bchart24" localSheetId="15" hidden="1">#REF!</definedName>
    <definedName name="bchart24" localSheetId="14" hidden="1">#REF!</definedName>
    <definedName name="bchart24" localSheetId="17" hidden="1">#REF!</definedName>
    <definedName name="bchart24" localSheetId="18" hidden="1">#REF!</definedName>
    <definedName name="bchart24" localSheetId="21" hidden="1">#REF!</definedName>
    <definedName name="bchart24" localSheetId="24" hidden="1">#REF!</definedName>
    <definedName name="bchart24" localSheetId="22" hidden="1">#REF!</definedName>
    <definedName name="bchart24" localSheetId="20" hidden="1">#REF!</definedName>
    <definedName name="bchart24" hidden="1">#REF!</definedName>
    <definedName name="bchart25" localSheetId="19" hidden="1">#REF!</definedName>
    <definedName name="bchart25" localSheetId="16" hidden="1">#REF!</definedName>
    <definedName name="bchart25" localSheetId="7" hidden="1">#REF!</definedName>
    <definedName name="bchart25" localSheetId="15" hidden="1">#REF!</definedName>
    <definedName name="bchart25" localSheetId="14" hidden="1">#REF!</definedName>
    <definedName name="bchart25" localSheetId="17" hidden="1">#REF!</definedName>
    <definedName name="bchart25" localSheetId="18" hidden="1">#REF!</definedName>
    <definedName name="bchart25" localSheetId="21" hidden="1">#REF!</definedName>
    <definedName name="bchart25" localSheetId="24" hidden="1">#REF!</definedName>
    <definedName name="bchart25" localSheetId="22" hidden="1">#REF!</definedName>
    <definedName name="bchart25" localSheetId="20" hidden="1">#REF!</definedName>
    <definedName name="bchart25" hidden="1">#REF!</definedName>
    <definedName name="bchart26" localSheetId="19" hidden="1">#REF!</definedName>
    <definedName name="bchart26" localSheetId="16" hidden="1">#REF!</definedName>
    <definedName name="bchart26" localSheetId="7" hidden="1">#REF!</definedName>
    <definedName name="bchart26" localSheetId="15" hidden="1">#REF!</definedName>
    <definedName name="bchart26" localSheetId="14" hidden="1">#REF!</definedName>
    <definedName name="bchart26" localSheetId="17" hidden="1">#REF!</definedName>
    <definedName name="bchart26" localSheetId="18" hidden="1">#REF!</definedName>
    <definedName name="bchart26" localSheetId="21" hidden="1">#REF!</definedName>
    <definedName name="bchart26" localSheetId="24" hidden="1">#REF!</definedName>
    <definedName name="bchart26" localSheetId="22" hidden="1">#REF!</definedName>
    <definedName name="bchart26" localSheetId="20" hidden="1">#REF!</definedName>
    <definedName name="bchart26" hidden="1">#REF!</definedName>
    <definedName name="bchart27" localSheetId="19" hidden="1">#REF!</definedName>
    <definedName name="bchart27" localSheetId="16" hidden="1">#REF!</definedName>
    <definedName name="bchart27" localSheetId="7" hidden="1">#REF!</definedName>
    <definedName name="bchart27" localSheetId="15" hidden="1">#REF!</definedName>
    <definedName name="bchart27" localSheetId="14" hidden="1">#REF!</definedName>
    <definedName name="bchart27" localSheetId="17" hidden="1">#REF!</definedName>
    <definedName name="bchart27" localSheetId="18" hidden="1">#REF!</definedName>
    <definedName name="bchart27" localSheetId="21" hidden="1">#REF!</definedName>
    <definedName name="bchart27" localSheetId="24" hidden="1">#REF!</definedName>
    <definedName name="bchart27" localSheetId="22" hidden="1">#REF!</definedName>
    <definedName name="bchart27" localSheetId="20" hidden="1">#REF!</definedName>
    <definedName name="bchart27" hidden="1">#REF!</definedName>
    <definedName name="bchart28" localSheetId="19" hidden="1">#REF!</definedName>
    <definedName name="bchart28" localSheetId="16" hidden="1">#REF!</definedName>
    <definedName name="bchart28" localSheetId="7" hidden="1">#REF!</definedName>
    <definedName name="bchart28" localSheetId="15" hidden="1">#REF!</definedName>
    <definedName name="bchart28" localSheetId="14" hidden="1">#REF!</definedName>
    <definedName name="bchart28" localSheetId="17" hidden="1">#REF!</definedName>
    <definedName name="bchart28" localSheetId="18" hidden="1">#REF!</definedName>
    <definedName name="bchart28" localSheetId="21" hidden="1">#REF!</definedName>
    <definedName name="bchart28" localSheetId="24" hidden="1">#REF!</definedName>
    <definedName name="bchart28" localSheetId="22" hidden="1">#REF!</definedName>
    <definedName name="bchart28" localSheetId="20" hidden="1">#REF!</definedName>
    <definedName name="bchart28" hidden="1">#REF!</definedName>
    <definedName name="bchart29" localSheetId="19" hidden="1">#REF!</definedName>
    <definedName name="bchart29" localSheetId="16" hidden="1">#REF!</definedName>
    <definedName name="bchart29" localSheetId="7" hidden="1">#REF!</definedName>
    <definedName name="bchart29" localSheetId="15" hidden="1">#REF!</definedName>
    <definedName name="bchart29" localSheetId="14" hidden="1">#REF!</definedName>
    <definedName name="bchart29" localSheetId="17" hidden="1">#REF!</definedName>
    <definedName name="bchart29" localSheetId="18" hidden="1">#REF!</definedName>
    <definedName name="bchart29" localSheetId="21" hidden="1">#REF!</definedName>
    <definedName name="bchart29" localSheetId="24" hidden="1">#REF!</definedName>
    <definedName name="bchart29" localSheetId="22" hidden="1">#REF!</definedName>
    <definedName name="bchart29" localSheetId="20" hidden="1">#REF!</definedName>
    <definedName name="bchart29" hidden="1">#REF!</definedName>
    <definedName name="bchart3" localSheetId="19" hidden="1">#REF!</definedName>
    <definedName name="bchart3" localSheetId="16" hidden="1">#REF!</definedName>
    <definedName name="bchart3" localSheetId="7" hidden="1">#REF!</definedName>
    <definedName name="bchart3" localSheetId="15" hidden="1">#REF!</definedName>
    <definedName name="bchart3" localSheetId="14" hidden="1">#REF!</definedName>
    <definedName name="bchart3" localSheetId="17" hidden="1">#REF!</definedName>
    <definedName name="bchart3" localSheetId="18" hidden="1">#REF!</definedName>
    <definedName name="bchart3" localSheetId="21" hidden="1">#REF!</definedName>
    <definedName name="bchart3" localSheetId="24" hidden="1">#REF!</definedName>
    <definedName name="bchart3" localSheetId="22" hidden="1">#REF!</definedName>
    <definedName name="bchart3" localSheetId="20" hidden="1">#REF!</definedName>
    <definedName name="bchart3" hidden="1">#REF!</definedName>
    <definedName name="bchart30" localSheetId="19" hidden="1">#REF!</definedName>
    <definedName name="bchart30" localSheetId="16" hidden="1">#REF!</definedName>
    <definedName name="bchart30" localSheetId="7" hidden="1">#REF!</definedName>
    <definedName name="bchart30" localSheetId="15" hidden="1">#REF!</definedName>
    <definedName name="bchart30" localSheetId="14" hidden="1">#REF!</definedName>
    <definedName name="bchart30" localSheetId="17" hidden="1">#REF!</definedName>
    <definedName name="bchart30" localSheetId="18" hidden="1">#REF!</definedName>
    <definedName name="bchart30" localSheetId="21" hidden="1">#REF!</definedName>
    <definedName name="bchart30" localSheetId="24" hidden="1">#REF!</definedName>
    <definedName name="bchart30" localSheetId="22" hidden="1">#REF!</definedName>
    <definedName name="bchart30" localSheetId="20" hidden="1">#REF!</definedName>
    <definedName name="bchart30" hidden="1">#REF!</definedName>
    <definedName name="bchart31" localSheetId="19" hidden="1">#REF!</definedName>
    <definedName name="bchart31" localSheetId="16" hidden="1">#REF!</definedName>
    <definedName name="bchart31" localSheetId="7" hidden="1">#REF!</definedName>
    <definedName name="bchart31" localSheetId="15" hidden="1">#REF!</definedName>
    <definedName name="bchart31" localSheetId="14" hidden="1">#REF!</definedName>
    <definedName name="bchart31" localSheetId="17" hidden="1">#REF!</definedName>
    <definedName name="bchart31" localSheetId="18" hidden="1">#REF!</definedName>
    <definedName name="bchart31" localSheetId="21" hidden="1">#REF!</definedName>
    <definedName name="bchart31" localSheetId="24" hidden="1">#REF!</definedName>
    <definedName name="bchart31" localSheetId="22" hidden="1">#REF!</definedName>
    <definedName name="bchart31" localSheetId="20" hidden="1">#REF!</definedName>
    <definedName name="bchart31" hidden="1">#REF!</definedName>
    <definedName name="bchart32" localSheetId="19" hidden="1">#REF!</definedName>
    <definedName name="bchart32" localSheetId="16" hidden="1">#REF!</definedName>
    <definedName name="bchart32" localSheetId="7" hidden="1">#REF!</definedName>
    <definedName name="bchart32" localSheetId="15" hidden="1">#REF!</definedName>
    <definedName name="bchart32" localSheetId="14" hidden="1">#REF!</definedName>
    <definedName name="bchart32" localSheetId="17" hidden="1">#REF!</definedName>
    <definedName name="bchart32" localSheetId="18" hidden="1">#REF!</definedName>
    <definedName name="bchart32" localSheetId="21" hidden="1">#REF!</definedName>
    <definedName name="bchart32" localSheetId="24" hidden="1">#REF!</definedName>
    <definedName name="bchart32" localSheetId="22" hidden="1">#REF!</definedName>
    <definedName name="bchart32" localSheetId="20" hidden="1">#REF!</definedName>
    <definedName name="bchart32" hidden="1">#REF!</definedName>
    <definedName name="bchart4" localSheetId="19" hidden="1">#REF!</definedName>
    <definedName name="bchart4" localSheetId="16" hidden="1">#REF!</definedName>
    <definedName name="bchart4" localSheetId="7" hidden="1">#REF!</definedName>
    <definedName name="bchart4" localSheetId="15" hidden="1">#REF!</definedName>
    <definedName name="bchart4" localSheetId="14" hidden="1">#REF!</definedName>
    <definedName name="bchart4" localSheetId="17" hidden="1">#REF!</definedName>
    <definedName name="bchart4" localSheetId="18" hidden="1">#REF!</definedName>
    <definedName name="bchart4" localSheetId="21" hidden="1">#REF!</definedName>
    <definedName name="bchart4" localSheetId="24" hidden="1">#REF!</definedName>
    <definedName name="bchart4" localSheetId="22" hidden="1">#REF!</definedName>
    <definedName name="bchart4" localSheetId="20" hidden="1">#REF!</definedName>
    <definedName name="bchart4" hidden="1">#REF!</definedName>
    <definedName name="bchart5" localSheetId="19" hidden="1">#REF!</definedName>
    <definedName name="bchart5" localSheetId="16" hidden="1">#REF!</definedName>
    <definedName name="bchart5" localSheetId="7" hidden="1">#REF!</definedName>
    <definedName name="bchart5" localSheetId="15" hidden="1">#REF!</definedName>
    <definedName name="bchart5" localSheetId="14" hidden="1">#REF!</definedName>
    <definedName name="bchart5" localSheetId="17" hidden="1">#REF!</definedName>
    <definedName name="bchart5" localSheetId="18" hidden="1">#REF!</definedName>
    <definedName name="bchart5" localSheetId="21" hidden="1">#REF!</definedName>
    <definedName name="bchart5" localSheetId="24" hidden="1">#REF!</definedName>
    <definedName name="bchart5" localSheetId="22" hidden="1">#REF!</definedName>
    <definedName name="bchart5" localSheetId="20" hidden="1">#REF!</definedName>
    <definedName name="bchart5" hidden="1">#REF!</definedName>
    <definedName name="bchart6" localSheetId="19" hidden="1">#REF!</definedName>
    <definedName name="bchart6" localSheetId="16" hidden="1">#REF!</definedName>
    <definedName name="bchart6" localSheetId="7" hidden="1">#REF!</definedName>
    <definedName name="bchart6" localSheetId="15" hidden="1">#REF!</definedName>
    <definedName name="bchart6" localSheetId="14" hidden="1">#REF!</definedName>
    <definedName name="bchart6" localSheetId="17" hidden="1">#REF!</definedName>
    <definedName name="bchart6" localSheetId="18" hidden="1">#REF!</definedName>
    <definedName name="bchart6" localSheetId="21" hidden="1">#REF!</definedName>
    <definedName name="bchart6" localSheetId="24" hidden="1">#REF!</definedName>
    <definedName name="bchart6" localSheetId="22" hidden="1">#REF!</definedName>
    <definedName name="bchart6" localSheetId="20" hidden="1">#REF!</definedName>
    <definedName name="bchart6" hidden="1">#REF!</definedName>
    <definedName name="bchart7" localSheetId="19" hidden="1">#REF!</definedName>
    <definedName name="bchart7" localSheetId="16" hidden="1">#REF!</definedName>
    <definedName name="bchart7" localSheetId="7" hidden="1">#REF!</definedName>
    <definedName name="bchart7" localSheetId="15" hidden="1">#REF!</definedName>
    <definedName name="bchart7" localSheetId="14" hidden="1">#REF!</definedName>
    <definedName name="bchart7" localSheetId="17" hidden="1">#REF!</definedName>
    <definedName name="bchart7" localSheetId="18" hidden="1">#REF!</definedName>
    <definedName name="bchart7" localSheetId="21" hidden="1">#REF!</definedName>
    <definedName name="bchart7" localSheetId="24" hidden="1">#REF!</definedName>
    <definedName name="bchart7" localSheetId="22" hidden="1">#REF!</definedName>
    <definedName name="bchart7" localSheetId="20" hidden="1">#REF!</definedName>
    <definedName name="bchart7" hidden="1">#REF!</definedName>
    <definedName name="bchart8" localSheetId="19" hidden="1">#REF!</definedName>
    <definedName name="bchart8" localSheetId="16" hidden="1">#REF!</definedName>
    <definedName name="bchart8" localSheetId="7" hidden="1">#REF!</definedName>
    <definedName name="bchart8" localSheetId="15" hidden="1">#REF!</definedName>
    <definedName name="bchart8" localSheetId="14" hidden="1">#REF!</definedName>
    <definedName name="bchart8" localSheetId="17" hidden="1">#REF!</definedName>
    <definedName name="bchart8" localSheetId="18" hidden="1">#REF!</definedName>
    <definedName name="bchart8" localSheetId="21" hidden="1">#REF!</definedName>
    <definedName name="bchart8" localSheetId="24" hidden="1">#REF!</definedName>
    <definedName name="bchart8" localSheetId="22" hidden="1">#REF!</definedName>
    <definedName name="bchart8" localSheetId="20" hidden="1">#REF!</definedName>
    <definedName name="bchart8" hidden="1">#REF!</definedName>
    <definedName name="bchart9" localSheetId="19" hidden="1">#REF!</definedName>
    <definedName name="bchart9" localSheetId="16" hidden="1">#REF!</definedName>
    <definedName name="bchart9" localSheetId="7" hidden="1">#REF!</definedName>
    <definedName name="bchart9" localSheetId="15" hidden="1">#REF!</definedName>
    <definedName name="bchart9" localSheetId="14" hidden="1">#REF!</definedName>
    <definedName name="bchart9" localSheetId="17" hidden="1">#REF!</definedName>
    <definedName name="bchart9" localSheetId="18" hidden="1">#REF!</definedName>
    <definedName name="bchart9" localSheetId="21" hidden="1">#REF!</definedName>
    <definedName name="bchart9" localSheetId="24" hidden="1">#REF!</definedName>
    <definedName name="bchart9" localSheetId="22" hidden="1">#REF!</definedName>
    <definedName name="bchart9" localSheetId="20" hidden="1">#REF!</definedName>
    <definedName name="bchart9" hidden="1">#REF!</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19">#REF!</definedName>
    <definedName name="BDI" localSheetId="16">#REF!</definedName>
    <definedName name="BDI" localSheetId="15">#REF!</definedName>
    <definedName name="BDI" localSheetId="14">#REF!</definedName>
    <definedName name="BDI" localSheetId="17">#REF!</definedName>
    <definedName name="BDI" localSheetId="18">#REF!</definedName>
    <definedName name="BDI" localSheetId="21">#REF!</definedName>
    <definedName name="BDI" localSheetId="24">#REF!</definedName>
    <definedName name="BDI" localSheetId="22">#REF!</definedName>
    <definedName name="BDI" localSheetId="20">#REF!</definedName>
    <definedName name="BDI">#REF!</definedName>
    <definedName name="BG_Del" hidden="1">15</definedName>
    <definedName name="BG_Ins" hidden="1">4</definedName>
    <definedName name="BG_Mod" hidden="1">6</definedName>
    <definedName name="Bloco" localSheetId="19" hidden="1">#REF!</definedName>
    <definedName name="Bloco" localSheetId="16" hidden="1">#REF!</definedName>
    <definedName name="Bloco" localSheetId="15" hidden="1">#REF!</definedName>
    <definedName name="Bloco" localSheetId="14" hidden="1">#REF!</definedName>
    <definedName name="Bloco" localSheetId="17" hidden="1">#REF!</definedName>
    <definedName name="Bloco" localSheetId="18" hidden="1">#REF!</definedName>
    <definedName name="Bloco" localSheetId="21" hidden="1">#REF!</definedName>
    <definedName name="Bloco" localSheetId="24" hidden="1">#REF!</definedName>
    <definedName name="Bloco" localSheetId="22" hidden="1">#REF!</definedName>
    <definedName name="Bloco" localSheetId="20" hidden="1">#REF!</definedName>
    <definedName name="Bloco" hidden="1">#REF!</definedName>
    <definedName name="Bloco2" localSheetId="19" hidden="1">#REF!</definedName>
    <definedName name="Bloco2" localSheetId="16" hidden="1">#REF!</definedName>
    <definedName name="Bloco2" localSheetId="15" hidden="1">#REF!</definedName>
    <definedName name="Bloco2" localSheetId="14" hidden="1">#REF!</definedName>
    <definedName name="Bloco2" localSheetId="17" hidden="1">#REF!</definedName>
    <definedName name="Bloco2" localSheetId="18" hidden="1">#REF!</definedName>
    <definedName name="Bloco2" localSheetId="21" hidden="1">#REF!</definedName>
    <definedName name="Bloco2" localSheetId="24" hidden="1">#REF!</definedName>
    <definedName name="Bloco2" localSheetId="22" hidden="1">#REF!</definedName>
    <definedName name="Bloco2" localSheetId="20" hidden="1">#REF!</definedName>
    <definedName name="Bloco2" hidden="1">#REF!</definedName>
    <definedName name="BLPH1" localSheetId="19" hidden="1">#REF!</definedName>
    <definedName name="BLPH1" localSheetId="16" hidden="1">#REF!</definedName>
    <definedName name="BLPH1" localSheetId="15" hidden="1">#REF!</definedName>
    <definedName name="BLPH1" localSheetId="14" hidden="1">#REF!</definedName>
    <definedName name="BLPH1" localSheetId="17" hidden="1">#REF!</definedName>
    <definedName name="BLPH1" localSheetId="18" hidden="1">#REF!</definedName>
    <definedName name="BLPH1" localSheetId="21" hidden="1">#REF!</definedName>
    <definedName name="BLPH1" localSheetId="24" hidden="1">#REF!</definedName>
    <definedName name="BLPH1" localSheetId="22" hidden="1">#REF!</definedName>
    <definedName name="BLPH1" localSheetId="20" hidden="1">#REF!</definedName>
    <definedName name="BLPH1" hidden="1">#REF!</definedName>
    <definedName name="BLPH100" hidden="1">#REF!</definedName>
    <definedName name="BLPH101" hidden="1">#REF!</definedName>
    <definedName name="BLPH102" hidden="1">#REF!</definedName>
    <definedName name="BLPH103" hidden="1">#REF!</definedName>
    <definedName name="BLPH104" hidden="1">#REF!</definedName>
    <definedName name="BLPH107" localSheetId="19" hidden="1">#REF!</definedName>
    <definedName name="BLPH107" localSheetId="16" hidden="1">#REF!</definedName>
    <definedName name="BLPH107" localSheetId="15" hidden="1">#REF!</definedName>
    <definedName name="BLPH107" localSheetId="14" hidden="1">#REF!</definedName>
    <definedName name="BLPH107" localSheetId="17" hidden="1">#REF!</definedName>
    <definedName name="BLPH107" localSheetId="18" hidden="1">#REF!</definedName>
    <definedName name="BLPH107" localSheetId="21" hidden="1">#REF!</definedName>
    <definedName name="BLPH107" localSheetId="24" hidden="1">#REF!</definedName>
    <definedName name="BLPH107" localSheetId="22" hidden="1">#REF!</definedName>
    <definedName name="BLPH107" localSheetId="20" hidden="1">#REF!</definedName>
    <definedName name="BLPH107" hidden="1">#REF!</definedName>
    <definedName name="BLPH2" localSheetId="19" hidden="1">#REF!</definedName>
    <definedName name="BLPH2" localSheetId="16" hidden="1">#REF!</definedName>
    <definedName name="BLPH2" localSheetId="15" hidden="1">#REF!</definedName>
    <definedName name="BLPH2" localSheetId="14" hidden="1">#REF!</definedName>
    <definedName name="BLPH2" localSheetId="17" hidden="1">#REF!</definedName>
    <definedName name="BLPH2" localSheetId="18" hidden="1">#REF!</definedName>
    <definedName name="BLPH2" localSheetId="21" hidden="1">#REF!</definedName>
    <definedName name="BLPH2" localSheetId="24" hidden="1">#REF!</definedName>
    <definedName name="BLPH2" localSheetId="22" hidden="1">#REF!</definedName>
    <definedName name="BLPH2" localSheetId="20" hidden="1">#REF!</definedName>
    <definedName name="BLPH2" hidden="1">#REF!</definedName>
    <definedName name="BLPH3" localSheetId="19" hidden="1">#REF!</definedName>
    <definedName name="BLPH3" localSheetId="16" hidden="1">#REF!</definedName>
    <definedName name="BLPH3" localSheetId="15" hidden="1">#REF!</definedName>
    <definedName name="BLPH3" localSheetId="14" hidden="1">#REF!</definedName>
    <definedName name="BLPH3" localSheetId="17" hidden="1">#REF!</definedName>
    <definedName name="BLPH3" localSheetId="18" hidden="1">#REF!</definedName>
    <definedName name="BLPH3" localSheetId="21" hidden="1">#REF!</definedName>
    <definedName name="BLPH3" localSheetId="24" hidden="1">#REF!</definedName>
    <definedName name="BLPH3" localSheetId="22" hidden="1">#REF!</definedName>
    <definedName name="BLPH3" localSheetId="20" hidden="1">#REF!</definedName>
    <definedName name="BLPH3" hidden="1">#REF!</definedName>
    <definedName name="BLPH4" localSheetId="19" hidden="1">#REF!</definedName>
    <definedName name="BLPH4" localSheetId="16" hidden="1">#REF!</definedName>
    <definedName name="BLPH4" localSheetId="15" hidden="1">#REF!</definedName>
    <definedName name="BLPH4" localSheetId="14" hidden="1">#REF!</definedName>
    <definedName name="BLPH4" localSheetId="17" hidden="1">#REF!</definedName>
    <definedName name="BLPH4" localSheetId="18" hidden="1">#REF!</definedName>
    <definedName name="BLPH4" localSheetId="21" hidden="1">#REF!</definedName>
    <definedName name="BLPH4" localSheetId="24" hidden="1">#REF!</definedName>
    <definedName name="BLPH4" localSheetId="22" hidden="1">#REF!</definedName>
    <definedName name="BLPH4" localSheetId="20" hidden="1">#REF!</definedName>
    <definedName name="BLPH4" hidden="1">#REF!</definedName>
    <definedName name="BLPH5" localSheetId="19" hidden="1">#REF!</definedName>
    <definedName name="BLPH5" localSheetId="16" hidden="1">#REF!</definedName>
    <definedName name="BLPH5" localSheetId="15" hidden="1">#REF!</definedName>
    <definedName name="BLPH5" localSheetId="14" hidden="1">#REF!</definedName>
    <definedName name="BLPH5" localSheetId="17" hidden="1">#REF!</definedName>
    <definedName name="BLPH5" localSheetId="18" hidden="1">#REF!</definedName>
    <definedName name="BLPH5" localSheetId="21" hidden="1">#REF!</definedName>
    <definedName name="BLPH5" localSheetId="24" hidden="1">#REF!</definedName>
    <definedName name="BLPH5" localSheetId="22" hidden="1">#REF!</definedName>
    <definedName name="BLPH5" localSheetId="20" hidden="1">#REF!</definedName>
    <definedName name="BLPH5" hidden="1">#REF!</definedName>
    <definedName name="BLPH6" localSheetId="19" hidden="1">#REF!</definedName>
    <definedName name="BLPH6" localSheetId="16" hidden="1">#REF!</definedName>
    <definedName name="BLPH6" localSheetId="15" hidden="1">#REF!</definedName>
    <definedName name="BLPH6" localSheetId="14" hidden="1">#REF!</definedName>
    <definedName name="BLPH6" localSheetId="17" hidden="1">#REF!</definedName>
    <definedName name="BLPH6" localSheetId="18" hidden="1">#REF!</definedName>
    <definedName name="BLPH6" localSheetId="21" hidden="1">#REF!</definedName>
    <definedName name="BLPH6" localSheetId="24" hidden="1">#REF!</definedName>
    <definedName name="BLPH6" localSheetId="22" hidden="1">#REF!</definedName>
    <definedName name="BLPH6" localSheetId="20" hidden="1">#REF!</definedName>
    <definedName name="BLPH6" hidden="1">#REF!</definedName>
    <definedName name="BLPH7" localSheetId="19" hidden="1">#REF!</definedName>
    <definedName name="BLPH7" localSheetId="16" hidden="1">#REF!</definedName>
    <definedName name="BLPH7" localSheetId="15" hidden="1">#REF!</definedName>
    <definedName name="BLPH7" localSheetId="14" hidden="1">#REF!</definedName>
    <definedName name="BLPH7" localSheetId="17" hidden="1">#REF!</definedName>
    <definedName name="BLPH7" localSheetId="18" hidden="1">#REF!</definedName>
    <definedName name="BLPH7" localSheetId="21" hidden="1">#REF!</definedName>
    <definedName name="BLPH7" localSheetId="24" hidden="1">#REF!</definedName>
    <definedName name="BLPH7" localSheetId="22" hidden="1">#REF!</definedName>
    <definedName name="BLPH7" localSheetId="20" hidden="1">#REF!</definedName>
    <definedName name="BLPH7" hidden="1">#REF!</definedName>
    <definedName name="BLPH8" localSheetId="19" hidden="1">#REF!</definedName>
    <definedName name="BLPH8" localSheetId="16" hidden="1">#REF!</definedName>
    <definedName name="BLPH8" localSheetId="15" hidden="1">#REF!</definedName>
    <definedName name="BLPH8" localSheetId="14" hidden="1">#REF!</definedName>
    <definedName name="BLPH8" localSheetId="17" hidden="1">#REF!</definedName>
    <definedName name="BLPH8" localSheetId="18" hidden="1">#REF!</definedName>
    <definedName name="BLPH8" localSheetId="21" hidden="1">#REF!</definedName>
    <definedName name="BLPH8" localSheetId="24" hidden="1">#REF!</definedName>
    <definedName name="BLPH8" localSheetId="22" hidden="1">#REF!</definedName>
    <definedName name="BLPH8" localSheetId="20" hidden="1">#REF!</definedName>
    <definedName name="BLPH8" hidden="1">#REF!</definedName>
    <definedName name="BLPH96" hidden="1">#REF!</definedName>
    <definedName name="BLPH97" hidden="1">#REF!</definedName>
    <definedName name="BLPH98" hidden="1">#REF!</definedName>
    <definedName name="BLPH99" hidden="1">#REF!</definedName>
    <definedName name="br" localSheetId="19">#REF!</definedName>
    <definedName name="br" localSheetId="16">#REF!</definedName>
    <definedName name="br" localSheetId="7">#REF!</definedName>
    <definedName name="br" localSheetId="15">#REF!</definedName>
    <definedName name="br" localSheetId="14">#REF!</definedName>
    <definedName name="br" localSheetId="17">#REF!</definedName>
    <definedName name="br" localSheetId="18">#REF!</definedName>
    <definedName name="br" localSheetId="21">#REF!</definedName>
    <definedName name="br" localSheetId="24">#REF!</definedName>
    <definedName name="br" localSheetId="22">#REF!</definedName>
    <definedName name="br" localSheetId="20">#REF!</definedName>
    <definedName name="br">#REF!</definedName>
    <definedName name="cadeira" hidden="1">{#N/A,#N/A,TRUE,"Serviços"}</definedName>
    <definedName name="CadIns" localSheetId="19" hidden="1">#REF!</definedName>
    <definedName name="CadIns" localSheetId="16" hidden="1">#REF!</definedName>
    <definedName name="CadIns" localSheetId="15" hidden="1">#REF!</definedName>
    <definedName name="CadIns" localSheetId="14" hidden="1">#REF!</definedName>
    <definedName name="CadIns" localSheetId="17" hidden="1">#REF!</definedName>
    <definedName name="CadIns" localSheetId="18" hidden="1">#REF!</definedName>
    <definedName name="CadIns" localSheetId="21" hidden="1">#REF!</definedName>
    <definedName name="CadIns" localSheetId="24" hidden="1">#REF!</definedName>
    <definedName name="CadIns" localSheetId="22" hidden="1">#REF!</definedName>
    <definedName name="CadIns" localSheetId="20" hidden="1">#REF!</definedName>
    <definedName name="CadIns" hidden="1">#REF!</definedName>
    <definedName name="CadSrv" localSheetId="19" hidden="1">#REF!</definedName>
    <definedName name="CadSrv" localSheetId="16" hidden="1">#REF!</definedName>
    <definedName name="CadSrv" localSheetId="15" hidden="1">#REF!</definedName>
    <definedName name="CadSrv" localSheetId="14" hidden="1">#REF!</definedName>
    <definedName name="CadSrv" localSheetId="17" hidden="1">#REF!</definedName>
    <definedName name="CadSrv" localSheetId="18" hidden="1">#REF!</definedName>
    <definedName name="CadSrv" localSheetId="21" hidden="1">#REF!</definedName>
    <definedName name="CadSrv" localSheetId="24" hidden="1">#REF!</definedName>
    <definedName name="CadSrv" localSheetId="22" hidden="1">#REF!</definedName>
    <definedName name="CadSrv" localSheetId="20" hidden="1">#REF!</definedName>
    <definedName name="CadSrv" hidden="1">#REF!</definedName>
    <definedName name="CafeManha">#REF!</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19">#REF!</definedName>
    <definedName name="CalendárioJan" localSheetId="16">#REF!</definedName>
    <definedName name="CalendárioJan" localSheetId="7">#REF!</definedName>
    <definedName name="CalendárioJan" localSheetId="15">#REF!</definedName>
    <definedName name="CalendárioJan" localSheetId="14">#REF!</definedName>
    <definedName name="CalendárioJan" localSheetId="17">#REF!</definedName>
    <definedName name="CalendárioJan" localSheetId="18">#REF!</definedName>
    <definedName name="CalendárioJan" localSheetId="21">#REF!</definedName>
    <definedName name="CalendárioJan" localSheetId="24">#REF!</definedName>
    <definedName name="CalendárioJan" localSheetId="22">#REF!</definedName>
    <definedName name="CalendárioJan" localSheetId="20">#REF!</definedName>
    <definedName name="CalendárioJan">#REF!</definedName>
    <definedName name="CAPA" hidden="1">{#N/A,#N/A,TRUE,"Serviços"}</definedName>
    <definedName name="capa1" hidden="1">{#N/A,#N/A,TRUE,"Serviços"}</definedName>
    <definedName name="capa11" hidden="1">{#N/A,#N/A,TRUE,"Serviços"}</definedName>
    <definedName name="capa2" hidden="1">{#N/A,#N/A,TRUE,"Serviços"}</definedName>
    <definedName name="capa22" hidden="1">{#N/A,#N/A,TRUE,"Serviços"}</definedName>
    <definedName name="CAPAA" hidden="1">{#N/A,#N/A,TRUE,"Serviços"}</definedName>
    <definedName name="CARALHO" localSheetId="19" hidden="1">#REF!</definedName>
    <definedName name="CARALHO" localSheetId="16" hidden="1">#REF!</definedName>
    <definedName name="CARALHO" localSheetId="15" hidden="1">#REF!</definedName>
    <definedName name="CARALHO" localSheetId="14" hidden="1">#REF!</definedName>
    <definedName name="CARALHO" localSheetId="17" hidden="1">#REF!</definedName>
    <definedName name="CARALHO" localSheetId="18" hidden="1">#REF!</definedName>
    <definedName name="CARALHO" localSheetId="21" hidden="1">#REF!</definedName>
    <definedName name="CARALHO" localSheetId="24" hidden="1">#REF!</definedName>
    <definedName name="CARALHO" localSheetId="22" hidden="1">#REF!</definedName>
    <definedName name="CARALHO" localSheetId="20" hidden="1">#REF!</definedName>
    <definedName name="CARALHO" hidden="1">#REF!</definedName>
    <definedName name="CARLA" localSheetId="19" hidden="1">#REF!</definedName>
    <definedName name="CARLA" localSheetId="16" hidden="1">#REF!</definedName>
    <definedName name="CARLA" localSheetId="7" hidden="1">#REF!</definedName>
    <definedName name="CARLA" localSheetId="15" hidden="1">#REF!</definedName>
    <definedName name="CARLA" localSheetId="14" hidden="1">#REF!</definedName>
    <definedName name="CARLA" localSheetId="17" hidden="1">#REF!</definedName>
    <definedName name="CARLA" localSheetId="18" hidden="1">#REF!</definedName>
    <definedName name="CARLA" localSheetId="21" hidden="1">#REF!</definedName>
    <definedName name="CARLA" localSheetId="24" hidden="1">#REF!</definedName>
    <definedName name="CARLA" localSheetId="22" hidden="1">#REF!</definedName>
    <definedName name="CARLA" localSheetId="20" hidden="1">#REF!</definedName>
    <definedName name="CARLA" hidden="1">#REF!</definedName>
    <definedName name="CASCALHAMENTO" localSheetId="19">#REF!</definedName>
    <definedName name="CASCALHAMENTO" localSheetId="16">#REF!</definedName>
    <definedName name="CASCALHAMENTO" localSheetId="15">#REF!</definedName>
    <definedName name="CASCALHAMENTO" localSheetId="14">#REF!</definedName>
    <definedName name="CASCALHAMENTO" localSheetId="17">#REF!</definedName>
    <definedName name="CASCALHAMENTO" localSheetId="18">#REF!</definedName>
    <definedName name="CASCALHAMENTO" localSheetId="21">#REF!</definedName>
    <definedName name="CASCALHAMENTO" localSheetId="24">#REF!</definedName>
    <definedName name="CASCALHAMENTO" localSheetId="22">#REF!</definedName>
    <definedName name="CASCALHAMENTO" localSheetId="20">#REF!</definedName>
    <definedName name="CASCALHAMENTO">#REF!</definedName>
    <definedName name="CASCALHO" localSheetId="19">#REF!</definedName>
    <definedName name="CASCALHO" localSheetId="16">#REF!</definedName>
    <definedName name="CASCALHO" localSheetId="15">#REF!</definedName>
    <definedName name="CASCALHO" localSheetId="14">#REF!</definedName>
    <definedName name="CASCALHO" localSheetId="17">#REF!</definedName>
    <definedName name="CASCALHO" localSheetId="18">#REF!</definedName>
    <definedName name="CASCALHO" localSheetId="21">#REF!</definedName>
    <definedName name="CASCALHO" localSheetId="24">#REF!</definedName>
    <definedName name="CASCALHO" localSheetId="22">#REF!</definedName>
    <definedName name="CASCALHO" localSheetId="20">#REF!</definedName>
    <definedName name="CASCALHO">#REF!</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c" hidden="1">{"PARTE1",#N/A,FALSE,"Plan1"}</definedName>
    <definedName name="cccccc_1" hidden="1">{"PARTE1",#N/A,FALSE,"Plan1"}</definedName>
    <definedName name="cch" hidden="1">#N/A</definedName>
    <definedName name="cchart13" localSheetId="19" hidden="1">#REF!</definedName>
    <definedName name="cchart13" localSheetId="16" hidden="1">#REF!</definedName>
    <definedName name="cchart13" localSheetId="7" hidden="1">#REF!</definedName>
    <definedName name="cchart13" localSheetId="15" hidden="1">#REF!</definedName>
    <definedName name="cchart13" localSheetId="14" hidden="1">#REF!</definedName>
    <definedName name="cchart13" localSheetId="17" hidden="1">#REF!</definedName>
    <definedName name="cchart13" localSheetId="18" hidden="1">#REF!</definedName>
    <definedName name="cchart13" localSheetId="21" hidden="1">#REF!</definedName>
    <definedName name="cchart13" localSheetId="24" hidden="1">#REF!</definedName>
    <definedName name="cchart13" localSheetId="22" hidden="1">#REF!</definedName>
    <definedName name="cchart13" localSheetId="20" hidden="1">#REF!</definedName>
    <definedName name="cchart13" hidden="1">#REF!</definedName>
    <definedName name="cchart14" localSheetId="19" hidden="1">#REF!</definedName>
    <definedName name="cchart14" localSheetId="16" hidden="1">#REF!</definedName>
    <definedName name="cchart14" localSheetId="7" hidden="1">#REF!</definedName>
    <definedName name="cchart14" localSheetId="15" hidden="1">#REF!</definedName>
    <definedName name="cchart14" localSheetId="14" hidden="1">#REF!</definedName>
    <definedName name="cchart14" localSheetId="17" hidden="1">#REF!</definedName>
    <definedName name="cchart14" localSheetId="18" hidden="1">#REF!</definedName>
    <definedName name="cchart14" localSheetId="21" hidden="1">#REF!</definedName>
    <definedName name="cchart14" localSheetId="24" hidden="1">#REF!</definedName>
    <definedName name="cchart14" localSheetId="22" hidden="1">#REF!</definedName>
    <definedName name="cchart14" localSheetId="20" hidden="1">#REF!</definedName>
    <definedName name="cchart14" hidden="1">#REF!</definedName>
    <definedName name="cchart15" localSheetId="19" hidden="1">#REF!</definedName>
    <definedName name="cchart15" localSheetId="16" hidden="1">#REF!</definedName>
    <definedName name="cchart15" localSheetId="7" hidden="1">#REF!</definedName>
    <definedName name="cchart15" localSheetId="15" hidden="1">#REF!</definedName>
    <definedName name="cchart15" localSheetId="14" hidden="1">#REF!</definedName>
    <definedName name="cchart15" localSheetId="17" hidden="1">#REF!</definedName>
    <definedName name="cchart15" localSheetId="18" hidden="1">#REF!</definedName>
    <definedName name="cchart15" localSheetId="21" hidden="1">#REF!</definedName>
    <definedName name="cchart15" localSheetId="24" hidden="1">#REF!</definedName>
    <definedName name="cchart15" localSheetId="22" hidden="1">#REF!</definedName>
    <definedName name="cchart15" localSheetId="20" hidden="1">#REF!</definedName>
    <definedName name="cchart15" hidden="1">#REF!</definedName>
    <definedName name="cchart16" localSheetId="19" hidden="1">#REF!</definedName>
    <definedName name="cchart16" localSheetId="16" hidden="1">#REF!</definedName>
    <definedName name="cchart16" localSheetId="7" hidden="1">#REF!</definedName>
    <definedName name="cchart16" localSheetId="15" hidden="1">#REF!</definedName>
    <definedName name="cchart16" localSheetId="14" hidden="1">#REF!</definedName>
    <definedName name="cchart16" localSheetId="17" hidden="1">#REF!</definedName>
    <definedName name="cchart16" localSheetId="18" hidden="1">#REF!</definedName>
    <definedName name="cchart16" localSheetId="21" hidden="1">#REF!</definedName>
    <definedName name="cchart16" localSheetId="24" hidden="1">#REF!</definedName>
    <definedName name="cchart16" localSheetId="22" hidden="1">#REF!</definedName>
    <definedName name="cchart16" localSheetId="20" hidden="1">#REF!</definedName>
    <definedName name="cchart16" hidden="1">#REF!</definedName>
    <definedName name="cchart17" localSheetId="19" hidden="1">#REF!</definedName>
    <definedName name="cchart17" localSheetId="16" hidden="1">#REF!</definedName>
    <definedName name="cchart17" localSheetId="7" hidden="1">#REF!</definedName>
    <definedName name="cchart17" localSheetId="15" hidden="1">#REF!</definedName>
    <definedName name="cchart17" localSheetId="14" hidden="1">#REF!</definedName>
    <definedName name="cchart17" localSheetId="17" hidden="1">#REF!</definedName>
    <definedName name="cchart17" localSheetId="18" hidden="1">#REF!</definedName>
    <definedName name="cchart17" localSheetId="21" hidden="1">#REF!</definedName>
    <definedName name="cchart17" localSheetId="24" hidden="1">#REF!</definedName>
    <definedName name="cchart17" localSheetId="22" hidden="1">#REF!</definedName>
    <definedName name="cchart17" localSheetId="20" hidden="1">#REF!</definedName>
    <definedName name="cchart17" hidden="1">#REF!</definedName>
    <definedName name="cchart18" localSheetId="19" hidden="1">#REF!</definedName>
    <definedName name="cchart18" localSheetId="16" hidden="1">#REF!</definedName>
    <definedName name="cchart18" localSheetId="7" hidden="1">#REF!</definedName>
    <definedName name="cchart18" localSheetId="15" hidden="1">#REF!</definedName>
    <definedName name="cchart18" localSheetId="14" hidden="1">#REF!</definedName>
    <definedName name="cchart18" localSheetId="17" hidden="1">#REF!</definedName>
    <definedName name="cchart18" localSheetId="18" hidden="1">#REF!</definedName>
    <definedName name="cchart18" localSheetId="21" hidden="1">#REF!</definedName>
    <definedName name="cchart18" localSheetId="24" hidden="1">#REF!</definedName>
    <definedName name="cchart18" localSheetId="22" hidden="1">#REF!</definedName>
    <definedName name="cchart18" localSheetId="20" hidden="1">#REF!</definedName>
    <definedName name="cchart18" hidden="1">#REF!</definedName>
    <definedName name="cchart19" localSheetId="19" hidden="1">#REF!</definedName>
    <definedName name="cchart19" localSheetId="16" hidden="1">#REF!</definedName>
    <definedName name="cchart19" localSheetId="7" hidden="1">#REF!</definedName>
    <definedName name="cchart19" localSheetId="15" hidden="1">#REF!</definedName>
    <definedName name="cchart19" localSheetId="14" hidden="1">#REF!</definedName>
    <definedName name="cchart19" localSheetId="17" hidden="1">#REF!</definedName>
    <definedName name="cchart19" localSheetId="18" hidden="1">#REF!</definedName>
    <definedName name="cchart19" localSheetId="21" hidden="1">#REF!</definedName>
    <definedName name="cchart19" localSheetId="24" hidden="1">#REF!</definedName>
    <definedName name="cchart19" localSheetId="22" hidden="1">#REF!</definedName>
    <definedName name="cchart19" localSheetId="20" hidden="1">#REF!</definedName>
    <definedName name="cchart19" hidden="1">#REF!</definedName>
    <definedName name="cchart2" localSheetId="19" hidden="1">#REF!</definedName>
    <definedName name="cchart2" localSheetId="16" hidden="1">#REF!</definedName>
    <definedName name="cchart2" localSheetId="7" hidden="1">#REF!</definedName>
    <definedName name="cchart2" localSheetId="15" hidden="1">#REF!</definedName>
    <definedName name="cchart2" localSheetId="14" hidden="1">#REF!</definedName>
    <definedName name="cchart2" localSheetId="17" hidden="1">#REF!</definedName>
    <definedName name="cchart2" localSheetId="18" hidden="1">#REF!</definedName>
    <definedName name="cchart2" localSheetId="21" hidden="1">#REF!</definedName>
    <definedName name="cchart2" localSheetId="24" hidden="1">#REF!</definedName>
    <definedName name="cchart2" localSheetId="22" hidden="1">#REF!</definedName>
    <definedName name="cchart2" localSheetId="20" hidden="1">#REF!</definedName>
    <definedName name="cchart2" hidden="1">#REF!</definedName>
    <definedName name="cchart20" localSheetId="19" hidden="1">#REF!</definedName>
    <definedName name="cchart20" localSheetId="16" hidden="1">#REF!</definedName>
    <definedName name="cchart20" localSheetId="7" hidden="1">#REF!</definedName>
    <definedName name="cchart20" localSheetId="15" hidden="1">#REF!</definedName>
    <definedName name="cchart20" localSheetId="14" hidden="1">#REF!</definedName>
    <definedName name="cchart20" localSheetId="17" hidden="1">#REF!</definedName>
    <definedName name="cchart20" localSheetId="18" hidden="1">#REF!</definedName>
    <definedName name="cchart20" localSheetId="21" hidden="1">#REF!</definedName>
    <definedName name="cchart20" localSheetId="24" hidden="1">#REF!</definedName>
    <definedName name="cchart20" localSheetId="22" hidden="1">#REF!</definedName>
    <definedName name="cchart20" localSheetId="20" hidden="1">#REF!</definedName>
    <definedName name="cchart20" hidden="1">#REF!</definedName>
    <definedName name="cchart21" localSheetId="19" hidden="1">#REF!</definedName>
    <definedName name="cchart21" localSheetId="16" hidden="1">#REF!</definedName>
    <definedName name="cchart21" localSheetId="7" hidden="1">#REF!</definedName>
    <definedName name="cchart21" localSheetId="15" hidden="1">#REF!</definedName>
    <definedName name="cchart21" localSheetId="14" hidden="1">#REF!</definedName>
    <definedName name="cchart21" localSheetId="17" hidden="1">#REF!</definedName>
    <definedName name="cchart21" localSheetId="18" hidden="1">#REF!</definedName>
    <definedName name="cchart21" localSheetId="21" hidden="1">#REF!</definedName>
    <definedName name="cchart21" localSheetId="24" hidden="1">#REF!</definedName>
    <definedName name="cchart21" localSheetId="22" hidden="1">#REF!</definedName>
    <definedName name="cchart21" localSheetId="20" hidden="1">#REF!</definedName>
    <definedName name="cchart21" hidden="1">#REF!</definedName>
    <definedName name="cchart22" localSheetId="19" hidden="1">#REF!</definedName>
    <definedName name="cchart22" localSheetId="16" hidden="1">#REF!</definedName>
    <definedName name="cchart22" localSheetId="7" hidden="1">#REF!</definedName>
    <definedName name="cchart22" localSheetId="15" hidden="1">#REF!</definedName>
    <definedName name="cchart22" localSheetId="14" hidden="1">#REF!</definedName>
    <definedName name="cchart22" localSheetId="17" hidden="1">#REF!</definedName>
    <definedName name="cchart22" localSheetId="18" hidden="1">#REF!</definedName>
    <definedName name="cchart22" localSheetId="21" hidden="1">#REF!</definedName>
    <definedName name="cchart22" localSheetId="24" hidden="1">#REF!</definedName>
    <definedName name="cchart22" localSheetId="22" hidden="1">#REF!</definedName>
    <definedName name="cchart22" localSheetId="20" hidden="1">#REF!</definedName>
    <definedName name="cchart22" hidden="1">#REF!</definedName>
    <definedName name="cchart23" localSheetId="19" hidden="1">#REF!</definedName>
    <definedName name="cchart23" localSheetId="16" hidden="1">#REF!</definedName>
    <definedName name="cchart23" localSheetId="7" hidden="1">#REF!</definedName>
    <definedName name="cchart23" localSheetId="15" hidden="1">#REF!</definedName>
    <definedName name="cchart23" localSheetId="14" hidden="1">#REF!</definedName>
    <definedName name="cchart23" localSheetId="17" hidden="1">#REF!</definedName>
    <definedName name="cchart23" localSheetId="18" hidden="1">#REF!</definedName>
    <definedName name="cchart23" localSheetId="21" hidden="1">#REF!</definedName>
    <definedName name="cchart23" localSheetId="24" hidden="1">#REF!</definedName>
    <definedName name="cchart23" localSheetId="22" hidden="1">#REF!</definedName>
    <definedName name="cchart23" localSheetId="20" hidden="1">#REF!</definedName>
    <definedName name="cchart23" hidden="1">#REF!</definedName>
    <definedName name="cchart24" localSheetId="19" hidden="1">#REF!</definedName>
    <definedName name="cchart24" localSheetId="16" hidden="1">#REF!</definedName>
    <definedName name="cchart24" localSheetId="7" hidden="1">#REF!</definedName>
    <definedName name="cchart24" localSheetId="15" hidden="1">#REF!</definedName>
    <definedName name="cchart24" localSheetId="14" hidden="1">#REF!</definedName>
    <definedName name="cchart24" localSheetId="17" hidden="1">#REF!</definedName>
    <definedName name="cchart24" localSheetId="18" hidden="1">#REF!</definedName>
    <definedName name="cchart24" localSheetId="21" hidden="1">#REF!</definedName>
    <definedName name="cchart24" localSheetId="24" hidden="1">#REF!</definedName>
    <definedName name="cchart24" localSheetId="22" hidden="1">#REF!</definedName>
    <definedName name="cchart24" localSheetId="20" hidden="1">#REF!</definedName>
    <definedName name="cchart24" hidden="1">#REF!</definedName>
    <definedName name="cchart25" localSheetId="19" hidden="1">#REF!</definedName>
    <definedName name="cchart25" localSheetId="16" hidden="1">#REF!</definedName>
    <definedName name="cchart25" localSheetId="7" hidden="1">#REF!</definedName>
    <definedName name="cchart25" localSheetId="15" hidden="1">#REF!</definedName>
    <definedName name="cchart25" localSheetId="14" hidden="1">#REF!</definedName>
    <definedName name="cchart25" localSheetId="17" hidden="1">#REF!</definedName>
    <definedName name="cchart25" localSheetId="18" hidden="1">#REF!</definedName>
    <definedName name="cchart25" localSheetId="21" hidden="1">#REF!</definedName>
    <definedName name="cchart25" localSheetId="24" hidden="1">#REF!</definedName>
    <definedName name="cchart25" localSheetId="22" hidden="1">#REF!</definedName>
    <definedName name="cchart25" localSheetId="20" hidden="1">#REF!</definedName>
    <definedName name="cchart25" hidden="1">#REF!</definedName>
    <definedName name="cchart26" localSheetId="19" hidden="1">#REF!</definedName>
    <definedName name="cchart26" localSheetId="16" hidden="1">#REF!</definedName>
    <definedName name="cchart26" localSheetId="7" hidden="1">#REF!</definedName>
    <definedName name="cchart26" localSheetId="15" hidden="1">#REF!</definedName>
    <definedName name="cchart26" localSheetId="14" hidden="1">#REF!</definedName>
    <definedName name="cchart26" localSheetId="17" hidden="1">#REF!</definedName>
    <definedName name="cchart26" localSheetId="18" hidden="1">#REF!</definedName>
    <definedName name="cchart26" localSheetId="21" hidden="1">#REF!</definedName>
    <definedName name="cchart26" localSheetId="24" hidden="1">#REF!</definedName>
    <definedName name="cchart26" localSheetId="22" hidden="1">#REF!</definedName>
    <definedName name="cchart26" localSheetId="20" hidden="1">#REF!</definedName>
    <definedName name="cchart26" hidden="1">#REF!</definedName>
    <definedName name="cchart27" localSheetId="19" hidden="1">#REF!</definedName>
    <definedName name="cchart27" localSheetId="16" hidden="1">#REF!</definedName>
    <definedName name="cchart27" localSheetId="7" hidden="1">#REF!</definedName>
    <definedName name="cchart27" localSheetId="15" hidden="1">#REF!</definedName>
    <definedName name="cchart27" localSheetId="14" hidden="1">#REF!</definedName>
    <definedName name="cchart27" localSheetId="17" hidden="1">#REF!</definedName>
    <definedName name="cchart27" localSheetId="18" hidden="1">#REF!</definedName>
    <definedName name="cchart27" localSheetId="21" hidden="1">#REF!</definedName>
    <definedName name="cchart27" localSheetId="24" hidden="1">#REF!</definedName>
    <definedName name="cchart27" localSheetId="22" hidden="1">#REF!</definedName>
    <definedName name="cchart27" localSheetId="20" hidden="1">#REF!</definedName>
    <definedName name="cchart27" hidden="1">#REF!</definedName>
    <definedName name="cchart28" localSheetId="19" hidden="1">#REF!</definedName>
    <definedName name="cchart28" localSheetId="16" hidden="1">#REF!</definedName>
    <definedName name="cchart28" localSheetId="7" hidden="1">#REF!</definedName>
    <definedName name="cchart28" localSheetId="15" hidden="1">#REF!</definedName>
    <definedName name="cchart28" localSheetId="14" hidden="1">#REF!</definedName>
    <definedName name="cchart28" localSheetId="17" hidden="1">#REF!</definedName>
    <definedName name="cchart28" localSheetId="18" hidden="1">#REF!</definedName>
    <definedName name="cchart28" localSheetId="21" hidden="1">#REF!</definedName>
    <definedName name="cchart28" localSheetId="24" hidden="1">#REF!</definedName>
    <definedName name="cchart28" localSheetId="22" hidden="1">#REF!</definedName>
    <definedName name="cchart28" localSheetId="20" hidden="1">#REF!</definedName>
    <definedName name="cchart28" hidden="1">#REF!</definedName>
    <definedName name="cchart29" localSheetId="19" hidden="1">#REF!</definedName>
    <definedName name="cchart29" localSheetId="16" hidden="1">#REF!</definedName>
    <definedName name="cchart29" localSheetId="7" hidden="1">#REF!</definedName>
    <definedName name="cchart29" localSheetId="15" hidden="1">#REF!</definedName>
    <definedName name="cchart29" localSheetId="14" hidden="1">#REF!</definedName>
    <definedName name="cchart29" localSheetId="17" hidden="1">#REF!</definedName>
    <definedName name="cchart29" localSheetId="18" hidden="1">#REF!</definedName>
    <definedName name="cchart29" localSheetId="21" hidden="1">#REF!</definedName>
    <definedName name="cchart29" localSheetId="24" hidden="1">#REF!</definedName>
    <definedName name="cchart29" localSheetId="22" hidden="1">#REF!</definedName>
    <definedName name="cchart29" localSheetId="20" hidden="1">#REF!</definedName>
    <definedName name="cchart29" hidden="1">#REF!</definedName>
    <definedName name="cchart3" localSheetId="19" hidden="1">#REF!</definedName>
    <definedName name="cchart3" localSheetId="16" hidden="1">#REF!</definedName>
    <definedName name="cchart3" localSheetId="7" hidden="1">#REF!</definedName>
    <definedName name="cchart3" localSheetId="15" hidden="1">#REF!</definedName>
    <definedName name="cchart3" localSheetId="14" hidden="1">#REF!</definedName>
    <definedName name="cchart3" localSheetId="17" hidden="1">#REF!</definedName>
    <definedName name="cchart3" localSheetId="18" hidden="1">#REF!</definedName>
    <definedName name="cchart3" localSheetId="21" hidden="1">#REF!</definedName>
    <definedName name="cchart3" localSheetId="24" hidden="1">#REF!</definedName>
    <definedName name="cchart3" localSheetId="22" hidden="1">#REF!</definedName>
    <definedName name="cchart3" localSheetId="20" hidden="1">#REF!</definedName>
    <definedName name="cchart3" hidden="1">#REF!</definedName>
    <definedName name="cchart31" localSheetId="19" hidden="1">#REF!</definedName>
    <definedName name="cchart31" localSheetId="16" hidden="1">#REF!</definedName>
    <definedName name="cchart31" localSheetId="7" hidden="1">#REF!</definedName>
    <definedName name="cchart31" localSheetId="15" hidden="1">#REF!</definedName>
    <definedName name="cchart31" localSheetId="14" hidden="1">#REF!</definedName>
    <definedName name="cchart31" localSheetId="17" hidden="1">#REF!</definedName>
    <definedName name="cchart31" localSheetId="18" hidden="1">#REF!</definedName>
    <definedName name="cchart31" localSheetId="21" hidden="1">#REF!</definedName>
    <definedName name="cchart31" localSheetId="24" hidden="1">#REF!</definedName>
    <definedName name="cchart31" localSheetId="22" hidden="1">#REF!</definedName>
    <definedName name="cchart31" localSheetId="20" hidden="1">#REF!</definedName>
    <definedName name="cchart31" hidden="1">#REF!</definedName>
    <definedName name="cchart32" localSheetId="19" hidden="1">#REF!</definedName>
    <definedName name="cchart32" localSheetId="16" hidden="1">#REF!</definedName>
    <definedName name="cchart32" localSheetId="7" hidden="1">#REF!</definedName>
    <definedName name="cchart32" localSheetId="15" hidden="1">#REF!</definedName>
    <definedName name="cchart32" localSheetId="14" hidden="1">#REF!</definedName>
    <definedName name="cchart32" localSheetId="17" hidden="1">#REF!</definedName>
    <definedName name="cchart32" localSheetId="18" hidden="1">#REF!</definedName>
    <definedName name="cchart32" localSheetId="21" hidden="1">#REF!</definedName>
    <definedName name="cchart32" localSheetId="24" hidden="1">#REF!</definedName>
    <definedName name="cchart32" localSheetId="22" hidden="1">#REF!</definedName>
    <definedName name="cchart32" localSheetId="20" hidden="1">#REF!</definedName>
    <definedName name="cchart32" hidden="1">#REF!</definedName>
    <definedName name="cchart4" localSheetId="19" hidden="1">#REF!</definedName>
    <definedName name="cchart4" localSheetId="16" hidden="1">#REF!</definedName>
    <definedName name="cchart4" localSheetId="7" hidden="1">#REF!</definedName>
    <definedName name="cchart4" localSheetId="15" hidden="1">#REF!</definedName>
    <definedName name="cchart4" localSheetId="14" hidden="1">#REF!</definedName>
    <definedName name="cchart4" localSheetId="17" hidden="1">#REF!</definedName>
    <definedName name="cchart4" localSheetId="18" hidden="1">#REF!</definedName>
    <definedName name="cchart4" localSheetId="21" hidden="1">#REF!</definedName>
    <definedName name="cchart4" localSheetId="24" hidden="1">#REF!</definedName>
    <definedName name="cchart4" localSheetId="22" hidden="1">#REF!</definedName>
    <definedName name="cchart4" localSheetId="20" hidden="1">#REF!</definedName>
    <definedName name="cchart4" hidden="1">#REF!</definedName>
    <definedName name="cchart5" localSheetId="19" hidden="1">#REF!</definedName>
    <definedName name="cchart5" localSheetId="16" hidden="1">#REF!</definedName>
    <definedName name="cchart5" localSheetId="7" hidden="1">#REF!</definedName>
    <definedName name="cchart5" localSheetId="15" hidden="1">#REF!</definedName>
    <definedName name="cchart5" localSheetId="14" hidden="1">#REF!</definedName>
    <definedName name="cchart5" localSheetId="17" hidden="1">#REF!</definedName>
    <definedName name="cchart5" localSheetId="18" hidden="1">#REF!</definedName>
    <definedName name="cchart5" localSheetId="21" hidden="1">#REF!</definedName>
    <definedName name="cchart5" localSheetId="24" hidden="1">#REF!</definedName>
    <definedName name="cchart5" localSheetId="22" hidden="1">#REF!</definedName>
    <definedName name="cchart5" localSheetId="20" hidden="1">#REF!</definedName>
    <definedName name="cchart5" hidden="1">#REF!</definedName>
    <definedName name="cchart6" localSheetId="19" hidden="1">#REF!</definedName>
    <definedName name="cchart6" localSheetId="16" hidden="1">#REF!</definedName>
    <definedName name="cchart6" localSheetId="7" hidden="1">#REF!</definedName>
    <definedName name="cchart6" localSheetId="15" hidden="1">#REF!</definedName>
    <definedName name="cchart6" localSheetId="14" hidden="1">#REF!</definedName>
    <definedName name="cchart6" localSheetId="17" hidden="1">#REF!</definedName>
    <definedName name="cchart6" localSheetId="18" hidden="1">#REF!</definedName>
    <definedName name="cchart6" localSheetId="21" hidden="1">#REF!</definedName>
    <definedName name="cchart6" localSheetId="24" hidden="1">#REF!</definedName>
    <definedName name="cchart6" localSheetId="22" hidden="1">#REF!</definedName>
    <definedName name="cchart6" localSheetId="20" hidden="1">#REF!</definedName>
    <definedName name="cchart6" hidden="1">#REF!</definedName>
    <definedName name="cchart7" localSheetId="19" hidden="1">#REF!</definedName>
    <definedName name="cchart7" localSheetId="16" hidden="1">#REF!</definedName>
    <definedName name="cchart7" localSheetId="7" hidden="1">#REF!</definedName>
    <definedName name="cchart7" localSheetId="15" hidden="1">#REF!</definedName>
    <definedName name="cchart7" localSheetId="14" hidden="1">#REF!</definedName>
    <definedName name="cchart7" localSheetId="17" hidden="1">#REF!</definedName>
    <definedName name="cchart7" localSheetId="18" hidden="1">#REF!</definedName>
    <definedName name="cchart7" localSheetId="21" hidden="1">#REF!</definedName>
    <definedName name="cchart7" localSheetId="24" hidden="1">#REF!</definedName>
    <definedName name="cchart7" localSheetId="22" hidden="1">#REF!</definedName>
    <definedName name="cchart7" localSheetId="20" hidden="1">#REF!</definedName>
    <definedName name="cchart7" hidden="1">#REF!</definedName>
    <definedName name="cchart8" localSheetId="19" hidden="1">#REF!</definedName>
    <definedName name="cchart8" localSheetId="16" hidden="1">#REF!</definedName>
    <definedName name="cchart8" localSheetId="7" hidden="1">#REF!</definedName>
    <definedName name="cchart8" localSheetId="15" hidden="1">#REF!</definedName>
    <definedName name="cchart8" localSheetId="14" hidden="1">#REF!</definedName>
    <definedName name="cchart8" localSheetId="17" hidden="1">#REF!</definedName>
    <definedName name="cchart8" localSheetId="18" hidden="1">#REF!</definedName>
    <definedName name="cchart8" localSheetId="21" hidden="1">#REF!</definedName>
    <definedName name="cchart8" localSheetId="24" hidden="1">#REF!</definedName>
    <definedName name="cchart8" localSheetId="22" hidden="1">#REF!</definedName>
    <definedName name="cchart8" localSheetId="20" hidden="1">#REF!</definedName>
    <definedName name="cchart8" hidden="1">#REF!</definedName>
    <definedName name="cchart9" localSheetId="19" hidden="1">#REF!</definedName>
    <definedName name="cchart9" localSheetId="16" hidden="1">#REF!</definedName>
    <definedName name="cchart9" localSheetId="7" hidden="1">#REF!</definedName>
    <definedName name="cchart9" localSheetId="15" hidden="1">#REF!</definedName>
    <definedName name="cchart9" localSheetId="14" hidden="1">#REF!</definedName>
    <definedName name="cchart9" localSheetId="17" hidden="1">#REF!</definedName>
    <definedName name="cchart9" localSheetId="18" hidden="1">#REF!</definedName>
    <definedName name="cchart9" localSheetId="21" hidden="1">#REF!</definedName>
    <definedName name="cchart9" localSheetId="24" hidden="1">#REF!</definedName>
    <definedName name="cchart9" localSheetId="22" hidden="1">#REF!</definedName>
    <definedName name="cchart9" localSheetId="20" hidden="1">#REF!</definedName>
    <definedName name="cchart9" hidden="1">#REF!</definedName>
    <definedName name="cdb" hidden="1">{"PARTE1",#N/A,FALSE,"Plan1"}</definedName>
    <definedName name="cdb_1" hidden="1">{"PARTE1",#N/A,FALSE,"Plan1"}</definedName>
    <definedName name="cdcdc" hidden="1">1</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have" localSheetId="19" hidden="1">#REF!</definedName>
    <definedName name="Chave" localSheetId="16" hidden="1">#REF!</definedName>
    <definedName name="Chave" localSheetId="15" hidden="1">#REF!</definedName>
    <definedName name="Chave" localSheetId="14" hidden="1">#REF!</definedName>
    <definedName name="Chave" localSheetId="17" hidden="1">#REF!</definedName>
    <definedName name="Chave" localSheetId="18" hidden="1">#REF!</definedName>
    <definedName name="Chave" localSheetId="21" hidden="1">#REF!</definedName>
    <definedName name="Chave" localSheetId="24" hidden="1">#REF!</definedName>
    <definedName name="Chave" localSheetId="22" hidden="1">#REF!</definedName>
    <definedName name="Chave" localSheetId="20" hidden="1">#REF!</definedName>
    <definedName name="Chave" hidden="1">#REF!</definedName>
    <definedName name="Chave1" localSheetId="19" hidden="1">#REF!</definedName>
    <definedName name="Chave1" localSheetId="16" hidden="1">#REF!</definedName>
    <definedName name="Chave1" localSheetId="15" hidden="1">#REF!</definedName>
    <definedName name="Chave1" localSheetId="14" hidden="1">#REF!</definedName>
    <definedName name="Chave1" localSheetId="17" hidden="1">#REF!</definedName>
    <definedName name="Chave1" localSheetId="18" hidden="1">#REF!</definedName>
    <definedName name="Chave1" localSheetId="21" hidden="1">#REF!</definedName>
    <definedName name="Chave1" localSheetId="24" hidden="1">#REF!</definedName>
    <definedName name="Chave1" localSheetId="22" hidden="1">#REF!</definedName>
    <definedName name="Chave1" localSheetId="20" hidden="1">#REF!</definedName>
    <definedName name="Chave1" hidden="1">#REF!</definedName>
    <definedName name="chop" hidden="1">{"Pèrdues i Guanys analític.Català",#N/A,FALSE,"Català";"Pèrdues i G. analític.castellà",#N/A,FALSE,"Castellà"}</definedName>
    <definedName name="circularização" hidden="1">"AS2DocumentBrowse"</definedName>
    <definedName name="Clas" localSheetId="19" hidden="1">MAX(LEN(#REF!))</definedName>
    <definedName name="Clas" localSheetId="16" hidden="1">MAX(LEN(#REF!))</definedName>
    <definedName name="Clas" localSheetId="15" hidden="1">MAX(LEN(#REF!))</definedName>
    <definedName name="Clas" localSheetId="14" hidden="1">MAX(LEN(#REF!))</definedName>
    <definedName name="Clas" localSheetId="17" hidden="1">MAX(LEN(#REF!))</definedName>
    <definedName name="Clas" localSheetId="18" hidden="1">MAX(LEN(#REF!))</definedName>
    <definedName name="Clas" localSheetId="21" hidden="1">MAX(LEN(#REF!))</definedName>
    <definedName name="Clas" localSheetId="24" hidden="1">MAX(LEN(#REF!))</definedName>
    <definedName name="Clas" localSheetId="22" hidden="1">MAX(LEN(#REF!))</definedName>
    <definedName name="Clas" localSheetId="20" hidden="1">MAX(LEN(#REF!))</definedName>
    <definedName name="Clas" hidden="1">MAX(LEN(#REF!))</definedName>
    <definedName name="Cliente" hidden="1">""</definedName>
    <definedName name="Cls" hidden="1">#N/A</definedName>
    <definedName name="cnefjkcn" hidden="1">{#N/A,#N/A,FALSE,"Aging Summary";#N/A,#N/A,FALSE,"Ratio Analysis";#N/A,#N/A,FALSE,"Test 120 Day Accts";#N/A,#N/A,FALSE,"Tickmarks"}</definedName>
    <definedName name="cnefjkcn_1" hidden="1">{#N/A,#N/A,FALSE,"Aging Summary";#N/A,#N/A,FALSE,"Ratio Analysis";#N/A,#N/A,FALSE,"Test 120 Day Accts";#N/A,#N/A,FALSE,"Tickmarks"}</definedName>
    <definedName name="Cod" localSheetId="19" hidden="1">#REF!</definedName>
    <definedName name="Cod" localSheetId="16" hidden="1">#REF!</definedName>
    <definedName name="Cod" localSheetId="15" hidden="1">#REF!</definedName>
    <definedName name="Cod" localSheetId="14" hidden="1">#REF!</definedName>
    <definedName name="Cod" localSheetId="17" hidden="1">#REF!</definedName>
    <definedName name="Cod" localSheetId="18" hidden="1">#REF!</definedName>
    <definedName name="Cod" localSheetId="21" hidden="1">#REF!</definedName>
    <definedName name="Cod" localSheetId="24" hidden="1">#REF!</definedName>
    <definedName name="Cod" localSheetId="22" hidden="1">#REF!</definedName>
    <definedName name="Cod" localSheetId="20" hidden="1">#REF!</definedName>
    <definedName name="Cod" hidden="1">#REF!</definedName>
    <definedName name="cofi" hidden="1">15</definedName>
    <definedName name="Coluna" localSheetId="19" hidden="1">#REF!</definedName>
    <definedName name="Coluna" localSheetId="16" hidden="1">#REF!</definedName>
    <definedName name="Coluna" localSheetId="15" hidden="1">#REF!</definedName>
    <definedName name="Coluna" localSheetId="14" hidden="1">#REF!</definedName>
    <definedName name="Coluna" localSheetId="17" hidden="1">#REF!</definedName>
    <definedName name="Coluna" localSheetId="18" hidden="1">#REF!</definedName>
    <definedName name="Coluna" localSheetId="21" hidden="1">#REF!</definedName>
    <definedName name="Coluna" localSheetId="24" hidden="1">#REF!</definedName>
    <definedName name="Coluna" localSheetId="22" hidden="1">#REF!</definedName>
    <definedName name="Coluna" localSheetId="20" hidden="1">#REF!</definedName>
    <definedName name="Coluna" hidden="1">#REF!</definedName>
    <definedName name="Comp" localSheetId="19" hidden="1">#REF!</definedName>
    <definedName name="Comp" localSheetId="16" hidden="1">#REF!</definedName>
    <definedName name="Comp" localSheetId="15" hidden="1">#REF!</definedName>
    <definedName name="Comp" localSheetId="14" hidden="1">#REF!</definedName>
    <definedName name="Comp" localSheetId="17" hidden="1">#REF!</definedName>
    <definedName name="Comp" localSheetId="18" hidden="1">#REF!</definedName>
    <definedName name="Comp" localSheetId="21" hidden="1">#REF!</definedName>
    <definedName name="Comp" localSheetId="24" hidden="1">#REF!</definedName>
    <definedName name="Comp" localSheetId="22" hidden="1">#REF!</definedName>
    <definedName name="Comp" localSheetId="20" hidden="1">#REF!</definedName>
    <definedName name="Comp" hidden="1">#REF!</definedName>
    <definedName name="COMPOSIÇÕES">#REF!</definedName>
    <definedName name="cpu_serv">#REF!</definedName>
    <definedName name="CpuAux" localSheetId="19" hidden="1">#REF!</definedName>
    <definedName name="CpuAux" localSheetId="16" hidden="1">#REF!</definedName>
    <definedName name="CpuAux" localSheetId="15" hidden="1">#REF!</definedName>
    <definedName name="CpuAux" localSheetId="14" hidden="1">#REF!</definedName>
    <definedName name="CpuAux" localSheetId="17" hidden="1">#REF!</definedName>
    <definedName name="CpuAux" localSheetId="18" hidden="1">#REF!</definedName>
    <definedName name="CpuAux" localSheetId="21" hidden="1">#REF!</definedName>
    <definedName name="CpuAux" localSheetId="24" hidden="1">#REF!</definedName>
    <definedName name="CpuAux" localSheetId="22" hidden="1">#REF!</definedName>
    <definedName name="CpuAux" localSheetId="20" hidden="1">#REF!</definedName>
    <definedName name="CpuAux" hidden="1">#REF!</definedName>
    <definedName name="CPUs" localSheetId="19" hidden="1">#REF!</definedName>
    <definedName name="CPUs" localSheetId="16" hidden="1">#REF!</definedName>
    <definedName name="CPUs" localSheetId="15" hidden="1">#REF!</definedName>
    <definedName name="CPUs" localSheetId="14" hidden="1">#REF!</definedName>
    <definedName name="CPUs" localSheetId="17" hidden="1">#REF!</definedName>
    <definedName name="CPUs" localSheetId="18" hidden="1">#REF!</definedName>
    <definedName name="CPUs" localSheetId="21" hidden="1">#REF!</definedName>
    <definedName name="CPUs" localSheetId="24" hidden="1">#REF!</definedName>
    <definedName name="CPUs" localSheetId="22" hidden="1">#REF!</definedName>
    <definedName name="CPUs" localSheetId="20" hidden="1">#REF!</definedName>
    <definedName name="CPUs" hidden="1">#REF!</definedName>
    <definedName name="CRIT" localSheetId="19" hidden="1">#REF!</definedName>
    <definedName name="CRIT" localSheetId="16" hidden="1">#REF!</definedName>
    <definedName name="CRIT" localSheetId="15" hidden="1">#REF!</definedName>
    <definedName name="CRIT" localSheetId="14" hidden="1">#REF!</definedName>
    <definedName name="CRIT" localSheetId="17" hidden="1">#REF!</definedName>
    <definedName name="CRIT" localSheetId="18" hidden="1">#REF!</definedName>
    <definedName name="CRIT" localSheetId="21" hidden="1">#REF!</definedName>
    <definedName name="CRIT" localSheetId="24" hidden="1">#REF!</definedName>
    <definedName name="CRIT" localSheetId="22" hidden="1">#REF!</definedName>
    <definedName name="CRIT" localSheetId="20" hidden="1">#REF!</definedName>
    <definedName name="CRIT" hidden="1">#REF!</definedName>
    <definedName name="Cron" hidden="1">{#N/A,#N/A,FALSE,"MO (2)"}</definedName>
    <definedName name="cronograma" hidden="1">{#N/A,#N/A,TRUE,"Plan1"}</definedName>
    <definedName name="CSSL"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un" localSheetId="19" hidden="1">VLOOKUP(#REF!,rec,5,0)</definedName>
    <definedName name="Cun" localSheetId="16" hidden="1">VLOOKUP(#REF!,rec,5,0)</definedName>
    <definedName name="Cun" localSheetId="39" hidden="1">VLOOKUP(#REF!,rec,5,0)</definedName>
    <definedName name="Cun" localSheetId="43" hidden="1">VLOOKUP(#REF!,rec,5,0)</definedName>
    <definedName name="Cun" localSheetId="10" hidden="1">VLOOKUP(#REF!,rec,5,0)</definedName>
    <definedName name="Cun" localSheetId="34" hidden="1">VLOOKUP(#REF!,rec,5,0)</definedName>
    <definedName name="Cun" localSheetId="38" hidden="1">VLOOKUP(#REF!,rec,5,0)</definedName>
    <definedName name="Cun" localSheetId="31" hidden="1">VLOOKUP(#REF!,rec,5,0)</definedName>
    <definedName name="Cun" localSheetId="42" hidden="1">VLOOKUP(#REF!,rec,5,0)</definedName>
    <definedName name="Cun" localSheetId="25" hidden="1">VLOOKUP(#REF!,rec,5,0)</definedName>
    <definedName name="Cun" localSheetId="15" hidden="1">VLOOKUP(#REF!,rec,5,0)</definedName>
    <definedName name="Cun" localSheetId="36" hidden="1">VLOOKUP(#REF!,rec,5,0)</definedName>
    <definedName name="Cun" localSheetId="14" hidden="1">VLOOKUP(#REF!,rec,5,0)</definedName>
    <definedName name="Cun" localSheetId="17" hidden="1">VLOOKUP(#REF!,rec,5,0)</definedName>
    <definedName name="Cun" localSheetId="30" hidden="1">VLOOKUP(#REF!,rec,5,0)</definedName>
    <definedName name="Cun" localSheetId="33" hidden="1">VLOOKUP(#REF!,rec,5,0)</definedName>
    <definedName name="Cun" localSheetId="37" hidden="1">VLOOKUP(#REF!,rec,5,0)</definedName>
    <definedName name="Cun" localSheetId="40" hidden="1">VLOOKUP(#REF!,rec,5,0)</definedName>
    <definedName name="Cun" localSheetId="32" hidden="1">VLOOKUP(#REF!,rec,5,0)</definedName>
    <definedName name="Cun" localSheetId="18" hidden="1">VLOOKUP(#REF!,rec,5,0)</definedName>
    <definedName name="Cun" localSheetId="44" hidden="1">VLOOKUP(#REF!,rec,5,0)</definedName>
    <definedName name="Cun" localSheetId="21" hidden="1">VLOOKUP(#REF!,rec,5,0)</definedName>
    <definedName name="Cun" localSheetId="28" hidden="1">VLOOKUP(#REF!,rec,5,0)</definedName>
    <definedName name="Cun" localSheetId="24" hidden="1">VLOOKUP(#REF!,rec,5,0)</definedName>
    <definedName name="Cun" localSheetId="9" hidden="1">VLOOKUP(#REF!,rec,5,0)</definedName>
    <definedName name="Cun" localSheetId="22" hidden="1">VLOOKUP(#REF!,rec,5,0)</definedName>
    <definedName name="Cun" localSheetId="41" hidden="1">VLOOKUP(#REF!,rec,5,0)</definedName>
    <definedName name="Cun" localSheetId="11" hidden="1">VLOOKUP(#REF!,rec,5,0)</definedName>
    <definedName name="Cun" localSheetId="20" hidden="1">VLOOKUP(#REF!,rec,5,0)</definedName>
    <definedName name="Cun" localSheetId="45" hidden="1">VLOOKUP(#REF!,rec,5,0)</definedName>
    <definedName name="Cun" hidden="1">VLOOKUP(#REF!,rec,5,0)</definedName>
    <definedName name="CunEq" localSheetId="19" hidden="1">SUM(IF(#REF! =#REF!,(#REF!)*(#REF!="EQ")))</definedName>
    <definedName name="CunEq" localSheetId="16" hidden="1">SUM(IF(#REF! =#REF!,(#REF!)*(#REF!="EQ")))</definedName>
    <definedName name="CunEq" localSheetId="15" hidden="1">SUM(IF(#REF! =#REF!,(#REF!)*(#REF!="EQ")))</definedName>
    <definedName name="CunEq" localSheetId="14" hidden="1">SUM(IF(#REF! =#REF!,(#REF!)*(#REF!="EQ")))</definedName>
    <definedName name="CunEq" localSheetId="17" hidden="1">SUM(IF(#REF! =#REF!,(#REF!)*(#REF!="EQ")))</definedName>
    <definedName name="CunEq" localSheetId="18" hidden="1">SUM(IF(#REF! =#REF!,(#REF!)*(#REF!="EQ")))</definedName>
    <definedName name="CunEq" localSheetId="21" hidden="1">SUM(IF(#REF! =#REF!,(#REF!)*(#REF!="EQ")))</definedName>
    <definedName name="CunEq" localSheetId="24" hidden="1">SUM(IF(#REF! =#REF!,(#REF!)*(#REF!="EQ")))</definedName>
    <definedName name="CunEq" localSheetId="22" hidden="1">SUM(IF(#REF! =#REF!,(#REF!)*(#REF!="EQ")))</definedName>
    <definedName name="CunEq" localSheetId="20" hidden="1">SUM(IF(#REF! =#REF!,(#REF!)*(#REF!="EQ")))</definedName>
    <definedName name="CunEq" hidden="1">SUM(IF(#REF! =#REF!,(#REF!)*(#REF!="EQ")))</definedName>
    <definedName name="CunMo" localSheetId="19" hidden="1">SUM(IF(#REF! =#REF!,(#REF!)*(#REF!="MO")))</definedName>
    <definedName name="CunMo" localSheetId="16" hidden="1">SUM(IF(#REF! =#REF!,(#REF!)*(#REF!="MO")))</definedName>
    <definedName name="CunMo" localSheetId="15" hidden="1">SUM(IF(#REF! =#REF!,(#REF!)*(#REF!="MO")))</definedName>
    <definedName name="CunMo" localSheetId="14" hidden="1">SUM(IF(#REF! =#REF!,(#REF!)*(#REF!="MO")))</definedName>
    <definedName name="CunMo" localSheetId="17" hidden="1">SUM(IF(#REF! =#REF!,(#REF!)*(#REF!="MO")))</definedName>
    <definedName name="CunMo" localSheetId="18" hidden="1">SUM(IF(#REF! =#REF!,(#REF!)*(#REF!="MO")))</definedName>
    <definedName name="CunMo" localSheetId="21" hidden="1">SUM(IF(#REF! =#REF!,(#REF!)*(#REF!="MO")))</definedName>
    <definedName name="CunMo" localSheetId="24" hidden="1">SUM(IF(#REF! =#REF!,(#REF!)*(#REF!="MO")))</definedName>
    <definedName name="CunMo" localSheetId="22" hidden="1">SUM(IF(#REF! =#REF!,(#REF!)*(#REF!="MO")))</definedName>
    <definedName name="CunMo" localSheetId="20" hidden="1">SUM(IF(#REF! =#REF!,(#REF!)*(#REF!="MO")))</definedName>
    <definedName name="CunMo" hidden="1">SUM(IF(#REF! =#REF!,(#REF!)*(#REF!="MO")))</definedName>
    <definedName name="CunMp" localSheetId="19" hidden="1">SUM(IF(#REF! =#REF!,(#REF!)*(#REF!="MP")))</definedName>
    <definedName name="CunMp" localSheetId="16" hidden="1">SUM(IF(#REF! =#REF!,(#REF!)*(#REF!="MP")))</definedName>
    <definedName name="CunMp" localSheetId="15" hidden="1">SUM(IF(#REF! =#REF!,(#REF!)*(#REF!="MP")))</definedName>
    <definedName name="CunMp" localSheetId="14" hidden="1">SUM(IF(#REF! =#REF!,(#REF!)*(#REF!="MP")))</definedName>
    <definedName name="CunMp" localSheetId="17" hidden="1">SUM(IF(#REF! =#REF!,(#REF!)*(#REF!="MP")))</definedName>
    <definedName name="CunMp" localSheetId="18" hidden="1">SUM(IF(#REF! =#REF!,(#REF!)*(#REF!="MP")))</definedName>
    <definedName name="CunMp" localSheetId="21" hidden="1">SUM(IF(#REF! =#REF!,(#REF!)*(#REF!="MP")))</definedName>
    <definedName name="CunMp" localSheetId="24" hidden="1">SUM(IF(#REF! =#REF!,(#REF!)*(#REF!="MP")))</definedName>
    <definedName name="CunMp" localSheetId="22" hidden="1">SUM(IF(#REF! =#REF!,(#REF!)*(#REF!="MP")))</definedName>
    <definedName name="CunMp" localSheetId="20" hidden="1">SUM(IF(#REF! =#REF!,(#REF!)*(#REF!="MP")))</definedName>
    <definedName name="CunMp" hidden="1">SUM(IF(#REF! =#REF!,(#REF!)*(#REF!="MP")))</definedName>
    <definedName name="Custo_Ad_Not_Horista" localSheetId="19">#REF!</definedName>
    <definedName name="Custo_Ad_Not_Horista" localSheetId="16">#REF!</definedName>
    <definedName name="Custo_Ad_Not_Horista" localSheetId="7">#REF!</definedName>
    <definedName name="Custo_Ad_Not_Horista" localSheetId="15">#REF!</definedName>
    <definedName name="Custo_Ad_Not_Horista" localSheetId="14">#REF!</definedName>
    <definedName name="Custo_Ad_Not_Horista" localSheetId="17">#REF!</definedName>
    <definedName name="Custo_Ad_Not_Horista" localSheetId="18">#REF!</definedName>
    <definedName name="Custo_Ad_Not_Horista" localSheetId="21">#REF!</definedName>
    <definedName name="Custo_Ad_Not_Horista" localSheetId="24">#REF!</definedName>
    <definedName name="Custo_Ad_Not_Horista" localSheetId="22">#REF!</definedName>
    <definedName name="Custo_Ad_Not_Horista" localSheetId="20">#REF!</definedName>
    <definedName name="Custo_Ad_Not_Horista">#REF!</definedName>
    <definedName name="Custo_Ad_Not_Mensalista" localSheetId="19">#REF!</definedName>
    <definedName name="Custo_Ad_Not_Mensalista" localSheetId="16">#REF!</definedName>
    <definedName name="Custo_Ad_Not_Mensalista" localSheetId="7">#REF!</definedName>
    <definedName name="Custo_Ad_Not_Mensalista" localSheetId="15">#REF!</definedName>
    <definedName name="Custo_Ad_Not_Mensalista" localSheetId="14">#REF!</definedName>
    <definedName name="Custo_Ad_Not_Mensalista" localSheetId="17">#REF!</definedName>
    <definedName name="Custo_Ad_Not_Mensalista" localSheetId="18">#REF!</definedName>
    <definedName name="Custo_Ad_Not_Mensalista" localSheetId="21">#REF!</definedName>
    <definedName name="Custo_Ad_Not_Mensalista" localSheetId="24">#REF!</definedName>
    <definedName name="Custo_Ad_Not_Mensalista" localSheetId="22">#REF!</definedName>
    <definedName name="Custo_Ad_Not_Mensalista" localSheetId="20">#REF!</definedName>
    <definedName name="Custo_Ad_Not_Mensalista">#REF!</definedName>
    <definedName name="Custo_HE_Horista_Diurno" localSheetId="19">#REF!</definedName>
    <definedName name="Custo_HE_Horista_Diurno" localSheetId="16">#REF!</definedName>
    <definedName name="Custo_HE_Horista_Diurno" localSheetId="7">#REF!</definedName>
    <definedName name="Custo_HE_Horista_Diurno" localSheetId="15">#REF!</definedName>
    <definedName name="Custo_HE_Horista_Diurno" localSheetId="14">#REF!</definedName>
    <definedName name="Custo_HE_Horista_Diurno" localSheetId="17">#REF!</definedName>
    <definedName name="Custo_HE_Horista_Diurno" localSheetId="18">#REF!</definedName>
    <definedName name="Custo_HE_Horista_Diurno" localSheetId="21">#REF!</definedName>
    <definedName name="Custo_HE_Horista_Diurno" localSheetId="24">#REF!</definedName>
    <definedName name="Custo_HE_Horista_Diurno" localSheetId="22">#REF!</definedName>
    <definedName name="Custo_HE_Horista_Diurno" localSheetId="20">#REF!</definedName>
    <definedName name="Custo_HE_Horista_Diurno">#REF!</definedName>
    <definedName name="Custo_HE_Horista_Notur" localSheetId="19">#REF!</definedName>
    <definedName name="Custo_HE_Horista_Notur" localSheetId="16">#REF!</definedName>
    <definedName name="Custo_HE_Horista_Notur" localSheetId="7">#REF!</definedName>
    <definedName name="Custo_HE_Horista_Notur" localSheetId="15">#REF!</definedName>
    <definedName name="Custo_HE_Horista_Notur" localSheetId="14">#REF!</definedName>
    <definedName name="Custo_HE_Horista_Notur" localSheetId="17">#REF!</definedName>
    <definedName name="Custo_HE_Horista_Notur" localSheetId="18">#REF!</definedName>
    <definedName name="Custo_HE_Horista_Notur" localSheetId="21">#REF!</definedName>
    <definedName name="Custo_HE_Horista_Notur" localSheetId="24">#REF!</definedName>
    <definedName name="Custo_HE_Horista_Notur" localSheetId="22">#REF!</definedName>
    <definedName name="Custo_HE_Horista_Notur" localSheetId="20">#REF!</definedName>
    <definedName name="Custo_HE_Horista_Notur">#REF!</definedName>
    <definedName name="Custo_HE_Mensalista_Diurno" localSheetId="19">#REF!</definedName>
    <definedName name="Custo_HE_Mensalista_Diurno" localSheetId="16">#REF!</definedName>
    <definedName name="Custo_HE_Mensalista_Diurno" localSheetId="7">#REF!</definedName>
    <definedName name="Custo_HE_Mensalista_Diurno" localSheetId="15">#REF!</definedName>
    <definedName name="Custo_HE_Mensalista_Diurno" localSheetId="14">#REF!</definedName>
    <definedName name="Custo_HE_Mensalista_Diurno" localSheetId="17">#REF!</definedName>
    <definedName name="Custo_HE_Mensalista_Diurno" localSheetId="18">#REF!</definedName>
    <definedName name="Custo_HE_Mensalista_Diurno" localSheetId="21">#REF!</definedName>
    <definedName name="Custo_HE_Mensalista_Diurno" localSheetId="24">#REF!</definedName>
    <definedName name="Custo_HE_Mensalista_Diurno" localSheetId="22">#REF!</definedName>
    <definedName name="Custo_HE_Mensalista_Diurno" localSheetId="20">#REF!</definedName>
    <definedName name="Custo_HE_Mensalista_Diurno">#REF!</definedName>
    <definedName name="Custo_HE_Mensalista_Notur" localSheetId="19">#REF!</definedName>
    <definedName name="Custo_HE_Mensalista_Notur" localSheetId="16">#REF!</definedName>
    <definedName name="Custo_HE_Mensalista_Notur" localSheetId="7">#REF!</definedName>
    <definedName name="Custo_HE_Mensalista_Notur" localSheetId="15">#REF!</definedName>
    <definedName name="Custo_HE_Mensalista_Notur" localSheetId="14">#REF!</definedName>
    <definedName name="Custo_HE_Mensalista_Notur" localSheetId="17">#REF!</definedName>
    <definedName name="Custo_HE_Mensalista_Notur" localSheetId="18">#REF!</definedName>
    <definedName name="Custo_HE_Mensalista_Notur" localSheetId="21">#REF!</definedName>
    <definedName name="Custo_HE_Mensalista_Notur" localSheetId="24">#REF!</definedName>
    <definedName name="Custo_HE_Mensalista_Notur" localSheetId="22">#REF!</definedName>
    <definedName name="Custo_HE_Mensalista_Notur" localSheetId="20">#REF!</definedName>
    <definedName name="Custo_HE_Mensalista_Notur">#REF!</definedName>
    <definedName name="CVVCVCV" hidden="1">#REF!</definedName>
    <definedName name="cwlksd" hidden="1">{#N/A,#N/A,FALSE,"Aging Summary";#N/A,#N/A,FALSE,"Ratio Analysis";#N/A,#N/A,FALSE,"Test 120 Day Accts";#N/A,#N/A,FALSE,"Tickmarks"}</definedName>
    <definedName name="cwlksd_1" hidden="1">{#N/A,#N/A,FALSE,"Aging Summary";#N/A,#N/A,FALSE,"Ratio Analysis";#N/A,#N/A,FALSE,"Test 120 Day Accts";#N/A,#N/A,FALSE,"Tickmarks"}</definedName>
    <definedName name="d" hidden="1">{#N/A,#N/A,FALSE,"Aging Summary";#N/A,#N/A,FALSE,"Ratio Analysis";#N/A,#N/A,FALSE,"Test 120 Day Accts";#N/A,#N/A,FALSE,"Tickmarks"}</definedName>
    <definedName name="d_1" hidden="1">{#N/A,#N/A,FALSE,"Aging Summary";#N/A,#N/A,FALSE,"Ratio Analysis";#N/A,#N/A,FALSE,"Test 120 Day Accts";#N/A,#N/A,FALSE,"Tickmarks"}</definedName>
    <definedName name="dadinho" localSheetId="19">#REF!</definedName>
    <definedName name="dadinho" localSheetId="16">#REF!</definedName>
    <definedName name="dadinho" localSheetId="15">#REF!</definedName>
    <definedName name="dadinho" localSheetId="14">#REF!</definedName>
    <definedName name="dadinho" localSheetId="17">#REF!</definedName>
    <definedName name="dadinho" localSheetId="18">#REF!</definedName>
    <definedName name="dadinho" localSheetId="21">#REF!</definedName>
    <definedName name="dadinho" localSheetId="24">#REF!</definedName>
    <definedName name="dadinho" localSheetId="22">#REF!</definedName>
    <definedName name="dadinho" localSheetId="20">#REF!</definedName>
    <definedName name="dadinho">#REF!</definedName>
    <definedName name="DADOS" localSheetId="19">#REF!</definedName>
    <definedName name="DADOS" localSheetId="16">#REF!</definedName>
    <definedName name="DADOS" localSheetId="15">#REF!</definedName>
    <definedName name="DADOS" localSheetId="14">#REF!</definedName>
    <definedName name="DADOS" localSheetId="17">#REF!</definedName>
    <definedName name="DADOS" localSheetId="18">#REF!</definedName>
    <definedName name="DADOS" localSheetId="21">#REF!</definedName>
    <definedName name="DADOS" localSheetId="24">#REF!</definedName>
    <definedName name="DADOS" localSheetId="22">#REF!</definedName>
    <definedName name="DADOS" localSheetId="20">#REF!</definedName>
    <definedName name="DADOS">#REF!</definedName>
    <definedName name="DAER1" hidden="1">{#N/A,#N/A,TRUE,"Serviços"}</definedName>
    <definedName name="DAER11" hidden="1">{#N/A,#N/A,TRUE,"Serviços"}</definedName>
    <definedName name="DAVI" hidden="1">{#N/A,#N/A,TRUE,"Serviços"}</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ef" hidden="1">8</definedName>
    <definedName name="DescAux" hidden="1">#N/A</definedName>
    <definedName name="dewded" hidden="1">{#N/A,#N/A,FALSE,"Aging Summary";#N/A,#N/A,FALSE,"Ratio Analysis";#N/A,#N/A,FALSE,"Test 120 Day Accts";#N/A,#N/A,FALSE,"Tickmarks"}</definedName>
    <definedName name="dewded_1" hidden="1">{#N/A,#N/A,FALSE,"Aging Summary";#N/A,#N/A,FALSE,"Ratio Analysis";#N/A,#N/A,FALSE,"Test 120 Day Accts";#N/A,#N/A,FALSE,"Tickmarks"}</definedName>
    <definedName name="DFD" hidden="1">{#N/A,#N/A,FALSE,"Aging Summary";#N/A,#N/A,FALSE,"Ratio Analysis";#N/A,#N/A,FALSE,"Test 120 Day Accts";#N/A,#N/A,FALSE,"Tickmarks"}</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s" hidden="1">{#N/A,#N/A,TRUE,"Serviços"}</definedName>
    <definedName name="dfgss" hidden="1">{#N/A,#N/A,TRUE,"Serviços"}</definedName>
    <definedName name="dfsefse" hidden="1">{#N/A,#N/A,TRUE,"MEMO";#N/A,#N/A,TRUE,"PARAMETROS";#N/A,#N/A,TRUE,"RLI ";#N/A,#N/A,TRUE,"IMPTO.DET.";#N/A,#N/A,TRUE,"FUT-FUNT";#N/A,#N/A,TRUE,"CPI-PATR.";#N/A,#N/A,TRUE,"CM CPI";#N/A,#N/A,TRUE,"PROV";#N/A,#N/A,TRUE,"A FIJO";#N/A,#N/A,TRUE,"LEASING";#N/A,#N/A,TRUE,"VPP";#N/A,#N/A,TRUE,"PPM";#N/A,#N/A,TRUE,"OTROS"}</definedName>
    <definedName name="DGF" hidden="1">{#N/A,#N/A,FALSE,"MO (2)"}</definedName>
    <definedName name="Dip" localSheetId="19" hidden="1">#REF!</definedName>
    <definedName name="Dip" localSheetId="16" hidden="1">#REF!</definedName>
    <definedName name="Dip" localSheetId="15" hidden="1">#REF!</definedName>
    <definedName name="Dip" localSheetId="14" hidden="1">#REF!</definedName>
    <definedName name="Dip" localSheetId="17" hidden="1">#REF!</definedName>
    <definedName name="Dip" localSheetId="18" hidden="1">#REF!</definedName>
    <definedName name="Dip" localSheetId="21" hidden="1">#REF!</definedName>
    <definedName name="Dip" localSheetId="24" hidden="1">#REF!</definedName>
    <definedName name="Dip" localSheetId="22" hidden="1">#REF!</definedName>
    <definedName name="Dip" localSheetId="20" hidden="1">#REF!</definedName>
    <definedName name="Dip" hidden="1">#REF!</definedName>
    <definedName name="dsa" localSheetId="19" hidden="1">#REF!</definedName>
    <definedName name="dsa" localSheetId="16" hidden="1">#REF!</definedName>
    <definedName name="dsa" localSheetId="15" hidden="1">#REF!</definedName>
    <definedName name="dsa" localSheetId="14" hidden="1">#REF!</definedName>
    <definedName name="dsa" localSheetId="17" hidden="1">#REF!</definedName>
    <definedName name="dsa" localSheetId="18" hidden="1">#REF!</definedName>
    <definedName name="dsa" localSheetId="21" hidden="1">#REF!</definedName>
    <definedName name="dsa" localSheetId="24" hidden="1">#REF!</definedName>
    <definedName name="dsa" localSheetId="22" hidden="1">#REF!</definedName>
    <definedName name="dsa" localSheetId="20" hidden="1">#REF!</definedName>
    <definedName name="dsa" hidden="1">#REF!</definedName>
    <definedName name="Dsc" hidden="1">#N/A</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s" hidden="1">#REF!</definedName>
    <definedName name="DSF" hidden="1">{#N/A,#N/A,FALSE,"IR E CS 1997";#N/A,#N/A,FALSE,"PR ND";#N/A,#N/A,FALSE,"8191";#N/A,#N/A,FALSE,"8383";#N/A,#N/A,FALSE,"MP 1024";#N/A,#N/A,FALSE,"AD_EX_97";#N/A,#N/A,FALSE,"BD 97"}</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VDV" hidden="1">{"PARTE1",#N/A,FALSE,"Plan1"}</definedName>
    <definedName name="DVDV_1" hidden="1">{"PARTE1",#N/A,FALSE,"Plan1"}</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wed" hidden="1">#REF!</definedName>
    <definedName name="DXNGBKGN" localSheetId="19" hidden="1">#REF!</definedName>
    <definedName name="DXNGBKGN" localSheetId="16" hidden="1">#REF!</definedName>
    <definedName name="DXNGBKGN" localSheetId="15" hidden="1">#REF!</definedName>
    <definedName name="DXNGBKGN" localSheetId="14" hidden="1">#REF!</definedName>
    <definedName name="DXNGBKGN" localSheetId="17" hidden="1">#REF!</definedName>
    <definedName name="DXNGBKGN" localSheetId="18" hidden="1">#REF!</definedName>
    <definedName name="DXNGBKGN" localSheetId="21" hidden="1">#REF!</definedName>
    <definedName name="DXNGBKGN" localSheetId="24" hidden="1">#REF!</definedName>
    <definedName name="DXNGBKGN" localSheetId="22" hidden="1">#REF!</definedName>
    <definedName name="DXNGBKGN" localSheetId="20" hidden="1">#REF!</definedName>
    <definedName name="DXNGBKGN" hidden="1">#REF!</definedName>
    <definedName name="dyugs" hidden="1">{#N/A,#N/A,FALSE,"Aging Summary";#N/A,#N/A,FALSE,"Ratio Analysis";#N/A,#N/A,FALSE,"Test 120 Day Accts";#N/A,#N/A,FALSE,"Tickmarks"}</definedName>
    <definedName name="dyugs_1" hidden="1">{#N/A,#N/A,FALSE,"Aging Summary";#N/A,#N/A,FALSE,"Ratio Analysis";#N/A,#N/A,FALSE,"Test 120 Day Accts";#N/A,#N/A,FALSE,"Tickmarks"}</definedName>
    <definedName name="e" localSheetId="19" hidden="1">#REF!</definedName>
    <definedName name="e" localSheetId="16" hidden="1">#REF!</definedName>
    <definedName name="e" localSheetId="7" hidden="1">#REF!</definedName>
    <definedName name="e" localSheetId="15" hidden="1">#REF!</definedName>
    <definedName name="e" localSheetId="14" hidden="1">#REF!</definedName>
    <definedName name="e" localSheetId="17" hidden="1">#REF!</definedName>
    <definedName name="e" localSheetId="18" hidden="1">#REF!</definedName>
    <definedName name="e" localSheetId="21" hidden="1">#REF!</definedName>
    <definedName name="e" localSheetId="24" hidden="1">#REF!</definedName>
    <definedName name="e" localSheetId="22" hidden="1">#REF!</definedName>
    <definedName name="e" localSheetId="20" hidden="1">#REF!</definedName>
    <definedName name="e" hidden="1">#REF!</definedName>
    <definedName name="EAHYTHJWDRHYEJ" hidden="1">4</definedName>
    <definedName name="EBASREGW" localSheetId="19" hidden="1">#REF!</definedName>
    <definedName name="EBASREGW" localSheetId="16" hidden="1">#REF!</definedName>
    <definedName name="EBASREGW" localSheetId="15" hidden="1">#REF!</definedName>
    <definedName name="EBASREGW" localSheetId="14" hidden="1">#REF!</definedName>
    <definedName name="EBASREGW" localSheetId="17" hidden="1">#REF!</definedName>
    <definedName name="EBASREGW" localSheetId="18" hidden="1">#REF!</definedName>
    <definedName name="EBASREGW" localSheetId="21" hidden="1">#REF!</definedName>
    <definedName name="EBASREGW" localSheetId="24" hidden="1">#REF!</definedName>
    <definedName name="EBASREGW" localSheetId="22" hidden="1">#REF!</definedName>
    <definedName name="EBASREGW" localSheetId="20" hidden="1">#REF!</definedName>
    <definedName name="EBASREGW" hidden="1">#REF!</definedName>
    <definedName name="Edit" localSheetId="19" hidden="1">#REF!</definedName>
    <definedName name="Edit" localSheetId="16" hidden="1">#REF!</definedName>
    <definedName name="Edit" localSheetId="15" hidden="1">#REF!</definedName>
    <definedName name="Edit" localSheetId="14" hidden="1">#REF!</definedName>
    <definedName name="Edit" localSheetId="17" hidden="1">#REF!</definedName>
    <definedName name="Edit" localSheetId="18" hidden="1">#REF!</definedName>
    <definedName name="Edit" localSheetId="21" hidden="1">#REF!</definedName>
    <definedName name="Edit" localSheetId="24" hidden="1">#REF!</definedName>
    <definedName name="Edit" localSheetId="22" hidden="1">#REF!</definedName>
    <definedName name="Edit" localSheetId="20" hidden="1">#REF!</definedName>
    <definedName name="Edit" hidden="1">#REF!</definedName>
    <definedName name="edweqd" hidden="1">#REF!</definedName>
    <definedName name="eedd"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fcd" hidden="1">#REF!</definedName>
    <definedName name="EFFEEF" hidden="1">{#N/A,#N/A,FALSE,"Aging Summary";#N/A,#N/A,FALSE,"Ratio Analysis";#N/A,#N/A,FALSE,"Test 120 Day Accts";#N/A,#N/A,FALSE,"Tickmarks"}</definedName>
    <definedName name="EFFEEF_1" hidden="1">{#N/A,#N/A,FALSE,"Aging Summary";#N/A,#N/A,FALSE,"Ratio Analysis";#N/A,#N/A,FALSE,"Test 120 Day Accts";#N/A,#N/A,FALSE,"Tickmarks"}</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mpAux" hidden="1">""</definedName>
    <definedName name="Empr" localSheetId="19" hidden="1">#REF!</definedName>
    <definedName name="Empr" localSheetId="16" hidden="1">#REF!</definedName>
    <definedName name="Empr" localSheetId="15" hidden="1">#REF!</definedName>
    <definedName name="Empr" localSheetId="14" hidden="1">#REF!</definedName>
    <definedName name="Empr" localSheetId="17" hidden="1">#REF!</definedName>
    <definedName name="Empr" localSheetId="18" hidden="1">#REF!</definedName>
    <definedName name="Empr" localSheetId="21" hidden="1">#REF!</definedName>
    <definedName name="Empr" localSheetId="24" hidden="1">#REF!</definedName>
    <definedName name="Empr" localSheetId="22" hidden="1">#REF!</definedName>
    <definedName name="Empr" localSheetId="20" hidden="1">#REF!</definedName>
    <definedName name="Empr" hidden="1">#REF!</definedName>
    <definedName name="Encargos">#REF!</definedName>
    <definedName name="EPI">DADOS!$M$20</definedName>
    <definedName name="EPIUniforme">#REF!</definedName>
    <definedName name="EQ" localSheetId="19" hidden="1">#REF!</definedName>
    <definedName name="EQ" localSheetId="16" hidden="1">#REF!</definedName>
    <definedName name="EQ" localSheetId="15" hidden="1">#REF!</definedName>
    <definedName name="EQ" localSheetId="14" hidden="1">#REF!</definedName>
    <definedName name="EQ" localSheetId="17" hidden="1">#REF!</definedName>
    <definedName name="EQ" localSheetId="18" hidden="1">#REF!</definedName>
    <definedName name="EQ" localSheetId="21" hidden="1">#REF!</definedName>
    <definedName name="EQ" localSheetId="24" hidden="1">#REF!</definedName>
    <definedName name="EQ" localSheetId="22" hidden="1">#REF!</definedName>
    <definedName name="EQ" localSheetId="20" hidden="1">#REF!</definedName>
    <definedName name="EQ" hidden="1">#REF!</definedName>
    <definedName name="EQP" localSheetId="19">#REF!</definedName>
    <definedName name="EQP" localSheetId="16">#REF!</definedName>
    <definedName name="EQP" localSheetId="15">#REF!</definedName>
    <definedName name="EQP" localSheetId="14">#REF!</definedName>
    <definedName name="EQP" localSheetId="17">#REF!</definedName>
    <definedName name="EQP" localSheetId="18">#REF!</definedName>
    <definedName name="EQP" localSheetId="21">#REF!</definedName>
    <definedName name="EQP" localSheetId="24">#REF!</definedName>
    <definedName name="EQP" localSheetId="22">#REF!</definedName>
    <definedName name="EQP" localSheetId="20">#REF!</definedName>
    <definedName name="EQP">#REF!</definedName>
    <definedName name="equip" localSheetId="19">#REF!</definedName>
    <definedName name="equip" localSheetId="16">#REF!</definedName>
    <definedName name="equip" localSheetId="15">#REF!</definedName>
    <definedName name="equip" localSheetId="14">#REF!</definedName>
    <definedName name="equip" localSheetId="17">#REF!</definedName>
    <definedName name="equip" localSheetId="18">#REF!</definedName>
    <definedName name="equip" localSheetId="21">#REF!</definedName>
    <definedName name="equip" localSheetId="24">#REF!</definedName>
    <definedName name="equip" localSheetId="22">#REF!</definedName>
    <definedName name="equip" localSheetId="20">#REF!</definedName>
    <definedName name="equip">#REF!</definedName>
    <definedName name="EQUIPAMENTOS">EQUIPAMENTOS!$B$3:$N$308</definedName>
    <definedName name="erg" hidden="1">{#N/A,#N/A,FALSE,"Graficos";#N/A,#N/A,FALSE,"P.Ingresos";#N/A,#N/A,FALSE,"P.Gastos";#N/A,#N/A,FALSE,"I.Trafico";#N/A,#N/A,FALSE,"I.Peajes";#N/A,#N/A,FALSE,"G.Operativos";#N/A,#N/A,FALSE,"Cf Proyecto";#N/A,#N/A,FALSE,"C.PYG";#N/A,#N/A,FALSE,"Balance";#N/A,#N/A,FALSE,"TIR AC";#N/A,#N/A,FALSE,"TIR E"}</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S" localSheetId="19" hidden="1">#REF!</definedName>
    <definedName name="ES" localSheetId="16" hidden="1">#REF!</definedName>
    <definedName name="ES" localSheetId="15" hidden="1">#REF!</definedName>
    <definedName name="ES" localSheetId="14" hidden="1">#REF!</definedName>
    <definedName name="ES" localSheetId="17" hidden="1">#REF!</definedName>
    <definedName name="ES" localSheetId="18" hidden="1">#REF!</definedName>
    <definedName name="ES" localSheetId="21" hidden="1">#REF!</definedName>
    <definedName name="ES" localSheetId="24" hidden="1">#REF!</definedName>
    <definedName name="ES" localSheetId="22" hidden="1">#REF!</definedName>
    <definedName name="ES" localSheetId="20" hidden="1">#REF!</definedName>
    <definedName name="ES" hidden="1">#REF!</definedName>
    <definedName name="Esc" localSheetId="19">#REF!</definedName>
    <definedName name="Esc" localSheetId="16">#REF!</definedName>
    <definedName name="Esc" localSheetId="15">#REF!</definedName>
    <definedName name="Esc" localSheetId="14">#REF!</definedName>
    <definedName name="Esc" localSheetId="17">#REF!</definedName>
    <definedName name="Esc" localSheetId="18">#REF!</definedName>
    <definedName name="Esc" localSheetId="21">#REF!</definedName>
    <definedName name="Esc" localSheetId="24">#REF!</definedName>
    <definedName name="Esc" localSheetId="22">#REF!</definedName>
    <definedName name="Esc" localSheetId="20">#REF!</definedName>
    <definedName name="Esc">#REF!</definedName>
    <definedName name="EU" hidden="1">{#N/A,#N/A,FALSE,"MO (2)"}</definedName>
    <definedName name="EV__EVCOM_OPTIONS__" hidden="1">8</definedName>
    <definedName name="EV__EXPOPTIONS__" hidden="1">0</definedName>
    <definedName name="EV__LASTREFTIME__" hidden="1">"(GMT+01:00)29/07/2013 19:07:27"</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_ACCOUNT_ACT" hidden="1">"[ACC_ACT_AUTOP"</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FLOW_RRHH" hidden="1">"[F_VAR"</definedName>
    <definedName name="EV__MEMORYCVW__LIBRO2_INTCO_INONE" hidden="1">"[I_NONE"</definedName>
    <definedName name="EV__MEMORYCVW__LIBRO2_PROJECT" hidden="1">"[PROJECT_TOT"</definedName>
    <definedName name="EV__MEMORYCVW__LIBRO2_SECTIONS" hidden="1">"[TRMODUMMY"</definedName>
    <definedName name="EV__MEMORYCVW__LIBRO2_SEX" hidden="1">"[TOT_SEX"</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SECTIONS" hidden="1">"[TRMODUMMY"</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RGS" localSheetId="19" hidden="1">#REF!</definedName>
    <definedName name="EWRGS" localSheetId="16" hidden="1">#REF!</definedName>
    <definedName name="EWRGS" localSheetId="15" hidden="1">#REF!</definedName>
    <definedName name="EWRGS" localSheetId="14" hidden="1">#REF!</definedName>
    <definedName name="EWRGS" localSheetId="17" hidden="1">#REF!</definedName>
    <definedName name="EWRGS" localSheetId="18" hidden="1">#REF!</definedName>
    <definedName name="EWRGS" localSheetId="21" hidden="1">#REF!</definedName>
    <definedName name="EWRGS" localSheetId="24" hidden="1">#REF!</definedName>
    <definedName name="EWRGS" localSheetId="22" hidden="1">#REF!</definedName>
    <definedName name="EWRGS" localSheetId="20" hidden="1">#REF!</definedName>
    <definedName name="EWRGS" hidden="1">#REF!</definedName>
    <definedName name="EXAME">DADOS!#REF!</definedName>
    <definedName name="Excel_BuiltIn_Print_Area_7_1" localSheetId="19">#REF!</definedName>
    <definedName name="Excel_BuiltIn_Print_Area_7_1" localSheetId="16">#REF!</definedName>
    <definedName name="Excel_BuiltIn_Print_Area_7_1" localSheetId="15">#REF!</definedName>
    <definedName name="Excel_BuiltIn_Print_Area_7_1" localSheetId="14">#REF!</definedName>
    <definedName name="Excel_BuiltIn_Print_Area_7_1" localSheetId="17">#REF!</definedName>
    <definedName name="Excel_BuiltIn_Print_Area_7_1" localSheetId="18">#REF!</definedName>
    <definedName name="Excel_BuiltIn_Print_Area_7_1" localSheetId="21">#REF!</definedName>
    <definedName name="Excel_BuiltIn_Print_Area_7_1" localSheetId="24">#REF!</definedName>
    <definedName name="Excel_BuiltIn_Print_Area_7_1" localSheetId="22">#REF!</definedName>
    <definedName name="Excel_BuiltIn_Print_Area_7_1" localSheetId="20">#REF!</definedName>
    <definedName name="Excel_BuiltIn_Print_Area_7_1">#REF!</definedName>
    <definedName name="Excel_BuiltIn_Print_Titles_1_1" localSheetId="19">#REF!</definedName>
    <definedName name="Excel_BuiltIn_Print_Titles_1_1" localSheetId="16">#REF!</definedName>
    <definedName name="Excel_BuiltIn_Print_Titles_1_1" localSheetId="15">#REF!</definedName>
    <definedName name="Excel_BuiltIn_Print_Titles_1_1" localSheetId="14">#REF!</definedName>
    <definedName name="Excel_BuiltIn_Print_Titles_1_1" localSheetId="17">#REF!</definedName>
    <definedName name="Excel_BuiltIn_Print_Titles_1_1" localSheetId="18">#REF!</definedName>
    <definedName name="Excel_BuiltIn_Print_Titles_1_1" localSheetId="21">#REF!</definedName>
    <definedName name="Excel_BuiltIn_Print_Titles_1_1" localSheetId="24">#REF!</definedName>
    <definedName name="Excel_BuiltIn_Print_Titles_1_1" localSheetId="22">#REF!</definedName>
    <definedName name="Excel_BuiltIn_Print_Titles_1_1" localSheetId="20">#REF!</definedName>
    <definedName name="Excel_BuiltIn_Print_Titles_1_1">#REF!</definedName>
    <definedName name="Excel_BuiltIn_Print_Titles_3_1" localSheetId="19">#REF!</definedName>
    <definedName name="Excel_BuiltIn_Print_Titles_3_1" localSheetId="16">#REF!</definedName>
    <definedName name="Excel_BuiltIn_Print_Titles_3_1" localSheetId="15">#REF!</definedName>
    <definedName name="Excel_BuiltIn_Print_Titles_3_1" localSheetId="14">#REF!</definedName>
    <definedName name="Excel_BuiltIn_Print_Titles_3_1" localSheetId="17">#REF!</definedName>
    <definedName name="Excel_BuiltIn_Print_Titles_3_1" localSheetId="18">#REF!</definedName>
    <definedName name="Excel_BuiltIn_Print_Titles_3_1" localSheetId="21">#REF!</definedName>
    <definedName name="Excel_BuiltIn_Print_Titles_3_1" localSheetId="24">#REF!</definedName>
    <definedName name="Excel_BuiltIn_Print_Titles_3_1" localSheetId="22">#REF!</definedName>
    <definedName name="Excel_BuiltIn_Print_Titles_3_1" localSheetId="20">#REF!</definedName>
    <definedName name="Excel_BuiltIn_Print_Titles_3_1">#REF!</definedName>
    <definedName name="Excel_BuiltIn_Print_Titles_7_1" localSheetId="19">#REF!</definedName>
    <definedName name="Excel_BuiltIn_Print_Titles_7_1" localSheetId="16">#REF!</definedName>
    <definedName name="Excel_BuiltIn_Print_Titles_7_1" localSheetId="15">#REF!</definedName>
    <definedName name="Excel_BuiltIn_Print_Titles_7_1" localSheetId="14">#REF!</definedName>
    <definedName name="Excel_BuiltIn_Print_Titles_7_1" localSheetId="17">#REF!</definedName>
    <definedName name="Excel_BuiltIn_Print_Titles_7_1" localSheetId="18">#REF!</definedName>
    <definedName name="Excel_BuiltIn_Print_Titles_7_1" localSheetId="21">#REF!</definedName>
    <definedName name="Excel_BuiltIn_Print_Titles_7_1" localSheetId="24">#REF!</definedName>
    <definedName name="Excel_BuiltIn_Print_Titles_7_1" localSheetId="22">#REF!</definedName>
    <definedName name="Excel_BuiltIn_Print_Titles_7_1" localSheetId="20">#REF!</definedName>
    <definedName name="Excel_BuiltIn_Print_Titles_7_1">#REF!</definedName>
    <definedName name="Excel_BuiltIn_Print_Titles_8" localSheetId="19">#REF!</definedName>
    <definedName name="Excel_BuiltIn_Print_Titles_8" localSheetId="16">#REF!</definedName>
    <definedName name="Excel_BuiltIn_Print_Titles_8" localSheetId="15">#REF!</definedName>
    <definedName name="Excel_BuiltIn_Print_Titles_8" localSheetId="14">#REF!</definedName>
    <definedName name="Excel_BuiltIn_Print_Titles_8" localSheetId="17">#REF!</definedName>
    <definedName name="Excel_BuiltIn_Print_Titles_8" localSheetId="18">#REF!</definedName>
    <definedName name="Excel_BuiltIn_Print_Titles_8" localSheetId="21">#REF!</definedName>
    <definedName name="Excel_BuiltIn_Print_Titles_8" localSheetId="24">#REF!</definedName>
    <definedName name="Excel_BuiltIn_Print_Titles_8" localSheetId="22">#REF!</definedName>
    <definedName name="Excel_BuiltIn_Print_Titles_8" localSheetId="20">#REF!</definedName>
    <definedName name="Excel_BuiltIn_Print_Titles_8">#REF!</definedName>
    <definedName name="f" localSheetId="19" hidden="1">#REF!</definedName>
    <definedName name="f" localSheetId="16" hidden="1">#REF!</definedName>
    <definedName name="f" localSheetId="15" hidden="1">#REF!</definedName>
    <definedName name="f" localSheetId="14" hidden="1">#REF!</definedName>
    <definedName name="f" localSheetId="17" hidden="1">#REF!</definedName>
    <definedName name="f" localSheetId="18" hidden="1">#REF!</definedName>
    <definedName name="f" localSheetId="21" hidden="1">#REF!</definedName>
    <definedName name="f" localSheetId="24" hidden="1">#REF!</definedName>
    <definedName name="f" localSheetId="22" hidden="1">#REF!</definedName>
    <definedName name="f" localSheetId="20" hidden="1">#REF!</definedName>
    <definedName name="f" hidden="1">#REF!</definedName>
    <definedName name="FATURAS2002" hidden="1">{#N/A,#N/A,TRUE,"Serviços"}</definedName>
    <definedName name="FATURAS20022" hidden="1">{#N/A,#N/A,TRUE,"Serviços"}</definedName>
    <definedName name="FBFFF"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d" localSheetId="19" hidden="1">#REF!</definedName>
    <definedName name="fd" localSheetId="16" hidden="1">#REF!</definedName>
    <definedName name="fd" localSheetId="15" hidden="1">#REF!</definedName>
    <definedName name="fd" localSheetId="14" hidden="1">#REF!</definedName>
    <definedName name="fd" localSheetId="17" hidden="1">#REF!</definedName>
    <definedName name="fd" localSheetId="18" hidden="1">#REF!</definedName>
    <definedName name="fd" localSheetId="21" hidden="1">#REF!</definedName>
    <definedName name="fd" localSheetId="24" hidden="1">#REF!</definedName>
    <definedName name="fd" localSheetId="22" hidden="1">#REF!</definedName>
    <definedName name="fd" localSheetId="20" hidden="1">#REF!</definedName>
    <definedName name="fd" hidden="1">#REF!</definedName>
    <definedName name="fda" localSheetId="19">#REF!</definedName>
    <definedName name="fda" localSheetId="16">#REF!</definedName>
    <definedName name="fda" localSheetId="15">#REF!</definedName>
    <definedName name="fda" localSheetId="14">#REF!</definedName>
    <definedName name="fda" localSheetId="17">#REF!</definedName>
    <definedName name="fda" localSheetId="18">#REF!</definedName>
    <definedName name="fda" localSheetId="21">#REF!</definedName>
    <definedName name="fda" localSheetId="24">#REF!</definedName>
    <definedName name="fda" localSheetId="22">#REF!</definedName>
    <definedName name="fda" localSheetId="20">#REF!</definedName>
    <definedName name="fda">#REF!</definedName>
    <definedName name="FDP" hidden="1">{#N/A,#N/A,FALSE,"IR E CS 1997";#N/A,#N/A,FALSE,"PR ND";#N/A,#N/A,FALSE,"8191";#N/A,#N/A,FALSE,"8383";#N/A,#N/A,FALSE,"MP 1024";#N/A,#N/A,FALSE,"AD_EX_97";#N/A,#N/A,FALSE,"BD 97"}</definedName>
    <definedName name="fdsgsfrd" localSheetId="19" hidden="1">#REF!</definedName>
    <definedName name="fdsgsfrd" localSheetId="16" hidden="1">#REF!</definedName>
    <definedName name="fdsgsfrd" localSheetId="15" hidden="1">#REF!</definedName>
    <definedName name="fdsgsfrd" localSheetId="14" hidden="1">#REF!</definedName>
    <definedName name="fdsgsfrd" localSheetId="17" hidden="1">#REF!</definedName>
    <definedName name="fdsgsfrd" localSheetId="18" hidden="1">#REF!</definedName>
    <definedName name="fdsgsfrd" localSheetId="21" hidden="1">#REF!</definedName>
    <definedName name="fdsgsfrd" localSheetId="24" hidden="1">#REF!</definedName>
    <definedName name="fdsgsfrd" localSheetId="22" hidden="1">#REF!</definedName>
    <definedName name="fdsgsfrd" localSheetId="20" hidden="1">#REF!</definedName>
    <definedName name="fdsgsfrd" hidden="1">#REF!</definedName>
    <definedName name="fernanda" hidden="1">{#N/A,#N/A,FALSE,"GERAL";#N/A,#N/A,FALSE,"012-96";#N/A,#N/A,FALSE,"018-96";#N/A,#N/A,FALSE,"027-96";#N/A,#N/A,FALSE,"059-96";#N/A,#N/A,FALSE,"076-96";#N/A,#N/A,FALSE,"019-97";#N/A,#N/A,FALSE,"021-97";#N/A,#N/A,FALSE,"022-97";#N/A,#N/A,FALSE,"028-97"}</definedName>
    <definedName name="ff" localSheetId="19" hidden="1">#REF!</definedName>
    <definedName name="ff" localSheetId="16" hidden="1">#REF!</definedName>
    <definedName name="ff" localSheetId="15" hidden="1">#REF!</definedName>
    <definedName name="ff" localSheetId="14" hidden="1">#REF!</definedName>
    <definedName name="ff" localSheetId="17" hidden="1">#REF!</definedName>
    <definedName name="ff" localSheetId="18" hidden="1">#REF!</definedName>
    <definedName name="ff" localSheetId="21" hidden="1">#REF!</definedName>
    <definedName name="ff" localSheetId="24" hidden="1">#REF!</definedName>
    <definedName name="ff" localSheetId="22" hidden="1">#REF!</definedName>
    <definedName name="ff" localSheetId="20" hidden="1">#REF!</definedName>
    <definedName name="ff" hidden="1">#REF!</definedName>
    <definedName name="fgff" hidden="1">{#N/A,#N/A,FALSE,"MO (2)"}</definedName>
    <definedName name="fghfhfdhdr" hidden="1">{#N/A,#N/A,TRUE,"MEMO";#N/A,#N/A,TRUE,"PARAMETROS";#N/A,#N/A,TRUE,"RLI ";#N/A,#N/A,TRUE,"IMPTO.DET.";#N/A,#N/A,TRUE,"FUT-FUNT";#N/A,#N/A,TRUE,"CPI-PATR.";#N/A,#N/A,TRUE,"CM CPI";#N/A,#N/A,TRUE,"PROV";#N/A,#N/A,TRUE,"A FIJO";#N/A,#N/A,TRUE,"LEASING";#N/A,#N/A,TRUE,"VPP";#N/A,#N/A,TRUE,"PPM";#N/A,#N/A,TRUE,"OTROS"}</definedName>
    <definedName name="fjjashfja" localSheetId="19" hidden="1">#REF!</definedName>
    <definedName name="fjjashfja" localSheetId="16" hidden="1">#REF!</definedName>
    <definedName name="fjjashfja" localSheetId="15" hidden="1">#REF!</definedName>
    <definedName name="fjjashfja" localSheetId="14" hidden="1">#REF!</definedName>
    <definedName name="fjjashfja" localSheetId="17" hidden="1">#REF!</definedName>
    <definedName name="fjjashfja" localSheetId="18" hidden="1">#REF!</definedName>
    <definedName name="fjjashfja" localSheetId="21" hidden="1">#REF!</definedName>
    <definedName name="fjjashfja" localSheetId="24" hidden="1">#REF!</definedName>
    <definedName name="fjjashfja" localSheetId="22" hidden="1">#REF!</definedName>
    <definedName name="fjjashfja" localSheetId="20" hidden="1">#REF!</definedName>
    <definedName name="fjjashfja" hidden="1">#REF!</definedName>
    <definedName name="FOLHA01" hidden="1">{#N/A,#N/A,TRUE,"Serviços"}</definedName>
    <definedName name="FOLHA011" hidden="1">{#N/A,#N/A,TRUE,"Serviços"}</definedName>
    <definedName name="folha1" hidden="1">{#N/A,#N/A,TRUE,"Serviços"}</definedName>
    <definedName name="folha11" hidden="1">{#N/A,#N/A,TRUE,"Serviços"}</definedName>
    <definedName name="Fresagem01" hidden="1">{#N/A,#N/A,TRUE,"Serviços"}</definedName>
    <definedName name="Fresagem011" hidden="1">{#N/A,#N/A,TRUE,"Serviços"}</definedName>
    <definedName name="FVVVFE" hidden="1">{"PARTE1",#N/A,FALSE,"Plan1"}</definedName>
    <definedName name="FVVVFE_1" hidden="1">{"PARTE1",#N/A,FALSE,"Plan1"}</definedName>
    <definedName name="GC" hidden="1">{#N/A,#N/A,TRUE,"MEMO";#N/A,#N/A,TRUE,"PARAMETROS";#N/A,#N/A,TRUE,"RLI ";#N/A,#N/A,TRUE,"IMPTO.DET.";#N/A,#N/A,TRUE,"FUT-FUNT";#N/A,#N/A,TRUE,"CPI-PATR.";#N/A,#N/A,TRUE,"CM CPI";#N/A,#N/A,TRUE,"PROV";#N/A,#N/A,TRUE,"A FIJO";#N/A,#N/A,TRUE,"LEASING";#N/A,#N/A,TRUE,"VPP";#N/A,#N/A,TRUE,"PPM";#N/A,#N/A,TRUE,"OTROS"}</definedName>
    <definedName name="GrpAcct1" hidden="1">"5611"</definedName>
    <definedName name="GrpAcct2" hidden="1">"5612"</definedName>
    <definedName name="GrpLevel" hidden="1">2</definedName>
    <definedName name="gtryfj" hidden="1">{#N/A,#N/A,TRUE,"Serviços"}</definedName>
    <definedName name="gtryfjj" hidden="1">{#N/A,#N/A,TRUE,"Serviços"}</definedName>
    <definedName name="gv" hidden="1">{"Pèrdues i Guanys analític.Català",#N/A,FALSE,"Català";"Pèrdues i G. analític.castellà",#N/A,FALSE,"Castellà"}</definedName>
    <definedName name="GWSGWETH" localSheetId="19" hidden="1">#REF!</definedName>
    <definedName name="GWSGWETH" localSheetId="16" hidden="1">#REF!</definedName>
    <definedName name="GWSGWETH" localSheetId="15" hidden="1">#REF!</definedName>
    <definedName name="GWSGWETH" localSheetId="14" hidden="1">#REF!</definedName>
    <definedName name="GWSGWETH" localSheetId="17" hidden="1">#REF!</definedName>
    <definedName name="GWSGWETH" localSheetId="18" hidden="1">#REF!</definedName>
    <definedName name="GWSGWETH" localSheetId="21" hidden="1">#REF!</definedName>
    <definedName name="GWSGWETH" localSheetId="24" hidden="1">#REF!</definedName>
    <definedName name="GWSGWETH" localSheetId="22" hidden="1">#REF!</definedName>
    <definedName name="GWSGWETH" localSheetId="20" hidden="1">#REF!</definedName>
    <definedName name="GWSGWETH" hidden="1">#REF!</definedName>
    <definedName name="h" hidden="1">"AS2DocumentBrowse"</definedName>
    <definedName name="h_extra_50">DADOS!#REF!</definedName>
    <definedName name="h_extra_70">DADOS!#REF!</definedName>
    <definedName name="HE">#REF!</definedName>
    <definedName name="HE_50">#REF!</definedName>
    <definedName name="HE_70">#REF!</definedName>
    <definedName name="HG" hidden="1">#REF!</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hh"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I" localSheetId="19" hidden="1">#REF!</definedName>
    <definedName name="HI" localSheetId="16" hidden="1">#REF!</definedName>
    <definedName name="HI" localSheetId="15" hidden="1">#REF!</definedName>
    <definedName name="HI" localSheetId="14" hidden="1">#REF!</definedName>
    <definedName name="HI" localSheetId="17" hidden="1">#REF!</definedName>
    <definedName name="HI" localSheetId="18" hidden="1">#REF!</definedName>
    <definedName name="HI" localSheetId="21" hidden="1">#REF!</definedName>
    <definedName name="HI" localSheetId="24" hidden="1">#REF!</definedName>
    <definedName name="HI" localSheetId="22" hidden="1">#REF!</definedName>
    <definedName name="HI" localSheetId="20" hidden="1">#REF!</definedName>
    <definedName name="HI" hidden="1">#REF!</definedName>
    <definedName name="HORISTA">ENCARGOS!$D$10</definedName>
    <definedName name="HTML_CodePage" hidden="1">1252</definedName>
    <definedName name="HTML_Control" hidden="1">{"'RELATÓRIO'!$A$1:$E$20","'RELATÓRIO'!$A$22:$D$34","'INTERNET'!$A$31:$G$58","'INTERNET'!$A$1:$G$28","'SÉRIE HISTÓRICA'!$A$167:$H$212","'SÉRIE HISTÓRICA'!$A$56:$H$101"}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"C:\DIVULGAÇÃO INPC IPCA 2001\inpc0501.htm"</definedName>
    <definedName name="HTML_Title" hidden="1">""</definedName>
    <definedName name="IJFLUYF" localSheetId="19" hidden="1">#REF!</definedName>
    <definedName name="IJFLUYF" localSheetId="16" hidden="1">#REF!</definedName>
    <definedName name="IJFLUYF" localSheetId="15" hidden="1">#REF!</definedName>
    <definedName name="IJFLUYF" localSheetId="14" hidden="1">#REF!</definedName>
    <definedName name="IJFLUYF" localSheetId="17" hidden="1">#REF!</definedName>
    <definedName name="IJFLUYF" localSheetId="18" hidden="1">#REF!</definedName>
    <definedName name="IJFLUYF" localSheetId="21" hidden="1">#REF!</definedName>
    <definedName name="IJFLUYF" localSheetId="24" hidden="1">#REF!</definedName>
    <definedName name="IJFLUYF" localSheetId="22" hidden="1">#REF!</definedName>
    <definedName name="IJFLUYF" localSheetId="20" hidden="1">#REF!</definedName>
    <definedName name="IJFLUYF" hidden="1">#REF!</definedName>
    <definedName name="INSUMO">#REF!</definedName>
    <definedName name="Insumos" localSheetId="19" hidden="1">#REF!</definedName>
    <definedName name="Insumos" localSheetId="16" hidden="1">#REF!</definedName>
    <definedName name="Insumos" localSheetId="15" hidden="1">#REF!</definedName>
    <definedName name="Insumos" localSheetId="14" hidden="1">#REF!</definedName>
    <definedName name="Insumos" localSheetId="17" hidden="1">#REF!</definedName>
    <definedName name="Insumos" localSheetId="18" hidden="1">#REF!</definedName>
    <definedName name="Insumos" localSheetId="21" hidden="1">#REF!</definedName>
    <definedName name="Insumos" localSheetId="24" hidden="1">#REF!</definedName>
    <definedName name="Insumos" localSheetId="22" hidden="1">#REF!</definedName>
    <definedName name="Insumos" localSheetId="20" hidden="1">#REF!</definedName>
    <definedName name="Insumos" hidden="1">#REF!</definedName>
    <definedName name="INTERCO" hidden="1">{"Pèrdues i Guanys analític.Català",#N/A,FALSE,"Català";"Pèrdues i G. analític.castellà",#N/A,FALSE,"Castellà"}</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IRPJ_CSLL">IF(TRIBUTOS=1,34%,12%)</definedName>
    <definedName name="IRPJ98"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UDFHISDUF" hidden="1">#REF!</definedName>
    <definedName name="ItemInvestimento">OFFSET(#REF!,0,0,COUNTIF(#REF!,"")-COUNTIF(#REF!,""),1)</definedName>
    <definedName name="Itens" localSheetId="19" hidden="1">#REF!</definedName>
    <definedName name="Itens" localSheetId="16" hidden="1">#REF!</definedName>
    <definedName name="Itens" localSheetId="15" hidden="1">#REF!</definedName>
    <definedName name="Itens" localSheetId="14" hidden="1">#REF!</definedName>
    <definedName name="Itens" localSheetId="17" hidden="1">#REF!</definedName>
    <definedName name="Itens" localSheetId="18" hidden="1">#REF!</definedName>
    <definedName name="Itens" localSheetId="21" hidden="1">#REF!</definedName>
    <definedName name="Itens" localSheetId="24" hidden="1">#REF!</definedName>
    <definedName name="Itens" localSheetId="22" hidden="1">#REF!</definedName>
    <definedName name="Itens" localSheetId="20" hidden="1">#REF!</definedName>
    <definedName name="Itens" hidden="1">#REF!</definedName>
    <definedName name="Já_apresentado__a_licitar" localSheetId="19">#REF!</definedName>
    <definedName name="Já_apresentado__a_licitar" localSheetId="16">#REF!</definedName>
    <definedName name="Já_apresentado__a_licitar" localSheetId="15">#REF!</definedName>
    <definedName name="Já_apresentado__a_licitar" localSheetId="14">#REF!</definedName>
    <definedName name="Já_apresentado__a_licitar" localSheetId="17">#REF!</definedName>
    <definedName name="Já_apresentado__a_licitar" localSheetId="18">#REF!</definedName>
    <definedName name="Já_apresentado__a_licitar" localSheetId="21">#REF!</definedName>
    <definedName name="Já_apresentado__a_licitar" localSheetId="24">#REF!</definedName>
    <definedName name="Já_apresentado__a_licitar" localSheetId="22">#REF!</definedName>
    <definedName name="Já_apresentado__a_licitar" localSheetId="20">#REF!</definedName>
    <definedName name="Já_apresentado__a_licitar">#REF!</definedName>
    <definedName name="JANEIRO2003" hidden="1">{#N/A,#N/A,TRUE,"Serviços"}</definedName>
    <definedName name="JANEIRO20033" hidden="1">{#N/A,#N/A,TRUE,"Serviços"}</definedName>
    <definedName name="Janta">#REF!</definedName>
    <definedName name="JJJY" hidden="1">{#N/A,#N/A,FALSE,"Aging Summary";#N/A,#N/A,FALSE,"Ratio Analysis";#N/A,#N/A,FALSE,"Test 120 Day Accts";#N/A,#N/A,FALSE,"Tickmarks"}</definedName>
    <definedName name="JJJY_1" hidden="1">{#N/A,#N/A,FALSE,"Aging Summary";#N/A,#N/A,FALSE,"Ratio Analysis";#N/A,#N/A,FALSE,"Test 120 Day Accts";#N/A,#N/A,FALSE,"Tickmarks"}</definedName>
    <definedName name="JKHZDG" localSheetId="19" hidden="1">#REF!</definedName>
    <definedName name="JKHZDG" localSheetId="16" hidden="1">#REF!</definedName>
    <definedName name="JKHZDG" localSheetId="15" hidden="1">#REF!</definedName>
    <definedName name="JKHZDG" localSheetId="14" hidden="1">#REF!</definedName>
    <definedName name="JKHZDG" localSheetId="17" hidden="1">#REF!</definedName>
    <definedName name="JKHZDG" localSheetId="18" hidden="1">#REF!</definedName>
    <definedName name="JKHZDG" localSheetId="21" hidden="1">#REF!</definedName>
    <definedName name="JKHZDG" localSheetId="24" hidden="1">#REF!</definedName>
    <definedName name="JKHZDG" localSheetId="22" hidden="1">#REF!</definedName>
    <definedName name="JKHZDG" localSheetId="20" hidden="1">#REF!</definedName>
    <definedName name="JKHZDG" hidden="1">#REF!</definedName>
    <definedName name="JKJ" hidden="1">{#N/A,#N/A,FALSE,"Aging Summary";#N/A,#N/A,FALSE,"Ratio Analysis";#N/A,#N/A,FALSE,"Test 120 Day Accts";#N/A,#N/A,FALSE,"Tickmarks"}</definedName>
    <definedName name="JKJ_1" hidden="1">{#N/A,#N/A,FALSE,"Aging Summary";#N/A,#N/A,FALSE,"Ratio Analysis";#N/A,#N/A,FALSE,"Test 120 Day Accts";#N/A,#N/A,FALSE,"Tickmarks"}</definedName>
    <definedName name="JOAO" hidden="1">{#N/A,#N/A,FALSE,"SS 1";#N/A,#N/A,FALSE,"SS 2";#N/A,#N/A,FALSE,"TER 1 (1)";#N/A,#N/A,FALSE,"TER 1 (2)";#N/A,#N/A,FALSE,"TER 2 ";#N/A,#N/A,FALSE,"TP  (1)";#N/A,#N/A,FALSE,"TP  (2)";#N/A,#N/A,FALSE,"CM BAR"}</definedName>
    <definedName name="JOAO1" hidden="1">{#N/A,#N/A,FALSE,"LEVFER V2 P";#N/A,#N/A,FALSE,"LEVFER V2 P10%"}</definedName>
    <definedName name="JOSE" hidden="1">{#N/A,#N/A,FALSE,"LEVFER V2 P";#N/A,#N/A,FALSE,"LEVFER V2 P10%"}</definedName>
    <definedName name="juca" hidden="1">{#N/A,#N/A,FALSE,"SS 1";#N/A,#N/A,FALSE,"TER 1 (A)";#N/A,#N/A,FALSE,"SS 2";#N/A,#N/A,FALSE,"TER 1 (B)";#N/A,#N/A,FALSE,"TER 1 (C)";#N/A,#N/A,FALSE,"TER 1 (D)";#N/A,#N/A,FALSE,"TER 1 (E)";#N/A,#N/A,FALSE,"TER 2 "}</definedName>
    <definedName name="jxfhdfvd" hidden="1">{#N/A,#N/A,TRUE,"MEMO";#N/A,#N/A,TRUE,"PARAMETROS";#N/A,#N/A,TRUE,"RLI ";#N/A,#N/A,TRUE,"IMPTO.DET.";#N/A,#N/A,TRUE,"FUT-FUNT";#N/A,#N/A,TRUE,"CPI-PATR.";#N/A,#N/A,TRUE,"CM CPI";#N/A,#N/A,TRUE,"PROV";#N/A,#N/A,TRUE,"A FIJO";#N/A,#N/A,TRUE,"LEASING";#N/A,#N/A,TRUE,"VPP";#N/A,#N/A,TRUE,"PPM";#N/A,#N/A,TRUE,"OTROS"}</definedName>
    <definedName name="KGZFKJSZKJGD" hidden="1">1</definedName>
    <definedName name="KHFSLFHGA" localSheetId="19" hidden="1">#REF!</definedName>
    <definedName name="KHFSLFHGA" localSheetId="16" hidden="1">#REF!</definedName>
    <definedName name="KHFSLFHGA" localSheetId="15" hidden="1">#REF!</definedName>
    <definedName name="KHFSLFHGA" localSheetId="14" hidden="1">#REF!</definedName>
    <definedName name="KHFSLFHGA" localSheetId="17" hidden="1">#REF!</definedName>
    <definedName name="KHFSLFHGA" localSheetId="18" hidden="1">#REF!</definedName>
    <definedName name="KHFSLFHGA" localSheetId="21" hidden="1">#REF!</definedName>
    <definedName name="KHFSLFHGA" localSheetId="24" hidden="1">#REF!</definedName>
    <definedName name="KHFSLFHGA" localSheetId="22" hidden="1">#REF!</definedName>
    <definedName name="KHFSLFHGA" localSheetId="20" hidden="1">#REF!</definedName>
    <definedName name="KHFSLFHGA" hidden="1">#REF!</definedName>
    <definedName name="KHSKFASKLF" localSheetId="19" hidden="1">#REF!</definedName>
    <definedName name="KHSKFASKLF" localSheetId="16" hidden="1">#REF!</definedName>
    <definedName name="KHSKFASKLF" localSheetId="15" hidden="1">#REF!</definedName>
    <definedName name="KHSKFASKLF" localSheetId="14" hidden="1">#REF!</definedName>
    <definedName name="KHSKFASKLF" localSheetId="17" hidden="1">#REF!</definedName>
    <definedName name="KHSKFASKLF" localSheetId="18" hidden="1">#REF!</definedName>
    <definedName name="KHSKFASKLF" localSheetId="21" hidden="1">#REF!</definedName>
    <definedName name="KHSKFASKLF" localSheetId="24" hidden="1">#REF!</definedName>
    <definedName name="KHSKFASKLF" localSheetId="22" hidden="1">#REF!</definedName>
    <definedName name="KHSKFASKLF" localSheetId="20" hidden="1">#REF!</definedName>
    <definedName name="KHSKFASKLF" hidden="1">#REF!</definedName>
    <definedName name="KJFDGLS" localSheetId="19" hidden="1">#REF!</definedName>
    <definedName name="KJFDGLS" localSheetId="16" hidden="1">#REF!</definedName>
    <definedName name="KJFDGLS" localSheetId="15" hidden="1">#REF!</definedName>
    <definedName name="KJFDGLS" localSheetId="14" hidden="1">#REF!</definedName>
    <definedName name="KJFDGLS" localSheetId="17" hidden="1">#REF!</definedName>
    <definedName name="KJFDGLS" localSheetId="18" hidden="1">#REF!</definedName>
    <definedName name="KJFDGLS" localSheetId="21" hidden="1">#REF!</definedName>
    <definedName name="KJFDGLS" localSheetId="24" hidden="1">#REF!</definedName>
    <definedName name="KJFDGLS" localSheetId="22" hidden="1">#REF!</definedName>
    <definedName name="KJFDGLS" localSheetId="20" hidden="1">#REF!</definedName>
    <definedName name="KJFDGLS" hidden="1">#REF!</definedName>
    <definedName name="KKFGSDKJGFLKS" localSheetId="19" hidden="1">#REF!</definedName>
    <definedName name="KKFGSDKJGFLKS" localSheetId="16" hidden="1">#REF!</definedName>
    <definedName name="KKFGSDKJGFLKS" localSheetId="15" hidden="1">#REF!</definedName>
    <definedName name="KKFGSDKJGFLKS" localSheetId="14" hidden="1">#REF!</definedName>
    <definedName name="KKFGSDKJGFLKS" localSheetId="17" hidden="1">#REF!</definedName>
    <definedName name="KKFGSDKJGFLKS" localSheetId="18" hidden="1">#REF!</definedName>
    <definedName name="KKFGSDKJGFLKS" localSheetId="21" hidden="1">#REF!</definedName>
    <definedName name="KKFGSDKJGFLKS" localSheetId="24" hidden="1">#REF!</definedName>
    <definedName name="KKFGSDKJGFLKS" localSheetId="22" hidden="1">#REF!</definedName>
    <definedName name="KKFGSDKJGFLKS" localSheetId="20" hidden="1">#REF!</definedName>
    <definedName name="KKFGSDKJGFLKS" hidden="1">#REF!</definedName>
    <definedName name="kl" localSheetId="19" hidden="1">#REF!</definedName>
    <definedName name="kl" localSheetId="16" hidden="1">#REF!</definedName>
    <definedName name="kl" localSheetId="15" hidden="1">#REF!</definedName>
    <definedName name="kl" localSheetId="14" hidden="1">#REF!</definedName>
    <definedName name="kl" localSheetId="17" hidden="1">#REF!</definedName>
    <definedName name="kl" localSheetId="18" hidden="1">#REF!</definedName>
    <definedName name="kl" localSheetId="21" hidden="1">#REF!</definedName>
    <definedName name="kl" localSheetId="24" hidden="1">#REF!</definedName>
    <definedName name="kl" localSheetId="22" hidden="1">#REF!</definedName>
    <definedName name="kl" localSheetId="20" hidden="1">#REF!</definedName>
    <definedName name="kl" hidden="1">#REF!</definedName>
    <definedName name="KLKZDLKSGF" localSheetId="19" hidden="1">#REF!</definedName>
    <definedName name="KLKZDLKSGF" localSheetId="16" hidden="1">#REF!</definedName>
    <definedName name="KLKZDLKSGF" localSheetId="15" hidden="1">#REF!</definedName>
    <definedName name="KLKZDLKSGF" localSheetId="14" hidden="1">#REF!</definedName>
    <definedName name="KLKZDLKSGF" localSheetId="17" hidden="1">#REF!</definedName>
    <definedName name="KLKZDLKSGF" localSheetId="18" hidden="1">#REF!</definedName>
    <definedName name="KLKZDLKSGF" localSheetId="21" hidden="1">#REF!</definedName>
    <definedName name="KLKZDLKSGF" localSheetId="24" hidden="1">#REF!</definedName>
    <definedName name="KLKZDLKSGF" localSheetId="22" hidden="1">#REF!</definedName>
    <definedName name="KLKZDLKSGF" localSheetId="20" hidden="1">#REF!</definedName>
    <definedName name="KLKZDLKSGF" hidden="1">#REF!</definedName>
    <definedName name="KSFKASKF" localSheetId="19" hidden="1">#REF!</definedName>
    <definedName name="KSFKASKF" localSheetId="16" hidden="1">#REF!</definedName>
    <definedName name="KSFKASKF" localSheetId="15" hidden="1">#REF!</definedName>
    <definedName name="KSFKASKF" localSheetId="14" hidden="1">#REF!</definedName>
    <definedName name="KSFKASKF" localSheetId="17" hidden="1">#REF!</definedName>
    <definedName name="KSFKASKF" localSheetId="18" hidden="1">#REF!</definedName>
    <definedName name="KSFKASKF" localSheetId="21" hidden="1">#REF!</definedName>
    <definedName name="KSFKASKF" localSheetId="24" hidden="1">#REF!</definedName>
    <definedName name="KSFKASKF" localSheetId="22" hidden="1">#REF!</definedName>
    <definedName name="KSFKASKF" localSheetId="20" hidden="1">#REF!</definedName>
    <definedName name="KSFKASKF" hidden="1">#REF!</definedName>
    <definedName name="KU" hidden="1">{#N/A,#N/A,FALSE,"Aging Summary";#N/A,#N/A,FALSE,"Ratio Analysis";#N/A,#N/A,FALSE,"Test 120 Day Accts";#N/A,#N/A,FALSE,"Tickmarks"}</definedName>
    <definedName name="KU_1" hidden="1">{#N/A,#N/A,FALSE,"Aging Summary";#N/A,#N/A,FALSE,"Ratio Analysis";#N/A,#N/A,FALSE,"Test 120 Day Accts";#N/A,#N/A,FALSE,"Tickmarks"}</definedName>
    <definedName name="KUKR" hidden="1">{#N/A,#N/A,FALSE,"Aging Summary";#N/A,#N/A,FALSE,"Ratio Analysis";#N/A,#N/A,FALSE,"Test 120 Day Accts";#N/A,#N/A,FALSE,"Tickmarks"}</definedName>
    <definedName name="KUKR_1" hidden="1">{#N/A,#N/A,FALSE,"Aging Summary";#N/A,#N/A,FALSE,"Ratio Analysis";#N/A,#N/A,FALSE,"Test 120 Day Accts";#N/A,#N/A,FALSE,"Tickmarks"}</definedName>
    <definedName name="la" hidden="1">{#N/A,#N/A,FALSE,"MO (2)"}</definedName>
    <definedName name="lab" hidden="1">{#N/A,#N/A,TRUE,"Serviços"}</definedName>
    <definedName name="labb" hidden="1">{#N/A,#N/A,TRUE,"Serviços"}</definedName>
    <definedName name="lbla13" localSheetId="19" hidden="1">#REF!</definedName>
    <definedName name="lbla13" localSheetId="16" hidden="1">#REF!</definedName>
    <definedName name="lbla13" localSheetId="7" hidden="1">#REF!</definedName>
    <definedName name="lbla13" localSheetId="15" hidden="1">#REF!</definedName>
    <definedName name="lbla13" localSheetId="14" hidden="1">#REF!</definedName>
    <definedName name="lbla13" localSheetId="17" hidden="1">#REF!</definedName>
    <definedName name="lbla13" localSheetId="18" hidden="1">#REF!</definedName>
    <definedName name="lbla13" localSheetId="21" hidden="1">#REF!</definedName>
    <definedName name="lbla13" localSheetId="24" hidden="1">#REF!</definedName>
    <definedName name="lbla13" localSheetId="22" hidden="1">#REF!</definedName>
    <definedName name="lbla13" localSheetId="20" hidden="1">#REF!</definedName>
    <definedName name="lbla13" hidden="1">#REF!</definedName>
    <definedName name="lbla14" localSheetId="19" hidden="1">#REF!</definedName>
    <definedName name="lbla14" localSheetId="16" hidden="1">#REF!</definedName>
    <definedName name="lbla14" localSheetId="7" hidden="1">#REF!</definedName>
    <definedName name="lbla14" localSheetId="15" hidden="1">#REF!</definedName>
    <definedName name="lbla14" localSheetId="14" hidden="1">#REF!</definedName>
    <definedName name="lbla14" localSheetId="17" hidden="1">#REF!</definedName>
    <definedName name="lbla14" localSheetId="18" hidden="1">#REF!</definedName>
    <definedName name="lbla14" localSheetId="21" hidden="1">#REF!</definedName>
    <definedName name="lbla14" localSheetId="24" hidden="1">#REF!</definedName>
    <definedName name="lbla14" localSheetId="22" hidden="1">#REF!</definedName>
    <definedName name="lbla14" localSheetId="20" hidden="1">#REF!</definedName>
    <definedName name="lbla14" hidden="1">#REF!</definedName>
    <definedName name="lbla15" localSheetId="19" hidden="1">#REF!</definedName>
    <definedName name="lbla15" localSheetId="16" hidden="1">#REF!</definedName>
    <definedName name="lbla15" localSheetId="7" hidden="1">#REF!</definedName>
    <definedName name="lbla15" localSheetId="15" hidden="1">#REF!</definedName>
    <definedName name="lbla15" localSheetId="14" hidden="1">#REF!</definedName>
    <definedName name="lbla15" localSheetId="17" hidden="1">#REF!</definedName>
    <definedName name="lbla15" localSheetId="18" hidden="1">#REF!</definedName>
    <definedName name="lbla15" localSheetId="21" hidden="1">#REF!</definedName>
    <definedName name="lbla15" localSheetId="24" hidden="1">#REF!</definedName>
    <definedName name="lbla15" localSheetId="22" hidden="1">#REF!</definedName>
    <definedName name="lbla15" localSheetId="20" hidden="1">#REF!</definedName>
    <definedName name="lbla15" hidden="1">#REF!</definedName>
    <definedName name="lbla16" localSheetId="19" hidden="1">#REF!</definedName>
    <definedName name="lbla16" localSheetId="16" hidden="1">#REF!</definedName>
    <definedName name="lbla16" localSheetId="7" hidden="1">#REF!</definedName>
    <definedName name="lbla16" localSheetId="15" hidden="1">#REF!</definedName>
    <definedName name="lbla16" localSheetId="14" hidden="1">#REF!</definedName>
    <definedName name="lbla16" localSheetId="17" hidden="1">#REF!</definedName>
    <definedName name="lbla16" localSheetId="18" hidden="1">#REF!</definedName>
    <definedName name="lbla16" localSheetId="21" hidden="1">#REF!</definedName>
    <definedName name="lbla16" localSheetId="24" hidden="1">#REF!</definedName>
    <definedName name="lbla16" localSheetId="22" hidden="1">#REF!</definedName>
    <definedName name="lbla16" localSheetId="20" hidden="1">#REF!</definedName>
    <definedName name="lbla16" hidden="1">#REF!</definedName>
    <definedName name="lbla17" localSheetId="19" hidden="1">#REF!</definedName>
    <definedName name="lbla17" localSheetId="16" hidden="1">#REF!</definedName>
    <definedName name="lbla17" localSheetId="7" hidden="1">#REF!</definedName>
    <definedName name="lbla17" localSheetId="15" hidden="1">#REF!</definedName>
    <definedName name="lbla17" localSheetId="14" hidden="1">#REF!</definedName>
    <definedName name="lbla17" localSheetId="17" hidden="1">#REF!</definedName>
    <definedName name="lbla17" localSheetId="18" hidden="1">#REF!</definedName>
    <definedName name="lbla17" localSheetId="21" hidden="1">#REF!</definedName>
    <definedName name="lbla17" localSheetId="24" hidden="1">#REF!</definedName>
    <definedName name="lbla17" localSheetId="22" hidden="1">#REF!</definedName>
    <definedName name="lbla17" localSheetId="20" hidden="1">#REF!</definedName>
    <definedName name="lbla17" hidden="1">#REF!</definedName>
    <definedName name="lbla18" localSheetId="19" hidden="1">#REF!</definedName>
    <definedName name="lbla18" localSheetId="16" hidden="1">#REF!</definedName>
    <definedName name="lbla18" localSheetId="7" hidden="1">#REF!</definedName>
    <definedName name="lbla18" localSheetId="15" hidden="1">#REF!</definedName>
    <definedName name="lbla18" localSheetId="14" hidden="1">#REF!</definedName>
    <definedName name="lbla18" localSheetId="17" hidden="1">#REF!</definedName>
    <definedName name="lbla18" localSheetId="18" hidden="1">#REF!</definedName>
    <definedName name="lbla18" localSheetId="21" hidden="1">#REF!</definedName>
    <definedName name="lbla18" localSheetId="24" hidden="1">#REF!</definedName>
    <definedName name="lbla18" localSheetId="22" hidden="1">#REF!</definedName>
    <definedName name="lbla18" localSheetId="20" hidden="1">#REF!</definedName>
    <definedName name="lbla18" hidden="1">#REF!</definedName>
    <definedName name="lbla19" localSheetId="19" hidden="1">#REF!</definedName>
    <definedName name="lbla19" localSheetId="16" hidden="1">#REF!</definedName>
    <definedName name="lbla19" localSheetId="7" hidden="1">#REF!</definedName>
    <definedName name="lbla19" localSheetId="15" hidden="1">#REF!</definedName>
    <definedName name="lbla19" localSheetId="14" hidden="1">#REF!</definedName>
    <definedName name="lbla19" localSheetId="17" hidden="1">#REF!</definedName>
    <definedName name="lbla19" localSheetId="18" hidden="1">#REF!</definedName>
    <definedName name="lbla19" localSheetId="21" hidden="1">#REF!</definedName>
    <definedName name="lbla19" localSheetId="24" hidden="1">#REF!</definedName>
    <definedName name="lbla19" localSheetId="22" hidden="1">#REF!</definedName>
    <definedName name="lbla19" localSheetId="20" hidden="1">#REF!</definedName>
    <definedName name="lbla19" hidden="1">#REF!</definedName>
    <definedName name="lbla2" localSheetId="19" hidden="1">#REF!</definedName>
    <definedName name="lbla2" localSheetId="16" hidden="1">#REF!</definedName>
    <definedName name="lbla2" localSheetId="7" hidden="1">#REF!</definedName>
    <definedName name="lbla2" localSheetId="15" hidden="1">#REF!</definedName>
    <definedName name="lbla2" localSheetId="14" hidden="1">#REF!</definedName>
    <definedName name="lbla2" localSheetId="17" hidden="1">#REF!</definedName>
    <definedName name="lbla2" localSheetId="18" hidden="1">#REF!</definedName>
    <definedName name="lbla2" localSheetId="21" hidden="1">#REF!</definedName>
    <definedName name="lbla2" localSheetId="24" hidden="1">#REF!</definedName>
    <definedName name="lbla2" localSheetId="22" hidden="1">#REF!</definedName>
    <definedName name="lbla2" localSheetId="20" hidden="1">#REF!</definedName>
    <definedName name="lbla2" hidden="1">#REF!</definedName>
    <definedName name="lbla20" localSheetId="19" hidden="1">#REF!</definedName>
    <definedName name="lbla20" localSheetId="16" hidden="1">#REF!</definedName>
    <definedName name="lbla20" localSheetId="7" hidden="1">#REF!</definedName>
    <definedName name="lbla20" localSheetId="15" hidden="1">#REF!</definedName>
    <definedName name="lbla20" localSheetId="14" hidden="1">#REF!</definedName>
    <definedName name="lbla20" localSheetId="17" hidden="1">#REF!</definedName>
    <definedName name="lbla20" localSheetId="18" hidden="1">#REF!</definedName>
    <definedName name="lbla20" localSheetId="21" hidden="1">#REF!</definedName>
    <definedName name="lbla20" localSheetId="24" hidden="1">#REF!</definedName>
    <definedName name="lbla20" localSheetId="22" hidden="1">#REF!</definedName>
    <definedName name="lbla20" localSheetId="20" hidden="1">#REF!</definedName>
    <definedName name="lbla20" hidden="1">#REF!</definedName>
    <definedName name="lbla21" localSheetId="19" hidden="1">#REF!</definedName>
    <definedName name="lbla21" localSheetId="16" hidden="1">#REF!</definedName>
    <definedName name="lbla21" localSheetId="7" hidden="1">#REF!</definedName>
    <definedName name="lbla21" localSheetId="15" hidden="1">#REF!</definedName>
    <definedName name="lbla21" localSheetId="14" hidden="1">#REF!</definedName>
    <definedName name="lbla21" localSheetId="17" hidden="1">#REF!</definedName>
    <definedName name="lbla21" localSheetId="18" hidden="1">#REF!</definedName>
    <definedName name="lbla21" localSheetId="21" hidden="1">#REF!</definedName>
    <definedName name="lbla21" localSheetId="24" hidden="1">#REF!</definedName>
    <definedName name="lbla21" localSheetId="22" hidden="1">#REF!</definedName>
    <definedName name="lbla21" localSheetId="20" hidden="1">#REF!</definedName>
    <definedName name="lbla21" hidden="1">#REF!</definedName>
    <definedName name="lbla22" localSheetId="19" hidden="1">#REF!</definedName>
    <definedName name="lbla22" localSheetId="16" hidden="1">#REF!</definedName>
    <definedName name="lbla22" localSheetId="7" hidden="1">#REF!</definedName>
    <definedName name="lbla22" localSheetId="15" hidden="1">#REF!</definedName>
    <definedName name="lbla22" localSheetId="14" hidden="1">#REF!</definedName>
    <definedName name="lbla22" localSheetId="17" hidden="1">#REF!</definedName>
    <definedName name="lbla22" localSheetId="18" hidden="1">#REF!</definedName>
    <definedName name="lbla22" localSheetId="21" hidden="1">#REF!</definedName>
    <definedName name="lbla22" localSheetId="24" hidden="1">#REF!</definedName>
    <definedName name="lbla22" localSheetId="22" hidden="1">#REF!</definedName>
    <definedName name="lbla22" localSheetId="20" hidden="1">#REF!</definedName>
    <definedName name="lbla22" hidden="1">#REF!</definedName>
    <definedName name="lbla23" localSheetId="19" hidden="1">#REF!</definedName>
    <definedName name="lbla23" localSheetId="16" hidden="1">#REF!</definedName>
    <definedName name="lbla23" localSheetId="7" hidden="1">#REF!</definedName>
    <definedName name="lbla23" localSheetId="15" hidden="1">#REF!</definedName>
    <definedName name="lbla23" localSheetId="14" hidden="1">#REF!</definedName>
    <definedName name="lbla23" localSheetId="17" hidden="1">#REF!</definedName>
    <definedName name="lbla23" localSheetId="18" hidden="1">#REF!</definedName>
    <definedName name="lbla23" localSheetId="21" hidden="1">#REF!</definedName>
    <definedName name="lbla23" localSheetId="24" hidden="1">#REF!</definedName>
    <definedName name="lbla23" localSheetId="22" hidden="1">#REF!</definedName>
    <definedName name="lbla23" localSheetId="20" hidden="1">#REF!</definedName>
    <definedName name="lbla23" hidden="1">#REF!</definedName>
    <definedName name="lbla24" localSheetId="19" hidden="1">#REF!</definedName>
    <definedName name="lbla24" localSheetId="16" hidden="1">#REF!</definedName>
    <definedName name="lbla24" localSheetId="7" hidden="1">#REF!</definedName>
    <definedName name="lbla24" localSheetId="15" hidden="1">#REF!</definedName>
    <definedName name="lbla24" localSheetId="14" hidden="1">#REF!</definedName>
    <definedName name="lbla24" localSheetId="17" hidden="1">#REF!</definedName>
    <definedName name="lbla24" localSheetId="18" hidden="1">#REF!</definedName>
    <definedName name="lbla24" localSheetId="21" hidden="1">#REF!</definedName>
    <definedName name="lbla24" localSheetId="24" hidden="1">#REF!</definedName>
    <definedName name="lbla24" localSheetId="22" hidden="1">#REF!</definedName>
    <definedName name="lbla24" localSheetId="20" hidden="1">#REF!</definedName>
    <definedName name="lbla24" hidden="1">#REF!</definedName>
    <definedName name="lbla25" localSheetId="19" hidden="1">#REF!</definedName>
    <definedName name="lbla25" localSheetId="16" hidden="1">#REF!</definedName>
    <definedName name="lbla25" localSheetId="7" hidden="1">#REF!</definedName>
    <definedName name="lbla25" localSheetId="15" hidden="1">#REF!</definedName>
    <definedName name="lbla25" localSheetId="14" hidden="1">#REF!</definedName>
    <definedName name="lbla25" localSheetId="17" hidden="1">#REF!</definedName>
    <definedName name="lbla25" localSheetId="18" hidden="1">#REF!</definedName>
    <definedName name="lbla25" localSheetId="21" hidden="1">#REF!</definedName>
    <definedName name="lbla25" localSheetId="24" hidden="1">#REF!</definedName>
    <definedName name="lbla25" localSheetId="22" hidden="1">#REF!</definedName>
    <definedName name="lbla25" localSheetId="20" hidden="1">#REF!</definedName>
    <definedName name="lbla25" hidden="1">#REF!</definedName>
    <definedName name="lbla27" localSheetId="19" hidden="1">#REF!</definedName>
    <definedName name="lbla27" localSheetId="16" hidden="1">#REF!</definedName>
    <definedName name="lbla27" localSheetId="7" hidden="1">#REF!</definedName>
    <definedName name="lbla27" localSheetId="15" hidden="1">#REF!</definedName>
    <definedName name="lbla27" localSheetId="14" hidden="1">#REF!</definedName>
    <definedName name="lbla27" localSheetId="17" hidden="1">#REF!</definedName>
    <definedName name="lbla27" localSheetId="18" hidden="1">#REF!</definedName>
    <definedName name="lbla27" localSheetId="21" hidden="1">#REF!</definedName>
    <definedName name="lbla27" localSheetId="24" hidden="1">#REF!</definedName>
    <definedName name="lbla27" localSheetId="22" hidden="1">#REF!</definedName>
    <definedName name="lbla27" localSheetId="20" hidden="1">#REF!</definedName>
    <definedName name="lbla27" hidden="1">#REF!</definedName>
    <definedName name="lbla28" localSheetId="19" hidden="1">#REF!</definedName>
    <definedName name="lbla28" localSheetId="16" hidden="1">#REF!</definedName>
    <definedName name="lbla28" localSheetId="7" hidden="1">#REF!</definedName>
    <definedName name="lbla28" localSheetId="15" hidden="1">#REF!</definedName>
    <definedName name="lbla28" localSheetId="14" hidden="1">#REF!</definedName>
    <definedName name="lbla28" localSheetId="17" hidden="1">#REF!</definedName>
    <definedName name="lbla28" localSheetId="18" hidden="1">#REF!</definedName>
    <definedName name="lbla28" localSheetId="21" hidden="1">#REF!</definedName>
    <definedName name="lbla28" localSheetId="24" hidden="1">#REF!</definedName>
    <definedName name="lbla28" localSheetId="22" hidden="1">#REF!</definedName>
    <definedName name="lbla28" localSheetId="20" hidden="1">#REF!</definedName>
    <definedName name="lbla28" hidden="1">#REF!</definedName>
    <definedName name="LG" hidden="1">{#N/A,#N/A,FALSE,"Aging Summary";#N/A,#N/A,FALSE,"Ratio Analysis";#N/A,#N/A,FALSE,"Test 120 Day Accts";#N/A,#N/A,FALSE,"Tickmarks"}</definedName>
    <definedName name="LG_1" hidden="1">{#N/A,#N/A,FALSE,"Aging Summary";#N/A,#N/A,FALSE,"Ratio Analysis";#N/A,#N/A,FALSE,"Test 120 Day Accts";#N/A,#N/A,FALSE,"Tickmarks"}</definedName>
    <definedName name="LGE"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STA_NUM_CONTRATOS" localSheetId="19">#REF!</definedName>
    <definedName name="LISTA_NUM_CONTRATOS" localSheetId="16">#REF!</definedName>
    <definedName name="LISTA_NUM_CONTRATOS" localSheetId="7">#REF!</definedName>
    <definedName name="LISTA_NUM_CONTRATOS" localSheetId="15">#REF!</definedName>
    <definedName name="LISTA_NUM_CONTRATOS" localSheetId="14">#REF!</definedName>
    <definedName name="LISTA_NUM_CONTRATOS" localSheetId="17">#REF!</definedName>
    <definedName name="LISTA_NUM_CONTRATOS" localSheetId="18">#REF!</definedName>
    <definedName name="LISTA_NUM_CONTRATOS" localSheetId="21">#REF!</definedName>
    <definedName name="LISTA_NUM_CONTRATOS" localSheetId="24">#REF!</definedName>
    <definedName name="LISTA_NUM_CONTRATOS" localSheetId="22">#REF!</definedName>
    <definedName name="LISTA_NUM_CONTRATOS" localSheetId="20">#REF!</definedName>
    <definedName name="LISTA_NUM_CONTRATOS">#REF!</definedName>
    <definedName name="listasit" localSheetId="19">OFFSET(#REF!,0,IF(#REF!=#REF!,0,1),IF(#REF!=#REF!,1,6),1)</definedName>
    <definedName name="listasit" localSheetId="16">OFFSET(#REF!,0,IF(#REF!=#REF!,0,1),IF(#REF!=#REF!,1,6),1)</definedName>
    <definedName name="listasit" localSheetId="15">OFFSET(#REF!,0,IF(#REF!=#REF!,0,1),IF(#REF!=#REF!,1,6),1)</definedName>
    <definedName name="listasit" localSheetId="14">OFFSET(#REF!,0,IF(#REF!=#REF!,0,1),IF(#REF!=#REF!,1,6),1)</definedName>
    <definedName name="listasit" localSheetId="17">OFFSET(#REF!,0,IF(#REF!=#REF!,0,1),IF(#REF!=#REF!,1,6),1)</definedName>
    <definedName name="listasit" localSheetId="18">OFFSET(#REF!,0,IF(#REF!=#REF!,0,1),IF(#REF!=#REF!,1,6),1)</definedName>
    <definedName name="listasit" localSheetId="21">OFFSET(#REF!,0,IF(#REF!=#REF!,0,1),IF(#REF!=#REF!,1,6),1)</definedName>
    <definedName name="listasit" localSheetId="24">OFFSET(#REF!,0,IF(#REF!=#REF!,0,1),IF(#REF!=#REF!,1,6),1)</definedName>
    <definedName name="listasit" localSheetId="22">OFFSET(#REF!,0,IF(#REF!=#REF!,0,1),IF(#REF!=#REF!,1,6),1)</definedName>
    <definedName name="listasit" localSheetId="20">OFFSET(#REF!,0,IF(#REF!=#REF!,0,1),IF(#REF!=#REF!,1,6),1)</definedName>
    <definedName name="listasit">OFFSET(#REF!,0,IF(#REF!=#REF!,0,1),IF(#REF!=#REF!,1,6),1)</definedName>
    <definedName name="LIUHSDFKJG" hidden="1">1</definedName>
    <definedName name="LK" hidden="1">#REF!</definedName>
    <definedName name="LKTE" hidden="1">#REF!</definedName>
    <definedName name="Local" hidden="1">""</definedName>
    <definedName name="LP" localSheetId="19" hidden="1">#REF!</definedName>
    <definedName name="LP" localSheetId="16" hidden="1">#REF!</definedName>
    <definedName name="LP" localSheetId="15" hidden="1">#REF!</definedName>
    <definedName name="LP" localSheetId="14" hidden="1">#REF!</definedName>
    <definedName name="LP" localSheetId="17" hidden="1">#REF!</definedName>
    <definedName name="LP" localSheetId="18" hidden="1">#REF!</definedName>
    <definedName name="LP" localSheetId="21" hidden="1">#REF!</definedName>
    <definedName name="LP" localSheetId="24" hidden="1">#REF!</definedName>
    <definedName name="LP" localSheetId="22" hidden="1">#REF!</definedName>
    <definedName name="LP" localSheetId="20" hidden="1">#REF!</definedName>
    <definedName name="LP" hidden="1">#REF!</definedName>
    <definedName name="mao" localSheetId="19">#REF!</definedName>
    <definedName name="mao" localSheetId="16">#REF!</definedName>
    <definedName name="mao" localSheetId="15">#REF!</definedName>
    <definedName name="mao" localSheetId="14">#REF!</definedName>
    <definedName name="mao" localSheetId="17">#REF!</definedName>
    <definedName name="mao" localSheetId="18">#REF!</definedName>
    <definedName name="mao" localSheetId="21">#REF!</definedName>
    <definedName name="mao" localSheetId="24">#REF!</definedName>
    <definedName name="mao" localSheetId="22">#REF!</definedName>
    <definedName name="mao" localSheetId="20">#REF!</definedName>
    <definedName name="mao">#REF!</definedName>
    <definedName name="MAO_DE_OBRA">'MÃO DE OBRA'!$B$3:$E$413</definedName>
    <definedName name="MAT" localSheetId="19">#REF!</definedName>
    <definedName name="MAT" localSheetId="16">#REF!</definedName>
    <definedName name="MAT" localSheetId="15">#REF!</definedName>
    <definedName name="MAT" localSheetId="14">#REF!</definedName>
    <definedName name="MAT" localSheetId="17">#REF!</definedName>
    <definedName name="MAT" localSheetId="18">#REF!</definedName>
    <definedName name="MAT" localSheetId="21">#REF!</definedName>
    <definedName name="MAT" localSheetId="24">#REF!</definedName>
    <definedName name="MAT" localSheetId="22">#REF!</definedName>
    <definedName name="MAT" localSheetId="20">#REF!</definedName>
    <definedName name="MAT">#REF!</definedName>
    <definedName name="mater" localSheetId="19">#REF!</definedName>
    <definedName name="mater" localSheetId="16">#REF!</definedName>
    <definedName name="mater" localSheetId="15">#REF!</definedName>
    <definedName name="mater" localSheetId="14">#REF!</definedName>
    <definedName name="mater" localSheetId="17">#REF!</definedName>
    <definedName name="mater" localSheetId="18">#REF!</definedName>
    <definedName name="mater" localSheetId="21">#REF!</definedName>
    <definedName name="mater" localSheetId="24">#REF!</definedName>
    <definedName name="mater" localSheetId="22">#REF!</definedName>
    <definedName name="mater" localSheetId="20">#REF!</definedName>
    <definedName name="mater">#REF!</definedName>
    <definedName name="Max" localSheetId="19" hidden="1">COUNTIF(#REF!,"&lt;&gt;0")+3</definedName>
    <definedName name="Max" localSheetId="16" hidden="1">COUNTIF(#REF!,"&lt;&gt;0")+3</definedName>
    <definedName name="Max" localSheetId="15" hidden="1">COUNTIF(#REF!,"&lt;&gt;0")+3</definedName>
    <definedName name="Max" localSheetId="14" hidden="1">COUNTIF(#REF!,"&lt;&gt;0")+3</definedName>
    <definedName name="Max" localSheetId="17" hidden="1">COUNTIF(#REF!,"&lt;&gt;0")+3</definedName>
    <definedName name="Max" localSheetId="18" hidden="1">COUNTIF(#REF!,"&lt;&gt;0")+3</definedName>
    <definedName name="Max" localSheetId="21" hidden="1">COUNTIF(#REF!,"&lt;&gt;0")+3</definedName>
    <definedName name="Max" localSheetId="24" hidden="1">COUNTIF(#REF!,"&lt;&gt;0")+3</definedName>
    <definedName name="Max" localSheetId="22" hidden="1">COUNTIF(#REF!,"&lt;&gt;0")+3</definedName>
    <definedName name="Max" localSheetId="20" hidden="1">COUNTIF(#REF!,"&lt;&gt;0")+3</definedName>
    <definedName name="Max" hidden="1">COUNTIF(#REF!,"&lt;&gt;0")+3</definedName>
    <definedName name="mcm" hidden="1">{"Pèrdues i Guanys analític.Català",#N/A,FALSE,"Català";"Pèrdues i G. analític.castellà",#N/A,FALSE,"Castellà"}</definedName>
    <definedName name="MENSALISTA">ENCARGOS!$H$10</definedName>
    <definedName name="Meses">#REF!,#REF!,#REF!,#REF!,#REF!,#REF!,#REF!,#REF!,#REF!,#REF!,#REF!,#REF!</definedName>
    <definedName name="MEWarning" hidden="1">1</definedName>
    <definedName name="MNB" localSheetId="19">#REF!</definedName>
    <definedName name="MNB" localSheetId="16">#REF!</definedName>
    <definedName name="MNB" localSheetId="15">#REF!</definedName>
    <definedName name="MNB" localSheetId="14">#REF!</definedName>
    <definedName name="MNB" localSheetId="17">#REF!</definedName>
    <definedName name="MNB" localSheetId="18">#REF!</definedName>
    <definedName name="MNB" localSheetId="21">#REF!</definedName>
    <definedName name="MNB" localSheetId="24">#REF!</definedName>
    <definedName name="MNB" localSheetId="22">#REF!</definedName>
    <definedName name="MNB" localSheetId="20">#REF!</definedName>
    <definedName name="MNB">#REF!</definedName>
    <definedName name="MO" localSheetId="19" hidden="1">#REF!</definedName>
    <definedName name="MO" localSheetId="16" hidden="1">#REF!</definedName>
    <definedName name="MO" localSheetId="15" hidden="1">#REF!</definedName>
    <definedName name="MO" localSheetId="14" hidden="1">#REF!</definedName>
    <definedName name="MO" localSheetId="17" hidden="1">#REF!</definedName>
    <definedName name="MO" localSheetId="18" hidden="1">#REF!</definedName>
    <definedName name="MO" localSheetId="21" hidden="1">#REF!</definedName>
    <definedName name="MO" localSheetId="24" hidden="1">#REF!</definedName>
    <definedName name="MO" localSheetId="22" hidden="1">#REF!</definedName>
    <definedName name="MO" localSheetId="20" hidden="1">#REF!</definedName>
    <definedName name="MO" hidden="1">#REF!</definedName>
    <definedName name="Mob" localSheetId="19" hidden="1">#REF!</definedName>
    <definedName name="Mob" localSheetId="16" hidden="1">#REF!</definedName>
    <definedName name="Mob" localSheetId="15" hidden="1">#REF!</definedName>
    <definedName name="Mob" localSheetId="14" hidden="1">#REF!</definedName>
    <definedName name="Mob" localSheetId="17" hidden="1">#REF!</definedName>
    <definedName name="Mob" localSheetId="18" hidden="1">#REF!</definedName>
    <definedName name="Mob" localSheetId="21" hidden="1">#REF!</definedName>
    <definedName name="Mob" localSheetId="24" hidden="1">#REF!</definedName>
    <definedName name="Mob" localSheetId="22" hidden="1">#REF!</definedName>
    <definedName name="Mob" localSheetId="20" hidden="1">#REF!</definedName>
    <definedName name="Mob" hidden="1">#REF!</definedName>
    <definedName name="MP" localSheetId="19" hidden="1">#REF!</definedName>
    <definedName name="MP" localSheetId="16" hidden="1">#REF!</definedName>
    <definedName name="MP" localSheetId="15" hidden="1">#REF!</definedName>
    <definedName name="MP" localSheetId="14" hidden="1">#REF!</definedName>
    <definedName name="MP" localSheetId="17" hidden="1">#REF!</definedName>
    <definedName name="MP" localSheetId="18" hidden="1">#REF!</definedName>
    <definedName name="MP" localSheetId="21" hidden="1">#REF!</definedName>
    <definedName name="MP" localSheetId="24" hidden="1">#REF!</definedName>
    <definedName name="MP" localSheetId="22" hidden="1">#REF!</definedName>
    <definedName name="MP" localSheetId="20" hidden="1">#REF!</definedName>
    <definedName name="MP" hidden="1">#REF!</definedName>
    <definedName name="mudança" localSheetId="19" hidden="1">#REF!</definedName>
    <definedName name="mudança" localSheetId="16" hidden="1">#REF!</definedName>
    <definedName name="mudança" localSheetId="15" hidden="1">#REF!</definedName>
    <definedName name="mudança" localSheetId="14" hidden="1">#REF!</definedName>
    <definedName name="mudança" localSheetId="17" hidden="1">#REF!</definedName>
    <definedName name="mudança" localSheetId="18" hidden="1">#REF!</definedName>
    <definedName name="mudança" localSheetId="21" hidden="1">#REF!</definedName>
    <definedName name="mudança" localSheetId="24" hidden="1">#REF!</definedName>
    <definedName name="mudança" localSheetId="22" hidden="1">#REF!</definedName>
    <definedName name="mudança" localSheetId="20" hidden="1">#REF!</definedName>
    <definedName name="mudança" hidden="1">#REF!</definedName>
    <definedName name="NB" localSheetId="19" hidden="1">#REF!</definedName>
    <definedName name="NB" localSheetId="16" hidden="1">#REF!</definedName>
    <definedName name="NB" localSheetId="15" hidden="1">#REF!</definedName>
    <definedName name="NB" localSheetId="14" hidden="1">#REF!</definedName>
    <definedName name="NB" localSheetId="17" hidden="1">#REF!</definedName>
    <definedName name="NB" localSheetId="18" hidden="1">#REF!</definedName>
    <definedName name="NB" localSheetId="21" hidden="1">#REF!</definedName>
    <definedName name="NB" localSheetId="24" hidden="1">#REF!</definedName>
    <definedName name="NB" localSheetId="22" hidden="1">#REF!</definedName>
    <definedName name="NB" localSheetId="20" hidden="1">#REF!</definedName>
    <definedName name="NB" hidden="1">#REF!</definedName>
    <definedName name="NBV" localSheetId="19">#REF!</definedName>
    <definedName name="NBV" localSheetId="16">#REF!</definedName>
    <definedName name="NBV" localSheetId="15">#REF!</definedName>
    <definedName name="NBV" localSheetId="14">#REF!</definedName>
    <definedName name="NBV" localSheetId="17">#REF!</definedName>
    <definedName name="NBV" localSheetId="18">#REF!</definedName>
    <definedName name="NBV" localSheetId="21">#REF!</definedName>
    <definedName name="NBV" localSheetId="24">#REF!</definedName>
    <definedName name="NBV" localSheetId="22">#REF!</definedName>
    <definedName name="NBV" localSheetId="20">#REF!</definedName>
    <definedName name="NBV">#REF!</definedName>
    <definedName name="NEW" hidden="1">{#N/A,#N/A,FALSE,"Aging Summary";#N/A,#N/A,FALSE,"Ratio Analysis";#N/A,#N/A,FALSE,"Test 120 Day Accts";#N/A,#N/A,FALSE,"Tickmarks"}</definedName>
    <definedName name="NEW_1" hidden="1">{#N/A,#N/A,FALSE,"Aging Summary";#N/A,#N/A,FALSE,"Ratio Analysis";#N/A,#N/A,FALSE,"Test 120 Day Accts";#N/A,#N/A,FALSE,"Tickmarks"}</definedName>
    <definedName name="NLEq" hidden="1">4</definedName>
    <definedName name="NLMo" hidden="1">6</definedName>
    <definedName name="NLMp" hidden="1">5</definedName>
    <definedName name="NLTr" hidden="1">3</definedName>
    <definedName name="NNN" hidden="1">{#N/A,#N/A,FALSE,"Aging Summary";#N/A,#N/A,FALSE,"Ratio Analysis";#N/A,#N/A,FALSE,"Test 120 Day Accts";#N/A,#N/A,FALSE,"Tickmarks"}</definedName>
    <definedName name="NumofGrpAccts" hidden="1">2</definedName>
    <definedName name="nvnvnvnv" hidden="1">{#N/A,#N/A,FALSE,"Aging Summary";#N/A,#N/A,FALSE,"Ratio Analysis";#N/A,#N/A,FALSE,"Test 120 Day Accts";#N/A,#N/A,FALSE,"Tickmarks"}</definedName>
    <definedName name="nvnvnvnv_1" hidden="1">{#N/A,#N/A,FALSE,"Aging Summary";#N/A,#N/A,FALSE,"Ratio Analysis";#N/A,#N/A,FALSE,"Test 120 Day Accts";#N/A,#N/A,FALSE,"Tickmarks"}</definedName>
    <definedName name="Obra" hidden="1">""</definedName>
    <definedName name="OIJSDFI" localSheetId="19" hidden="1">#REF!</definedName>
    <definedName name="OIJSDFI" localSheetId="16" hidden="1">#REF!</definedName>
    <definedName name="OIJSDFI" localSheetId="15" hidden="1">#REF!</definedName>
    <definedName name="OIJSDFI" localSheetId="14" hidden="1">#REF!</definedName>
    <definedName name="OIJSDFI" localSheetId="17" hidden="1">#REF!</definedName>
    <definedName name="OIJSDFI" localSheetId="18" hidden="1">#REF!</definedName>
    <definedName name="OIJSDFI" localSheetId="21" hidden="1">#REF!</definedName>
    <definedName name="OIJSDFI" localSheetId="24" hidden="1">#REF!</definedName>
    <definedName name="OIJSDFI" localSheetId="22" hidden="1">#REF!</definedName>
    <definedName name="OIJSDFI" localSheetId="20" hidden="1">#REF!</definedName>
    <definedName name="OIJSDFI" hidden="1">#REF!</definedName>
    <definedName name="OnOff" hidden="1">"ON"</definedName>
    <definedName name="oo" localSheetId="19" hidden="1">#REF!</definedName>
    <definedName name="oo" localSheetId="16" hidden="1">#REF!</definedName>
    <definedName name="oo" localSheetId="15" hidden="1">#REF!</definedName>
    <definedName name="oo" localSheetId="14" hidden="1">#REF!</definedName>
    <definedName name="oo" localSheetId="17" hidden="1">#REF!</definedName>
    <definedName name="oo" localSheetId="18" hidden="1">#REF!</definedName>
    <definedName name="oo" localSheetId="21" hidden="1">#REF!</definedName>
    <definedName name="oo" localSheetId="24" hidden="1">#REF!</definedName>
    <definedName name="oo" localSheetId="22" hidden="1">#REF!</definedName>
    <definedName name="oo" localSheetId="20" hidden="1">#REF!</definedName>
    <definedName name="oo" hidden="1">#REF!</definedName>
    <definedName name="Orçamento">#REF!</definedName>
    <definedName name="orçamrest" hidden="1">{#N/A,#N/A,TRUE,"Serviços"}</definedName>
    <definedName name="orçamrestt" hidden="1">{#N/A,#N/A,TRUE,"Serviços"}</definedName>
    <definedName name="Ordem" localSheetId="19" hidden="1">#REF!</definedName>
    <definedName name="Ordem" localSheetId="16" hidden="1">#REF!</definedName>
    <definedName name="Ordem" localSheetId="15" hidden="1">#REF!</definedName>
    <definedName name="Ordem" localSheetId="14" hidden="1">#REF!</definedName>
    <definedName name="Ordem" localSheetId="17" hidden="1">#REF!</definedName>
    <definedName name="Ordem" localSheetId="18" hidden="1">#REF!</definedName>
    <definedName name="Ordem" localSheetId="21" hidden="1">#REF!</definedName>
    <definedName name="Ordem" localSheetId="24" hidden="1">#REF!</definedName>
    <definedName name="Ordem" localSheetId="22" hidden="1">#REF!</definedName>
    <definedName name="Ordem" localSheetId="20" hidden="1">#REF!</definedName>
    <definedName name="Ordem" hidden="1">#REF!</definedName>
    <definedName name="Origem" localSheetId="19" hidden="1">#REF!</definedName>
    <definedName name="Origem" localSheetId="16" hidden="1">#REF!</definedName>
    <definedName name="Origem" localSheetId="15" hidden="1">#REF!</definedName>
    <definedName name="Origem" localSheetId="14" hidden="1">#REF!</definedName>
    <definedName name="Origem" localSheetId="17" hidden="1">#REF!</definedName>
    <definedName name="Origem" localSheetId="18" hidden="1">#REF!</definedName>
    <definedName name="Origem" localSheetId="21" hidden="1">#REF!</definedName>
    <definedName name="Origem" localSheetId="24" hidden="1">#REF!</definedName>
    <definedName name="Origem" localSheetId="22" hidden="1">#REF!</definedName>
    <definedName name="Origem" localSheetId="20" hidden="1">#REF!</definedName>
    <definedName name="Origem" hidden="1">#REF!</definedName>
    <definedName name="P.1" localSheetId="19">#REF!</definedName>
    <definedName name="P.1" localSheetId="16">#REF!</definedName>
    <definedName name="P.1" localSheetId="15">#REF!</definedName>
    <definedName name="P.1" localSheetId="14">#REF!</definedName>
    <definedName name="P.1" localSheetId="17">#REF!</definedName>
    <definedName name="P.1" localSheetId="18">#REF!</definedName>
    <definedName name="P.1" localSheetId="21">#REF!</definedName>
    <definedName name="P.1" localSheetId="24">#REF!</definedName>
    <definedName name="P.1" localSheetId="22">#REF!</definedName>
    <definedName name="P.1" localSheetId="20">#REF!</definedName>
    <definedName name="P.1">#REF!</definedName>
    <definedName name="P.10" localSheetId="19">#REF!</definedName>
    <definedName name="P.10" localSheetId="16">#REF!</definedName>
    <definedName name="P.10" localSheetId="15">#REF!</definedName>
    <definedName name="P.10" localSheetId="14">#REF!</definedName>
    <definedName name="P.10" localSheetId="17">#REF!</definedName>
    <definedName name="P.10" localSheetId="18">#REF!</definedName>
    <definedName name="P.10" localSheetId="21">#REF!</definedName>
    <definedName name="P.10" localSheetId="24">#REF!</definedName>
    <definedName name="P.10" localSheetId="22">#REF!</definedName>
    <definedName name="P.10" localSheetId="20">#REF!</definedName>
    <definedName name="P.10">#REF!</definedName>
    <definedName name="P.11" localSheetId="19">#REF!</definedName>
    <definedName name="P.11" localSheetId="16">#REF!</definedName>
    <definedName name="P.11" localSheetId="15">#REF!</definedName>
    <definedName name="P.11" localSheetId="14">#REF!</definedName>
    <definedName name="P.11" localSheetId="17">#REF!</definedName>
    <definedName name="P.11" localSheetId="18">#REF!</definedName>
    <definedName name="P.11" localSheetId="21">#REF!</definedName>
    <definedName name="P.11" localSheetId="24">#REF!</definedName>
    <definedName name="P.11" localSheetId="22">#REF!</definedName>
    <definedName name="P.11" localSheetId="20">#REF!</definedName>
    <definedName name="P.11">#REF!</definedName>
    <definedName name="P.12" localSheetId="19">#REF!</definedName>
    <definedName name="P.12" localSheetId="16">#REF!</definedName>
    <definedName name="P.12" localSheetId="15">#REF!</definedName>
    <definedName name="P.12" localSheetId="14">#REF!</definedName>
    <definedName name="P.12" localSheetId="17">#REF!</definedName>
    <definedName name="P.12" localSheetId="18">#REF!</definedName>
    <definedName name="P.12" localSheetId="21">#REF!</definedName>
    <definedName name="P.12" localSheetId="24">#REF!</definedName>
    <definedName name="P.12" localSheetId="22">#REF!</definedName>
    <definedName name="P.12" localSheetId="20">#REF!</definedName>
    <definedName name="P.12">#REF!</definedName>
    <definedName name="P.13" localSheetId="19">#REF!</definedName>
    <definedName name="P.13" localSheetId="16">#REF!</definedName>
    <definedName name="P.13" localSheetId="15">#REF!</definedName>
    <definedName name="P.13" localSheetId="14">#REF!</definedName>
    <definedName name="P.13" localSheetId="17">#REF!</definedName>
    <definedName name="P.13" localSheetId="18">#REF!</definedName>
    <definedName name="P.13" localSheetId="21">#REF!</definedName>
    <definedName name="P.13" localSheetId="24">#REF!</definedName>
    <definedName name="P.13" localSheetId="22">#REF!</definedName>
    <definedName name="P.13" localSheetId="20">#REF!</definedName>
    <definedName name="P.13">#REF!</definedName>
    <definedName name="P.14" localSheetId="19">#REF!</definedName>
    <definedName name="P.14" localSheetId="16">#REF!</definedName>
    <definedName name="P.14" localSheetId="15">#REF!</definedName>
    <definedName name="P.14" localSheetId="14">#REF!</definedName>
    <definedName name="P.14" localSheetId="17">#REF!</definedName>
    <definedName name="P.14" localSheetId="18">#REF!</definedName>
    <definedName name="P.14" localSheetId="21">#REF!</definedName>
    <definedName name="P.14" localSheetId="24">#REF!</definedName>
    <definedName name="P.14" localSheetId="22">#REF!</definedName>
    <definedName name="P.14" localSheetId="20">#REF!</definedName>
    <definedName name="P.14">#REF!</definedName>
    <definedName name="P.15" localSheetId="19">#REF!</definedName>
    <definedName name="P.15" localSheetId="16">#REF!</definedName>
    <definedName name="P.15" localSheetId="15">#REF!</definedName>
    <definedName name="P.15" localSheetId="14">#REF!</definedName>
    <definedName name="P.15" localSheetId="17">#REF!</definedName>
    <definedName name="P.15" localSheetId="18">#REF!</definedName>
    <definedName name="P.15" localSheetId="21">#REF!</definedName>
    <definedName name="P.15" localSheetId="24">#REF!</definedName>
    <definedName name="P.15" localSheetId="22">#REF!</definedName>
    <definedName name="P.15" localSheetId="20">#REF!</definedName>
    <definedName name="P.15">#REF!</definedName>
    <definedName name="P.2" localSheetId="19">#REF!</definedName>
    <definedName name="P.2" localSheetId="16">#REF!</definedName>
    <definedName name="P.2" localSheetId="15">#REF!</definedName>
    <definedName name="P.2" localSheetId="14">#REF!</definedName>
    <definedName name="P.2" localSheetId="17">#REF!</definedName>
    <definedName name="P.2" localSheetId="18">#REF!</definedName>
    <definedName name="P.2" localSheetId="21">#REF!</definedName>
    <definedName name="P.2" localSheetId="24">#REF!</definedName>
    <definedName name="P.2" localSheetId="22">#REF!</definedName>
    <definedName name="P.2" localSheetId="20">#REF!</definedName>
    <definedName name="P.2">#REF!</definedName>
    <definedName name="P.3" localSheetId="19">#REF!</definedName>
    <definedName name="P.3" localSheetId="16">#REF!</definedName>
    <definedName name="P.3" localSheetId="15">#REF!</definedName>
    <definedName name="P.3" localSheetId="14">#REF!</definedName>
    <definedName name="P.3" localSheetId="17">#REF!</definedName>
    <definedName name="P.3" localSheetId="18">#REF!</definedName>
    <definedName name="P.3" localSheetId="21">#REF!</definedName>
    <definedName name="P.3" localSheetId="24">#REF!</definedName>
    <definedName name="P.3" localSheetId="22">#REF!</definedName>
    <definedName name="P.3" localSheetId="20">#REF!</definedName>
    <definedName name="P.3">#REF!</definedName>
    <definedName name="P.4" localSheetId="19">#REF!</definedName>
    <definedName name="P.4" localSheetId="16">#REF!</definedName>
    <definedName name="P.4" localSheetId="15">#REF!</definedName>
    <definedName name="P.4" localSheetId="14">#REF!</definedName>
    <definedName name="P.4" localSheetId="17">#REF!</definedName>
    <definedName name="P.4" localSheetId="18">#REF!</definedName>
    <definedName name="P.4" localSheetId="21">#REF!</definedName>
    <definedName name="P.4" localSheetId="24">#REF!</definedName>
    <definedName name="P.4" localSheetId="22">#REF!</definedName>
    <definedName name="P.4" localSheetId="20">#REF!</definedName>
    <definedName name="P.4">#REF!</definedName>
    <definedName name="P.5" localSheetId="19">#REF!</definedName>
    <definedName name="P.5" localSheetId="16">#REF!</definedName>
    <definedName name="P.5" localSheetId="15">#REF!</definedName>
    <definedName name="P.5" localSheetId="14">#REF!</definedName>
    <definedName name="P.5" localSheetId="17">#REF!</definedName>
    <definedName name="P.5" localSheetId="18">#REF!</definedName>
    <definedName name="P.5" localSheetId="21">#REF!</definedName>
    <definedName name="P.5" localSheetId="24">#REF!</definedName>
    <definedName name="P.5" localSheetId="22">#REF!</definedName>
    <definedName name="P.5" localSheetId="20">#REF!</definedName>
    <definedName name="P.5">#REF!</definedName>
    <definedName name="P.6" localSheetId="19">#REF!</definedName>
    <definedName name="P.6" localSheetId="16">#REF!</definedName>
    <definedName name="P.6" localSheetId="15">#REF!</definedName>
    <definedName name="P.6" localSheetId="14">#REF!</definedName>
    <definedName name="P.6" localSheetId="17">#REF!</definedName>
    <definedName name="P.6" localSheetId="18">#REF!</definedName>
    <definedName name="P.6" localSheetId="21">#REF!</definedName>
    <definedName name="P.6" localSheetId="24">#REF!</definedName>
    <definedName name="P.6" localSheetId="22">#REF!</definedName>
    <definedName name="P.6" localSheetId="20">#REF!</definedName>
    <definedName name="P.6">#REF!</definedName>
    <definedName name="P.7" localSheetId="19">#REF!</definedName>
    <definedName name="P.7" localSheetId="16">#REF!</definedName>
    <definedName name="P.7" localSheetId="15">#REF!</definedName>
    <definedName name="P.7" localSheetId="14">#REF!</definedName>
    <definedName name="P.7" localSheetId="17">#REF!</definedName>
    <definedName name="P.7" localSheetId="18">#REF!</definedName>
    <definedName name="P.7" localSheetId="21">#REF!</definedName>
    <definedName name="P.7" localSheetId="24">#REF!</definedName>
    <definedName name="P.7" localSheetId="22">#REF!</definedName>
    <definedName name="P.7" localSheetId="20">#REF!</definedName>
    <definedName name="P.7">#REF!</definedName>
    <definedName name="P.8" localSheetId="19">#REF!</definedName>
    <definedName name="P.8" localSheetId="16">#REF!</definedName>
    <definedName name="P.8" localSheetId="15">#REF!</definedName>
    <definedName name="P.8" localSheetId="14">#REF!</definedName>
    <definedName name="P.8" localSheetId="17">#REF!</definedName>
    <definedName name="P.8" localSheetId="18">#REF!</definedName>
    <definedName name="P.8" localSheetId="21">#REF!</definedName>
    <definedName name="P.8" localSheetId="24">#REF!</definedName>
    <definedName name="P.8" localSheetId="22">#REF!</definedName>
    <definedName name="P.8" localSheetId="20">#REF!</definedName>
    <definedName name="P.8">#REF!</definedName>
    <definedName name="P.9" localSheetId="19">#REF!</definedName>
    <definedName name="P.9" localSheetId="16">#REF!</definedName>
    <definedName name="P.9" localSheetId="15">#REF!</definedName>
    <definedName name="P.9" localSheetId="14">#REF!</definedName>
    <definedName name="P.9" localSheetId="17">#REF!</definedName>
    <definedName name="P.9" localSheetId="18">#REF!</definedName>
    <definedName name="P.9" localSheetId="21">#REF!</definedName>
    <definedName name="P.9" localSheetId="24">#REF!</definedName>
    <definedName name="P.9" localSheetId="22">#REF!</definedName>
    <definedName name="P.9" localSheetId="20">#REF!</definedName>
    <definedName name="P.9">#REF!</definedName>
    <definedName name="parametro"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te1a." hidden="1">{"PARTE1",#N/A,FALSE,"Plan1"}</definedName>
    <definedName name="Parte1a._1" hidden="1">{"PARTE1",#N/A,FALSE,"Plan1"}</definedName>
    <definedName name="Parte2" hidden="1">{"PARTE1",#N/A,FALSE,"Plan1"}</definedName>
    <definedName name="Parte2_1" hidden="1">{"PARTE1",#N/A,FALSE,"Plan1"}</definedName>
    <definedName name="PARTE3" hidden="1">{"PARTE1",#N/A,FALSE,"Plan1"}</definedName>
    <definedName name="PARTE3_1" hidden="1">{"PARTE1",#N/A,FALSE,"Plan1"}</definedName>
    <definedName name="PassaExtenso">NA()</definedName>
    <definedName name="PASTA" localSheetId="19" hidden="1">#REF!</definedName>
    <definedName name="PASTA" localSheetId="16" hidden="1">#REF!</definedName>
    <definedName name="PASTA" localSheetId="15" hidden="1">#REF!</definedName>
    <definedName name="PASTA" localSheetId="14" hidden="1">#REF!</definedName>
    <definedName name="PASTA" localSheetId="17" hidden="1">#REF!</definedName>
    <definedName name="PASTA" localSheetId="18" hidden="1">#REF!</definedName>
    <definedName name="PASTA" localSheetId="21" hidden="1">#REF!</definedName>
    <definedName name="PASTA" localSheetId="24" hidden="1">#REF!</definedName>
    <definedName name="PASTA" localSheetId="22" hidden="1">#REF!</definedName>
    <definedName name="PASTA" localSheetId="20" hidden="1">#REF!</definedName>
    <definedName name="PASTA" hidden="1">#REF!</definedName>
    <definedName name="PDF" localSheetId="19" hidden="1">#REF!</definedName>
    <definedName name="PDF" localSheetId="16" hidden="1">#REF!</definedName>
    <definedName name="PDF" localSheetId="15" hidden="1">#REF!</definedName>
    <definedName name="PDF" localSheetId="14" hidden="1">#REF!</definedName>
    <definedName name="PDF" localSheetId="17" hidden="1">#REF!</definedName>
    <definedName name="PDF" localSheetId="18" hidden="1">#REF!</definedName>
    <definedName name="PDF" localSheetId="21" hidden="1">#REF!</definedName>
    <definedName name="PDF" localSheetId="24" hidden="1">#REF!</definedName>
    <definedName name="PDF" localSheetId="22" hidden="1">#REF!</definedName>
    <definedName name="PDF" localSheetId="20" hidden="1">#REF!</definedName>
    <definedName name="PDF" hidden="1">#REF!</definedName>
    <definedName name="PISTA" hidden="1">{#N/A,#N/A,TRUE,"Serviços"}</definedName>
    <definedName name="pl" localSheetId="19">#REF!</definedName>
    <definedName name="pl" localSheetId="16">#REF!</definedName>
    <definedName name="pl" localSheetId="7">#REF!</definedName>
    <definedName name="pl" localSheetId="15">#REF!</definedName>
    <definedName name="pl" localSheetId="14">#REF!</definedName>
    <definedName name="pl" localSheetId="17">#REF!</definedName>
    <definedName name="pl" localSheetId="18">#REF!</definedName>
    <definedName name="pl" localSheetId="21">#REF!</definedName>
    <definedName name="pl" localSheetId="24">#REF!</definedName>
    <definedName name="pl" localSheetId="22">#REF!</definedName>
    <definedName name="pl" localSheetId="20">#REF!</definedName>
    <definedName name="pl">#REF!</definedName>
    <definedName name="Plan1" localSheetId="19" hidden="1">#REF!</definedName>
    <definedName name="Plan1" localSheetId="16" hidden="1">#REF!</definedName>
    <definedName name="Plan1" localSheetId="15" hidden="1">#REF!</definedName>
    <definedName name="Plan1" localSheetId="14" hidden="1">#REF!</definedName>
    <definedName name="Plan1" localSheetId="17" hidden="1">#REF!</definedName>
    <definedName name="Plan1" localSheetId="18" hidden="1">#REF!</definedName>
    <definedName name="Plan1" localSheetId="21" hidden="1">#REF!</definedName>
    <definedName name="Plan1" localSheetId="24" hidden="1">#REF!</definedName>
    <definedName name="Plan1" localSheetId="22" hidden="1">#REF!</definedName>
    <definedName name="Plan1" localSheetId="20" hidden="1">#REF!</definedName>
    <definedName name="Plan1" hidden="1">#REF!</definedName>
    <definedName name="PLANILAHA" hidden="1">{"PARTE1",#N/A,FALSE,"Plan1"}</definedName>
    <definedName name="planilha" localSheetId="19">#REF!</definedName>
    <definedName name="planilha" localSheetId="16">#REF!</definedName>
    <definedName name="planilha" localSheetId="7">#REF!</definedName>
    <definedName name="planilha" localSheetId="15">#REF!</definedName>
    <definedName name="planilha" localSheetId="14">#REF!</definedName>
    <definedName name="planilha" localSheetId="17">#REF!</definedName>
    <definedName name="planilha" localSheetId="18">#REF!</definedName>
    <definedName name="planilha" localSheetId="21">#REF!</definedName>
    <definedName name="planilha" localSheetId="24">#REF!</definedName>
    <definedName name="planilha" localSheetId="22">#REF!</definedName>
    <definedName name="planilha" localSheetId="20">#REF!</definedName>
    <definedName name="planilha">#REF!</definedName>
    <definedName name="PO" hidden="1">4</definedName>
    <definedName name="Posição" localSheetId="19" hidden="1">#REF!</definedName>
    <definedName name="Posição" localSheetId="16" hidden="1">#REF!</definedName>
    <definedName name="Posição" localSheetId="15" hidden="1">#REF!</definedName>
    <definedName name="Posição" localSheetId="14" hidden="1">#REF!</definedName>
    <definedName name="Posição" localSheetId="17" hidden="1">#REF!</definedName>
    <definedName name="Posição" localSheetId="18" hidden="1">#REF!</definedName>
    <definedName name="Posição" localSheetId="21" hidden="1">#REF!</definedName>
    <definedName name="Posição" localSheetId="24" hidden="1">#REF!</definedName>
    <definedName name="Posição" localSheetId="22" hidden="1">#REF!</definedName>
    <definedName name="Posição" localSheetId="20" hidden="1">#REF!</definedName>
    <definedName name="Posição" hidden="1">#REF!</definedName>
    <definedName name="pp" localSheetId="19" hidden="1">#REF!</definedName>
    <definedName name="pp" localSheetId="16" hidden="1">#REF!</definedName>
    <definedName name="pp" localSheetId="15" hidden="1">#REF!</definedName>
    <definedName name="pp" localSheetId="14" hidden="1">#REF!</definedName>
    <definedName name="pp" localSheetId="17" hidden="1">#REF!</definedName>
    <definedName name="pp" localSheetId="18" hidden="1">#REF!</definedName>
    <definedName name="pp" localSheetId="21" hidden="1">#REF!</definedName>
    <definedName name="pp" localSheetId="24" hidden="1">#REF!</definedName>
    <definedName name="pp" localSheetId="22" hidden="1">#REF!</definedName>
    <definedName name="pp" localSheetId="20" hidden="1">#REF!</definedName>
    <definedName name="pp" hidden="1">#REF!</definedName>
    <definedName name="PP1.1" localSheetId="19">#REF!</definedName>
    <definedName name="PP1.1" localSheetId="16">#REF!</definedName>
    <definedName name="PP1.1" localSheetId="15">#REF!</definedName>
    <definedName name="PP1.1" localSheetId="14">#REF!</definedName>
    <definedName name="PP1.1" localSheetId="17">#REF!</definedName>
    <definedName name="PP1.1" localSheetId="18">#REF!</definedName>
    <definedName name="PP1.1" localSheetId="21">#REF!</definedName>
    <definedName name="PP1.1" localSheetId="24">#REF!</definedName>
    <definedName name="PP1.1" localSheetId="22">#REF!</definedName>
    <definedName name="PP1.1" localSheetId="20">#REF!</definedName>
    <definedName name="PP1.1">#REF!</definedName>
    <definedName name="PP1.10" localSheetId="19">#REF!</definedName>
    <definedName name="PP1.10" localSheetId="16">#REF!</definedName>
    <definedName name="PP1.10" localSheetId="15">#REF!</definedName>
    <definedName name="PP1.10" localSheetId="14">#REF!</definedName>
    <definedName name="PP1.10" localSheetId="17">#REF!</definedName>
    <definedName name="PP1.10" localSheetId="18">#REF!</definedName>
    <definedName name="PP1.10" localSheetId="21">#REF!</definedName>
    <definedName name="PP1.10" localSheetId="24">#REF!</definedName>
    <definedName name="PP1.10" localSheetId="22">#REF!</definedName>
    <definedName name="PP1.10" localSheetId="20">#REF!</definedName>
    <definedName name="PP1.10">#REF!</definedName>
    <definedName name="PP1.11" localSheetId="19">#REF!</definedName>
    <definedName name="PP1.11" localSheetId="16">#REF!</definedName>
    <definedName name="PP1.11" localSheetId="15">#REF!</definedName>
    <definedName name="PP1.11" localSheetId="14">#REF!</definedName>
    <definedName name="PP1.11" localSheetId="17">#REF!</definedName>
    <definedName name="PP1.11" localSheetId="18">#REF!</definedName>
    <definedName name="PP1.11" localSheetId="21">#REF!</definedName>
    <definedName name="PP1.11" localSheetId="24">#REF!</definedName>
    <definedName name="PP1.11" localSheetId="22">#REF!</definedName>
    <definedName name="PP1.11" localSheetId="20">#REF!</definedName>
    <definedName name="PP1.11">#REF!</definedName>
    <definedName name="PP1.12" localSheetId="19">#REF!</definedName>
    <definedName name="PP1.12" localSheetId="16">#REF!</definedName>
    <definedName name="PP1.12" localSheetId="15">#REF!</definedName>
    <definedName name="PP1.12" localSheetId="14">#REF!</definedName>
    <definedName name="PP1.12" localSheetId="17">#REF!</definedName>
    <definedName name="PP1.12" localSheetId="18">#REF!</definedName>
    <definedName name="PP1.12" localSheetId="21">#REF!</definedName>
    <definedName name="PP1.12" localSheetId="24">#REF!</definedName>
    <definedName name="PP1.12" localSheetId="22">#REF!</definedName>
    <definedName name="PP1.12" localSheetId="20">#REF!</definedName>
    <definedName name="PP1.12">#REF!</definedName>
    <definedName name="PP1.13" localSheetId="19">#REF!</definedName>
    <definedName name="PP1.13" localSheetId="16">#REF!</definedName>
    <definedName name="PP1.13" localSheetId="15">#REF!</definedName>
    <definedName name="PP1.13" localSheetId="14">#REF!</definedName>
    <definedName name="PP1.13" localSheetId="17">#REF!</definedName>
    <definedName name="PP1.13" localSheetId="18">#REF!</definedName>
    <definedName name="PP1.13" localSheetId="21">#REF!</definedName>
    <definedName name="PP1.13" localSheetId="24">#REF!</definedName>
    <definedName name="PP1.13" localSheetId="22">#REF!</definedName>
    <definedName name="PP1.13" localSheetId="20">#REF!</definedName>
    <definedName name="PP1.13">#REF!</definedName>
    <definedName name="PP1.14" localSheetId="19">#REF!</definedName>
    <definedName name="PP1.14" localSheetId="16">#REF!</definedName>
    <definedName name="PP1.14" localSheetId="15">#REF!</definedName>
    <definedName name="PP1.14" localSheetId="14">#REF!</definedName>
    <definedName name="PP1.14" localSheetId="17">#REF!</definedName>
    <definedName name="PP1.14" localSheetId="18">#REF!</definedName>
    <definedName name="PP1.14" localSheetId="21">#REF!</definedName>
    <definedName name="PP1.14" localSheetId="24">#REF!</definedName>
    <definedName name="PP1.14" localSheetId="22">#REF!</definedName>
    <definedName name="PP1.14" localSheetId="20">#REF!</definedName>
    <definedName name="PP1.14">#REF!</definedName>
    <definedName name="PP1.15" localSheetId="19">#REF!</definedName>
    <definedName name="PP1.15" localSheetId="16">#REF!</definedName>
    <definedName name="PP1.15" localSheetId="15">#REF!</definedName>
    <definedName name="PP1.15" localSheetId="14">#REF!</definedName>
    <definedName name="PP1.15" localSheetId="17">#REF!</definedName>
    <definedName name="PP1.15" localSheetId="18">#REF!</definedName>
    <definedName name="PP1.15" localSheetId="21">#REF!</definedName>
    <definedName name="PP1.15" localSheetId="24">#REF!</definedName>
    <definedName name="PP1.15" localSheetId="22">#REF!</definedName>
    <definedName name="PP1.15" localSheetId="20">#REF!</definedName>
    <definedName name="PP1.15">#REF!</definedName>
    <definedName name="PP1.2" localSheetId="19">#REF!</definedName>
    <definedName name="PP1.2" localSheetId="16">#REF!</definedName>
    <definedName name="PP1.2" localSheetId="15">#REF!</definedName>
    <definedName name="PP1.2" localSheetId="14">#REF!</definedName>
    <definedName name="PP1.2" localSheetId="17">#REF!</definedName>
    <definedName name="PP1.2" localSheetId="18">#REF!</definedName>
    <definedName name="PP1.2" localSheetId="21">#REF!</definedName>
    <definedName name="PP1.2" localSheetId="24">#REF!</definedName>
    <definedName name="PP1.2" localSheetId="22">#REF!</definedName>
    <definedName name="PP1.2" localSheetId="20">#REF!</definedName>
    <definedName name="PP1.2">#REF!</definedName>
    <definedName name="PP1.3" localSheetId="19">#REF!</definedName>
    <definedName name="PP1.3" localSheetId="16">#REF!</definedName>
    <definedName name="PP1.3" localSheetId="15">#REF!</definedName>
    <definedName name="PP1.3" localSheetId="14">#REF!</definedName>
    <definedName name="PP1.3" localSheetId="17">#REF!</definedName>
    <definedName name="PP1.3" localSheetId="18">#REF!</definedName>
    <definedName name="PP1.3" localSheetId="21">#REF!</definedName>
    <definedName name="PP1.3" localSheetId="24">#REF!</definedName>
    <definedName name="PP1.3" localSheetId="22">#REF!</definedName>
    <definedName name="PP1.3" localSheetId="20">#REF!</definedName>
    <definedName name="PP1.3">#REF!</definedName>
    <definedName name="PP1.4" localSheetId="19">#REF!</definedName>
    <definedName name="PP1.4" localSheetId="16">#REF!</definedName>
    <definedName name="PP1.4" localSheetId="15">#REF!</definedName>
    <definedName name="PP1.4" localSheetId="14">#REF!</definedName>
    <definedName name="PP1.4" localSheetId="17">#REF!</definedName>
    <definedName name="PP1.4" localSheetId="18">#REF!</definedName>
    <definedName name="PP1.4" localSheetId="21">#REF!</definedName>
    <definedName name="PP1.4" localSheetId="24">#REF!</definedName>
    <definedName name="PP1.4" localSheetId="22">#REF!</definedName>
    <definedName name="PP1.4" localSheetId="20">#REF!</definedName>
    <definedName name="PP1.4">#REF!</definedName>
    <definedName name="PP1.5" localSheetId="19">#REF!</definedName>
    <definedName name="PP1.5" localSheetId="16">#REF!</definedName>
    <definedName name="PP1.5" localSheetId="15">#REF!</definedName>
    <definedName name="PP1.5" localSheetId="14">#REF!</definedName>
    <definedName name="PP1.5" localSheetId="17">#REF!</definedName>
    <definedName name="PP1.5" localSheetId="18">#REF!</definedName>
    <definedName name="PP1.5" localSheetId="21">#REF!</definedName>
    <definedName name="PP1.5" localSheetId="24">#REF!</definedName>
    <definedName name="PP1.5" localSheetId="22">#REF!</definedName>
    <definedName name="PP1.5" localSheetId="20">#REF!</definedName>
    <definedName name="PP1.5">#REF!</definedName>
    <definedName name="PP1.6" localSheetId="19">#REF!</definedName>
    <definedName name="PP1.6" localSheetId="16">#REF!</definedName>
    <definedName name="PP1.6" localSheetId="15">#REF!</definedName>
    <definedName name="PP1.6" localSheetId="14">#REF!</definedName>
    <definedName name="PP1.6" localSheetId="17">#REF!</definedName>
    <definedName name="PP1.6" localSheetId="18">#REF!</definedName>
    <definedName name="PP1.6" localSheetId="21">#REF!</definedName>
    <definedName name="PP1.6" localSheetId="24">#REF!</definedName>
    <definedName name="PP1.6" localSheetId="22">#REF!</definedName>
    <definedName name="PP1.6" localSheetId="20">#REF!</definedName>
    <definedName name="PP1.6">#REF!</definedName>
    <definedName name="PP1.7" localSheetId="19">#REF!</definedName>
    <definedName name="PP1.7" localSheetId="16">#REF!</definedName>
    <definedName name="PP1.7" localSheetId="15">#REF!</definedName>
    <definedName name="PP1.7" localSheetId="14">#REF!</definedName>
    <definedName name="PP1.7" localSheetId="17">#REF!</definedName>
    <definedName name="PP1.7" localSheetId="18">#REF!</definedName>
    <definedName name="PP1.7" localSheetId="21">#REF!</definedName>
    <definedName name="PP1.7" localSheetId="24">#REF!</definedName>
    <definedName name="PP1.7" localSheetId="22">#REF!</definedName>
    <definedName name="PP1.7" localSheetId="20">#REF!</definedName>
    <definedName name="PP1.7">#REF!</definedName>
    <definedName name="PP1.8" localSheetId="19">#REF!</definedName>
    <definedName name="PP1.8" localSheetId="16">#REF!</definedName>
    <definedName name="PP1.8" localSheetId="15">#REF!</definedName>
    <definedName name="PP1.8" localSheetId="14">#REF!</definedName>
    <definedName name="PP1.8" localSheetId="17">#REF!</definedName>
    <definedName name="PP1.8" localSheetId="18">#REF!</definedName>
    <definedName name="PP1.8" localSheetId="21">#REF!</definedName>
    <definedName name="PP1.8" localSheetId="24">#REF!</definedName>
    <definedName name="PP1.8" localSheetId="22">#REF!</definedName>
    <definedName name="PP1.8" localSheetId="20">#REF!</definedName>
    <definedName name="PP1.8">#REF!</definedName>
    <definedName name="PP1.9" localSheetId="19">#REF!</definedName>
    <definedName name="PP1.9" localSheetId="16">#REF!</definedName>
    <definedName name="PP1.9" localSheetId="15">#REF!</definedName>
    <definedName name="PP1.9" localSheetId="14">#REF!</definedName>
    <definedName name="PP1.9" localSheetId="17">#REF!</definedName>
    <definedName name="PP1.9" localSheetId="18">#REF!</definedName>
    <definedName name="PP1.9" localSheetId="21">#REF!</definedName>
    <definedName name="PP1.9" localSheetId="24">#REF!</definedName>
    <definedName name="PP1.9" localSheetId="22">#REF!</definedName>
    <definedName name="PP1.9" localSheetId="20">#REF!</definedName>
    <definedName name="PP1.9">#REF!</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rd" hidden="1">#N/A</definedName>
    <definedName name="PrdAux" hidden="1">#N/A</definedName>
    <definedName name="Print_Area_MI" localSheetId="19">#REF!</definedName>
    <definedName name="Print_Area_MI" localSheetId="16">#REF!</definedName>
    <definedName name="Print_Area_MI" localSheetId="15">#REF!</definedName>
    <definedName name="Print_Area_MI" localSheetId="14">#REF!</definedName>
    <definedName name="Print_Area_MI" localSheetId="17">#REF!</definedName>
    <definedName name="Print_Area_MI" localSheetId="18">#REF!</definedName>
    <definedName name="Print_Area_MI" localSheetId="21">#REF!</definedName>
    <definedName name="Print_Area_MI" localSheetId="24">#REF!</definedName>
    <definedName name="Print_Area_MI" localSheetId="22">#REF!</definedName>
    <definedName name="Print_Area_MI" localSheetId="20">#REF!</definedName>
    <definedName name="Print_Area_MI">#REF!</definedName>
    <definedName name="PRINT_TITLES_MI" localSheetId="19">#REF!</definedName>
    <definedName name="PRINT_TITLES_MI" localSheetId="16">#REF!</definedName>
    <definedName name="PRINT_TITLES_MI" localSheetId="15">#REF!</definedName>
    <definedName name="PRINT_TITLES_MI" localSheetId="14">#REF!</definedName>
    <definedName name="PRINT_TITLES_MI" localSheetId="17">#REF!</definedName>
    <definedName name="PRINT_TITLES_MI" localSheetId="18">#REF!</definedName>
    <definedName name="PRINT_TITLES_MI" localSheetId="21">#REF!</definedName>
    <definedName name="PRINT_TITLES_MI" localSheetId="24">#REF!</definedName>
    <definedName name="PRINT_TITLES_MI" localSheetId="22">#REF!</definedName>
    <definedName name="PRINT_TITLES_MI" localSheetId="20">#REF!</definedName>
    <definedName name="PRINT_TITLES_MI">#REF!</definedName>
    <definedName name="PROD_1" hidden="1">{#N/A,#N/A,TRUE,"Serviços"}</definedName>
    <definedName name="PROD_11" hidden="1">{#N/A,#N/A,TRUE,"Serviços"}</definedName>
    <definedName name="ProvisaoFolha">#REF!</definedName>
    <definedName name="pt" localSheetId="19">#REF!</definedName>
    <definedName name="pt" localSheetId="16">#REF!</definedName>
    <definedName name="pt" localSheetId="7">#REF!</definedName>
    <definedName name="pt" localSheetId="15">#REF!</definedName>
    <definedName name="pt" localSheetId="14">#REF!</definedName>
    <definedName name="pt" localSheetId="17">#REF!</definedName>
    <definedName name="pt" localSheetId="18">#REF!</definedName>
    <definedName name="pt" localSheetId="21">#REF!</definedName>
    <definedName name="pt" localSheetId="24">#REF!</definedName>
    <definedName name="pt" localSheetId="22">#REF!</definedName>
    <definedName name="pt" localSheetId="20">#REF!</definedName>
    <definedName name="pt">#REF!</definedName>
    <definedName name="Pun" hidden="1">#N/A</definedName>
    <definedName name="q" localSheetId="19" hidden="1">#REF!</definedName>
    <definedName name="q" localSheetId="16" hidden="1">#REF!</definedName>
    <definedName name="q" localSheetId="15" hidden="1">#REF!</definedName>
    <definedName name="q" localSheetId="14" hidden="1">#REF!</definedName>
    <definedName name="q" localSheetId="17" hidden="1">#REF!</definedName>
    <definedName name="q" localSheetId="18" hidden="1">#REF!</definedName>
    <definedName name="q" localSheetId="21" hidden="1">#REF!</definedName>
    <definedName name="q" localSheetId="24" hidden="1">#REF!</definedName>
    <definedName name="q" localSheetId="22" hidden="1">#REF!</definedName>
    <definedName name="q" localSheetId="20" hidden="1">#REF!</definedName>
    <definedName name="q" hidden="1">#REF!</definedName>
    <definedName name="Q_MOI_FIS">#REF!</definedName>
    <definedName name="QA" localSheetId="19" hidden="1">#REF!</definedName>
    <definedName name="QA" localSheetId="16" hidden="1">#REF!</definedName>
    <definedName name="QA" localSheetId="15" hidden="1">#REF!</definedName>
    <definedName name="QA" localSheetId="14" hidden="1">#REF!</definedName>
    <definedName name="QA" localSheetId="17" hidden="1">#REF!</definedName>
    <definedName name="QA" localSheetId="18" hidden="1">#REF!</definedName>
    <definedName name="QA" localSheetId="21" hidden="1">#REF!</definedName>
    <definedName name="QA" localSheetId="24" hidden="1">#REF!</definedName>
    <definedName name="QA" localSheetId="22" hidden="1">#REF!</definedName>
    <definedName name="QA" localSheetId="20" hidden="1">#REF!</definedName>
    <definedName name="QA" hidden="1">#REF!</definedName>
    <definedName name="QD" localSheetId="19" hidden="1">#REF!</definedName>
    <definedName name="QD" localSheetId="16" hidden="1">#REF!</definedName>
    <definedName name="QD" localSheetId="15" hidden="1">#REF!</definedName>
    <definedName name="QD" localSheetId="14" hidden="1">#REF!</definedName>
    <definedName name="QD" localSheetId="17" hidden="1">#REF!</definedName>
    <definedName name="QD" localSheetId="18" hidden="1">#REF!</definedName>
    <definedName name="QD" localSheetId="21" hidden="1">#REF!</definedName>
    <definedName name="QD" localSheetId="24" hidden="1">#REF!</definedName>
    <definedName name="QD" localSheetId="22" hidden="1">#REF!</definedName>
    <definedName name="QD" localSheetId="20" hidden="1">#REF!</definedName>
    <definedName name="QD" hidden="1">#REF!</definedName>
    <definedName name="qewrqwerq" hidden="1">#REF!</definedName>
    <definedName name="qq" hidden="1">{"Pèrdues i Guanys analític.Català",#N/A,FALSE,"Català";"Pèrdues i G. analític.castellà",#N/A,FALSE,"Castellà"}</definedName>
    <definedName name="qqq" localSheetId="19" hidden="1">#REF!</definedName>
    <definedName name="qqq" localSheetId="16" hidden="1">#REF!</definedName>
    <definedName name="qqq" localSheetId="15" hidden="1">#REF!</definedName>
    <definedName name="qqq" localSheetId="14" hidden="1">#REF!</definedName>
    <definedName name="qqq" localSheetId="17" hidden="1">#REF!</definedName>
    <definedName name="qqq" localSheetId="18" hidden="1">#REF!</definedName>
    <definedName name="qqq" localSheetId="21" hidden="1">#REF!</definedName>
    <definedName name="qqq" localSheetId="24" hidden="1">#REF!</definedName>
    <definedName name="qqq" localSheetId="22" hidden="1">#REF!</definedName>
    <definedName name="qqq" localSheetId="20" hidden="1">#REF!</definedName>
    <definedName name="qqq" hidden="1">#REF!</definedName>
    <definedName name="qs"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TD" localSheetId="19" hidden="1">#REF!</definedName>
    <definedName name="QTD" localSheetId="16" hidden="1">#REF!</definedName>
    <definedName name="QTD" localSheetId="15" hidden="1">#REF!</definedName>
    <definedName name="QTD" localSheetId="14" hidden="1">#REF!</definedName>
    <definedName name="QTD" localSheetId="17" hidden="1">#REF!</definedName>
    <definedName name="QTD" localSheetId="18" hidden="1">#REF!</definedName>
    <definedName name="QTD" localSheetId="21" hidden="1">#REF!</definedName>
    <definedName name="QTD" localSheetId="24" hidden="1">#REF!</definedName>
    <definedName name="QTD" localSheetId="22" hidden="1">#REF!</definedName>
    <definedName name="QTD" localSheetId="20" hidden="1">#REF!</definedName>
    <definedName name="QTD" hidden="1">#REF!</definedName>
    <definedName name="QtEq" localSheetId="19" hidden="1">#REF!</definedName>
    <definedName name="QtEq" localSheetId="16" hidden="1">#REF!</definedName>
    <definedName name="QtEq" localSheetId="15" hidden="1">#REF!</definedName>
    <definedName name="QtEq" localSheetId="14" hidden="1">#REF!</definedName>
    <definedName name="QtEq" localSheetId="17" hidden="1">#REF!</definedName>
    <definedName name="QtEq" localSheetId="18" hidden="1">#REF!</definedName>
    <definedName name="QtEq" localSheetId="21" hidden="1">#REF!</definedName>
    <definedName name="QtEq" localSheetId="24" hidden="1">#REF!</definedName>
    <definedName name="QtEq" localSheetId="22" hidden="1">#REF!</definedName>
    <definedName name="QtEq" localSheetId="20" hidden="1">#REF!</definedName>
    <definedName name="QtEq" hidden="1">#REF!</definedName>
    <definedName name="QtMo" localSheetId="19" hidden="1">#REF!</definedName>
    <definedName name="QtMo" localSheetId="16" hidden="1">#REF!</definedName>
    <definedName name="QtMo" localSheetId="15" hidden="1">#REF!</definedName>
    <definedName name="QtMo" localSheetId="14" hidden="1">#REF!</definedName>
    <definedName name="QtMo" localSheetId="17" hidden="1">#REF!</definedName>
    <definedName name="QtMo" localSheetId="18" hidden="1">#REF!</definedName>
    <definedName name="QtMo" localSheetId="21" hidden="1">#REF!</definedName>
    <definedName name="QtMo" localSheetId="24" hidden="1">#REF!</definedName>
    <definedName name="QtMo" localSheetId="22" hidden="1">#REF!</definedName>
    <definedName name="QtMo" localSheetId="20" hidden="1">#REF!</definedName>
    <definedName name="QtMo" hidden="1">#REF!</definedName>
    <definedName name="QtMp" localSheetId="19" hidden="1">#REF!</definedName>
    <definedName name="QtMp" localSheetId="16" hidden="1">#REF!</definedName>
    <definedName name="QtMp" localSheetId="15" hidden="1">#REF!</definedName>
    <definedName name="QtMp" localSheetId="14" hidden="1">#REF!</definedName>
    <definedName name="QtMp" localSheetId="17" hidden="1">#REF!</definedName>
    <definedName name="QtMp" localSheetId="18" hidden="1">#REF!</definedName>
    <definedName name="QtMp" localSheetId="21" hidden="1">#REF!</definedName>
    <definedName name="QtMp" localSheetId="24" hidden="1">#REF!</definedName>
    <definedName name="QtMp" localSheetId="22" hidden="1">#REF!</definedName>
    <definedName name="QtMp" localSheetId="20" hidden="1">#REF!</definedName>
    <definedName name="QtMp" hidden="1">#REF!</definedName>
    <definedName name="QtTr" localSheetId="19" hidden="1">#REF!</definedName>
    <definedName name="QtTr" localSheetId="16" hidden="1">#REF!</definedName>
    <definedName name="QtTr" localSheetId="15" hidden="1">#REF!</definedName>
    <definedName name="QtTr" localSheetId="14" hidden="1">#REF!</definedName>
    <definedName name="QtTr" localSheetId="17" hidden="1">#REF!</definedName>
    <definedName name="QtTr" localSheetId="18" hidden="1">#REF!</definedName>
    <definedName name="QtTr" localSheetId="21" hidden="1">#REF!</definedName>
    <definedName name="QtTr" localSheetId="24" hidden="1">#REF!</definedName>
    <definedName name="QtTr" localSheetId="22" hidden="1">#REF!</definedName>
    <definedName name="QtTr" localSheetId="20" hidden="1">#REF!</definedName>
    <definedName name="QtTr" hidden="1">#REF!</definedName>
    <definedName name="qwee" hidden="1">#REF!</definedName>
    <definedName name="qwerqerqwerqwer" hidden="1">10</definedName>
    <definedName name="REBAIXO" localSheetId="19">#REF!</definedName>
    <definedName name="REBAIXO" localSheetId="16">#REF!</definedName>
    <definedName name="REBAIXO" localSheetId="15">#REF!</definedName>
    <definedName name="REBAIXO" localSheetId="14">#REF!</definedName>
    <definedName name="REBAIXO" localSheetId="17">#REF!</definedName>
    <definedName name="REBAIXO" localSheetId="18">#REF!</definedName>
    <definedName name="REBAIXO" localSheetId="21">#REF!</definedName>
    <definedName name="REBAIXO" localSheetId="24">#REF!</definedName>
    <definedName name="REBAIXO" localSheetId="22">#REF!</definedName>
    <definedName name="REBAIXO" localSheetId="20">#REF!</definedName>
    <definedName name="REBAIXO">#REF!</definedName>
    <definedName name="REL" hidden="1">{#N/A,#N/A,TRUE,"Serviços"}</definedName>
    <definedName name="RELACAO_SUBCONTRATADOS">#REF!</definedName>
    <definedName name="Relat" localSheetId="19" hidden="1">#REF!</definedName>
    <definedName name="Relat" localSheetId="16" hidden="1">#REF!</definedName>
    <definedName name="Relat" localSheetId="15" hidden="1">#REF!</definedName>
    <definedName name="Relat" localSheetId="14" hidden="1">#REF!</definedName>
    <definedName name="Relat" localSheetId="17" hidden="1">#REF!</definedName>
    <definedName name="Relat" localSheetId="18" hidden="1">#REF!</definedName>
    <definedName name="Relat" localSheetId="21" hidden="1">#REF!</definedName>
    <definedName name="Relat" localSheetId="24" hidden="1">#REF!</definedName>
    <definedName name="Relat" localSheetId="22" hidden="1">#REF!</definedName>
    <definedName name="Relat" localSheetId="20" hidden="1">#REF!</definedName>
    <definedName name="Relat" hidden="1">#REF!</definedName>
    <definedName name="RELL" hidden="1">{#N/A,#N/A,TRUE,"Serviços"}</definedName>
    <definedName name="RELMOBRA" hidden="1">{#N/A,#N/A,FALSE,"SS";#N/A,#N/A,FALSE,"TER1";#N/A,#N/A,FALSE,"TER2";#N/A,#N/A,FALSE,"TER3";#N/A,#N/A,FALSE,"TP1";#N/A,#N/A,FALSE,"TP2";#N/A,#N/A,FALSE,"TP3";#N/A,#N/A,FALSE,"DI1";#N/A,#N/A,FALSE,"DI2";#N/A,#N/A,FALSE,"DI3";#N/A,#N/A,FALSE,"DS1";#N/A,#N/A,FALSE,"DS2";#N/A,#N/A,FALSE,"CM"}</definedName>
    <definedName name="Renato" localSheetId="19">#REF!</definedName>
    <definedName name="Renato" localSheetId="16">#REF!</definedName>
    <definedName name="Renato" localSheetId="7">#REF!</definedName>
    <definedName name="Renato" localSheetId="15">#REF!</definedName>
    <definedName name="Renato" localSheetId="14">#REF!</definedName>
    <definedName name="Renato" localSheetId="17">#REF!</definedName>
    <definedName name="Renato" localSheetId="18">#REF!</definedName>
    <definedName name="Renato" localSheetId="21">#REF!</definedName>
    <definedName name="Renato" localSheetId="24">#REF!</definedName>
    <definedName name="Renato" localSheetId="22">#REF!</definedName>
    <definedName name="Renato" localSheetId="20">#REF!</definedName>
    <definedName name="Renato">#REF!</definedName>
    <definedName name="Renato1" localSheetId="19">#REF!</definedName>
    <definedName name="Renato1" localSheetId="16">#REF!</definedName>
    <definedName name="Renato1" localSheetId="7">#REF!</definedName>
    <definedName name="Renato1" localSheetId="15">#REF!</definedName>
    <definedName name="Renato1" localSheetId="14">#REF!</definedName>
    <definedName name="Renato1" localSheetId="17">#REF!</definedName>
    <definedName name="Renato1" localSheetId="18">#REF!</definedName>
    <definedName name="Renato1" localSheetId="21">#REF!</definedName>
    <definedName name="Renato1" localSheetId="24">#REF!</definedName>
    <definedName name="Renato1" localSheetId="22">#REF!</definedName>
    <definedName name="Renato1" localSheetId="20">#REF!</definedName>
    <definedName name="Renato1">#REF!</definedName>
    <definedName name="RENATO3" localSheetId="19" hidden="1">#REF!</definedName>
    <definedName name="RENATO3" localSheetId="16" hidden="1">#REF!</definedName>
    <definedName name="RENATO3" localSheetId="7" hidden="1">#REF!</definedName>
    <definedName name="RENATO3" localSheetId="15" hidden="1">#REF!</definedName>
    <definedName name="RENATO3" localSheetId="14" hidden="1">#REF!</definedName>
    <definedName name="RENATO3" localSheetId="17" hidden="1">#REF!</definedName>
    <definedName name="RENATO3" localSheetId="18" hidden="1">#REF!</definedName>
    <definedName name="RENATO3" localSheetId="21" hidden="1">#REF!</definedName>
    <definedName name="RENATO3" localSheetId="24" hidden="1">#REF!</definedName>
    <definedName name="RENATO3" localSheetId="22" hidden="1">#REF!</definedName>
    <definedName name="RENATO3" localSheetId="20" hidden="1">#REF!</definedName>
    <definedName name="RENATO3" hidden="1">#REF!</definedName>
    <definedName name="RENATO4" localSheetId="19" hidden="1">#REF!</definedName>
    <definedName name="RENATO4" localSheetId="16" hidden="1">#REF!</definedName>
    <definedName name="RENATO4" localSheetId="7" hidden="1">#REF!</definedName>
    <definedName name="RENATO4" localSheetId="15" hidden="1">#REF!</definedName>
    <definedName name="RENATO4" localSheetId="14" hidden="1">#REF!</definedName>
    <definedName name="RENATO4" localSheetId="17" hidden="1">#REF!</definedName>
    <definedName name="RENATO4" localSheetId="18" hidden="1">#REF!</definedName>
    <definedName name="RENATO4" localSheetId="21" hidden="1">#REF!</definedName>
    <definedName name="RENATO4" localSheetId="24" hidden="1">#REF!</definedName>
    <definedName name="RENATO4" localSheetId="22" hidden="1">#REF!</definedName>
    <definedName name="RENATO4" localSheetId="20" hidden="1">#REF!</definedName>
    <definedName name="RENATO4" hidden="1">#REF!</definedName>
    <definedName name="RENATO5" localSheetId="19" hidden="1">#REF!</definedName>
    <definedName name="RENATO5" localSheetId="16" hidden="1">#REF!</definedName>
    <definedName name="RENATO5" localSheetId="7" hidden="1">#REF!</definedName>
    <definedName name="RENATO5" localSheetId="15" hidden="1">#REF!</definedName>
    <definedName name="RENATO5" localSheetId="14" hidden="1">#REF!</definedName>
    <definedName name="RENATO5" localSheetId="17" hidden="1">#REF!</definedName>
    <definedName name="RENATO5" localSheetId="18" hidden="1">#REF!</definedName>
    <definedName name="RENATO5" localSheetId="21" hidden="1">#REF!</definedName>
    <definedName name="RENATO5" localSheetId="24" hidden="1">#REF!</definedName>
    <definedName name="RENATO5" localSheetId="22" hidden="1">#REF!</definedName>
    <definedName name="RENATO5" localSheetId="20" hidden="1">#REF!</definedName>
    <definedName name="RENATO5" hidden="1">#REF!</definedName>
    <definedName name="RENATO7" localSheetId="19" hidden="1">#REF!</definedName>
    <definedName name="RENATO7" localSheetId="16" hidden="1">#REF!</definedName>
    <definedName name="RENATO7" localSheetId="7" hidden="1">#REF!</definedName>
    <definedName name="RENATO7" localSheetId="15" hidden="1">#REF!</definedName>
    <definedName name="RENATO7" localSheetId="14" hidden="1">#REF!</definedName>
    <definedName name="RENATO7" localSheetId="17" hidden="1">#REF!</definedName>
    <definedName name="RENATO7" localSheetId="18" hidden="1">#REF!</definedName>
    <definedName name="RENATO7" localSheetId="21" hidden="1">#REF!</definedName>
    <definedName name="RENATO7" localSheetId="24" hidden="1">#REF!</definedName>
    <definedName name="RENATO7" localSheetId="22" hidden="1">#REF!</definedName>
    <definedName name="RENATO7" localSheetId="20" hidden="1">#REF!</definedName>
    <definedName name="RENATO7" hidden="1">#REF!</definedName>
    <definedName name="resumou" hidden="1">{#N/A,#N/A,TRUE,"Plan1"}</definedName>
    <definedName name="rewqwr" hidden="1">#REF!</definedName>
    <definedName name="RHTHNT" localSheetId="19" hidden="1">#REF!</definedName>
    <definedName name="RHTHNT" localSheetId="16" hidden="1">#REF!</definedName>
    <definedName name="RHTHNT" localSheetId="15" hidden="1">#REF!</definedName>
    <definedName name="RHTHNT" localSheetId="14" hidden="1">#REF!</definedName>
    <definedName name="RHTHNT" localSheetId="17" hidden="1">#REF!</definedName>
    <definedName name="RHTHNT" localSheetId="18" hidden="1">#REF!</definedName>
    <definedName name="RHTHNT" localSheetId="21" hidden="1">#REF!</definedName>
    <definedName name="RHTHNT" localSheetId="24" hidden="1">#REF!</definedName>
    <definedName name="RHTHNT" localSheetId="22" hidden="1">#REF!</definedName>
    <definedName name="RHTHNT" localSheetId="20" hidden="1">#REF!</definedName>
    <definedName name="RHTHNT" hidden="1">#REF!</definedName>
    <definedName name="RowLevel" hidden="1">1</definedName>
    <definedName name="rqweqewee" hidden="1">#REF!</definedName>
    <definedName name="rqwerqwe" hidden="1">1</definedName>
    <definedName name="rr" localSheetId="19" hidden="1">#REF!</definedName>
    <definedName name="rr" localSheetId="16" hidden="1">#REF!</definedName>
    <definedName name="rr" localSheetId="15" hidden="1">#REF!</definedName>
    <definedName name="rr" localSheetId="14" hidden="1">#REF!</definedName>
    <definedName name="rr" localSheetId="17" hidden="1">#REF!</definedName>
    <definedName name="rr" localSheetId="18" hidden="1">#REF!</definedName>
    <definedName name="rr" localSheetId="21" hidden="1">#REF!</definedName>
    <definedName name="rr" localSheetId="24" hidden="1">#REF!</definedName>
    <definedName name="rr" localSheetId="22" hidden="1">#REF!</definedName>
    <definedName name="rr" localSheetId="20" hidden="1">#REF!</definedName>
    <definedName name="rr" hidden="1">#REF!</definedName>
    <definedName name="rrff" hidden="1">{#N/A,#N/A,TRUE,"Serviços"}</definedName>
    <definedName name="rrfff" hidden="1">{#N/A,#N/A,TRUE,"Serviços"}</definedName>
    <definedName name="rrr" hidden="1">"AS2DocumentBrowse"</definedName>
    <definedName name="rtr" localSheetId="19" hidden="1">#REF!</definedName>
    <definedName name="rtr" localSheetId="16" hidden="1">#REF!</definedName>
    <definedName name="rtr" localSheetId="15" hidden="1">#REF!</definedName>
    <definedName name="rtr" localSheetId="14" hidden="1">#REF!</definedName>
    <definedName name="rtr" localSheetId="17" hidden="1">#REF!</definedName>
    <definedName name="rtr" localSheetId="18" hidden="1">#REF!</definedName>
    <definedName name="rtr" localSheetId="21" hidden="1">#REF!</definedName>
    <definedName name="rtr" localSheetId="24" hidden="1">#REF!</definedName>
    <definedName name="rtr" localSheetId="22" hidden="1">#REF!</definedName>
    <definedName name="rtr" localSheetId="20" hidden="1">#REF!</definedName>
    <definedName name="rtr" hidden="1">#REF!</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S" localSheetId="19">#REF!</definedName>
    <definedName name="S" localSheetId="16">#REF!</definedName>
    <definedName name="S" localSheetId="7">#REF!</definedName>
    <definedName name="S" localSheetId="15">#REF!</definedName>
    <definedName name="S" localSheetId="14">#REF!</definedName>
    <definedName name="S" localSheetId="17">#REF!</definedName>
    <definedName name="S" localSheetId="18">#REF!</definedName>
    <definedName name="S" localSheetId="21">#REF!</definedName>
    <definedName name="S" localSheetId="24">#REF!</definedName>
    <definedName name="S" localSheetId="22">#REF!</definedName>
    <definedName name="S" localSheetId="20">#REF!</definedName>
    <definedName name="S">#REF!</definedName>
    <definedName name="sa" localSheetId="19" hidden="1">#REF!</definedName>
    <definedName name="sa" localSheetId="16" hidden="1">#REF!</definedName>
    <definedName name="sa" localSheetId="7" hidden="1">#REF!</definedName>
    <definedName name="sa" localSheetId="15" hidden="1">#REF!</definedName>
    <definedName name="sa" localSheetId="14" hidden="1">#REF!</definedName>
    <definedName name="sa" localSheetId="17" hidden="1">#REF!</definedName>
    <definedName name="sa" localSheetId="18" hidden="1">#REF!</definedName>
    <definedName name="sa" localSheetId="21" hidden="1">#REF!</definedName>
    <definedName name="sa" localSheetId="24" hidden="1">#REF!</definedName>
    <definedName name="sa" localSheetId="22" hidden="1">#REF!</definedName>
    <definedName name="sa" localSheetId="20" hidden="1">#REF!</definedName>
    <definedName name="sa" hidden="1">#REF!</definedName>
    <definedName name="sacwe" hidden="1">{#N/A,#N/A,FALSE,"Graficos";#N/A,#N/A,FALSE,"P.Ingresos";#N/A,#N/A,FALSE,"P.Gastos";#N/A,#N/A,FALSE,"I.Trafico";#N/A,#N/A,FALSE,"I.Peajes";#N/A,#N/A,FALSE,"G.Operativos";#N/A,#N/A,FALSE,"Cf Proyecto";#N/A,#N/A,FALSE,"C.PYG";#N/A,#N/A,FALSE,"Balance";#N/A,#N/A,FALSE,"TIR AC";#N/A,#N/A,FALSE,"TIR E"}</definedName>
    <definedName name="SAPBEXrevision" hidden="1">3</definedName>
    <definedName name="SAPBEXsysID" hidden="1">"BWP"</definedName>
    <definedName name="SAPBEXwbID" hidden="1">"BBI79TXTC37FA83KVZYUD8LJY"</definedName>
    <definedName name="sasa" hidden="1">"AS2DocumentBrowse"</definedName>
    <definedName name="SASASA" hidden="1">{#N/A,#N/A,FALSE,"MO (2)"}</definedName>
    <definedName name="sasda" hidden="1">{#N/A,#N/A,TRUE,"Serviços"}</definedName>
    <definedName name="sasdaa" hidden="1">{#N/A,#N/A,TRUE,"Serviços"}</definedName>
    <definedName name="SDF" hidden="1">{#N/A,#N/A,FALSE,"Aging Summary";#N/A,#N/A,FALSE,"Ratio Analysis";#N/A,#N/A,FALSE,"Test 120 Day Accts";#N/A,#N/A,FALSE,"Tickmarks"}</definedName>
    <definedName name="SDFIGUSDHGOIJ" hidden="1">#REF!</definedName>
    <definedName name="sdfsd" hidden="1">{#N/A,#N/A,TRUE,"Serviços"}</definedName>
    <definedName name="SE" localSheetId="19" hidden="1">#REF!</definedName>
    <definedName name="SE" localSheetId="16" hidden="1">#REF!</definedName>
    <definedName name="SE" localSheetId="15" hidden="1">#REF!</definedName>
    <definedName name="SE" localSheetId="14" hidden="1">#REF!</definedName>
    <definedName name="SE" localSheetId="17" hidden="1">#REF!</definedName>
    <definedName name="SE" localSheetId="18" hidden="1">#REF!</definedName>
    <definedName name="SE" localSheetId="21" hidden="1">#REF!</definedName>
    <definedName name="SE" localSheetId="24" hidden="1">#REF!</definedName>
    <definedName name="SE" localSheetId="22" hidden="1">#REF!</definedName>
    <definedName name="SE" localSheetId="20" hidden="1">#REF!</definedName>
    <definedName name="SE" hidden="1">#REF!</definedName>
    <definedName name="sencount" hidden="1">1</definedName>
    <definedName name="SERV" localSheetId="19">#REF!</definedName>
    <definedName name="SERV" localSheetId="16">#REF!</definedName>
    <definedName name="SERV" localSheetId="15">#REF!</definedName>
    <definedName name="SERV" localSheetId="14">#REF!</definedName>
    <definedName name="SERV" localSheetId="17">#REF!</definedName>
    <definedName name="SERV" localSheetId="18">#REF!</definedName>
    <definedName name="SERV" localSheetId="21">#REF!</definedName>
    <definedName name="SERV" localSheetId="24">#REF!</definedName>
    <definedName name="SERV" localSheetId="22">#REF!</definedName>
    <definedName name="SERV" localSheetId="20">#REF!</definedName>
    <definedName name="SERV">#REF!</definedName>
    <definedName name="Serviços">#REF!</definedName>
    <definedName name="SETEMBRO" hidden="1">{#N/A,#N/A,TRUE,"Serviços"}</definedName>
    <definedName name="SETEMBROO" hidden="1">{#N/A,#N/A,TRUE,"Serviços"}</definedName>
    <definedName name="SGAREHHUJ" localSheetId="19" hidden="1">#REF!</definedName>
    <definedName name="SGAREHHUJ" localSheetId="16" hidden="1">#REF!</definedName>
    <definedName name="SGAREHHUJ" localSheetId="15" hidden="1">#REF!</definedName>
    <definedName name="SGAREHHUJ" localSheetId="14" hidden="1">#REF!</definedName>
    <definedName name="SGAREHHUJ" localSheetId="17" hidden="1">#REF!</definedName>
    <definedName name="SGAREHHUJ" localSheetId="18" hidden="1">#REF!</definedName>
    <definedName name="SGAREHHUJ" localSheetId="21" hidden="1">#REF!</definedName>
    <definedName name="SGAREHHUJ" localSheetId="24" hidden="1">#REF!</definedName>
    <definedName name="SGAREHHUJ" localSheetId="22" hidden="1">#REF!</definedName>
    <definedName name="SGAREHHUJ" localSheetId="20" hidden="1">#REF!</definedName>
    <definedName name="SGAREHHUJ" hidden="1">#REF!</definedName>
    <definedName name="sicro" localSheetId="19">#REF!</definedName>
    <definedName name="sicro" localSheetId="16">#REF!</definedName>
    <definedName name="sicro" localSheetId="15">#REF!</definedName>
    <definedName name="sicro" localSheetId="14">#REF!</definedName>
    <definedName name="sicro" localSheetId="17">#REF!</definedName>
    <definedName name="sicro" localSheetId="18">#REF!</definedName>
    <definedName name="sicro" localSheetId="21">#REF!</definedName>
    <definedName name="sicro" localSheetId="24">#REF!</definedName>
    <definedName name="sicro" localSheetId="22">#REF!</definedName>
    <definedName name="sicro" localSheetId="20">#REF!</definedName>
    <definedName name="sicro">#REF!</definedName>
    <definedName name="SIDUFGHK" hidden="1">#REF!</definedName>
    <definedName name="SINTETICO" hidden="1">{#N/A,#N/A,TRUE,"TER  EXT";#N/A,#N/A,TRUE,"TER  EXT";#N/A,#N/A,TRUE,"LAT  ESQ";#N/A,#N/A,TRUE,"FRONTAL";#N/A,#N/A,TRUE,"POST";#N/A,#N/A,TRUE,"LAT  DIR"}</definedName>
    <definedName name="sjp" localSheetId="19">#REF!</definedName>
    <definedName name="sjp" localSheetId="16">#REF!</definedName>
    <definedName name="sjp" localSheetId="7">#REF!</definedName>
    <definedName name="sjp" localSheetId="15">#REF!</definedName>
    <definedName name="sjp" localSheetId="14">#REF!</definedName>
    <definedName name="sjp" localSheetId="17">#REF!</definedName>
    <definedName name="sjp" localSheetId="18">#REF!</definedName>
    <definedName name="sjp" localSheetId="21">#REF!</definedName>
    <definedName name="sjp" localSheetId="24">#REF!</definedName>
    <definedName name="sjp" localSheetId="22">#REF!</definedName>
    <definedName name="sjp" localSheetId="20">#REF!</definedName>
    <definedName name="sjp">#REF!</definedName>
    <definedName name="SODFIGHJ" hidden="1">#REF!</definedName>
    <definedName name="SODFIGUJSOL" hidden="1">#REF!</definedName>
    <definedName name="SODFIJGSLDFI" hidden="1">1</definedName>
    <definedName name="SODIFGJ" hidden="1">#REF!</definedName>
    <definedName name="sogsafra" localSheetId="19" hidden="1">#REF!</definedName>
    <definedName name="sogsafra" localSheetId="16" hidden="1">#REF!</definedName>
    <definedName name="sogsafra" localSheetId="15" hidden="1">#REF!</definedName>
    <definedName name="sogsafra" localSheetId="14" hidden="1">#REF!</definedName>
    <definedName name="sogsafra" localSheetId="17" hidden="1">#REF!</definedName>
    <definedName name="sogsafra" localSheetId="18" hidden="1">#REF!</definedName>
    <definedName name="sogsafra" localSheetId="21" hidden="1">#REF!</definedName>
    <definedName name="sogsafra" localSheetId="24" hidden="1">#REF!</definedName>
    <definedName name="sogsafra" localSheetId="22" hidden="1">#REF!</definedName>
    <definedName name="sogsafra" localSheetId="20" hidden="1">#REF!</definedName>
    <definedName name="sogsafra" hidden="1">#REF!</definedName>
    <definedName name="solver_lin" hidden="1">0</definedName>
    <definedName name="solver_num" hidden="1">0</definedName>
    <definedName name="solver_typ" hidden="1">1</definedName>
    <definedName name="solver_val" hidden="1">0</definedName>
    <definedName name="SPO" hidden="1">#REF!</definedName>
    <definedName name="SRV" localSheetId="19" hidden="1">#REF!</definedName>
    <definedName name="SRV" localSheetId="16" hidden="1">#REF!</definedName>
    <definedName name="SRV" localSheetId="15" hidden="1">#REF!</definedName>
    <definedName name="SRV" localSheetId="14" hidden="1">#REF!</definedName>
    <definedName name="SRV" localSheetId="17" hidden="1">#REF!</definedName>
    <definedName name="SRV" localSheetId="18" hidden="1">#REF!</definedName>
    <definedName name="SRV" localSheetId="21" hidden="1">#REF!</definedName>
    <definedName name="SRV" localSheetId="24" hidden="1">#REF!</definedName>
    <definedName name="SRV" localSheetId="22" hidden="1">#REF!</definedName>
    <definedName name="SRV" localSheetId="20" hidden="1">#REF!</definedName>
    <definedName name="SRV" hidden="1">#REF!</definedName>
    <definedName name="SS" localSheetId="19" hidden="1">#REF!</definedName>
    <definedName name="SS" localSheetId="16" hidden="1">#REF!</definedName>
    <definedName name="SS" localSheetId="15" hidden="1">#REF!</definedName>
    <definedName name="SS" localSheetId="14" hidden="1">#REF!</definedName>
    <definedName name="SS" localSheetId="17" hidden="1">#REF!</definedName>
    <definedName name="SS" localSheetId="18" hidden="1">#REF!</definedName>
    <definedName name="SS" localSheetId="21" hidden="1">#REF!</definedName>
    <definedName name="SS" localSheetId="24" hidden="1">#REF!</definedName>
    <definedName name="SS" localSheetId="22" hidden="1">#REF!</definedName>
    <definedName name="SS" localSheetId="20" hidden="1">#REF!</definedName>
    <definedName name="SS" hidden="1">#REF!</definedName>
    <definedName name="SSS" hidden="1">{#N/A,#N/A,FALSE,"MO (2)"}</definedName>
    <definedName name="sssss" hidden="1">{"PARTE1",#N/A,FALSE,"Plan1"}</definedName>
    <definedName name="sssss_1" hidden="1">{"PARTE1",#N/A,FALSE,"Plan1"}</definedName>
    <definedName name="SSSSSSSSS" hidden="1">{"PARTE1",#N/A,FALSE,"Plan1"}</definedName>
    <definedName name="SSSSSSSSS_1" hidden="1">{"PARTE1",#N/A,FALSE,"Plan1"}</definedName>
    <definedName name="sssssssssssssssssssss" hidden="1">{#N/A,#N/A,TRUE,"Plan1"}</definedName>
    <definedName name="SubItemInvestimento" localSheetId="19">OFFSET(#REF!,MATCH(#REF!,#REF!,0)-1,0,COUNTIF(#REF!,#REF!),1)</definedName>
    <definedName name="SubItemInvestimento" localSheetId="16">OFFSET(#REF!,MATCH(#REF!,#REF!,0)-1,0,COUNTIF(#REF!,#REF!),1)</definedName>
    <definedName name="SubItemInvestimento" localSheetId="15">OFFSET(#REF!,MATCH(#REF!,#REF!,0)-1,0,COUNTIF(#REF!,#REF!),1)</definedName>
    <definedName name="SubItemInvestimento" localSheetId="14">OFFSET(#REF!,MATCH(#REF!,#REF!,0)-1,0,COUNTIF(#REF!,#REF!),1)</definedName>
    <definedName name="SubItemInvestimento" localSheetId="17">OFFSET(#REF!,MATCH(#REF!,#REF!,0)-1,0,COUNTIF(#REF!,#REF!),1)</definedName>
    <definedName name="SubItemInvestimento" localSheetId="18">OFFSET(#REF!,MATCH(#REF!,#REF!,0)-1,0,COUNTIF(#REF!,#REF!),1)</definedName>
    <definedName name="SubItemInvestimento" localSheetId="21">OFFSET(#REF!,MATCH(#REF!,#REF!,0)-1,0,COUNTIF(#REF!,#REF!),1)</definedName>
    <definedName name="SubItemInvestimento" localSheetId="24">OFFSET(#REF!,MATCH(#REF!,#REF!,0)-1,0,COUNTIF(#REF!,#REF!),1)</definedName>
    <definedName name="SubItemInvestimento" localSheetId="22">OFFSET(#REF!,MATCH(#REF!,#REF!,0)-1,0,COUNTIF(#REF!,#REF!),1)</definedName>
    <definedName name="SubItemInvestimento" localSheetId="20">OFFSET(#REF!,MATCH(#REF!,#REF!,0)-1,0,COUNTIF(#REF!,#REF!),1)</definedName>
    <definedName name="SubItemInvestimento">OFFSET(#REF!,MATCH(#REF!,#REF!,0)-1,0,COUNTIF(#REF!,#REF!),1)</definedName>
    <definedName name="Summary" localSheetId="19" hidden="1">#REF!</definedName>
    <definedName name="Summary" localSheetId="16" hidden="1">#REF!</definedName>
    <definedName name="Summary" localSheetId="15" hidden="1">#REF!</definedName>
    <definedName name="Summary" localSheetId="14" hidden="1">#REF!</definedName>
    <definedName name="Summary" localSheetId="17" hidden="1">#REF!</definedName>
    <definedName name="Summary" localSheetId="18" hidden="1">#REF!</definedName>
    <definedName name="Summary" localSheetId="21" hidden="1">#REF!</definedName>
    <definedName name="Summary" localSheetId="24" hidden="1">#REF!</definedName>
    <definedName name="Summary" localSheetId="22" hidden="1">#REF!</definedName>
    <definedName name="Summary" localSheetId="20" hidden="1">#REF!</definedName>
    <definedName name="Summary" hidden="1">#REF!</definedName>
    <definedName name="sw" hidden="1">{#N/A,#N/A,FALSE,"Aging Summary";#N/A,#N/A,FALSE,"Ratio Analysis";#N/A,#N/A,FALSE,"Test 120 Day Accts";#N/A,#N/A,FALSE,"Tickmarks"}</definedName>
    <definedName name="sw_1" hidden="1">{#N/A,#N/A,FALSE,"Aging Summary";#N/A,#N/A,FALSE,"Ratio Analysis";#N/A,#N/A,FALSE,"Test 120 Day Accts";#N/A,#N/A,FALSE,"Tickmarks"}</definedName>
    <definedName name="Swvu.ACC." localSheetId="19" hidden="1">#REF!</definedName>
    <definedName name="Swvu.ACC." localSheetId="16" hidden="1">#REF!</definedName>
    <definedName name="Swvu.ACC." localSheetId="15" hidden="1">#REF!</definedName>
    <definedName name="Swvu.ACC." localSheetId="14" hidden="1">#REF!</definedName>
    <definedName name="Swvu.ACC." localSheetId="17" hidden="1">#REF!</definedName>
    <definedName name="Swvu.ACC." localSheetId="18" hidden="1">#REF!</definedName>
    <definedName name="Swvu.ACC." localSheetId="21" hidden="1">#REF!</definedName>
    <definedName name="Swvu.ACC." localSheetId="24" hidden="1">#REF!</definedName>
    <definedName name="Swvu.ACC." localSheetId="22" hidden="1">#REF!</definedName>
    <definedName name="Swvu.ACC." localSheetId="20" hidden="1">#REF!</definedName>
    <definedName name="Swvu.ACC." hidden="1">#REF!</definedName>
    <definedName name="Swvu.AFAC." localSheetId="19" hidden="1">#REF!</definedName>
    <definedName name="Swvu.AFAC." localSheetId="16" hidden="1">#REF!</definedName>
    <definedName name="Swvu.AFAC." localSheetId="15" hidden="1">#REF!</definedName>
    <definedName name="Swvu.AFAC." localSheetId="14" hidden="1">#REF!</definedName>
    <definedName name="Swvu.AFAC." localSheetId="17" hidden="1">#REF!</definedName>
    <definedName name="Swvu.AFAC." localSheetId="18" hidden="1">#REF!</definedName>
    <definedName name="Swvu.AFAC." localSheetId="21" hidden="1">#REF!</definedName>
    <definedName name="Swvu.AFAC." localSheetId="24" hidden="1">#REF!</definedName>
    <definedName name="Swvu.AFAC." localSheetId="22" hidden="1">#REF!</definedName>
    <definedName name="Swvu.AFAC." localSheetId="20" hidden="1">#REF!</definedName>
    <definedName name="Swvu.AFAC." hidden="1">#REF!</definedName>
    <definedName name="Swvu.ELIMLUCRO." localSheetId="19" hidden="1">#REF!</definedName>
    <definedName name="Swvu.ELIMLUCRO." localSheetId="16" hidden="1">#REF!</definedName>
    <definedName name="Swvu.ELIMLUCRO." localSheetId="15" hidden="1">#REF!</definedName>
    <definedName name="Swvu.ELIMLUCRO." localSheetId="14" hidden="1">#REF!</definedName>
    <definedName name="Swvu.ELIMLUCRO." localSheetId="17" hidden="1">#REF!</definedName>
    <definedName name="Swvu.ELIMLUCRO." localSheetId="18" hidden="1">#REF!</definedName>
    <definedName name="Swvu.ELIMLUCRO." localSheetId="21" hidden="1">#REF!</definedName>
    <definedName name="Swvu.ELIMLUCRO." localSheetId="24" hidden="1">#REF!</definedName>
    <definedName name="Swvu.ELIMLUCRO." localSheetId="22" hidden="1">#REF!</definedName>
    <definedName name="Swvu.ELIMLUCRO." localSheetId="20" hidden="1">#REF!</definedName>
    <definedName name="Swvu.ELIMLUCRO." hidden="1">#REF!</definedName>
    <definedName name="Swvu.ESTOQUES." localSheetId="19" hidden="1">#REF!</definedName>
    <definedName name="Swvu.ESTOQUES." localSheetId="16" hidden="1">#REF!</definedName>
    <definedName name="Swvu.ESTOQUES." localSheetId="15" hidden="1">#REF!</definedName>
    <definedName name="Swvu.ESTOQUES." localSheetId="14" hidden="1">#REF!</definedName>
    <definedName name="Swvu.ESTOQUES." localSheetId="17" hidden="1">#REF!</definedName>
    <definedName name="Swvu.ESTOQUES." localSheetId="18" hidden="1">#REF!</definedName>
    <definedName name="Swvu.ESTOQUES." localSheetId="21" hidden="1">#REF!</definedName>
    <definedName name="Swvu.ESTOQUES." localSheetId="24" hidden="1">#REF!</definedName>
    <definedName name="Swvu.ESTOQUES." localSheetId="22" hidden="1">#REF!</definedName>
    <definedName name="Swvu.ESTOQUES." localSheetId="20" hidden="1">#REF!</definedName>
    <definedName name="Swvu.ESTOQUES." hidden="1">#REF!</definedName>
    <definedName name="Swvu.Fabio." localSheetId="19" hidden="1">#REF!</definedName>
    <definedName name="Swvu.Fabio." localSheetId="16" hidden="1">#REF!</definedName>
    <definedName name="Swvu.Fabio." localSheetId="15" hidden="1">#REF!</definedName>
    <definedName name="Swvu.Fabio." localSheetId="14" hidden="1">#REF!</definedName>
    <definedName name="Swvu.Fabio." localSheetId="17" hidden="1">#REF!</definedName>
    <definedName name="Swvu.Fabio." localSheetId="18" hidden="1">#REF!</definedName>
    <definedName name="Swvu.Fabio." localSheetId="21" hidden="1">#REF!</definedName>
    <definedName name="Swvu.Fabio." localSheetId="24" hidden="1">#REF!</definedName>
    <definedName name="Swvu.Fabio." localSheetId="22" hidden="1">#REF!</definedName>
    <definedName name="Swvu.Fabio." localSheetId="20" hidden="1">#REF!</definedName>
    <definedName name="Swvu.Fabio." hidden="1">#REF!</definedName>
    <definedName name="Swvu.LPERDAS." localSheetId="19" hidden="1">#REF!</definedName>
    <definedName name="Swvu.LPERDAS." localSheetId="16" hidden="1">#REF!</definedName>
    <definedName name="Swvu.LPERDAS." localSheetId="15" hidden="1">#REF!</definedName>
    <definedName name="Swvu.LPERDAS." localSheetId="14" hidden="1">#REF!</definedName>
    <definedName name="Swvu.LPERDAS." localSheetId="17" hidden="1">#REF!</definedName>
    <definedName name="Swvu.LPERDAS." localSheetId="18" hidden="1">#REF!</definedName>
    <definedName name="Swvu.LPERDAS." localSheetId="21" hidden="1">#REF!</definedName>
    <definedName name="Swvu.LPERDAS." localSheetId="24" hidden="1">#REF!</definedName>
    <definedName name="Swvu.LPERDAS." localSheetId="22" hidden="1">#REF!</definedName>
    <definedName name="Swvu.LPERDAS." localSheetId="20" hidden="1">#REF!</definedName>
    <definedName name="Swvu.LPERDAS." hidden="1">#REF!</definedName>
    <definedName name="Swvu.RES432." localSheetId="19" hidden="1">#REF!</definedName>
    <definedName name="Swvu.RES432." localSheetId="16" hidden="1">#REF!</definedName>
    <definedName name="Swvu.RES432." localSheetId="15" hidden="1">#REF!</definedName>
    <definedName name="Swvu.RES432." localSheetId="14" hidden="1">#REF!</definedName>
    <definedName name="Swvu.RES432." localSheetId="17" hidden="1">#REF!</definedName>
    <definedName name="Swvu.RES432." localSheetId="18" hidden="1">#REF!</definedName>
    <definedName name="Swvu.RES432." localSheetId="21" hidden="1">#REF!</definedName>
    <definedName name="Swvu.RES432." localSheetId="24" hidden="1">#REF!</definedName>
    <definedName name="Swvu.RES432." localSheetId="22" hidden="1">#REF!</definedName>
    <definedName name="Swvu.RES432." localSheetId="20" hidden="1">#REF!</definedName>
    <definedName name="Swvu.RES432." hidden="1">#REF!</definedName>
    <definedName name="Swvu.VERLUCRO." localSheetId="19" hidden="1">#REF!</definedName>
    <definedName name="Swvu.VERLUCRO." localSheetId="16" hidden="1">#REF!</definedName>
    <definedName name="Swvu.VERLUCRO." localSheetId="15" hidden="1">#REF!</definedName>
    <definedName name="Swvu.VERLUCRO." localSheetId="14" hidden="1">#REF!</definedName>
    <definedName name="Swvu.VERLUCRO." localSheetId="17" hidden="1">#REF!</definedName>
    <definedName name="Swvu.VERLUCRO." localSheetId="18" hidden="1">#REF!</definedName>
    <definedName name="Swvu.VERLUCRO." localSheetId="21" hidden="1">#REF!</definedName>
    <definedName name="Swvu.VERLUCRO." localSheetId="24" hidden="1">#REF!</definedName>
    <definedName name="Swvu.VERLUCRO." localSheetId="22" hidden="1">#REF!</definedName>
    <definedName name="Swvu.VERLUCRO." localSheetId="20" hidden="1">#REF!</definedName>
    <definedName name="Swvu.VERLUCRO." hidden="1">#REF!</definedName>
    <definedName name="SWW" hidden="1">{#N/A,#N/A,FALSE,"Aging Summary";#N/A,#N/A,FALSE,"Ratio Analysis";#N/A,#N/A,FALSE,"Test 120 Day Accts";#N/A,#N/A,FALSE,"Tickmarks"}</definedName>
    <definedName name="SWW_1" hidden="1">{#N/A,#N/A,FALSE,"Aging Summary";#N/A,#N/A,FALSE,"Ratio Analysis";#N/A,#N/A,FALSE,"Test 120 Day Accts";#N/A,#N/A,FALSE,"Tickmarks"}</definedName>
    <definedName name="sxcc" hidden="1">{#N/A,#N/A,FALSE,"SS";#N/A,#N/A,FALSE,"TER1";#N/A,#N/A,FALSE,"TER2";#N/A,#N/A,FALSE,"TER3";#N/A,#N/A,FALSE,"TP1";#N/A,#N/A,FALSE,"TP2";#N/A,#N/A,FALSE,"TP3";#N/A,#N/A,FALSE,"DI1";#N/A,#N/A,FALSE,"DI2";#N/A,#N/A,FALSE,"DI3";#N/A,#N/A,FALSE,"DS1";#N/A,#N/A,FALSE,"DS2";#N/A,#N/A,FALSE,"CM"}</definedName>
    <definedName name="synthese" hidden="1">{"tbl1",#N/A,FALSE,"regul";"tbl2",#N/A,FALSE,"regul"}</definedName>
    <definedName name="T" localSheetId="19">#REF!</definedName>
    <definedName name="T" localSheetId="16">#REF!</definedName>
    <definedName name="T" localSheetId="15">#REF!</definedName>
    <definedName name="T" localSheetId="14">#REF!</definedName>
    <definedName name="T" localSheetId="17">#REF!</definedName>
    <definedName name="T" localSheetId="18">#REF!</definedName>
    <definedName name="T" localSheetId="21">#REF!</definedName>
    <definedName name="T" localSheetId="24">#REF!</definedName>
    <definedName name="T" localSheetId="22">#REF!</definedName>
    <definedName name="T" localSheetId="20">#REF!</definedName>
    <definedName name="T">#REF!</definedName>
    <definedName name="T.1" localSheetId="19">#REF!</definedName>
    <definedName name="T.1" localSheetId="16">#REF!</definedName>
    <definedName name="T.1" localSheetId="15">#REF!</definedName>
    <definedName name="T.1" localSheetId="14">#REF!</definedName>
    <definedName name="T.1" localSheetId="17">#REF!</definedName>
    <definedName name="T.1" localSheetId="18">#REF!</definedName>
    <definedName name="T.1" localSheetId="21">#REF!</definedName>
    <definedName name="T.1" localSheetId="24">#REF!</definedName>
    <definedName name="T.1" localSheetId="22">#REF!</definedName>
    <definedName name="T.1" localSheetId="20">#REF!</definedName>
    <definedName name="T.1">#REF!</definedName>
    <definedName name="T.10" localSheetId="19">#REF!</definedName>
    <definedName name="T.10" localSheetId="16">#REF!</definedName>
    <definedName name="T.10" localSheetId="15">#REF!</definedName>
    <definedName name="T.10" localSheetId="14">#REF!</definedName>
    <definedName name="T.10" localSheetId="17">#REF!</definedName>
    <definedName name="T.10" localSheetId="18">#REF!</definedName>
    <definedName name="T.10" localSheetId="21">#REF!</definedName>
    <definedName name="T.10" localSheetId="24">#REF!</definedName>
    <definedName name="T.10" localSheetId="22">#REF!</definedName>
    <definedName name="T.10" localSheetId="20">#REF!</definedName>
    <definedName name="T.10">#REF!</definedName>
    <definedName name="T.11" localSheetId="19">#REF!</definedName>
    <definedName name="T.11" localSheetId="16">#REF!</definedName>
    <definedName name="T.11" localSheetId="15">#REF!</definedName>
    <definedName name="T.11" localSheetId="14">#REF!</definedName>
    <definedName name="T.11" localSheetId="17">#REF!</definedName>
    <definedName name="T.11" localSheetId="18">#REF!</definedName>
    <definedName name="T.11" localSheetId="21">#REF!</definedName>
    <definedName name="T.11" localSheetId="24">#REF!</definedName>
    <definedName name="T.11" localSheetId="22">#REF!</definedName>
    <definedName name="T.11" localSheetId="20">#REF!</definedName>
    <definedName name="T.11">#REF!</definedName>
    <definedName name="T.12" localSheetId="19">#REF!</definedName>
    <definedName name="T.12" localSheetId="16">#REF!</definedName>
    <definedName name="T.12" localSheetId="15">#REF!</definedName>
    <definedName name="T.12" localSheetId="14">#REF!</definedName>
    <definedName name="T.12" localSheetId="17">#REF!</definedName>
    <definedName name="T.12" localSheetId="18">#REF!</definedName>
    <definedName name="T.12" localSheetId="21">#REF!</definedName>
    <definedName name="T.12" localSheetId="24">#REF!</definedName>
    <definedName name="T.12" localSheetId="22">#REF!</definedName>
    <definedName name="T.12" localSheetId="20">#REF!</definedName>
    <definedName name="T.12">#REF!</definedName>
    <definedName name="T.13" localSheetId="19">#REF!</definedName>
    <definedName name="T.13" localSheetId="16">#REF!</definedName>
    <definedName name="T.13" localSheetId="15">#REF!</definedName>
    <definedName name="T.13" localSheetId="14">#REF!</definedName>
    <definedName name="T.13" localSheetId="17">#REF!</definedName>
    <definedName name="T.13" localSheetId="18">#REF!</definedName>
    <definedName name="T.13" localSheetId="21">#REF!</definedName>
    <definedName name="T.13" localSheetId="24">#REF!</definedName>
    <definedName name="T.13" localSheetId="22">#REF!</definedName>
    <definedName name="T.13" localSheetId="20">#REF!</definedName>
    <definedName name="T.13">#REF!</definedName>
    <definedName name="T.14" localSheetId="19">#REF!</definedName>
    <definedName name="T.14" localSheetId="16">#REF!</definedName>
    <definedName name="T.14" localSheetId="15">#REF!</definedName>
    <definedName name="T.14" localSheetId="14">#REF!</definedName>
    <definedName name="T.14" localSheetId="17">#REF!</definedName>
    <definedName name="T.14" localSheetId="18">#REF!</definedName>
    <definedName name="T.14" localSheetId="21">#REF!</definedName>
    <definedName name="T.14" localSheetId="24">#REF!</definedName>
    <definedName name="T.14" localSheetId="22">#REF!</definedName>
    <definedName name="T.14" localSheetId="20">#REF!</definedName>
    <definedName name="T.14">#REF!</definedName>
    <definedName name="T.15" localSheetId="19">#REF!</definedName>
    <definedName name="T.15" localSheetId="16">#REF!</definedName>
    <definedName name="T.15" localSheetId="15">#REF!</definedName>
    <definedName name="T.15" localSheetId="14">#REF!</definedName>
    <definedName name="T.15" localSheetId="17">#REF!</definedName>
    <definedName name="T.15" localSheetId="18">#REF!</definedName>
    <definedName name="T.15" localSheetId="21">#REF!</definedName>
    <definedName name="T.15" localSheetId="24">#REF!</definedName>
    <definedName name="T.15" localSheetId="22">#REF!</definedName>
    <definedName name="T.15" localSheetId="20">#REF!</definedName>
    <definedName name="T.15">#REF!</definedName>
    <definedName name="T.2" localSheetId="19">#REF!</definedName>
    <definedName name="T.2" localSheetId="16">#REF!</definedName>
    <definedName name="T.2" localSheetId="15">#REF!</definedName>
    <definedName name="T.2" localSheetId="14">#REF!</definedName>
    <definedName name="T.2" localSheetId="17">#REF!</definedName>
    <definedName name="T.2" localSheetId="18">#REF!</definedName>
    <definedName name="T.2" localSheetId="21">#REF!</definedName>
    <definedName name="T.2" localSheetId="24">#REF!</definedName>
    <definedName name="T.2" localSheetId="22">#REF!</definedName>
    <definedName name="T.2" localSheetId="20">#REF!</definedName>
    <definedName name="T.2">#REF!</definedName>
    <definedName name="T.3" localSheetId="19">#REF!</definedName>
    <definedName name="T.3" localSheetId="16">#REF!</definedName>
    <definedName name="T.3" localSheetId="15">#REF!</definedName>
    <definedName name="T.3" localSheetId="14">#REF!</definedName>
    <definedName name="T.3" localSheetId="17">#REF!</definedName>
    <definedName name="T.3" localSheetId="18">#REF!</definedName>
    <definedName name="T.3" localSheetId="21">#REF!</definedName>
    <definedName name="T.3" localSheetId="24">#REF!</definedName>
    <definedName name="T.3" localSheetId="22">#REF!</definedName>
    <definedName name="T.3" localSheetId="20">#REF!</definedName>
    <definedName name="T.3">#REF!</definedName>
    <definedName name="T.4" localSheetId="19">#REF!</definedName>
    <definedName name="T.4" localSheetId="16">#REF!</definedName>
    <definedName name="T.4" localSheetId="15">#REF!</definedName>
    <definedName name="T.4" localSheetId="14">#REF!</definedName>
    <definedName name="T.4" localSheetId="17">#REF!</definedName>
    <definedName name="T.4" localSheetId="18">#REF!</definedName>
    <definedName name="T.4" localSheetId="21">#REF!</definedName>
    <definedName name="T.4" localSheetId="24">#REF!</definedName>
    <definedName name="T.4" localSheetId="22">#REF!</definedName>
    <definedName name="T.4" localSheetId="20">#REF!</definedName>
    <definedName name="T.4">#REF!</definedName>
    <definedName name="T.5" localSheetId="19">#REF!</definedName>
    <definedName name="T.5" localSheetId="16">#REF!</definedName>
    <definedName name="T.5" localSheetId="15">#REF!</definedName>
    <definedName name="T.5" localSheetId="14">#REF!</definedName>
    <definedName name="T.5" localSheetId="17">#REF!</definedName>
    <definedName name="T.5" localSheetId="18">#REF!</definedName>
    <definedName name="T.5" localSheetId="21">#REF!</definedName>
    <definedName name="T.5" localSheetId="24">#REF!</definedName>
    <definedName name="T.5" localSheetId="22">#REF!</definedName>
    <definedName name="T.5" localSheetId="20">#REF!</definedName>
    <definedName name="T.5">#REF!</definedName>
    <definedName name="T.6" localSheetId="19">#REF!</definedName>
    <definedName name="T.6" localSheetId="16">#REF!</definedName>
    <definedName name="T.6" localSheetId="15">#REF!</definedName>
    <definedName name="T.6" localSheetId="14">#REF!</definedName>
    <definedName name="T.6" localSheetId="17">#REF!</definedName>
    <definedName name="T.6" localSheetId="18">#REF!</definedName>
    <definedName name="T.6" localSheetId="21">#REF!</definedName>
    <definedName name="T.6" localSheetId="24">#REF!</definedName>
    <definedName name="T.6" localSheetId="22">#REF!</definedName>
    <definedName name="T.6" localSheetId="20">#REF!</definedName>
    <definedName name="T.6">#REF!</definedName>
    <definedName name="T.7" localSheetId="19">#REF!</definedName>
    <definedName name="T.7" localSheetId="16">#REF!</definedName>
    <definedName name="T.7" localSheetId="15">#REF!</definedName>
    <definedName name="T.7" localSheetId="14">#REF!</definedName>
    <definedName name="T.7" localSheetId="17">#REF!</definedName>
    <definedName name="T.7" localSheetId="18">#REF!</definedName>
    <definedName name="T.7" localSheetId="21">#REF!</definedName>
    <definedName name="T.7" localSheetId="24">#REF!</definedName>
    <definedName name="T.7" localSheetId="22">#REF!</definedName>
    <definedName name="T.7" localSheetId="20">#REF!</definedName>
    <definedName name="T.7">#REF!</definedName>
    <definedName name="T.8" localSheetId="19">#REF!</definedName>
    <definedName name="T.8" localSheetId="16">#REF!</definedName>
    <definedName name="T.8" localSheetId="15">#REF!</definedName>
    <definedName name="T.8" localSheetId="14">#REF!</definedName>
    <definedName name="T.8" localSheetId="17">#REF!</definedName>
    <definedName name="T.8" localSheetId="18">#REF!</definedName>
    <definedName name="T.8" localSheetId="21">#REF!</definedName>
    <definedName name="T.8" localSheetId="24">#REF!</definedName>
    <definedName name="T.8" localSheetId="22">#REF!</definedName>
    <definedName name="T.8" localSheetId="20">#REF!</definedName>
    <definedName name="T.8">#REF!</definedName>
    <definedName name="T.9" localSheetId="19">#REF!</definedName>
    <definedName name="T.9" localSheetId="16">#REF!</definedName>
    <definedName name="T.9" localSheetId="15">#REF!</definedName>
    <definedName name="T.9" localSheetId="14">#REF!</definedName>
    <definedName name="T.9" localSheetId="17">#REF!</definedName>
    <definedName name="T.9" localSheetId="18">#REF!</definedName>
    <definedName name="T.9" localSheetId="21">#REF!</definedName>
    <definedName name="T.9" localSheetId="24">#REF!</definedName>
    <definedName name="T.9" localSheetId="22">#REF!</definedName>
    <definedName name="T.9" localSheetId="20">#REF!</definedName>
    <definedName name="T.9">#REF!</definedName>
    <definedName name="tabta" hidden="1">{#N/A,#N/A,FALSE,"Aging Summary";#N/A,#N/A,FALSE,"Ratio Analysis";#N/A,#N/A,FALSE,"Test 120 Day Accts";#N/A,#N/A,FALSE,"Tickmarks"}</definedName>
    <definedName name="tabta_1" hidden="1">{#N/A,#N/A,FALSE,"Aging Summary";#N/A,#N/A,FALSE,"Ratio Analysis";#N/A,#N/A,FALSE,"Test 120 Day Accts";#N/A,#N/A,FALSE,"Tickmarks"}</definedName>
    <definedName name="Tachas" hidden="1">{#N/A,#N/A,TRUE,"Plan1"}</definedName>
    <definedName name="TaxaManut">#REF!</definedName>
    <definedName name="TBdbName" hidden="1">"88D5BF544BE111D2B8C5006097494125.mdb"</definedName>
    <definedName name="TextRefCopyRangeCount" hidden="1">69</definedName>
    <definedName name="TOT" localSheetId="19" hidden="1">#REF!</definedName>
    <definedName name="TOT" localSheetId="16" hidden="1">#REF!</definedName>
    <definedName name="TOT" localSheetId="15" hidden="1">#REF!</definedName>
    <definedName name="TOT" localSheetId="14" hidden="1">#REF!</definedName>
    <definedName name="TOT" localSheetId="17" hidden="1">#REF!</definedName>
    <definedName name="TOT" localSheetId="18" hidden="1">#REF!</definedName>
    <definedName name="TOT" localSheetId="21" hidden="1">#REF!</definedName>
    <definedName name="TOT" localSheetId="24" hidden="1">#REF!</definedName>
    <definedName name="TOT" localSheetId="22" hidden="1">#REF!</definedName>
    <definedName name="TOT" localSheetId="20" hidden="1">#REF!</definedName>
    <definedName name="TOT" hidden="1">#REF!</definedName>
    <definedName name="TOT.P" localSheetId="19">#REF!</definedName>
    <definedName name="TOT.P" localSheetId="16">#REF!</definedName>
    <definedName name="TOT.P" localSheetId="15">#REF!</definedName>
    <definedName name="TOT.P" localSheetId="14">#REF!</definedName>
    <definedName name="TOT.P" localSheetId="17">#REF!</definedName>
    <definedName name="TOT.P" localSheetId="18">#REF!</definedName>
    <definedName name="TOT.P" localSheetId="21">#REF!</definedName>
    <definedName name="TOT.P" localSheetId="24">#REF!</definedName>
    <definedName name="TOT.P" localSheetId="22">#REF!</definedName>
    <definedName name="TOT.P" localSheetId="20">#REF!</definedName>
    <definedName name="TOT.P">#REF!</definedName>
    <definedName name="TOT1.P" localSheetId="19">#REF!</definedName>
    <definedName name="TOT1.P" localSheetId="16">#REF!</definedName>
    <definedName name="TOT1.P" localSheetId="15">#REF!</definedName>
    <definedName name="TOT1.P" localSheetId="14">#REF!</definedName>
    <definedName name="TOT1.P" localSheetId="17">#REF!</definedName>
    <definedName name="TOT1.P" localSheetId="18">#REF!</definedName>
    <definedName name="TOT1.P" localSheetId="21">#REF!</definedName>
    <definedName name="TOT1.P" localSheetId="24">#REF!</definedName>
    <definedName name="TOT1.P" localSheetId="22">#REF!</definedName>
    <definedName name="TOT1.P" localSheetId="20">#REF!</definedName>
    <definedName name="TOT1.P">#REF!</definedName>
    <definedName name="Total1.1" localSheetId="19">#REF!</definedName>
    <definedName name="Total1.1" localSheetId="16">#REF!</definedName>
    <definedName name="Total1.1" localSheetId="15">#REF!</definedName>
    <definedName name="Total1.1" localSheetId="14">#REF!</definedName>
    <definedName name="Total1.1" localSheetId="17">#REF!</definedName>
    <definedName name="Total1.1" localSheetId="18">#REF!</definedName>
    <definedName name="Total1.1" localSheetId="21">#REF!</definedName>
    <definedName name="Total1.1" localSheetId="24">#REF!</definedName>
    <definedName name="Total1.1" localSheetId="22">#REF!</definedName>
    <definedName name="Total1.1" localSheetId="20">#REF!</definedName>
    <definedName name="Total1.1">#REF!</definedName>
    <definedName name="Total1.10" localSheetId="19">#REF!</definedName>
    <definedName name="Total1.10" localSheetId="16">#REF!</definedName>
    <definedName name="Total1.10" localSheetId="15">#REF!</definedName>
    <definedName name="Total1.10" localSheetId="14">#REF!</definedName>
    <definedName name="Total1.10" localSheetId="17">#REF!</definedName>
    <definedName name="Total1.10" localSheetId="18">#REF!</definedName>
    <definedName name="Total1.10" localSheetId="21">#REF!</definedName>
    <definedName name="Total1.10" localSheetId="24">#REF!</definedName>
    <definedName name="Total1.10" localSheetId="22">#REF!</definedName>
    <definedName name="Total1.10" localSheetId="20">#REF!</definedName>
    <definedName name="Total1.10">#REF!</definedName>
    <definedName name="Total1.11" localSheetId="19">#REF!</definedName>
    <definedName name="Total1.11" localSheetId="16">#REF!</definedName>
    <definedName name="Total1.11" localSheetId="15">#REF!</definedName>
    <definedName name="Total1.11" localSheetId="14">#REF!</definedName>
    <definedName name="Total1.11" localSheetId="17">#REF!</definedName>
    <definedName name="Total1.11" localSheetId="18">#REF!</definedName>
    <definedName name="Total1.11" localSheetId="21">#REF!</definedName>
    <definedName name="Total1.11" localSheetId="24">#REF!</definedName>
    <definedName name="Total1.11" localSheetId="22">#REF!</definedName>
    <definedName name="Total1.11" localSheetId="20">#REF!</definedName>
    <definedName name="Total1.11">#REF!</definedName>
    <definedName name="Total1.12" localSheetId="19">#REF!</definedName>
    <definedName name="Total1.12" localSheetId="16">#REF!</definedName>
    <definedName name="Total1.12" localSheetId="15">#REF!</definedName>
    <definedName name="Total1.12" localSheetId="14">#REF!</definedName>
    <definedName name="Total1.12" localSheetId="17">#REF!</definedName>
    <definedName name="Total1.12" localSheetId="18">#REF!</definedName>
    <definedName name="Total1.12" localSheetId="21">#REF!</definedName>
    <definedName name="Total1.12" localSheetId="24">#REF!</definedName>
    <definedName name="Total1.12" localSheetId="22">#REF!</definedName>
    <definedName name="Total1.12" localSheetId="20">#REF!</definedName>
    <definedName name="Total1.12">#REF!</definedName>
    <definedName name="Total1.2" localSheetId="19">#REF!</definedName>
    <definedName name="Total1.2" localSheetId="16">#REF!</definedName>
    <definedName name="Total1.2" localSheetId="15">#REF!</definedName>
    <definedName name="Total1.2" localSheetId="14">#REF!</definedName>
    <definedName name="Total1.2" localSheetId="17">#REF!</definedName>
    <definedName name="Total1.2" localSheetId="18">#REF!</definedName>
    <definedName name="Total1.2" localSheetId="21">#REF!</definedName>
    <definedName name="Total1.2" localSheetId="24">#REF!</definedName>
    <definedName name="Total1.2" localSheetId="22">#REF!</definedName>
    <definedName name="Total1.2" localSheetId="20">#REF!</definedName>
    <definedName name="Total1.2">#REF!</definedName>
    <definedName name="Total1.3" localSheetId="19">#REF!</definedName>
    <definedName name="Total1.3" localSheetId="16">#REF!</definedName>
    <definedName name="Total1.3" localSheetId="15">#REF!</definedName>
    <definedName name="Total1.3" localSheetId="14">#REF!</definedName>
    <definedName name="Total1.3" localSheetId="17">#REF!</definedName>
    <definedName name="Total1.3" localSheetId="18">#REF!</definedName>
    <definedName name="Total1.3" localSheetId="21">#REF!</definedName>
    <definedName name="Total1.3" localSheetId="24">#REF!</definedName>
    <definedName name="Total1.3" localSheetId="22">#REF!</definedName>
    <definedName name="Total1.3" localSheetId="20">#REF!</definedName>
    <definedName name="Total1.3">#REF!</definedName>
    <definedName name="Total1.4" localSheetId="19">#REF!</definedName>
    <definedName name="Total1.4" localSheetId="16">#REF!</definedName>
    <definedName name="Total1.4" localSheetId="15">#REF!</definedName>
    <definedName name="Total1.4" localSheetId="14">#REF!</definedName>
    <definedName name="Total1.4" localSheetId="17">#REF!</definedName>
    <definedName name="Total1.4" localSheetId="18">#REF!</definedName>
    <definedName name="Total1.4" localSheetId="21">#REF!</definedName>
    <definedName name="Total1.4" localSheetId="24">#REF!</definedName>
    <definedName name="Total1.4" localSheetId="22">#REF!</definedName>
    <definedName name="Total1.4" localSheetId="20">#REF!</definedName>
    <definedName name="Total1.4">#REF!</definedName>
    <definedName name="Total1.5" localSheetId="19">#REF!</definedName>
    <definedName name="Total1.5" localSheetId="16">#REF!</definedName>
    <definedName name="Total1.5" localSheetId="15">#REF!</definedName>
    <definedName name="Total1.5" localSheetId="14">#REF!</definedName>
    <definedName name="Total1.5" localSheetId="17">#REF!</definedName>
    <definedName name="Total1.5" localSheetId="18">#REF!</definedName>
    <definedName name="Total1.5" localSheetId="21">#REF!</definedName>
    <definedName name="Total1.5" localSheetId="24">#REF!</definedName>
    <definedName name="Total1.5" localSheetId="22">#REF!</definedName>
    <definedName name="Total1.5" localSheetId="20">#REF!</definedName>
    <definedName name="Total1.5">#REF!</definedName>
    <definedName name="Total1.6" localSheetId="19">#REF!</definedName>
    <definedName name="Total1.6" localSheetId="16">#REF!</definedName>
    <definedName name="Total1.6" localSheetId="15">#REF!</definedName>
    <definedName name="Total1.6" localSheetId="14">#REF!</definedName>
    <definedName name="Total1.6" localSheetId="17">#REF!</definedName>
    <definedName name="Total1.6" localSheetId="18">#REF!</definedName>
    <definedName name="Total1.6" localSheetId="21">#REF!</definedName>
    <definedName name="Total1.6" localSheetId="24">#REF!</definedName>
    <definedName name="Total1.6" localSheetId="22">#REF!</definedName>
    <definedName name="Total1.6" localSheetId="20">#REF!</definedName>
    <definedName name="Total1.6">#REF!</definedName>
    <definedName name="Total1.7" localSheetId="19">#REF!</definedName>
    <definedName name="Total1.7" localSheetId="16">#REF!</definedName>
    <definedName name="Total1.7" localSheetId="15">#REF!</definedName>
    <definedName name="Total1.7" localSheetId="14">#REF!</definedName>
    <definedName name="Total1.7" localSheetId="17">#REF!</definedName>
    <definedName name="Total1.7" localSheetId="18">#REF!</definedName>
    <definedName name="Total1.7" localSheetId="21">#REF!</definedName>
    <definedName name="Total1.7" localSheetId="24">#REF!</definedName>
    <definedName name="Total1.7" localSheetId="22">#REF!</definedName>
    <definedName name="Total1.7" localSheetId="20">#REF!</definedName>
    <definedName name="Total1.7">#REF!</definedName>
    <definedName name="Total1.8" localSheetId="19">#REF!</definedName>
    <definedName name="Total1.8" localSheetId="16">#REF!</definedName>
    <definedName name="Total1.8" localSheetId="15">#REF!</definedName>
    <definedName name="Total1.8" localSheetId="14">#REF!</definedName>
    <definedName name="Total1.8" localSheetId="17">#REF!</definedName>
    <definedName name="Total1.8" localSheetId="18">#REF!</definedName>
    <definedName name="Total1.8" localSheetId="21">#REF!</definedName>
    <definedName name="Total1.8" localSheetId="24">#REF!</definedName>
    <definedName name="Total1.8" localSheetId="22">#REF!</definedName>
    <definedName name="Total1.8" localSheetId="20">#REF!</definedName>
    <definedName name="Total1.8">#REF!</definedName>
    <definedName name="Total1.9" localSheetId="19">#REF!</definedName>
    <definedName name="Total1.9" localSheetId="16">#REF!</definedName>
    <definedName name="Total1.9" localSheetId="15">#REF!</definedName>
    <definedName name="Total1.9" localSheetId="14">#REF!</definedName>
    <definedName name="Total1.9" localSheetId="17">#REF!</definedName>
    <definedName name="Total1.9" localSheetId="18">#REF!</definedName>
    <definedName name="Total1.9" localSheetId="21">#REF!</definedName>
    <definedName name="Total1.9" localSheetId="24">#REF!</definedName>
    <definedName name="Total1.9" localSheetId="22">#REF!</definedName>
    <definedName name="Total1.9" localSheetId="20">#REF!</definedName>
    <definedName name="Total1.9">#REF!</definedName>
    <definedName name="Total2.1" localSheetId="19">#REF!</definedName>
    <definedName name="Total2.1" localSheetId="16">#REF!</definedName>
    <definedName name="Total2.1" localSheetId="15">#REF!</definedName>
    <definedName name="Total2.1" localSheetId="14">#REF!</definedName>
    <definedName name="Total2.1" localSheetId="17">#REF!</definedName>
    <definedName name="Total2.1" localSheetId="18">#REF!</definedName>
    <definedName name="Total2.1" localSheetId="21">#REF!</definedName>
    <definedName name="Total2.1" localSheetId="24">#REF!</definedName>
    <definedName name="Total2.1" localSheetId="22">#REF!</definedName>
    <definedName name="Total2.1" localSheetId="20">#REF!</definedName>
    <definedName name="Total2.1">#REF!</definedName>
    <definedName name="Total2.10" localSheetId="19">#REF!</definedName>
    <definedName name="Total2.10" localSheetId="16">#REF!</definedName>
    <definedName name="Total2.10" localSheetId="15">#REF!</definedName>
    <definedName name="Total2.10" localSheetId="14">#REF!</definedName>
    <definedName name="Total2.10" localSheetId="17">#REF!</definedName>
    <definedName name="Total2.10" localSheetId="18">#REF!</definedName>
    <definedName name="Total2.10" localSheetId="21">#REF!</definedName>
    <definedName name="Total2.10" localSheetId="24">#REF!</definedName>
    <definedName name="Total2.10" localSheetId="22">#REF!</definedName>
    <definedName name="Total2.10" localSheetId="20">#REF!</definedName>
    <definedName name="Total2.10">#REF!</definedName>
    <definedName name="Total2.11" localSheetId="19">#REF!</definedName>
    <definedName name="Total2.11" localSheetId="16">#REF!</definedName>
    <definedName name="Total2.11" localSheetId="15">#REF!</definedName>
    <definedName name="Total2.11" localSheetId="14">#REF!</definedName>
    <definedName name="Total2.11" localSheetId="17">#REF!</definedName>
    <definedName name="Total2.11" localSheetId="18">#REF!</definedName>
    <definedName name="Total2.11" localSheetId="21">#REF!</definedName>
    <definedName name="Total2.11" localSheetId="24">#REF!</definedName>
    <definedName name="Total2.11" localSheetId="22">#REF!</definedName>
    <definedName name="Total2.11" localSheetId="20">#REF!</definedName>
    <definedName name="Total2.11">#REF!</definedName>
    <definedName name="Total2.12" localSheetId="19">#REF!</definedName>
    <definedName name="Total2.12" localSheetId="16">#REF!</definedName>
    <definedName name="Total2.12" localSheetId="15">#REF!</definedName>
    <definedName name="Total2.12" localSheetId="14">#REF!</definedName>
    <definedName name="Total2.12" localSheetId="17">#REF!</definedName>
    <definedName name="Total2.12" localSheetId="18">#REF!</definedName>
    <definedName name="Total2.12" localSheetId="21">#REF!</definedName>
    <definedName name="Total2.12" localSheetId="24">#REF!</definedName>
    <definedName name="Total2.12" localSheetId="22">#REF!</definedName>
    <definedName name="Total2.12" localSheetId="20">#REF!</definedName>
    <definedName name="Total2.12">#REF!</definedName>
    <definedName name="Total2.13" localSheetId="19">#REF!</definedName>
    <definedName name="Total2.13" localSheetId="16">#REF!</definedName>
    <definedName name="Total2.13" localSheetId="15">#REF!</definedName>
    <definedName name="Total2.13" localSheetId="14">#REF!</definedName>
    <definedName name="Total2.13" localSheetId="17">#REF!</definedName>
    <definedName name="Total2.13" localSheetId="18">#REF!</definedName>
    <definedName name="Total2.13" localSheetId="21">#REF!</definedName>
    <definedName name="Total2.13" localSheetId="24">#REF!</definedName>
    <definedName name="Total2.13" localSheetId="22">#REF!</definedName>
    <definedName name="Total2.13" localSheetId="20">#REF!</definedName>
    <definedName name="Total2.13">#REF!</definedName>
    <definedName name="Total2.14" localSheetId="19">#REF!</definedName>
    <definedName name="Total2.14" localSheetId="16">#REF!</definedName>
    <definedName name="Total2.14" localSheetId="15">#REF!</definedName>
    <definedName name="Total2.14" localSheetId="14">#REF!</definedName>
    <definedName name="Total2.14" localSheetId="17">#REF!</definedName>
    <definedName name="Total2.14" localSheetId="18">#REF!</definedName>
    <definedName name="Total2.14" localSheetId="21">#REF!</definedName>
    <definedName name="Total2.14" localSheetId="24">#REF!</definedName>
    <definedName name="Total2.14" localSheetId="22">#REF!</definedName>
    <definedName name="Total2.14" localSheetId="20">#REF!</definedName>
    <definedName name="Total2.14">#REF!</definedName>
    <definedName name="Total2.15" localSheetId="19">#REF!</definedName>
    <definedName name="Total2.15" localSheetId="16">#REF!</definedName>
    <definedName name="Total2.15" localSheetId="15">#REF!</definedName>
    <definedName name="Total2.15" localSheetId="14">#REF!</definedName>
    <definedName name="Total2.15" localSheetId="17">#REF!</definedName>
    <definedName name="Total2.15" localSheetId="18">#REF!</definedName>
    <definedName name="Total2.15" localSheetId="21">#REF!</definedName>
    <definedName name="Total2.15" localSheetId="24">#REF!</definedName>
    <definedName name="Total2.15" localSheetId="22">#REF!</definedName>
    <definedName name="Total2.15" localSheetId="20">#REF!</definedName>
    <definedName name="Total2.15">#REF!</definedName>
    <definedName name="Total2.16" localSheetId="19">#REF!</definedName>
    <definedName name="Total2.16" localSheetId="16">#REF!</definedName>
    <definedName name="Total2.16" localSheetId="15">#REF!</definedName>
    <definedName name="Total2.16" localSheetId="14">#REF!</definedName>
    <definedName name="Total2.16" localSheetId="17">#REF!</definedName>
    <definedName name="Total2.16" localSheetId="18">#REF!</definedName>
    <definedName name="Total2.16" localSheetId="21">#REF!</definedName>
    <definedName name="Total2.16" localSheetId="24">#REF!</definedName>
    <definedName name="Total2.16" localSheetId="22">#REF!</definedName>
    <definedName name="Total2.16" localSheetId="20">#REF!</definedName>
    <definedName name="Total2.16">#REF!</definedName>
    <definedName name="Total2.17" localSheetId="19">#REF!</definedName>
    <definedName name="Total2.17" localSheetId="16">#REF!</definedName>
    <definedName name="Total2.17" localSheetId="15">#REF!</definedName>
    <definedName name="Total2.17" localSheetId="14">#REF!</definedName>
    <definedName name="Total2.17" localSheetId="17">#REF!</definedName>
    <definedName name="Total2.17" localSheetId="18">#REF!</definedName>
    <definedName name="Total2.17" localSheetId="21">#REF!</definedName>
    <definedName name="Total2.17" localSheetId="24">#REF!</definedName>
    <definedName name="Total2.17" localSheetId="22">#REF!</definedName>
    <definedName name="Total2.17" localSheetId="20">#REF!</definedName>
    <definedName name="Total2.17">#REF!</definedName>
    <definedName name="Total2.18" localSheetId="19">#REF!</definedName>
    <definedName name="Total2.18" localSheetId="16">#REF!</definedName>
    <definedName name="Total2.18" localSheetId="15">#REF!</definedName>
    <definedName name="Total2.18" localSheetId="14">#REF!</definedName>
    <definedName name="Total2.18" localSheetId="17">#REF!</definedName>
    <definedName name="Total2.18" localSheetId="18">#REF!</definedName>
    <definedName name="Total2.18" localSheetId="21">#REF!</definedName>
    <definedName name="Total2.18" localSheetId="24">#REF!</definedName>
    <definedName name="Total2.18" localSheetId="22">#REF!</definedName>
    <definedName name="Total2.18" localSheetId="20">#REF!</definedName>
    <definedName name="Total2.18">#REF!</definedName>
    <definedName name="Total2.2" localSheetId="19">#REF!</definedName>
    <definedName name="Total2.2" localSheetId="16">#REF!</definedName>
    <definedName name="Total2.2" localSheetId="15">#REF!</definedName>
    <definedName name="Total2.2" localSheetId="14">#REF!</definedName>
    <definedName name="Total2.2" localSheetId="17">#REF!</definedName>
    <definedName name="Total2.2" localSheetId="18">#REF!</definedName>
    <definedName name="Total2.2" localSheetId="21">#REF!</definedName>
    <definedName name="Total2.2" localSheetId="24">#REF!</definedName>
    <definedName name="Total2.2" localSheetId="22">#REF!</definedName>
    <definedName name="Total2.2" localSheetId="20">#REF!</definedName>
    <definedName name="Total2.2">#REF!</definedName>
    <definedName name="Total2.3" localSheetId="19">#REF!</definedName>
    <definedName name="Total2.3" localSheetId="16">#REF!</definedName>
    <definedName name="Total2.3" localSheetId="15">#REF!</definedName>
    <definedName name="Total2.3" localSheetId="14">#REF!</definedName>
    <definedName name="Total2.3" localSheetId="17">#REF!</definedName>
    <definedName name="Total2.3" localSheetId="18">#REF!</definedName>
    <definedName name="Total2.3" localSheetId="21">#REF!</definedName>
    <definedName name="Total2.3" localSheetId="24">#REF!</definedName>
    <definedName name="Total2.3" localSheetId="22">#REF!</definedName>
    <definedName name="Total2.3" localSheetId="20">#REF!</definedName>
    <definedName name="Total2.3">#REF!</definedName>
    <definedName name="Total2.4" localSheetId="19">#REF!</definedName>
    <definedName name="Total2.4" localSheetId="16">#REF!</definedName>
    <definedName name="Total2.4" localSheetId="15">#REF!</definedName>
    <definedName name="Total2.4" localSheetId="14">#REF!</definedName>
    <definedName name="Total2.4" localSheetId="17">#REF!</definedName>
    <definedName name="Total2.4" localSheetId="18">#REF!</definedName>
    <definedName name="Total2.4" localSheetId="21">#REF!</definedName>
    <definedName name="Total2.4" localSheetId="24">#REF!</definedName>
    <definedName name="Total2.4" localSheetId="22">#REF!</definedName>
    <definedName name="Total2.4" localSheetId="20">#REF!</definedName>
    <definedName name="Total2.4">#REF!</definedName>
    <definedName name="Total2.5" localSheetId="19">#REF!</definedName>
    <definedName name="Total2.5" localSheetId="16">#REF!</definedName>
    <definedName name="Total2.5" localSheetId="15">#REF!</definedName>
    <definedName name="Total2.5" localSheetId="14">#REF!</definedName>
    <definedName name="Total2.5" localSheetId="17">#REF!</definedName>
    <definedName name="Total2.5" localSheetId="18">#REF!</definedName>
    <definedName name="Total2.5" localSheetId="21">#REF!</definedName>
    <definedName name="Total2.5" localSheetId="24">#REF!</definedName>
    <definedName name="Total2.5" localSheetId="22">#REF!</definedName>
    <definedName name="Total2.5" localSheetId="20">#REF!</definedName>
    <definedName name="Total2.5">#REF!</definedName>
    <definedName name="Total2.6" localSheetId="19">#REF!</definedName>
    <definedName name="Total2.6" localSheetId="16">#REF!</definedName>
    <definedName name="Total2.6" localSheetId="15">#REF!</definedName>
    <definedName name="Total2.6" localSheetId="14">#REF!</definedName>
    <definedName name="Total2.6" localSheetId="17">#REF!</definedName>
    <definedName name="Total2.6" localSheetId="18">#REF!</definedName>
    <definedName name="Total2.6" localSheetId="21">#REF!</definedName>
    <definedName name="Total2.6" localSheetId="24">#REF!</definedName>
    <definedName name="Total2.6" localSheetId="22">#REF!</definedName>
    <definedName name="Total2.6" localSheetId="20">#REF!</definedName>
    <definedName name="Total2.6">#REF!</definedName>
    <definedName name="Total2.7" localSheetId="19">#REF!</definedName>
    <definedName name="Total2.7" localSheetId="16">#REF!</definedName>
    <definedName name="Total2.7" localSheetId="15">#REF!</definedName>
    <definedName name="Total2.7" localSheetId="14">#REF!</definedName>
    <definedName name="Total2.7" localSheetId="17">#REF!</definedName>
    <definedName name="Total2.7" localSheetId="18">#REF!</definedName>
    <definedName name="Total2.7" localSheetId="21">#REF!</definedName>
    <definedName name="Total2.7" localSheetId="24">#REF!</definedName>
    <definedName name="Total2.7" localSheetId="22">#REF!</definedName>
    <definedName name="Total2.7" localSheetId="20">#REF!</definedName>
    <definedName name="Total2.7">#REF!</definedName>
    <definedName name="Total2.8" localSheetId="19">#REF!</definedName>
    <definedName name="Total2.8" localSheetId="16">#REF!</definedName>
    <definedName name="Total2.8" localSheetId="15">#REF!</definedName>
    <definedName name="Total2.8" localSheetId="14">#REF!</definedName>
    <definedName name="Total2.8" localSheetId="17">#REF!</definedName>
    <definedName name="Total2.8" localSheetId="18">#REF!</definedName>
    <definedName name="Total2.8" localSheetId="21">#REF!</definedName>
    <definedName name="Total2.8" localSheetId="24">#REF!</definedName>
    <definedName name="Total2.8" localSheetId="22">#REF!</definedName>
    <definedName name="Total2.8" localSheetId="20">#REF!</definedName>
    <definedName name="Total2.8">#REF!</definedName>
    <definedName name="Total2.9" localSheetId="19">#REF!</definedName>
    <definedName name="Total2.9" localSheetId="16">#REF!</definedName>
    <definedName name="Total2.9" localSheetId="15">#REF!</definedName>
    <definedName name="Total2.9" localSheetId="14">#REF!</definedName>
    <definedName name="Total2.9" localSheetId="17">#REF!</definedName>
    <definedName name="Total2.9" localSheetId="18">#REF!</definedName>
    <definedName name="Total2.9" localSheetId="21">#REF!</definedName>
    <definedName name="Total2.9" localSheetId="24">#REF!</definedName>
    <definedName name="Total2.9" localSheetId="22">#REF!</definedName>
    <definedName name="Total2.9" localSheetId="20">#REF!</definedName>
    <definedName name="Total2.9">#REF!</definedName>
    <definedName name="Total3.1" localSheetId="19">#REF!</definedName>
    <definedName name="Total3.1" localSheetId="16">#REF!</definedName>
    <definedName name="Total3.1" localSheetId="15">#REF!</definedName>
    <definedName name="Total3.1" localSheetId="14">#REF!</definedName>
    <definedName name="Total3.1" localSheetId="17">#REF!</definedName>
    <definedName name="Total3.1" localSheetId="18">#REF!</definedName>
    <definedName name="Total3.1" localSheetId="21">#REF!</definedName>
    <definedName name="Total3.1" localSheetId="24">#REF!</definedName>
    <definedName name="Total3.1" localSheetId="22">#REF!</definedName>
    <definedName name="Total3.1" localSheetId="20">#REF!</definedName>
    <definedName name="Total3.1">#REF!</definedName>
    <definedName name="Total3.2" localSheetId="19">#REF!</definedName>
    <definedName name="Total3.2" localSheetId="16">#REF!</definedName>
    <definedName name="Total3.2" localSheetId="15">#REF!</definedName>
    <definedName name="Total3.2" localSheetId="14">#REF!</definedName>
    <definedName name="Total3.2" localSheetId="17">#REF!</definedName>
    <definedName name="Total3.2" localSheetId="18">#REF!</definedName>
    <definedName name="Total3.2" localSheetId="21">#REF!</definedName>
    <definedName name="Total3.2" localSheetId="24">#REF!</definedName>
    <definedName name="Total3.2" localSheetId="22">#REF!</definedName>
    <definedName name="Total3.2" localSheetId="20">#REF!</definedName>
    <definedName name="Total3.2">#REF!</definedName>
    <definedName name="Total3.3" localSheetId="19">#REF!</definedName>
    <definedName name="Total3.3" localSheetId="16">#REF!</definedName>
    <definedName name="Total3.3" localSheetId="15">#REF!</definedName>
    <definedName name="Total3.3" localSheetId="14">#REF!</definedName>
    <definedName name="Total3.3" localSheetId="17">#REF!</definedName>
    <definedName name="Total3.3" localSheetId="18">#REF!</definedName>
    <definedName name="Total3.3" localSheetId="21">#REF!</definedName>
    <definedName name="Total3.3" localSheetId="24">#REF!</definedName>
    <definedName name="Total3.3" localSheetId="22">#REF!</definedName>
    <definedName name="Total3.3" localSheetId="20">#REF!</definedName>
    <definedName name="Total3.3">#REF!</definedName>
    <definedName name="Total3.4" localSheetId="19">#REF!</definedName>
    <definedName name="Total3.4" localSheetId="16">#REF!</definedName>
    <definedName name="Total3.4" localSheetId="15">#REF!</definedName>
    <definedName name="Total3.4" localSheetId="14">#REF!</definedName>
    <definedName name="Total3.4" localSheetId="17">#REF!</definedName>
    <definedName name="Total3.4" localSheetId="18">#REF!</definedName>
    <definedName name="Total3.4" localSheetId="21">#REF!</definedName>
    <definedName name="Total3.4" localSheetId="24">#REF!</definedName>
    <definedName name="Total3.4" localSheetId="22">#REF!</definedName>
    <definedName name="Total3.4" localSheetId="20">#REF!</definedName>
    <definedName name="Total3.4">#REF!</definedName>
    <definedName name="Totalb1.1" localSheetId="19">#REF!</definedName>
    <definedName name="Totalb1.1" localSheetId="16">#REF!</definedName>
    <definedName name="Totalb1.1" localSheetId="15">#REF!</definedName>
    <definedName name="Totalb1.1" localSheetId="14">#REF!</definedName>
    <definedName name="Totalb1.1" localSheetId="17">#REF!</definedName>
    <definedName name="Totalb1.1" localSheetId="18">#REF!</definedName>
    <definedName name="Totalb1.1" localSheetId="21">#REF!</definedName>
    <definedName name="Totalb1.1" localSheetId="24">#REF!</definedName>
    <definedName name="Totalb1.1" localSheetId="22">#REF!</definedName>
    <definedName name="Totalb1.1" localSheetId="20">#REF!</definedName>
    <definedName name="Totalb1.1">#REF!</definedName>
    <definedName name="Totalb1.2" localSheetId="19">#REF!</definedName>
    <definedName name="Totalb1.2" localSheetId="16">#REF!</definedName>
    <definedName name="Totalb1.2" localSheetId="15">#REF!</definedName>
    <definedName name="Totalb1.2" localSheetId="14">#REF!</definedName>
    <definedName name="Totalb1.2" localSheetId="17">#REF!</definedName>
    <definedName name="Totalb1.2" localSheetId="18">#REF!</definedName>
    <definedName name="Totalb1.2" localSheetId="21">#REF!</definedName>
    <definedName name="Totalb1.2" localSheetId="24">#REF!</definedName>
    <definedName name="Totalb1.2" localSheetId="22">#REF!</definedName>
    <definedName name="Totalb1.2" localSheetId="20">#REF!</definedName>
    <definedName name="Totalb1.2">#REF!</definedName>
    <definedName name="Totalb1.3" localSheetId="19">#REF!</definedName>
    <definedName name="Totalb1.3" localSheetId="16">#REF!</definedName>
    <definedName name="Totalb1.3" localSheetId="15">#REF!</definedName>
    <definedName name="Totalb1.3" localSheetId="14">#REF!</definedName>
    <definedName name="Totalb1.3" localSheetId="17">#REF!</definedName>
    <definedName name="Totalb1.3" localSheetId="18">#REF!</definedName>
    <definedName name="Totalb1.3" localSheetId="21">#REF!</definedName>
    <definedName name="Totalb1.3" localSheetId="24">#REF!</definedName>
    <definedName name="Totalb1.3" localSheetId="22">#REF!</definedName>
    <definedName name="Totalb1.3" localSheetId="20">#REF!</definedName>
    <definedName name="Totalb1.3">#REF!</definedName>
    <definedName name="Totalb1.4" localSheetId="19">#REF!</definedName>
    <definedName name="Totalb1.4" localSheetId="16">#REF!</definedName>
    <definedName name="Totalb1.4" localSheetId="15">#REF!</definedName>
    <definedName name="Totalb1.4" localSheetId="14">#REF!</definedName>
    <definedName name="Totalb1.4" localSheetId="17">#REF!</definedName>
    <definedName name="Totalb1.4" localSheetId="18">#REF!</definedName>
    <definedName name="Totalb1.4" localSheetId="21">#REF!</definedName>
    <definedName name="Totalb1.4" localSheetId="24">#REF!</definedName>
    <definedName name="Totalb1.4" localSheetId="22">#REF!</definedName>
    <definedName name="Totalb1.4" localSheetId="20">#REF!</definedName>
    <definedName name="Totalb1.4">#REF!</definedName>
    <definedName name="Totalb1.5" localSheetId="19">#REF!</definedName>
    <definedName name="Totalb1.5" localSheetId="16">#REF!</definedName>
    <definedName name="Totalb1.5" localSheetId="15">#REF!</definedName>
    <definedName name="Totalb1.5" localSheetId="14">#REF!</definedName>
    <definedName name="Totalb1.5" localSheetId="17">#REF!</definedName>
    <definedName name="Totalb1.5" localSheetId="18">#REF!</definedName>
    <definedName name="Totalb1.5" localSheetId="21">#REF!</definedName>
    <definedName name="Totalb1.5" localSheetId="24">#REF!</definedName>
    <definedName name="Totalb1.5" localSheetId="22">#REF!</definedName>
    <definedName name="Totalb1.5" localSheetId="20">#REF!</definedName>
    <definedName name="Totalb1.5">#REF!</definedName>
    <definedName name="Totalb1.6" localSheetId="19">#REF!</definedName>
    <definedName name="Totalb1.6" localSheetId="16">#REF!</definedName>
    <definedName name="Totalb1.6" localSheetId="15">#REF!</definedName>
    <definedName name="Totalb1.6" localSheetId="14">#REF!</definedName>
    <definedName name="Totalb1.6" localSheetId="17">#REF!</definedName>
    <definedName name="Totalb1.6" localSheetId="18">#REF!</definedName>
    <definedName name="Totalb1.6" localSheetId="21">#REF!</definedName>
    <definedName name="Totalb1.6" localSheetId="24">#REF!</definedName>
    <definedName name="Totalb1.6" localSheetId="22">#REF!</definedName>
    <definedName name="Totalb1.6" localSheetId="20">#REF!</definedName>
    <definedName name="Totalb1.6">#REF!</definedName>
    <definedName name="Totalb2.1" localSheetId="19">#REF!</definedName>
    <definedName name="Totalb2.1" localSheetId="16">#REF!</definedName>
    <definedName name="Totalb2.1" localSheetId="15">#REF!</definedName>
    <definedName name="Totalb2.1" localSheetId="14">#REF!</definedName>
    <definedName name="Totalb2.1" localSheetId="17">#REF!</definedName>
    <definedName name="Totalb2.1" localSheetId="18">#REF!</definedName>
    <definedName name="Totalb2.1" localSheetId="21">#REF!</definedName>
    <definedName name="Totalb2.1" localSheetId="24">#REF!</definedName>
    <definedName name="Totalb2.1" localSheetId="22">#REF!</definedName>
    <definedName name="Totalb2.1" localSheetId="20">#REF!</definedName>
    <definedName name="Totalb2.1">#REF!</definedName>
    <definedName name="Totalb2.2" localSheetId="19">#REF!</definedName>
    <definedName name="Totalb2.2" localSheetId="16">#REF!</definedName>
    <definedName name="Totalb2.2" localSheetId="15">#REF!</definedName>
    <definedName name="Totalb2.2" localSheetId="14">#REF!</definedName>
    <definedName name="Totalb2.2" localSheetId="17">#REF!</definedName>
    <definedName name="Totalb2.2" localSheetId="18">#REF!</definedName>
    <definedName name="Totalb2.2" localSheetId="21">#REF!</definedName>
    <definedName name="Totalb2.2" localSheetId="24">#REF!</definedName>
    <definedName name="Totalb2.2" localSheetId="22">#REF!</definedName>
    <definedName name="Totalb2.2" localSheetId="20">#REF!</definedName>
    <definedName name="Totalb2.2">#REF!</definedName>
    <definedName name="Totalb2.3" localSheetId="19">#REF!</definedName>
    <definedName name="Totalb2.3" localSheetId="16">#REF!</definedName>
    <definedName name="Totalb2.3" localSheetId="15">#REF!</definedName>
    <definedName name="Totalb2.3" localSheetId="14">#REF!</definedName>
    <definedName name="Totalb2.3" localSheetId="17">#REF!</definedName>
    <definedName name="Totalb2.3" localSheetId="18">#REF!</definedName>
    <definedName name="Totalb2.3" localSheetId="21">#REF!</definedName>
    <definedName name="Totalb2.3" localSheetId="24">#REF!</definedName>
    <definedName name="Totalb2.3" localSheetId="22">#REF!</definedName>
    <definedName name="Totalb2.3" localSheetId="20">#REF!</definedName>
    <definedName name="Totalb2.3">#REF!</definedName>
    <definedName name="Totalb2.4" localSheetId="19">#REF!</definedName>
    <definedName name="Totalb2.4" localSheetId="16">#REF!</definedName>
    <definedName name="Totalb2.4" localSheetId="15">#REF!</definedName>
    <definedName name="Totalb2.4" localSheetId="14">#REF!</definedName>
    <definedName name="Totalb2.4" localSheetId="17">#REF!</definedName>
    <definedName name="Totalb2.4" localSheetId="18">#REF!</definedName>
    <definedName name="Totalb2.4" localSheetId="21">#REF!</definedName>
    <definedName name="Totalb2.4" localSheetId="24">#REF!</definedName>
    <definedName name="Totalb2.4" localSheetId="22">#REF!</definedName>
    <definedName name="Totalb2.4" localSheetId="20">#REF!</definedName>
    <definedName name="Totalb2.4">#REF!</definedName>
    <definedName name="Totalb2.5" localSheetId="19">#REF!</definedName>
    <definedName name="Totalb2.5" localSheetId="16">#REF!</definedName>
    <definedName name="Totalb2.5" localSheetId="15">#REF!</definedName>
    <definedName name="Totalb2.5" localSheetId="14">#REF!</definedName>
    <definedName name="Totalb2.5" localSheetId="17">#REF!</definedName>
    <definedName name="Totalb2.5" localSheetId="18">#REF!</definedName>
    <definedName name="Totalb2.5" localSheetId="21">#REF!</definedName>
    <definedName name="Totalb2.5" localSheetId="24">#REF!</definedName>
    <definedName name="Totalb2.5" localSheetId="22">#REF!</definedName>
    <definedName name="Totalb2.5" localSheetId="20">#REF!</definedName>
    <definedName name="Totalb2.5">#REF!</definedName>
    <definedName name="Totalb2.6" localSheetId="19">#REF!</definedName>
    <definedName name="Totalb2.6" localSheetId="16">#REF!</definedName>
    <definedName name="Totalb2.6" localSheetId="15">#REF!</definedName>
    <definedName name="Totalb2.6" localSheetId="14">#REF!</definedName>
    <definedName name="Totalb2.6" localSheetId="17">#REF!</definedName>
    <definedName name="Totalb2.6" localSheetId="18">#REF!</definedName>
    <definedName name="Totalb2.6" localSheetId="21">#REF!</definedName>
    <definedName name="Totalb2.6" localSheetId="24">#REF!</definedName>
    <definedName name="Totalb2.6" localSheetId="22">#REF!</definedName>
    <definedName name="Totalb2.6" localSheetId="20">#REF!</definedName>
    <definedName name="Totalb2.6">#REF!</definedName>
    <definedName name="Totalb2.7" localSheetId="19">#REF!</definedName>
    <definedName name="Totalb2.7" localSheetId="16">#REF!</definedName>
    <definedName name="Totalb2.7" localSheetId="15">#REF!</definedName>
    <definedName name="Totalb2.7" localSheetId="14">#REF!</definedName>
    <definedName name="Totalb2.7" localSheetId="17">#REF!</definedName>
    <definedName name="Totalb2.7" localSheetId="18">#REF!</definedName>
    <definedName name="Totalb2.7" localSheetId="21">#REF!</definedName>
    <definedName name="Totalb2.7" localSheetId="24">#REF!</definedName>
    <definedName name="Totalb2.7" localSheetId="22">#REF!</definedName>
    <definedName name="Totalb2.7" localSheetId="20">#REF!</definedName>
    <definedName name="Totalb2.7">#REF!</definedName>
    <definedName name="Totalc1.1" localSheetId="19">#REF!</definedName>
    <definedName name="Totalc1.1" localSheetId="16">#REF!</definedName>
    <definedName name="Totalc1.1" localSheetId="15">#REF!</definedName>
    <definedName name="Totalc1.1" localSheetId="14">#REF!</definedName>
    <definedName name="Totalc1.1" localSheetId="17">#REF!</definedName>
    <definedName name="Totalc1.1" localSheetId="18">#REF!</definedName>
    <definedName name="Totalc1.1" localSheetId="21">#REF!</definedName>
    <definedName name="Totalc1.1" localSheetId="24">#REF!</definedName>
    <definedName name="Totalc1.1" localSheetId="22">#REF!</definedName>
    <definedName name="Totalc1.1" localSheetId="20">#REF!</definedName>
    <definedName name="Totalc1.1">#REF!</definedName>
    <definedName name="Totalc1.2" localSheetId="19">#REF!</definedName>
    <definedName name="Totalc1.2" localSheetId="16">#REF!</definedName>
    <definedName name="Totalc1.2" localSheetId="15">#REF!</definedName>
    <definedName name="Totalc1.2" localSheetId="14">#REF!</definedName>
    <definedName name="Totalc1.2" localSheetId="17">#REF!</definedName>
    <definedName name="Totalc1.2" localSheetId="18">#REF!</definedName>
    <definedName name="Totalc1.2" localSheetId="21">#REF!</definedName>
    <definedName name="Totalc1.2" localSheetId="24">#REF!</definedName>
    <definedName name="Totalc1.2" localSheetId="22">#REF!</definedName>
    <definedName name="Totalc1.2" localSheetId="20">#REF!</definedName>
    <definedName name="Totalc1.2">#REF!</definedName>
    <definedName name="Totalc2.1" localSheetId="19">#REF!</definedName>
    <definedName name="Totalc2.1" localSheetId="16">#REF!</definedName>
    <definedName name="Totalc2.1" localSheetId="15">#REF!</definedName>
    <definedName name="Totalc2.1" localSheetId="14">#REF!</definedName>
    <definedName name="Totalc2.1" localSheetId="17">#REF!</definedName>
    <definedName name="Totalc2.1" localSheetId="18">#REF!</definedName>
    <definedName name="Totalc2.1" localSheetId="21">#REF!</definedName>
    <definedName name="Totalc2.1" localSheetId="24">#REF!</definedName>
    <definedName name="Totalc2.1" localSheetId="22">#REF!</definedName>
    <definedName name="Totalc2.1" localSheetId="20">#REF!</definedName>
    <definedName name="Totalc2.1">#REF!</definedName>
    <definedName name="Totald1.0" localSheetId="19">#REF!</definedName>
    <definedName name="Totald1.0" localSheetId="16">#REF!</definedName>
    <definedName name="Totald1.0" localSheetId="15">#REF!</definedName>
    <definedName name="Totald1.0" localSheetId="14">#REF!</definedName>
    <definedName name="Totald1.0" localSheetId="17">#REF!</definedName>
    <definedName name="Totald1.0" localSheetId="18">#REF!</definedName>
    <definedName name="Totald1.0" localSheetId="21">#REF!</definedName>
    <definedName name="Totald1.0" localSheetId="24">#REF!</definedName>
    <definedName name="Totald1.0" localSheetId="22">#REF!</definedName>
    <definedName name="Totald1.0" localSheetId="20">#REF!</definedName>
    <definedName name="Totald1.0">#REF!</definedName>
    <definedName name="Totald2.1" localSheetId="19">#REF!</definedName>
    <definedName name="Totald2.1" localSheetId="16">#REF!</definedName>
    <definedName name="Totald2.1" localSheetId="15">#REF!</definedName>
    <definedName name="Totald2.1" localSheetId="14">#REF!</definedName>
    <definedName name="Totald2.1" localSheetId="17">#REF!</definedName>
    <definedName name="Totald2.1" localSheetId="18">#REF!</definedName>
    <definedName name="Totald2.1" localSheetId="21">#REF!</definedName>
    <definedName name="Totald2.1" localSheetId="24">#REF!</definedName>
    <definedName name="Totald2.1" localSheetId="22">#REF!</definedName>
    <definedName name="Totald2.1" localSheetId="20">#REF!</definedName>
    <definedName name="Totald2.1">#REF!</definedName>
    <definedName name="Totale1.0" localSheetId="19">#REF!</definedName>
    <definedName name="Totale1.0" localSheetId="16">#REF!</definedName>
    <definedName name="Totale1.0" localSheetId="15">#REF!</definedName>
    <definedName name="Totale1.0" localSheetId="14">#REF!</definedName>
    <definedName name="Totale1.0" localSheetId="17">#REF!</definedName>
    <definedName name="Totale1.0" localSheetId="18">#REF!</definedName>
    <definedName name="Totale1.0" localSheetId="21">#REF!</definedName>
    <definedName name="Totale1.0" localSheetId="24">#REF!</definedName>
    <definedName name="Totale1.0" localSheetId="22">#REF!</definedName>
    <definedName name="Totale1.0" localSheetId="20">#REF!</definedName>
    <definedName name="Totale1.0">#REF!</definedName>
    <definedName name="Totale2.0" localSheetId="19">#REF!</definedName>
    <definedName name="Totale2.0" localSheetId="16">#REF!</definedName>
    <definedName name="Totale2.0" localSheetId="15">#REF!</definedName>
    <definedName name="Totale2.0" localSheetId="14">#REF!</definedName>
    <definedName name="Totale2.0" localSheetId="17">#REF!</definedName>
    <definedName name="Totale2.0" localSheetId="18">#REF!</definedName>
    <definedName name="Totale2.0" localSheetId="21">#REF!</definedName>
    <definedName name="Totale2.0" localSheetId="24">#REF!</definedName>
    <definedName name="Totale2.0" localSheetId="22">#REF!</definedName>
    <definedName name="Totale2.0" localSheetId="20">#REF!</definedName>
    <definedName name="Totale2.0">#REF!</definedName>
    <definedName name="Totalgeral1" localSheetId="19">#REF!</definedName>
    <definedName name="Totalgeral1" localSheetId="16">#REF!</definedName>
    <definedName name="Totalgeral1" localSheetId="15">#REF!</definedName>
    <definedName name="Totalgeral1" localSheetId="14">#REF!</definedName>
    <definedName name="Totalgeral1" localSheetId="17">#REF!</definedName>
    <definedName name="Totalgeral1" localSheetId="18">#REF!</definedName>
    <definedName name="Totalgeral1" localSheetId="21">#REF!</definedName>
    <definedName name="Totalgeral1" localSheetId="24">#REF!</definedName>
    <definedName name="Totalgeral1" localSheetId="22">#REF!</definedName>
    <definedName name="Totalgeral1" localSheetId="20">#REF!</definedName>
    <definedName name="Totalgeral1">#REF!</definedName>
    <definedName name="Totalgeral1a12" localSheetId="19">#REF!</definedName>
    <definedName name="Totalgeral1a12" localSheetId="16">#REF!</definedName>
    <definedName name="Totalgeral1a12" localSheetId="15">#REF!</definedName>
    <definedName name="Totalgeral1a12" localSheetId="14">#REF!</definedName>
    <definedName name="Totalgeral1a12" localSheetId="17">#REF!</definedName>
    <definedName name="Totalgeral1a12" localSheetId="18">#REF!</definedName>
    <definedName name="Totalgeral1a12" localSheetId="21">#REF!</definedName>
    <definedName name="Totalgeral1a12" localSheetId="24">#REF!</definedName>
    <definedName name="Totalgeral1a12" localSheetId="22">#REF!</definedName>
    <definedName name="Totalgeral1a12" localSheetId="20">#REF!</definedName>
    <definedName name="Totalgeral1a12">#REF!</definedName>
    <definedName name="Totalgeral2" localSheetId="19">#REF!</definedName>
    <definedName name="Totalgeral2" localSheetId="16">#REF!</definedName>
    <definedName name="Totalgeral2" localSheetId="15">#REF!</definedName>
    <definedName name="Totalgeral2" localSheetId="14">#REF!</definedName>
    <definedName name="Totalgeral2" localSheetId="17">#REF!</definedName>
    <definedName name="Totalgeral2" localSheetId="18">#REF!</definedName>
    <definedName name="Totalgeral2" localSheetId="21">#REF!</definedName>
    <definedName name="Totalgeral2" localSheetId="24">#REF!</definedName>
    <definedName name="Totalgeral2" localSheetId="22">#REF!</definedName>
    <definedName name="Totalgeral2" localSheetId="20">#REF!</definedName>
    <definedName name="Totalgeral2">#REF!</definedName>
    <definedName name="Totalgeral3" localSheetId="19">#REF!</definedName>
    <definedName name="Totalgeral3" localSheetId="16">#REF!</definedName>
    <definedName name="Totalgeral3" localSheetId="15">#REF!</definedName>
    <definedName name="Totalgeral3" localSheetId="14">#REF!</definedName>
    <definedName name="Totalgeral3" localSheetId="17">#REF!</definedName>
    <definedName name="Totalgeral3" localSheetId="18">#REF!</definedName>
    <definedName name="Totalgeral3" localSheetId="21">#REF!</definedName>
    <definedName name="Totalgeral3" localSheetId="24">#REF!</definedName>
    <definedName name="Totalgeral3" localSheetId="22">#REF!</definedName>
    <definedName name="Totalgeral3" localSheetId="20">#REF!</definedName>
    <definedName name="Totalgeral3">#REF!</definedName>
    <definedName name="TotalgeralA" localSheetId="19">#REF!</definedName>
    <definedName name="TotalgeralA" localSheetId="16">#REF!</definedName>
    <definedName name="TotalgeralA" localSheetId="15">#REF!</definedName>
    <definedName name="TotalgeralA" localSheetId="14">#REF!</definedName>
    <definedName name="TotalgeralA" localSheetId="17">#REF!</definedName>
    <definedName name="TotalgeralA" localSheetId="18">#REF!</definedName>
    <definedName name="TotalgeralA" localSheetId="21">#REF!</definedName>
    <definedName name="TotalgeralA" localSheetId="24">#REF!</definedName>
    <definedName name="TotalgeralA" localSheetId="22">#REF!</definedName>
    <definedName name="TotalgeralA" localSheetId="20">#REF!</definedName>
    <definedName name="TotalgeralA">#REF!</definedName>
    <definedName name="TotalgeralB" localSheetId="19">#REF!</definedName>
    <definedName name="TotalgeralB" localSheetId="16">#REF!</definedName>
    <definedName name="TotalgeralB" localSheetId="15">#REF!</definedName>
    <definedName name="TotalgeralB" localSheetId="14">#REF!</definedName>
    <definedName name="TotalgeralB" localSheetId="17">#REF!</definedName>
    <definedName name="TotalgeralB" localSheetId="18">#REF!</definedName>
    <definedName name="TotalgeralB" localSheetId="21">#REF!</definedName>
    <definedName name="TotalgeralB" localSheetId="24">#REF!</definedName>
    <definedName name="TotalgeralB" localSheetId="22">#REF!</definedName>
    <definedName name="TotalgeralB" localSheetId="20">#REF!</definedName>
    <definedName name="TotalgeralB">#REF!</definedName>
    <definedName name="Totalgeralb1" localSheetId="19">#REF!</definedName>
    <definedName name="Totalgeralb1" localSheetId="16">#REF!</definedName>
    <definedName name="Totalgeralb1" localSheetId="15">#REF!</definedName>
    <definedName name="Totalgeralb1" localSheetId="14">#REF!</definedName>
    <definedName name="Totalgeralb1" localSheetId="17">#REF!</definedName>
    <definedName name="Totalgeralb1" localSheetId="18">#REF!</definedName>
    <definedName name="Totalgeralb1" localSheetId="21">#REF!</definedName>
    <definedName name="Totalgeralb1" localSheetId="24">#REF!</definedName>
    <definedName name="Totalgeralb1" localSheetId="22">#REF!</definedName>
    <definedName name="Totalgeralb1" localSheetId="20">#REF!</definedName>
    <definedName name="Totalgeralb1">#REF!</definedName>
    <definedName name="Totalgeralb2" localSheetId="19">#REF!</definedName>
    <definedName name="Totalgeralb2" localSheetId="16">#REF!</definedName>
    <definedName name="Totalgeralb2" localSheetId="15">#REF!</definedName>
    <definedName name="Totalgeralb2" localSheetId="14">#REF!</definedName>
    <definedName name="Totalgeralb2" localSheetId="17">#REF!</definedName>
    <definedName name="Totalgeralb2" localSheetId="18">#REF!</definedName>
    <definedName name="Totalgeralb2" localSheetId="21">#REF!</definedName>
    <definedName name="Totalgeralb2" localSheetId="24">#REF!</definedName>
    <definedName name="Totalgeralb2" localSheetId="22">#REF!</definedName>
    <definedName name="Totalgeralb2" localSheetId="20">#REF!</definedName>
    <definedName name="Totalgeralb2">#REF!</definedName>
    <definedName name="TotalgeralC" localSheetId="19">#REF!</definedName>
    <definedName name="TotalgeralC" localSheetId="16">#REF!</definedName>
    <definedName name="TotalgeralC" localSheetId="15">#REF!</definedName>
    <definedName name="TotalgeralC" localSheetId="14">#REF!</definedName>
    <definedName name="TotalgeralC" localSheetId="17">#REF!</definedName>
    <definedName name="TotalgeralC" localSheetId="18">#REF!</definedName>
    <definedName name="TotalgeralC" localSheetId="21">#REF!</definedName>
    <definedName name="TotalgeralC" localSheetId="24">#REF!</definedName>
    <definedName name="TotalgeralC" localSheetId="22">#REF!</definedName>
    <definedName name="TotalgeralC" localSheetId="20">#REF!</definedName>
    <definedName name="TotalgeralC">#REF!</definedName>
    <definedName name="Totalgeralc1" localSheetId="19">#REF!</definedName>
    <definedName name="Totalgeralc1" localSheetId="16">#REF!</definedName>
    <definedName name="Totalgeralc1" localSheetId="15">#REF!</definedName>
    <definedName name="Totalgeralc1" localSheetId="14">#REF!</definedName>
    <definedName name="Totalgeralc1" localSheetId="17">#REF!</definedName>
    <definedName name="Totalgeralc1" localSheetId="18">#REF!</definedName>
    <definedName name="Totalgeralc1" localSheetId="21">#REF!</definedName>
    <definedName name="Totalgeralc1" localSheetId="24">#REF!</definedName>
    <definedName name="Totalgeralc1" localSheetId="22">#REF!</definedName>
    <definedName name="Totalgeralc1" localSheetId="20">#REF!</definedName>
    <definedName name="Totalgeralc1">#REF!</definedName>
    <definedName name="Totalgeralc2" localSheetId="19">#REF!</definedName>
    <definedName name="Totalgeralc2" localSheetId="16">#REF!</definedName>
    <definedName name="Totalgeralc2" localSheetId="15">#REF!</definedName>
    <definedName name="Totalgeralc2" localSheetId="14">#REF!</definedName>
    <definedName name="Totalgeralc2" localSheetId="17">#REF!</definedName>
    <definedName name="Totalgeralc2" localSheetId="18">#REF!</definedName>
    <definedName name="Totalgeralc2" localSheetId="21">#REF!</definedName>
    <definedName name="Totalgeralc2" localSheetId="24">#REF!</definedName>
    <definedName name="Totalgeralc2" localSheetId="22">#REF!</definedName>
    <definedName name="Totalgeralc2" localSheetId="20">#REF!</definedName>
    <definedName name="Totalgeralc2">#REF!</definedName>
    <definedName name="TotalgeralD" localSheetId="19">#REF!</definedName>
    <definedName name="TotalgeralD" localSheetId="16">#REF!</definedName>
    <definedName name="TotalgeralD" localSheetId="15">#REF!</definedName>
    <definedName name="TotalgeralD" localSheetId="14">#REF!</definedName>
    <definedName name="TotalgeralD" localSheetId="17">#REF!</definedName>
    <definedName name="TotalgeralD" localSheetId="18">#REF!</definedName>
    <definedName name="TotalgeralD" localSheetId="21">#REF!</definedName>
    <definedName name="TotalgeralD" localSheetId="24">#REF!</definedName>
    <definedName name="TotalgeralD" localSheetId="22">#REF!</definedName>
    <definedName name="TotalgeralD" localSheetId="20">#REF!</definedName>
    <definedName name="TotalgeralD">#REF!</definedName>
    <definedName name="Totalgerald1" localSheetId="19">#REF!</definedName>
    <definedName name="Totalgerald1" localSheetId="16">#REF!</definedName>
    <definedName name="Totalgerald1" localSheetId="15">#REF!</definedName>
    <definedName name="Totalgerald1" localSheetId="14">#REF!</definedName>
    <definedName name="Totalgerald1" localSheetId="17">#REF!</definedName>
    <definedName name="Totalgerald1" localSheetId="18">#REF!</definedName>
    <definedName name="Totalgerald1" localSheetId="21">#REF!</definedName>
    <definedName name="Totalgerald1" localSheetId="24">#REF!</definedName>
    <definedName name="Totalgerald1" localSheetId="22">#REF!</definedName>
    <definedName name="Totalgerald1" localSheetId="20">#REF!</definedName>
    <definedName name="Totalgerald1">#REF!</definedName>
    <definedName name="Totalgerald2" localSheetId="19">#REF!</definedName>
    <definedName name="Totalgerald2" localSheetId="16">#REF!</definedName>
    <definedName name="Totalgerald2" localSheetId="15">#REF!</definedName>
    <definedName name="Totalgerald2" localSheetId="14">#REF!</definedName>
    <definedName name="Totalgerald2" localSheetId="17">#REF!</definedName>
    <definedName name="Totalgerald2" localSheetId="18">#REF!</definedName>
    <definedName name="Totalgerald2" localSheetId="21">#REF!</definedName>
    <definedName name="Totalgerald2" localSheetId="24">#REF!</definedName>
    <definedName name="Totalgerald2" localSheetId="22">#REF!</definedName>
    <definedName name="Totalgerald2" localSheetId="20">#REF!</definedName>
    <definedName name="Totalgerald2">#REF!</definedName>
    <definedName name="TotalgeralE" localSheetId="19">#REF!</definedName>
    <definedName name="TotalgeralE" localSheetId="16">#REF!</definedName>
    <definedName name="TotalgeralE" localSheetId="15">#REF!</definedName>
    <definedName name="TotalgeralE" localSheetId="14">#REF!</definedName>
    <definedName name="TotalgeralE" localSheetId="17">#REF!</definedName>
    <definedName name="TotalgeralE" localSheetId="18">#REF!</definedName>
    <definedName name="TotalgeralE" localSheetId="21">#REF!</definedName>
    <definedName name="TotalgeralE" localSheetId="24">#REF!</definedName>
    <definedName name="TotalgeralE" localSheetId="22">#REF!</definedName>
    <definedName name="TotalgeralE" localSheetId="20">#REF!</definedName>
    <definedName name="TotalgeralE">#REF!</definedName>
    <definedName name="Totalgerale1" localSheetId="19">#REF!</definedName>
    <definedName name="Totalgerale1" localSheetId="16">#REF!</definedName>
    <definedName name="Totalgerale1" localSheetId="15">#REF!</definedName>
    <definedName name="Totalgerale1" localSheetId="14">#REF!</definedName>
    <definedName name="Totalgerale1" localSheetId="17">#REF!</definedName>
    <definedName name="Totalgerale1" localSheetId="18">#REF!</definedName>
    <definedName name="Totalgerale1" localSheetId="21">#REF!</definedName>
    <definedName name="Totalgerale1" localSheetId="24">#REF!</definedName>
    <definedName name="Totalgerale1" localSheetId="22">#REF!</definedName>
    <definedName name="Totalgerale1" localSheetId="20">#REF!</definedName>
    <definedName name="Totalgerale1">#REF!</definedName>
    <definedName name="Totalgerale2" localSheetId="19">#REF!</definedName>
    <definedName name="Totalgerale2" localSheetId="16">#REF!</definedName>
    <definedName name="Totalgerale2" localSheetId="15">#REF!</definedName>
    <definedName name="Totalgerale2" localSheetId="14">#REF!</definedName>
    <definedName name="Totalgerale2" localSheetId="17">#REF!</definedName>
    <definedName name="Totalgerale2" localSheetId="18">#REF!</definedName>
    <definedName name="Totalgerale2" localSheetId="21">#REF!</definedName>
    <definedName name="Totalgerale2" localSheetId="24">#REF!</definedName>
    <definedName name="Totalgerale2" localSheetId="22">#REF!</definedName>
    <definedName name="Totalgerale2" localSheetId="20">#REF!</definedName>
    <definedName name="Totalgerale2">#REF!</definedName>
    <definedName name="TP" localSheetId="19" hidden="1">#REF!</definedName>
    <definedName name="TP" localSheetId="16" hidden="1">#REF!</definedName>
    <definedName name="TP" localSheetId="15" hidden="1">#REF!</definedName>
    <definedName name="TP" localSheetId="14" hidden="1">#REF!</definedName>
    <definedName name="TP" localSheetId="17" hidden="1">#REF!</definedName>
    <definedName name="TP" localSheetId="18" hidden="1">#REF!</definedName>
    <definedName name="TP" localSheetId="21" hidden="1">#REF!</definedName>
    <definedName name="TP" localSheetId="24" hidden="1">#REF!</definedName>
    <definedName name="TP" localSheetId="22" hidden="1">#REF!</definedName>
    <definedName name="TP" localSheetId="20" hidden="1">#REF!</definedName>
    <definedName name="TP" hidden="1">#REF!</definedName>
    <definedName name="TR\" hidden="1">{#N/A,#N/A,FALSE,"Aging Summary";#N/A,#N/A,FALSE,"Ratio Analysis";#N/A,#N/A,FALSE,"Test 120 Day Accts";#N/A,#N/A,FALSE,"Tickmarks"}</definedName>
    <definedName name="TR\_1" hidden="1">{#N/A,#N/A,FALSE,"Aging Summary";#N/A,#N/A,FALSE,"Ratio Analysis";#N/A,#N/A,FALSE,"Test 120 Day Accts";#N/A,#N/A,FALSE,"Tickmarks"}</definedName>
    <definedName name="TRIBUTOS">C_INDIRETO!$G$8</definedName>
    <definedName name="tssd" localSheetId="19">#REF!</definedName>
    <definedName name="tssd" localSheetId="16">#REF!</definedName>
    <definedName name="tssd" localSheetId="15">#REF!</definedName>
    <definedName name="tssd" localSheetId="14">#REF!</definedName>
    <definedName name="tssd" localSheetId="17">#REF!</definedName>
    <definedName name="tssd" localSheetId="18">#REF!</definedName>
    <definedName name="tssd" localSheetId="21">#REF!</definedName>
    <definedName name="tssd" localSheetId="24">#REF!</definedName>
    <definedName name="tssd" localSheetId="22">#REF!</definedName>
    <definedName name="tssd" localSheetId="20">#REF!</definedName>
    <definedName name="tssd">#REF!</definedName>
    <definedName name="TT" localSheetId="19">#REF!</definedName>
    <definedName name="TT" localSheetId="16">#REF!</definedName>
    <definedName name="TT" localSheetId="7">#REF!</definedName>
    <definedName name="TT" localSheetId="15">#REF!</definedName>
    <definedName name="TT" localSheetId="14">#REF!</definedName>
    <definedName name="TT" localSheetId="17">#REF!</definedName>
    <definedName name="TT" localSheetId="18">#REF!</definedName>
    <definedName name="TT" localSheetId="21">#REF!</definedName>
    <definedName name="TT" localSheetId="24">#REF!</definedName>
    <definedName name="TT" localSheetId="22">#REF!</definedName>
    <definedName name="TT" localSheetId="20">#REF!</definedName>
    <definedName name="TT">#REF!</definedName>
    <definedName name="TT.1" localSheetId="19">#REF!</definedName>
    <definedName name="TT.1" localSheetId="16">#REF!</definedName>
    <definedName name="TT.1" localSheetId="15">#REF!</definedName>
    <definedName name="TT.1" localSheetId="14">#REF!</definedName>
    <definedName name="TT.1" localSheetId="17">#REF!</definedName>
    <definedName name="TT.1" localSheetId="18">#REF!</definedName>
    <definedName name="TT.1" localSheetId="21">#REF!</definedName>
    <definedName name="TT.1" localSheetId="24">#REF!</definedName>
    <definedName name="TT.1" localSheetId="22">#REF!</definedName>
    <definedName name="TT.1" localSheetId="20">#REF!</definedName>
    <definedName name="TT.1">#REF!</definedName>
    <definedName name="TT.10" localSheetId="19">#REF!</definedName>
    <definedName name="TT.10" localSheetId="16">#REF!</definedName>
    <definedName name="TT.10" localSheetId="15">#REF!</definedName>
    <definedName name="TT.10" localSheetId="14">#REF!</definedName>
    <definedName name="TT.10" localSheetId="17">#REF!</definedName>
    <definedName name="TT.10" localSheetId="18">#REF!</definedName>
    <definedName name="TT.10" localSheetId="21">#REF!</definedName>
    <definedName name="TT.10" localSheetId="24">#REF!</definedName>
    <definedName name="TT.10" localSheetId="22">#REF!</definedName>
    <definedName name="TT.10" localSheetId="20">#REF!</definedName>
    <definedName name="TT.10">#REF!</definedName>
    <definedName name="TT.11" localSheetId="19">#REF!</definedName>
    <definedName name="TT.11" localSheetId="16">#REF!</definedName>
    <definedName name="TT.11" localSheetId="15">#REF!</definedName>
    <definedName name="TT.11" localSheetId="14">#REF!</definedName>
    <definedName name="TT.11" localSheetId="17">#REF!</definedName>
    <definedName name="TT.11" localSheetId="18">#REF!</definedName>
    <definedName name="TT.11" localSheetId="21">#REF!</definedName>
    <definedName name="TT.11" localSheetId="24">#REF!</definedName>
    <definedName name="TT.11" localSheetId="22">#REF!</definedName>
    <definedName name="TT.11" localSheetId="20">#REF!</definedName>
    <definedName name="TT.11">#REF!</definedName>
    <definedName name="TT.12" localSheetId="19">#REF!</definedName>
    <definedName name="TT.12" localSheetId="16">#REF!</definedName>
    <definedName name="TT.12" localSheetId="15">#REF!</definedName>
    <definedName name="TT.12" localSheetId="14">#REF!</definedName>
    <definedName name="TT.12" localSheetId="17">#REF!</definedName>
    <definedName name="TT.12" localSheetId="18">#REF!</definedName>
    <definedName name="TT.12" localSheetId="21">#REF!</definedName>
    <definedName name="TT.12" localSheetId="24">#REF!</definedName>
    <definedName name="TT.12" localSheetId="22">#REF!</definedName>
    <definedName name="TT.12" localSheetId="20">#REF!</definedName>
    <definedName name="TT.12">#REF!</definedName>
    <definedName name="TT.13" localSheetId="19">#REF!</definedName>
    <definedName name="TT.13" localSheetId="16">#REF!</definedName>
    <definedName name="TT.13" localSheetId="15">#REF!</definedName>
    <definedName name="TT.13" localSheetId="14">#REF!</definedName>
    <definedName name="TT.13" localSheetId="17">#REF!</definedName>
    <definedName name="TT.13" localSheetId="18">#REF!</definedName>
    <definedName name="TT.13" localSheetId="21">#REF!</definedName>
    <definedName name="TT.13" localSheetId="24">#REF!</definedName>
    <definedName name="TT.13" localSheetId="22">#REF!</definedName>
    <definedName name="TT.13" localSheetId="20">#REF!</definedName>
    <definedName name="TT.13">#REF!</definedName>
    <definedName name="TT.14" localSheetId="19">#REF!</definedName>
    <definedName name="TT.14" localSheetId="16">#REF!</definedName>
    <definedName name="TT.14" localSheetId="15">#REF!</definedName>
    <definedName name="TT.14" localSheetId="14">#REF!</definedName>
    <definedName name="TT.14" localSheetId="17">#REF!</definedName>
    <definedName name="TT.14" localSheetId="18">#REF!</definedName>
    <definedName name="TT.14" localSheetId="21">#REF!</definedName>
    <definedName name="TT.14" localSheetId="24">#REF!</definedName>
    <definedName name="TT.14" localSheetId="22">#REF!</definedName>
    <definedName name="TT.14" localSheetId="20">#REF!</definedName>
    <definedName name="TT.14">#REF!</definedName>
    <definedName name="TT.15" localSheetId="19">#REF!</definedName>
    <definedName name="TT.15" localSheetId="16">#REF!</definedName>
    <definedName name="TT.15" localSheetId="15">#REF!</definedName>
    <definedName name="TT.15" localSheetId="14">#REF!</definedName>
    <definedName name="TT.15" localSheetId="17">#REF!</definedName>
    <definedName name="TT.15" localSheetId="18">#REF!</definedName>
    <definedName name="TT.15" localSheetId="21">#REF!</definedName>
    <definedName name="TT.15" localSheetId="24">#REF!</definedName>
    <definedName name="TT.15" localSheetId="22">#REF!</definedName>
    <definedName name="TT.15" localSheetId="20">#REF!</definedName>
    <definedName name="TT.15">#REF!</definedName>
    <definedName name="TT.2" localSheetId="19">#REF!</definedName>
    <definedName name="TT.2" localSheetId="16">#REF!</definedName>
    <definedName name="TT.2" localSheetId="15">#REF!</definedName>
    <definedName name="TT.2" localSheetId="14">#REF!</definedName>
    <definedName name="TT.2" localSheetId="17">#REF!</definedName>
    <definedName name="TT.2" localSheetId="18">#REF!</definedName>
    <definedName name="TT.2" localSheetId="21">#REF!</definedName>
    <definedName name="TT.2" localSheetId="24">#REF!</definedName>
    <definedName name="TT.2" localSheetId="22">#REF!</definedName>
    <definedName name="TT.2" localSheetId="20">#REF!</definedName>
    <definedName name="TT.2">#REF!</definedName>
    <definedName name="TT.3" localSheetId="19">#REF!</definedName>
    <definedName name="TT.3" localSheetId="16">#REF!</definedName>
    <definedName name="TT.3" localSheetId="15">#REF!</definedName>
    <definedName name="TT.3" localSheetId="14">#REF!</definedName>
    <definedName name="TT.3" localSheetId="17">#REF!</definedName>
    <definedName name="TT.3" localSheetId="18">#REF!</definedName>
    <definedName name="TT.3" localSheetId="21">#REF!</definedName>
    <definedName name="TT.3" localSheetId="24">#REF!</definedName>
    <definedName name="TT.3" localSheetId="22">#REF!</definedName>
    <definedName name="TT.3" localSheetId="20">#REF!</definedName>
    <definedName name="TT.3">#REF!</definedName>
    <definedName name="TT.4" localSheetId="19">#REF!</definedName>
    <definedName name="TT.4" localSheetId="16">#REF!</definedName>
    <definedName name="TT.4" localSheetId="15">#REF!</definedName>
    <definedName name="TT.4" localSheetId="14">#REF!</definedName>
    <definedName name="TT.4" localSheetId="17">#REF!</definedName>
    <definedName name="TT.4" localSheetId="18">#REF!</definedName>
    <definedName name="TT.4" localSheetId="21">#REF!</definedName>
    <definedName name="TT.4" localSheetId="24">#REF!</definedName>
    <definedName name="TT.4" localSheetId="22">#REF!</definedName>
    <definedName name="TT.4" localSheetId="20">#REF!</definedName>
    <definedName name="TT.4">#REF!</definedName>
    <definedName name="TT.5" localSheetId="19">#REF!</definedName>
    <definedName name="TT.5" localSheetId="16">#REF!</definedName>
    <definedName name="TT.5" localSheetId="15">#REF!</definedName>
    <definedName name="TT.5" localSheetId="14">#REF!</definedName>
    <definedName name="TT.5" localSheetId="17">#REF!</definedName>
    <definedName name="TT.5" localSheetId="18">#REF!</definedName>
    <definedName name="TT.5" localSheetId="21">#REF!</definedName>
    <definedName name="TT.5" localSheetId="24">#REF!</definedName>
    <definedName name="TT.5" localSheetId="22">#REF!</definedName>
    <definedName name="TT.5" localSheetId="20">#REF!</definedName>
    <definedName name="TT.5">#REF!</definedName>
    <definedName name="TT.6" localSheetId="19">#REF!</definedName>
    <definedName name="TT.6" localSheetId="16">#REF!</definedName>
    <definedName name="TT.6" localSheetId="15">#REF!</definedName>
    <definedName name="TT.6" localSheetId="14">#REF!</definedName>
    <definedName name="TT.6" localSheetId="17">#REF!</definedName>
    <definedName name="TT.6" localSheetId="18">#REF!</definedName>
    <definedName name="TT.6" localSheetId="21">#REF!</definedName>
    <definedName name="TT.6" localSheetId="24">#REF!</definedName>
    <definedName name="TT.6" localSheetId="22">#REF!</definedName>
    <definedName name="TT.6" localSheetId="20">#REF!</definedName>
    <definedName name="TT.6">#REF!</definedName>
    <definedName name="TT.7" localSheetId="19">#REF!</definedName>
    <definedName name="TT.7" localSheetId="16">#REF!</definedName>
    <definedName name="TT.7" localSheetId="15">#REF!</definedName>
    <definedName name="TT.7" localSheetId="14">#REF!</definedName>
    <definedName name="TT.7" localSheetId="17">#REF!</definedName>
    <definedName name="TT.7" localSheetId="18">#REF!</definedName>
    <definedName name="TT.7" localSheetId="21">#REF!</definedName>
    <definedName name="TT.7" localSheetId="24">#REF!</definedName>
    <definedName name="TT.7" localSheetId="22">#REF!</definedName>
    <definedName name="TT.7" localSheetId="20">#REF!</definedName>
    <definedName name="TT.7">#REF!</definedName>
    <definedName name="TT.8" localSheetId="19">#REF!</definedName>
    <definedName name="TT.8" localSheetId="16">#REF!</definedName>
    <definedName name="TT.8" localSheetId="15">#REF!</definedName>
    <definedName name="TT.8" localSheetId="14">#REF!</definedName>
    <definedName name="TT.8" localSheetId="17">#REF!</definedName>
    <definedName name="TT.8" localSheetId="18">#REF!</definedName>
    <definedName name="TT.8" localSheetId="21">#REF!</definedName>
    <definedName name="TT.8" localSheetId="24">#REF!</definedName>
    <definedName name="TT.8" localSheetId="22">#REF!</definedName>
    <definedName name="TT.8" localSheetId="20">#REF!</definedName>
    <definedName name="TT.8">#REF!</definedName>
    <definedName name="TT.9" localSheetId="19">#REF!</definedName>
    <definedName name="TT.9" localSheetId="16">#REF!</definedName>
    <definedName name="TT.9" localSheetId="15">#REF!</definedName>
    <definedName name="TT.9" localSheetId="14">#REF!</definedName>
    <definedName name="TT.9" localSheetId="17">#REF!</definedName>
    <definedName name="TT.9" localSheetId="18">#REF!</definedName>
    <definedName name="TT.9" localSheetId="21">#REF!</definedName>
    <definedName name="TT.9" localSheetId="24">#REF!</definedName>
    <definedName name="TT.9" localSheetId="22">#REF!</definedName>
    <definedName name="TT.9" localSheetId="20">#REF!</definedName>
    <definedName name="TT.9">#REF!</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y" localSheetId="19" hidden="1">#REF!</definedName>
    <definedName name="ty" localSheetId="16" hidden="1">#REF!</definedName>
    <definedName name="ty" localSheetId="15" hidden="1">#REF!</definedName>
    <definedName name="ty" localSheetId="14" hidden="1">#REF!</definedName>
    <definedName name="ty" localSheetId="17" hidden="1">#REF!</definedName>
    <definedName name="ty" localSheetId="18" hidden="1">#REF!</definedName>
    <definedName name="ty" localSheetId="21" hidden="1">#REF!</definedName>
    <definedName name="ty" localSheetId="24" hidden="1">#REF!</definedName>
    <definedName name="ty" localSheetId="22" hidden="1">#REF!</definedName>
    <definedName name="ty" localSheetId="20" hidden="1">#REF!</definedName>
    <definedName name="ty" hidden="1">#REF!</definedName>
    <definedName name="TYUIO" hidden="1">{#N/A,#N/A,TRUE,"Serviços"}</definedName>
    <definedName name="TYUIOO" hidden="1">{#N/A,#N/A,TRUE,"Serviços"}</definedName>
    <definedName name="TYUJ" localSheetId="19" hidden="1">#REF!</definedName>
    <definedName name="TYUJ" localSheetId="16" hidden="1">#REF!</definedName>
    <definedName name="TYUJ" localSheetId="15" hidden="1">#REF!</definedName>
    <definedName name="TYUJ" localSheetId="14" hidden="1">#REF!</definedName>
    <definedName name="TYUJ" localSheetId="17" hidden="1">#REF!</definedName>
    <definedName name="TYUJ" localSheetId="18" hidden="1">#REF!</definedName>
    <definedName name="TYUJ" localSheetId="21" hidden="1">#REF!</definedName>
    <definedName name="TYUJ" localSheetId="24" hidden="1">#REF!</definedName>
    <definedName name="TYUJ" localSheetId="22" hidden="1">#REF!</definedName>
    <definedName name="TYUJ" localSheetId="20" hidden="1">#REF!</definedName>
    <definedName name="TYUJ" hidden="1">#REF!</definedName>
    <definedName name="UK" hidden="1">{"PARTE1",#N/A,FALSE,"Plan1"}</definedName>
    <definedName name="UK_1" hidden="1">{"PARTE1",#N/A,FALSE,"Plan1"}</definedName>
    <definedName name="un" hidden="1">#N/A</definedName>
    <definedName name="Und" hidden="1">#N/A</definedName>
    <definedName name="UnidAux" hidden="1">#N/A</definedName>
    <definedName name="Unimed">#REF!</definedName>
    <definedName name="Uniodonto">#REF!</definedName>
    <definedName name="uo" localSheetId="19" hidden="1">#REF!</definedName>
    <definedName name="uo" localSheetId="16" hidden="1">#REF!</definedName>
    <definedName name="uo" localSheetId="15" hidden="1">#REF!</definedName>
    <definedName name="uo" localSheetId="14" hidden="1">#REF!</definedName>
    <definedName name="uo" localSheetId="17" hidden="1">#REF!</definedName>
    <definedName name="uo" localSheetId="18" hidden="1">#REF!</definedName>
    <definedName name="uo" localSheetId="21" hidden="1">#REF!</definedName>
    <definedName name="uo" localSheetId="24" hidden="1">#REF!</definedName>
    <definedName name="uo" localSheetId="22" hidden="1">#REF!</definedName>
    <definedName name="uo" localSheetId="20" hidden="1">#REF!</definedName>
    <definedName name="uo" hidden="1">#REF!</definedName>
    <definedName name="uu" localSheetId="19" hidden="1">#REF!</definedName>
    <definedName name="uu" localSheetId="16" hidden="1">#REF!</definedName>
    <definedName name="uu" localSheetId="15" hidden="1">#REF!</definedName>
    <definedName name="uu" localSheetId="14" hidden="1">#REF!</definedName>
    <definedName name="uu" localSheetId="17" hidden="1">#REF!</definedName>
    <definedName name="uu" localSheetId="18" hidden="1">#REF!</definedName>
    <definedName name="uu" localSheetId="21" hidden="1">#REF!</definedName>
    <definedName name="uu" localSheetId="24" hidden="1">#REF!</definedName>
    <definedName name="uu" localSheetId="22" hidden="1">#REF!</definedName>
    <definedName name="uu" localSheetId="20" hidden="1">#REF!</definedName>
    <definedName name="uu" hidden="1">#REF!</definedName>
    <definedName name="uuu" hidden="1">{#N/A,#N/A,TRUE,"Serviços"}</definedName>
    <definedName name="uyt" localSheetId="19" hidden="1">#REF!</definedName>
    <definedName name="uyt" localSheetId="16" hidden="1">#REF!</definedName>
    <definedName name="uyt" localSheetId="15" hidden="1">#REF!</definedName>
    <definedName name="uyt" localSheetId="14" hidden="1">#REF!</definedName>
    <definedName name="uyt" localSheetId="17" hidden="1">#REF!</definedName>
    <definedName name="uyt" localSheetId="18" hidden="1">#REF!</definedName>
    <definedName name="uyt" localSheetId="21" hidden="1">#REF!</definedName>
    <definedName name="uyt" localSheetId="24" hidden="1">#REF!</definedName>
    <definedName name="uyt" localSheetId="22" hidden="1">#REF!</definedName>
    <definedName name="uyt" localSheetId="20" hidden="1">#REF!</definedName>
    <definedName name="uyt" hidden="1">#REF!</definedName>
    <definedName name="ValeAlim">#REF!</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VV" hidden="1">{#N/A,#N/A,FALSE,"Aging Summary";#N/A,#N/A,FALSE,"Ratio Analysis";#N/A,#N/A,FALSE,"Test 120 Day Accts";#N/A,#N/A,FALSE,"Tickmarks"}</definedName>
    <definedName name="VFVV_1" hidden="1">{#N/A,#N/A,FALSE,"Aging Summary";#N/A,#N/A,FALSE,"Ratio Analysis";#N/A,#N/A,FALSE,"Test 120 Day Accts";#N/A,#N/A,FALSE,"Tickmarks"}</definedName>
    <definedName name="VGT" hidden="1">{#N/A,#N/A,FALSE,"Aging Summary";#N/A,#N/A,FALSE,"Ratio Analysis";#N/A,#N/A,FALSE,"Test 120 Day Accts";#N/A,#N/A,FALSE,"Tickmarks"}</definedName>
    <definedName name="VGT_1" hidden="1">{#N/A,#N/A,FALSE,"Aging Summary";#N/A,#N/A,FALSE,"Ratio Analysis";#N/A,#N/A,FALSE,"Test 120 Day Accts";#N/A,#N/A,FALSE,"Tickmarks"}</definedName>
    <definedName name="VGTS" hidden="1">{#N/A,#N/A,FALSE,"Aging Summary";#N/A,#N/A,FALSE,"Ratio Analysis";#N/A,#N/A,FALSE,"Test 120 Day Accts";#N/A,#N/A,FALSE,"Tickmarks"}</definedName>
    <definedName name="VGTS_1" hidden="1">{#N/A,#N/A,FALSE,"Aging Summary";#N/A,#N/A,FALSE,"Ratio Analysis";#N/A,#N/A,FALSE,"Test 120 Day Accts";#N/A,#N/A,FALSE,"Tickmarks"}</definedName>
    <definedName name="vvv" hidden="1">{#N/A,#N/A,FALSE,"MO (2)"}</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HAERHTUY7J" localSheetId="19" hidden="1">#REF!</definedName>
    <definedName name="WEHAERHTUY7J" localSheetId="16" hidden="1">#REF!</definedName>
    <definedName name="WEHAERHTUY7J" localSheetId="15" hidden="1">#REF!</definedName>
    <definedName name="WEHAERHTUY7J" localSheetId="14" hidden="1">#REF!</definedName>
    <definedName name="WEHAERHTUY7J" localSheetId="17" hidden="1">#REF!</definedName>
    <definedName name="WEHAERHTUY7J" localSheetId="18" hidden="1">#REF!</definedName>
    <definedName name="WEHAERHTUY7J" localSheetId="21" hidden="1">#REF!</definedName>
    <definedName name="WEHAERHTUY7J" localSheetId="24" hidden="1">#REF!</definedName>
    <definedName name="WEHAERHTUY7J" localSheetId="22" hidden="1">#REF!</definedName>
    <definedName name="WEHAERHTUY7J" localSheetId="20" hidden="1">#REF!</definedName>
    <definedName name="WEHAERHTUY7J" hidden="1">#REF!</definedName>
    <definedName name="WERT" hidden="1">{#N/A,#N/A,FALSE,"Aging Summary";#N/A,#N/A,FALSE,"Ratio Analysis";#N/A,#N/A,FALSE,"Test 120 Day Accts";#N/A,#N/A,FALSE,"Tickmarks"}</definedName>
    <definedName name="wrn.ACABINT." hidden="1">{#N/A,#N/A,FALSE,"SS";#N/A,#N/A,FALSE,"TER1";#N/A,#N/A,FALSE,"TER2";#N/A,#N/A,FALSE,"TER3";#N/A,#N/A,FALSE,"TP1";#N/A,#N/A,FALSE,"TP2";#N/A,#N/A,FALSE,"TP3";#N/A,#N/A,FALSE,"DI1";#N/A,#N/A,FALSE,"DI2";#N/A,#N/A,FALSE,"DI3";#N/A,#N/A,FALSE,"DS1";#N/A,#N/A,FALSE,"DS2";#N/A,#N/A,FALSE,"CM"}</definedName>
    <definedName name="wrn.ACABINT._.TOT." hidden="1">{#N/A,#N/A,FALSE,"SS 1";#N/A,#N/A,FALSE,"TER 1 (A)";#N/A,#N/A,FALSE,"SS 2";#N/A,#N/A,FALSE,"TER 1 (B)";#N/A,#N/A,FALSE,"TER 1 (C)";#N/A,#N/A,FALSE,"TER 1 (D)";#N/A,#N/A,FALSE,"TER 1 (E)";#N/A,#N/A,FALSE,"TER 2 "}</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CASO._.BASE." hidden="1">{"SCENARIOS",#N/A,FALSE,"Resumen de escenario";"INFORHIPOT",#N/A,FALSE,"hipotesis";"INFORA8",#N/A,FALSE,"A-8";"INFORSS",#N/A,FALSE,"SSUR";"SCENARIOS",#N/A,FALSE,"consolidado"}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EXPENSES._.98._.US." hidden="1">{"Expenses 98 MKT",#N/A,TRUE,"MKT";"Expenses 98 BUSS",#N/A,TRUE,"BusOper";"Expenses 98 TECH",#N/A,TRUE,"Tech";"Expenses 98 LOCAL",#N/A,TRUE,"LocalProg";"Expenses 98 GA",#N/A,TRUE,"G&amp;A";"Expenses 98 CONSOL",#N/A,TRUE,"Consolidate"}</definedName>
    <definedName name="wrn.EXPENSES._.99._.REAL." hidden="1">{"Reais 99 MKT",#N/A,TRUE,"MKT";"Reais 99 BUSS",#N/A,TRUE,"BusOper";"Reais 99 TECH",#N/A,TRUE,"Tech";"Reais 99 LOCAL",#N/A,TRUE,"LocalProg";"Reais 99 GA",#N/A,TRUE,"G&amp;A";"Reais 99 CONSOL",#N/A,TRUE,"Consolidate"}</definedName>
    <definedName name="wrn.FACHADA." hidden="1">{#N/A,#N/A,TRUE,"TER  EXT";#N/A,#N/A,TRUE,"TER  EXT";#N/A,#N/A,TRUE,"LAT  ESQ";#N/A,#N/A,TRUE,"FRONTAL";#N/A,#N/A,TRUE,"POST";#N/A,#N/A,TRUE,"LAT  DIR"}</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INDICADORES." hidden="1">{"PARTE1",#N/A,FALSE,"Plan1"}</definedName>
    <definedName name="wrn.INDICADORES._1" hidden="1">{"PARTE1",#N/A,FALSE,"Plan1"}</definedName>
    <definedName name="wrn.Informe._.RLI." hidden="1">{#N/A,#N/A,TRUE,"MEMO";#N/A,#N/A,TRUE,"PARAMETROS";#N/A,#N/A,TRUE,"RLI ";#N/A,#N/A,TRUE,"IMPTO.DET.";#N/A,#N/A,TRUE,"FUT-FUNT";#N/A,#N/A,TRUE,"CPI-PATR.";#N/A,#N/A,TRUE,"CM CPI";#N/A,#N/A,TRUE,"PROV";#N/A,#N/A,TRUE,"A FIJO";#N/A,#N/A,TRUE,"LEASING";#N/A,#N/A,TRUE,"VPP";#N/A,#N/A,TRUE,"PPM";#N/A,#N/A,TRUE,"OTROS"}</definedName>
    <definedName name="wrn.LEVFER." hidden="1">{#N/A,#N/A,FALSE,"LEVFER V2 P";#N/A,#N/A,FALSE,"LEVFER V2 P10%"}</definedName>
    <definedName name="wrn.mo2." hidden="1">{#N/A,#N/A,FALSE,"MO (2)"}</definedName>
    <definedName name="wrn.PENDENCIAS." hidden="1">{#N/A,#N/A,FALSE,"GERAL";#N/A,#N/A,FALSE,"012-96";#N/A,#N/A,FALSE,"018-96";#N/A,#N/A,FALSE,"027-96";#N/A,#N/A,FALSE,"059-96";#N/A,#N/A,FALSE,"076-96";#N/A,#N/A,FALSE,"019-97";#N/A,#N/A,FALSE,"021-97";#N/A,#N/A,FALSE,"022-97";#N/A,#N/A,FALSE,"028-97"}</definedName>
    <definedName name="wrn.Pèrdues._.i._.G.._.analític." hidden="1">{"Pèrdues i Guanys analític.Català",#N/A,FALSE,"Català";"Pèrdues i G. analític.castellà",#N/A,FALSE,"Castellà"}</definedName>
    <definedName name="wrn.Presentacion." hidden="1">{#N/A,#N/A,FALSE,"Graficos";#N/A,#N/A,FALSE,"P.Ingresos";#N/A,#N/A,FALSE,"P.Gastos";#N/A,#N/A,FALSE,"I.Trafico";#N/A,#N/A,FALSE,"I.Peajes";#N/A,#N/A,FALSE,"G.Operativos";#N/A,#N/A,FALSE,"Cf Proyecto";#N/A,#N/A,FALSE,"C.PYG";#N/A,#N/A,FALSE,"Balance";#N/A,#N/A,FALSE,"TIR AC";#N/A,#N/A,FALSE,"TIR E"}</definedName>
    <definedName name="wrn.PROVIR97."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REL_IR_97."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ext." hidden="1">{#N/A,#N/A,TRUE,"Plan1"}</definedName>
    <definedName name="wrn.SERV._.PAVTO." hidden="1">{#N/A,#N/A,FALSE,"SS 1";#N/A,#N/A,FALSE,"SS 2";#N/A,#N/A,FALSE,"TER 1 (1)";#N/A,#N/A,FALSE,"TER 1 (2)";#N/A,#N/A,FALSE,"TER 2 ";#N/A,#N/A,FALSE,"TP  (1)";#N/A,#N/A,FALSE,"TP  (2)";#N/A,#N/A,FALSE,"CM BAR"}</definedName>
    <definedName name="wrn.suibud." hidden="1">{"tbl1",#N/A,FALSE,"regul";"tbl2",#N/A,FALSE,"regul"}</definedName>
    <definedName name="wrn.suivi." hidden="1">{"moy",#N/A,FALSE,"CAMBRAI";"paie",#N/A,FALSE,"CAMBRAI"}</definedName>
    <definedName name="wrn.Tipo." hidden="1">{#N/A,#N/A,TRUE,"Serviços"}</definedName>
    <definedName name="wrn.Tipo.." hidden="1">{#N/A,#N/A,TRUE,"Serviços"}</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tsuivi." hidden="1">{"TOTMOY",#N/A,FALSE,"TOTFDP";"TOTPAIE",#N/A,FALSE,"TOTFDP"}</definedName>
    <definedName name="wrn.WORK._.PAPER." hidden="1">{#N/A,#N/A,TRUE,"Consolidate";"Work Paper MKT",#N/A,TRUE,"MKT";"Work Paper BUSS",#N/A,TRUE,"BusOper";"Work Paper TECH",#N/A,TRUE,"Tech";"Work Paper LOCAL",#N/A,TRUE,"LocalProg";"Work Paper GA",#N/A,TRUE,"G&amp;A";"Work Paper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S"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w" hidden="1">{#N/A,#N/A,FALSE,"Aging Summary";#N/A,#N/A,FALSE,"Ratio Analysis";#N/A,#N/A,FALSE,"Test 120 Day Accts";#N/A,#N/A,FALSE,"Tickmarks"}</definedName>
    <definedName name="XREF_COL" hidden="1">#REF!</definedName>
    <definedName name="XREF_COLUMN_1" localSheetId="19" hidden="1">#REF!</definedName>
    <definedName name="XREF_COLUMN_1" localSheetId="16" hidden="1">#REF!</definedName>
    <definedName name="XREF_COLUMN_1" localSheetId="15" hidden="1">#REF!</definedName>
    <definedName name="XREF_COLUMN_1" localSheetId="14" hidden="1">#REF!</definedName>
    <definedName name="XREF_COLUMN_1" localSheetId="17" hidden="1">#REF!</definedName>
    <definedName name="XREF_COLUMN_1" localSheetId="18" hidden="1">#REF!</definedName>
    <definedName name="XREF_COLUMN_1" localSheetId="21" hidden="1">#REF!</definedName>
    <definedName name="XREF_COLUMN_1" localSheetId="24" hidden="1">#REF!</definedName>
    <definedName name="XREF_COLUMN_1" localSheetId="22" hidden="1">#REF!</definedName>
    <definedName name="XREF_COLUMN_1" localSheetId="20" hidden="1">#REF!</definedName>
    <definedName name="XREF_COLUMN_1" hidden="1">#REF!</definedName>
    <definedName name="XREF_COLUMN_10" localSheetId="19" hidden="1">#REF!</definedName>
    <definedName name="XREF_COLUMN_10" localSheetId="16" hidden="1">#REF!</definedName>
    <definedName name="XREF_COLUMN_10" localSheetId="15" hidden="1">#REF!</definedName>
    <definedName name="XREF_COLUMN_10" localSheetId="14" hidden="1">#REF!</definedName>
    <definedName name="XREF_COLUMN_10" localSheetId="17" hidden="1">#REF!</definedName>
    <definedName name="XREF_COLUMN_10" localSheetId="18" hidden="1">#REF!</definedName>
    <definedName name="XREF_COLUMN_10" localSheetId="21" hidden="1">#REF!</definedName>
    <definedName name="XREF_COLUMN_10" localSheetId="24" hidden="1">#REF!</definedName>
    <definedName name="XREF_COLUMN_10" localSheetId="22" hidden="1">#REF!</definedName>
    <definedName name="XREF_COLUMN_10" localSheetId="20" hidden="1">#REF!</definedName>
    <definedName name="XREF_COLUMN_10" hidden="1">#REF!</definedName>
    <definedName name="XREF_COLUMN_11" localSheetId="19" hidden="1">#REF!</definedName>
    <definedName name="XREF_COLUMN_11" localSheetId="16" hidden="1">#REF!</definedName>
    <definedName name="XREF_COLUMN_11" localSheetId="15" hidden="1">#REF!</definedName>
    <definedName name="XREF_COLUMN_11" localSheetId="14" hidden="1">#REF!</definedName>
    <definedName name="XREF_COLUMN_11" localSheetId="17" hidden="1">#REF!</definedName>
    <definedName name="XREF_COLUMN_11" localSheetId="18" hidden="1">#REF!</definedName>
    <definedName name="XREF_COLUMN_11" localSheetId="21" hidden="1">#REF!</definedName>
    <definedName name="XREF_COLUMN_11" localSheetId="24" hidden="1">#REF!</definedName>
    <definedName name="XREF_COLUMN_11" localSheetId="22" hidden="1">#REF!</definedName>
    <definedName name="XREF_COLUMN_11" localSheetId="20" hidden="1">#REF!</definedName>
    <definedName name="XREF_COLUMN_11" hidden="1">#REF!</definedName>
    <definedName name="XREF_COLUMN_12" localSheetId="19" hidden="1">#REF!</definedName>
    <definedName name="XREF_COLUMN_12" localSheetId="16" hidden="1">#REF!</definedName>
    <definedName name="XREF_COLUMN_12" localSheetId="15" hidden="1">#REF!</definedName>
    <definedName name="XREF_COLUMN_12" localSheetId="14" hidden="1">#REF!</definedName>
    <definedName name="XREF_COLUMN_12" localSheetId="17" hidden="1">#REF!</definedName>
    <definedName name="XREF_COLUMN_12" localSheetId="18" hidden="1">#REF!</definedName>
    <definedName name="XREF_COLUMN_12" localSheetId="21" hidden="1">#REF!</definedName>
    <definedName name="XREF_COLUMN_12" localSheetId="24" hidden="1">#REF!</definedName>
    <definedName name="XREF_COLUMN_12" localSheetId="22" hidden="1">#REF!</definedName>
    <definedName name="XREF_COLUMN_12" localSheetId="20" hidden="1">#REF!</definedName>
    <definedName name="XREF_COLUMN_12" hidden="1">#REF!</definedName>
    <definedName name="XREF_COLUMN_13" localSheetId="19" hidden="1">#REF!</definedName>
    <definedName name="XREF_COLUMN_13" localSheetId="16" hidden="1">#REF!</definedName>
    <definedName name="XREF_COLUMN_13" localSheetId="15" hidden="1">#REF!</definedName>
    <definedName name="XREF_COLUMN_13" localSheetId="14" hidden="1">#REF!</definedName>
    <definedName name="XREF_COLUMN_13" localSheetId="17" hidden="1">#REF!</definedName>
    <definedName name="XREF_COLUMN_13" localSheetId="18" hidden="1">#REF!</definedName>
    <definedName name="XREF_COLUMN_13" localSheetId="21" hidden="1">#REF!</definedName>
    <definedName name="XREF_COLUMN_13" localSheetId="24" hidden="1">#REF!</definedName>
    <definedName name="XREF_COLUMN_13" localSheetId="22" hidden="1">#REF!</definedName>
    <definedName name="XREF_COLUMN_13" localSheetId="20" hidden="1">#REF!</definedName>
    <definedName name="XREF_COLUMN_13" hidden="1">#REF!</definedName>
    <definedName name="XREF_COLUMN_14" localSheetId="19" hidden="1">#REF!</definedName>
    <definedName name="XREF_COLUMN_14" localSheetId="16" hidden="1">#REF!</definedName>
    <definedName name="XREF_COLUMN_14" localSheetId="15" hidden="1">#REF!</definedName>
    <definedName name="XREF_COLUMN_14" localSheetId="14" hidden="1">#REF!</definedName>
    <definedName name="XREF_COLUMN_14" localSheetId="17" hidden="1">#REF!</definedName>
    <definedName name="XREF_COLUMN_14" localSheetId="18" hidden="1">#REF!</definedName>
    <definedName name="XREF_COLUMN_14" localSheetId="21" hidden="1">#REF!</definedName>
    <definedName name="XREF_COLUMN_14" localSheetId="24" hidden="1">#REF!</definedName>
    <definedName name="XREF_COLUMN_14" localSheetId="22" hidden="1">#REF!</definedName>
    <definedName name="XREF_COLUMN_14" localSheetId="20" hidden="1">#REF!</definedName>
    <definedName name="XREF_COLUMN_14" hidden="1">#REF!</definedName>
    <definedName name="XREF_COLUMN_15" localSheetId="19" hidden="1">#REF!</definedName>
    <definedName name="XREF_COLUMN_15" localSheetId="16" hidden="1">#REF!</definedName>
    <definedName name="XREF_COLUMN_15" localSheetId="15" hidden="1">#REF!</definedName>
    <definedName name="XREF_COLUMN_15" localSheetId="14" hidden="1">#REF!</definedName>
    <definedName name="XREF_COLUMN_15" localSheetId="17" hidden="1">#REF!</definedName>
    <definedName name="XREF_COLUMN_15" localSheetId="18" hidden="1">#REF!</definedName>
    <definedName name="XREF_COLUMN_15" localSheetId="21" hidden="1">#REF!</definedName>
    <definedName name="XREF_COLUMN_15" localSheetId="24" hidden="1">#REF!</definedName>
    <definedName name="XREF_COLUMN_15" localSheetId="22" hidden="1">#REF!</definedName>
    <definedName name="XREF_COLUMN_15" localSheetId="20" hidden="1">#REF!</definedName>
    <definedName name="XREF_COLUMN_15" hidden="1">#REF!</definedName>
    <definedName name="XREF_COLUMN_16" localSheetId="19" hidden="1">#REF!</definedName>
    <definedName name="XREF_COLUMN_16" localSheetId="16" hidden="1">#REF!</definedName>
    <definedName name="XREF_COLUMN_16" localSheetId="15" hidden="1">#REF!</definedName>
    <definedName name="XREF_COLUMN_16" localSheetId="14" hidden="1">#REF!</definedName>
    <definedName name="XREF_COLUMN_16" localSheetId="17" hidden="1">#REF!</definedName>
    <definedName name="XREF_COLUMN_16" localSheetId="18" hidden="1">#REF!</definedName>
    <definedName name="XREF_COLUMN_16" localSheetId="21" hidden="1">#REF!</definedName>
    <definedName name="XREF_COLUMN_16" localSheetId="24" hidden="1">#REF!</definedName>
    <definedName name="XREF_COLUMN_16" localSheetId="22" hidden="1">#REF!</definedName>
    <definedName name="XREF_COLUMN_16" localSheetId="20" hidden="1">#REF!</definedName>
    <definedName name="XREF_COLUMN_16" hidden="1">#REF!</definedName>
    <definedName name="XREF_COLUMN_17" localSheetId="19" hidden="1">#REF!</definedName>
    <definedName name="XREF_COLUMN_17" localSheetId="16" hidden="1">#REF!</definedName>
    <definedName name="XREF_COLUMN_17" localSheetId="15" hidden="1">#REF!</definedName>
    <definedName name="XREF_COLUMN_17" localSheetId="14" hidden="1">#REF!</definedName>
    <definedName name="XREF_COLUMN_17" localSheetId="17" hidden="1">#REF!</definedName>
    <definedName name="XREF_COLUMN_17" localSheetId="18" hidden="1">#REF!</definedName>
    <definedName name="XREF_COLUMN_17" localSheetId="21" hidden="1">#REF!</definedName>
    <definedName name="XREF_COLUMN_17" localSheetId="24" hidden="1">#REF!</definedName>
    <definedName name="XREF_COLUMN_17" localSheetId="22" hidden="1">#REF!</definedName>
    <definedName name="XREF_COLUMN_17" localSheetId="20" hidden="1">#REF!</definedName>
    <definedName name="XREF_COLUMN_17" hidden="1">#REF!</definedName>
    <definedName name="XREF_COLUMN_18" localSheetId="19" hidden="1">#REF!</definedName>
    <definedName name="XREF_COLUMN_18" localSheetId="16" hidden="1">#REF!</definedName>
    <definedName name="XREF_COLUMN_18" localSheetId="15" hidden="1">#REF!</definedName>
    <definedName name="XREF_COLUMN_18" localSheetId="14" hidden="1">#REF!</definedName>
    <definedName name="XREF_COLUMN_18" localSheetId="17" hidden="1">#REF!</definedName>
    <definedName name="XREF_COLUMN_18" localSheetId="18" hidden="1">#REF!</definedName>
    <definedName name="XREF_COLUMN_18" localSheetId="21" hidden="1">#REF!</definedName>
    <definedName name="XREF_COLUMN_18" localSheetId="24" hidden="1">#REF!</definedName>
    <definedName name="XREF_COLUMN_18" localSheetId="22" hidden="1">#REF!</definedName>
    <definedName name="XREF_COLUMN_18" localSheetId="20" hidden="1">#REF!</definedName>
    <definedName name="XREF_COLUMN_18" hidden="1">#REF!</definedName>
    <definedName name="XREF_COLUMN_19" localSheetId="19" hidden="1">#REF!</definedName>
    <definedName name="XREF_COLUMN_19" localSheetId="16" hidden="1">#REF!</definedName>
    <definedName name="XREF_COLUMN_19" localSheetId="15" hidden="1">#REF!</definedName>
    <definedName name="XREF_COLUMN_19" localSheetId="14" hidden="1">#REF!</definedName>
    <definedName name="XREF_COLUMN_19" localSheetId="17" hidden="1">#REF!</definedName>
    <definedName name="XREF_COLUMN_19" localSheetId="18" hidden="1">#REF!</definedName>
    <definedName name="XREF_COLUMN_19" localSheetId="21" hidden="1">#REF!</definedName>
    <definedName name="XREF_COLUMN_19" localSheetId="24" hidden="1">#REF!</definedName>
    <definedName name="XREF_COLUMN_19" localSheetId="22" hidden="1">#REF!</definedName>
    <definedName name="XREF_COLUMN_19" localSheetId="20" hidden="1">#REF!</definedName>
    <definedName name="XREF_COLUMN_19" hidden="1">#REF!</definedName>
    <definedName name="XREF_COLUMN_2" localSheetId="19" hidden="1">#REF!</definedName>
    <definedName name="XREF_COLUMN_2" localSheetId="16" hidden="1">#REF!</definedName>
    <definedName name="XREF_COLUMN_2" localSheetId="15" hidden="1">#REF!</definedName>
    <definedName name="XREF_COLUMN_2" localSheetId="14" hidden="1">#REF!</definedName>
    <definedName name="XREF_COLUMN_2" localSheetId="17" hidden="1">#REF!</definedName>
    <definedName name="XREF_COLUMN_2" localSheetId="18" hidden="1">#REF!</definedName>
    <definedName name="XREF_COLUMN_2" localSheetId="21" hidden="1">#REF!</definedName>
    <definedName name="XREF_COLUMN_2" localSheetId="24" hidden="1">#REF!</definedName>
    <definedName name="XREF_COLUMN_2" localSheetId="22" hidden="1">#REF!</definedName>
    <definedName name="XREF_COLUMN_2" localSheetId="20" hidden="1">#REF!</definedName>
    <definedName name="XREF_COLUMN_2" hidden="1">#REF!</definedName>
    <definedName name="XREF_COLUMN_20" localSheetId="19" hidden="1">#REF!</definedName>
    <definedName name="XREF_COLUMN_20" localSheetId="16" hidden="1">#REF!</definedName>
    <definedName name="XREF_COLUMN_20" localSheetId="15" hidden="1">#REF!</definedName>
    <definedName name="XREF_COLUMN_20" localSheetId="14" hidden="1">#REF!</definedName>
    <definedName name="XREF_COLUMN_20" localSheetId="17" hidden="1">#REF!</definedName>
    <definedName name="XREF_COLUMN_20" localSheetId="18" hidden="1">#REF!</definedName>
    <definedName name="XREF_COLUMN_20" localSheetId="21" hidden="1">#REF!</definedName>
    <definedName name="XREF_COLUMN_20" localSheetId="24" hidden="1">#REF!</definedName>
    <definedName name="XREF_COLUMN_20" localSheetId="22" hidden="1">#REF!</definedName>
    <definedName name="XREF_COLUMN_20" localSheetId="20" hidden="1">#REF!</definedName>
    <definedName name="XREF_COLUMN_20" hidden="1">#REF!</definedName>
    <definedName name="XREF_COLUMN_21" localSheetId="19" hidden="1">#REF!</definedName>
    <definedName name="XREF_COLUMN_21" localSheetId="16" hidden="1">#REF!</definedName>
    <definedName name="XREF_COLUMN_21" localSheetId="15" hidden="1">#REF!</definedName>
    <definedName name="XREF_COLUMN_21" localSheetId="14" hidden="1">#REF!</definedName>
    <definedName name="XREF_COLUMN_21" localSheetId="17" hidden="1">#REF!</definedName>
    <definedName name="XREF_COLUMN_21" localSheetId="18" hidden="1">#REF!</definedName>
    <definedName name="XREF_COLUMN_21" localSheetId="21" hidden="1">#REF!</definedName>
    <definedName name="XREF_COLUMN_21" localSheetId="24" hidden="1">#REF!</definedName>
    <definedName name="XREF_COLUMN_21" localSheetId="22" hidden="1">#REF!</definedName>
    <definedName name="XREF_COLUMN_21" localSheetId="20" hidden="1">#REF!</definedName>
    <definedName name="XREF_COLUMN_21" hidden="1">#REF!</definedName>
    <definedName name="XREF_COLUMN_22" hidden="1">#REF!</definedName>
    <definedName name="XREF_COLUMN_23" localSheetId="19" hidden="1">#REF!</definedName>
    <definedName name="XREF_COLUMN_23" localSheetId="16" hidden="1">#REF!</definedName>
    <definedName name="XREF_COLUMN_23" localSheetId="15" hidden="1">#REF!</definedName>
    <definedName name="XREF_COLUMN_23" localSheetId="14" hidden="1">#REF!</definedName>
    <definedName name="XREF_COLUMN_23" localSheetId="17" hidden="1">#REF!</definedName>
    <definedName name="XREF_COLUMN_23" localSheetId="18" hidden="1">#REF!</definedName>
    <definedName name="XREF_COLUMN_23" localSheetId="21" hidden="1">#REF!</definedName>
    <definedName name="XREF_COLUMN_23" localSheetId="24" hidden="1">#REF!</definedName>
    <definedName name="XREF_COLUMN_23" localSheetId="22" hidden="1">#REF!</definedName>
    <definedName name="XREF_COLUMN_23" localSheetId="20" hidden="1">#REF!</definedName>
    <definedName name="XREF_COLUMN_23" hidden="1">#REF!</definedName>
    <definedName name="XREF_COLUMN_24" localSheetId="19" hidden="1">#REF!</definedName>
    <definedName name="XREF_COLUMN_24" localSheetId="16" hidden="1">#REF!</definedName>
    <definedName name="XREF_COLUMN_24" localSheetId="15" hidden="1">#REF!</definedName>
    <definedName name="XREF_COLUMN_24" localSheetId="14" hidden="1">#REF!</definedName>
    <definedName name="XREF_COLUMN_24" localSheetId="17" hidden="1">#REF!</definedName>
    <definedName name="XREF_COLUMN_24" localSheetId="18" hidden="1">#REF!</definedName>
    <definedName name="XREF_COLUMN_24" localSheetId="21" hidden="1">#REF!</definedName>
    <definedName name="XREF_COLUMN_24" localSheetId="24" hidden="1">#REF!</definedName>
    <definedName name="XREF_COLUMN_24" localSheetId="22" hidden="1">#REF!</definedName>
    <definedName name="XREF_COLUMN_24" localSheetId="20" hidden="1">#REF!</definedName>
    <definedName name="XREF_COLUMN_24" hidden="1">#REF!</definedName>
    <definedName name="XREF_COLUMN_25" localSheetId="19" hidden="1">#REF!</definedName>
    <definedName name="XREF_COLUMN_25" localSheetId="16" hidden="1">#REF!</definedName>
    <definedName name="XREF_COLUMN_25" localSheetId="15" hidden="1">#REF!</definedName>
    <definedName name="XREF_COLUMN_25" localSheetId="14" hidden="1">#REF!</definedName>
    <definedName name="XREF_COLUMN_25" localSheetId="17" hidden="1">#REF!</definedName>
    <definedName name="XREF_COLUMN_25" localSheetId="18" hidden="1">#REF!</definedName>
    <definedName name="XREF_COLUMN_25" localSheetId="21" hidden="1">#REF!</definedName>
    <definedName name="XREF_COLUMN_25" localSheetId="24" hidden="1">#REF!</definedName>
    <definedName name="XREF_COLUMN_25" localSheetId="22" hidden="1">#REF!</definedName>
    <definedName name="XREF_COLUMN_25" localSheetId="20" hidden="1">#REF!</definedName>
    <definedName name="XREF_COLUMN_25" hidden="1">#REF!</definedName>
    <definedName name="XREF_COLUMN_26" localSheetId="19" hidden="1">#REF!</definedName>
    <definedName name="XREF_COLUMN_26" localSheetId="16" hidden="1">#REF!</definedName>
    <definedName name="XREF_COLUMN_26" localSheetId="15" hidden="1">#REF!</definedName>
    <definedName name="XREF_COLUMN_26" localSheetId="14" hidden="1">#REF!</definedName>
    <definedName name="XREF_COLUMN_26" localSheetId="17" hidden="1">#REF!</definedName>
    <definedName name="XREF_COLUMN_26" localSheetId="18" hidden="1">#REF!</definedName>
    <definedName name="XREF_COLUMN_26" localSheetId="21" hidden="1">#REF!</definedName>
    <definedName name="XREF_COLUMN_26" localSheetId="24" hidden="1">#REF!</definedName>
    <definedName name="XREF_COLUMN_26" localSheetId="22" hidden="1">#REF!</definedName>
    <definedName name="XREF_COLUMN_26" localSheetId="20" hidden="1">#REF!</definedName>
    <definedName name="XREF_COLUMN_26" hidden="1">#REF!</definedName>
    <definedName name="XREF_COLUMN_27" localSheetId="19" hidden="1">#REF!</definedName>
    <definedName name="XREF_COLUMN_27" localSheetId="16" hidden="1">#REF!</definedName>
    <definedName name="XREF_COLUMN_27" localSheetId="15" hidden="1">#REF!</definedName>
    <definedName name="XREF_COLUMN_27" localSheetId="14" hidden="1">#REF!</definedName>
    <definedName name="XREF_COLUMN_27" localSheetId="17" hidden="1">#REF!</definedName>
    <definedName name="XREF_COLUMN_27" localSheetId="18" hidden="1">#REF!</definedName>
    <definedName name="XREF_COLUMN_27" localSheetId="21" hidden="1">#REF!</definedName>
    <definedName name="XREF_COLUMN_27" localSheetId="24" hidden="1">#REF!</definedName>
    <definedName name="XREF_COLUMN_27" localSheetId="22" hidden="1">#REF!</definedName>
    <definedName name="XREF_COLUMN_27" localSheetId="20" hidden="1">#REF!</definedName>
    <definedName name="XREF_COLUMN_27" hidden="1">#REF!</definedName>
    <definedName name="XREF_COLUMN_28" localSheetId="19" hidden="1">#REF!</definedName>
    <definedName name="XREF_COLUMN_28" localSheetId="16" hidden="1">#REF!</definedName>
    <definedName name="XREF_COLUMN_28" localSheetId="15" hidden="1">#REF!</definedName>
    <definedName name="XREF_COLUMN_28" localSheetId="14" hidden="1">#REF!</definedName>
    <definedName name="XREF_COLUMN_28" localSheetId="17" hidden="1">#REF!</definedName>
    <definedName name="XREF_COLUMN_28" localSheetId="18" hidden="1">#REF!</definedName>
    <definedName name="XREF_COLUMN_28" localSheetId="21" hidden="1">#REF!</definedName>
    <definedName name="XREF_COLUMN_28" localSheetId="24" hidden="1">#REF!</definedName>
    <definedName name="XREF_COLUMN_28" localSheetId="22" hidden="1">#REF!</definedName>
    <definedName name="XREF_COLUMN_28" localSheetId="20" hidden="1">#REF!</definedName>
    <definedName name="XREF_COLUMN_28" hidden="1">#REF!</definedName>
    <definedName name="XREF_COLUMN_29" localSheetId="19" hidden="1">#REF!</definedName>
    <definedName name="XREF_COLUMN_29" localSheetId="16" hidden="1">#REF!</definedName>
    <definedName name="XREF_COLUMN_29" localSheetId="15" hidden="1">#REF!</definedName>
    <definedName name="XREF_COLUMN_29" localSheetId="14" hidden="1">#REF!</definedName>
    <definedName name="XREF_COLUMN_29" localSheetId="17" hidden="1">#REF!</definedName>
    <definedName name="XREF_COLUMN_29" localSheetId="18" hidden="1">#REF!</definedName>
    <definedName name="XREF_COLUMN_29" localSheetId="21" hidden="1">#REF!</definedName>
    <definedName name="XREF_COLUMN_29" localSheetId="24" hidden="1">#REF!</definedName>
    <definedName name="XREF_COLUMN_29" localSheetId="22" hidden="1">#REF!</definedName>
    <definedName name="XREF_COLUMN_29" localSheetId="20" hidden="1">#REF!</definedName>
    <definedName name="XREF_COLUMN_29" hidden="1">#REF!</definedName>
    <definedName name="XREF_COLUMN_3" localSheetId="19" hidden="1">#REF!</definedName>
    <definedName name="XREF_COLUMN_3" localSheetId="16" hidden="1">#REF!</definedName>
    <definedName name="XREF_COLUMN_3" localSheetId="15" hidden="1">#REF!</definedName>
    <definedName name="XREF_COLUMN_3" localSheetId="14" hidden="1">#REF!</definedName>
    <definedName name="XREF_COLUMN_3" localSheetId="17" hidden="1">#REF!</definedName>
    <definedName name="XREF_COLUMN_3" localSheetId="18" hidden="1">#REF!</definedName>
    <definedName name="XREF_COLUMN_3" localSheetId="21" hidden="1">#REF!</definedName>
    <definedName name="XREF_COLUMN_3" localSheetId="24" hidden="1">#REF!</definedName>
    <definedName name="XREF_COLUMN_3" localSheetId="22" hidden="1">#REF!</definedName>
    <definedName name="XREF_COLUMN_3" localSheetId="20" hidden="1">#REF!</definedName>
    <definedName name="XREF_COLUMN_3" hidden="1">#REF!</definedName>
    <definedName name="XREF_COLUMN_30" localSheetId="19" hidden="1">#REF!</definedName>
    <definedName name="XREF_COLUMN_30" localSheetId="16" hidden="1">#REF!</definedName>
    <definedName name="XREF_COLUMN_30" localSheetId="15" hidden="1">#REF!</definedName>
    <definedName name="XREF_COLUMN_30" localSheetId="14" hidden="1">#REF!</definedName>
    <definedName name="XREF_COLUMN_30" localSheetId="17" hidden="1">#REF!</definedName>
    <definedName name="XREF_COLUMN_30" localSheetId="18" hidden="1">#REF!</definedName>
    <definedName name="XREF_COLUMN_30" localSheetId="21" hidden="1">#REF!</definedName>
    <definedName name="XREF_COLUMN_30" localSheetId="24" hidden="1">#REF!</definedName>
    <definedName name="XREF_COLUMN_30" localSheetId="22" hidden="1">#REF!</definedName>
    <definedName name="XREF_COLUMN_30" localSheetId="20" hidden="1">#REF!</definedName>
    <definedName name="XREF_COLUMN_30" hidden="1">#REF!</definedName>
    <definedName name="XREF_COLUMN_31" localSheetId="19" hidden="1">#REF!</definedName>
    <definedName name="XREF_COLUMN_31" localSheetId="16" hidden="1">#REF!</definedName>
    <definedName name="XREF_COLUMN_31" localSheetId="15" hidden="1">#REF!</definedName>
    <definedName name="XREF_COLUMN_31" localSheetId="14" hidden="1">#REF!</definedName>
    <definedName name="XREF_COLUMN_31" localSheetId="17" hidden="1">#REF!</definedName>
    <definedName name="XREF_COLUMN_31" localSheetId="18" hidden="1">#REF!</definedName>
    <definedName name="XREF_COLUMN_31" localSheetId="21" hidden="1">#REF!</definedName>
    <definedName name="XREF_COLUMN_31" localSheetId="24" hidden="1">#REF!</definedName>
    <definedName name="XREF_COLUMN_31" localSheetId="22" hidden="1">#REF!</definedName>
    <definedName name="XREF_COLUMN_31" localSheetId="20" hidden="1">#REF!</definedName>
    <definedName name="XREF_COLUMN_31" hidden="1">#REF!</definedName>
    <definedName name="XREF_COLUMN_32" localSheetId="19" hidden="1">#REF!</definedName>
    <definedName name="XREF_COLUMN_32" localSheetId="16" hidden="1">#REF!</definedName>
    <definedName name="XREF_COLUMN_32" localSheetId="15" hidden="1">#REF!</definedName>
    <definedName name="XREF_COLUMN_32" localSheetId="14" hidden="1">#REF!</definedName>
    <definedName name="XREF_COLUMN_32" localSheetId="17" hidden="1">#REF!</definedName>
    <definedName name="XREF_COLUMN_32" localSheetId="18" hidden="1">#REF!</definedName>
    <definedName name="XREF_COLUMN_32" localSheetId="21" hidden="1">#REF!</definedName>
    <definedName name="XREF_COLUMN_32" localSheetId="24" hidden="1">#REF!</definedName>
    <definedName name="XREF_COLUMN_32" localSheetId="22" hidden="1">#REF!</definedName>
    <definedName name="XREF_COLUMN_32" localSheetId="20" hidden="1">#REF!</definedName>
    <definedName name="XREF_COLUMN_32" hidden="1">#REF!</definedName>
    <definedName name="XREF_COLUMN_33" localSheetId="19" hidden="1">#REF!</definedName>
    <definedName name="XREF_COLUMN_33" localSheetId="16" hidden="1">#REF!</definedName>
    <definedName name="XREF_COLUMN_33" localSheetId="15" hidden="1">#REF!</definedName>
    <definedName name="XREF_COLUMN_33" localSheetId="14" hidden="1">#REF!</definedName>
    <definedName name="XREF_COLUMN_33" localSheetId="17" hidden="1">#REF!</definedName>
    <definedName name="XREF_COLUMN_33" localSheetId="18" hidden="1">#REF!</definedName>
    <definedName name="XREF_COLUMN_33" localSheetId="21" hidden="1">#REF!</definedName>
    <definedName name="XREF_COLUMN_33" localSheetId="24" hidden="1">#REF!</definedName>
    <definedName name="XREF_COLUMN_33" localSheetId="22" hidden="1">#REF!</definedName>
    <definedName name="XREF_COLUMN_33" localSheetId="20" hidden="1">#REF!</definedName>
    <definedName name="XREF_COLUMN_33" hidden="1">#REF!</definedName>
    <definedName name="XREF_COLUMN_34" localSheetId="19" hidden="1">#REF!</definedName>
    <definedName name="XREF_COLUMN_34" localSheetId="16" hidden="1">#REF!</definedName>
    <definedName name="XREF_COLUMN_34" localSheetId="15" hidden="1">#REF!</definedName>
    <definedName name="XREF_COLUMN_34" localSheetId="14" hidden="1">#REF!</definedName>
    <definedName name="XREF_COLUMN_34" localSheetId="17" hidden="1">#REF!</definedName>
    <definedName name="XREF_COLUMN_34" localSheetId="18" hidden="1">#REF!</definedName>
    <definedName name="XREF_COLUMN_34" localSheetId="21" hidden="1">#REF!</definedName>
    <definedName name="XREF_COLUMN_34" localSheetId="24" hidden="1">#REF!</definedName>
    <definedName name="XREF_COLUMN_34" localSheetId="22" hidden="1">#REF!</definedName>
    <definedName name="XREF_COLUMN_34" localSheetId="20" hidden="1">#REF!</definedName>
    <definedName name="XREF_COLUMN_34" hidden="1">#REF!</definedName>
    <definedName name="XREF_COLUMN_35" localSheetId="19" hidden="1">#REF!</definedName>
    <definedName name="XREF_COLUMN_35" localSheetId="16" hidden="1">#REF!</definedName>
    <definedName name="XREF_COLUMN_35" localSheetId="15" hidden="1">#REF!</definedName>
    <definedName name="XREF_COLUMN_35" localSheetId="14" hidden="1">#REF!</definedName>
    <definedName name="XREF_COLUMN_35" localSheetId="17" hidden="1">#REF!</definedName>
    <definedName name="XREF_COLUMN_35" localSheetId="18" hidden="1">#REF!</definedName>
    <definedName name="XREF_COLUMN_35" localSheetId="21" hidden="1">#REF!</definedName>
    <definedName name="XREF_COLUMN_35" localSheetId="24" hidden="1">#REF!</definedName>
    <definedName name="XREF_COLUMN_35" localSheetId="22" hidden="1">#REF!</definedName>
    <definedName name="XREF_COLUMN_35" localSheetId="20" hidden="1">#REF!</definedName>
    <definedName name="XREF_COLUMN_35" hidden="1">#REF!</definedName>
    <definedName name="XREF_COLUMN_36" localSheetId="19" hidden="1">#REF!</definedName>
    <definedName name="XREF_COLUMN_36" localSheetId="16" hidden="1">#REF!</definedName>
    <definedName name="XREF_COLUMN_36" localSheetId="15" hidden="1">#REF!</definedName>
    <definedName name="XREF_COLUMN_36" localSheetId="14" hidden="1">#REF!</definedName>
    <definedName name="XREF_COLUMN_36" localSheetId="17" hidden="1">#REF!</definedName>
    <definedName name="XREF_COLUMN_36" localSheetId="18" hidden="1">#REF!</definedName>
    <definedName name="XREF_COLUMN_36" localSheetId="21" hidden="1">#REF!</definedName>
    <definedName name="XREF_COLUMN_36" localSheetId="24" hidden="1">#REF!</definedName>
    <definedName name="XREF_COLUMN_36" localSheetId="22" hidden="1">#REF!</definedName>
    <definedName name="XREF_COLUMN_36" localSheetId="20" hidden="1">#REF!</definedName>
    <definedName name="XREF_COLUMN_36" hidden="1">#REF!</definedName>
    <definedName name="XREF_COLUMN_37" localSheetId="19" hidden="1">#REF!</definedName>
    <definedName name="XREF_COLUMN_37" localSheetId="16" hidden="1">#REF!</definedName>
    <definedName name="XREF_COLUMN_37" localSheetId="15" hidden="1">#REF!</definedName>
    <definedName name="XREF_COLUMN_37" localSheetId="14" hidden="1">#REF!</definedName>
    <definedName name="XREF_COLUMN_37" localSheetId="17" hidden="1">#REF!</definedName>
    <definedName name="XREF_COLUMN_37" localSheetId="18" hidden="1">#REF!</definedName>
    <definedName name="XREF_COLUMN_37" localSheetId="21" hidden="1">#REF!</definedName>
    <definedName name="XREF_COLUMN_37" localSheetId="24" hidden="1">#REF!</definedName>
    <definedName name="XREF_COLUMN_37" localSheetId="22" hidden="1">#REF!</definedName>
    <definedName name="XREF_COLUMN_37" localSheetId="20" hidden="1">#REF!</definedName>
    <definedName name="XREF_COLUMN_37" hidden="1">#REF!</definedName>
    <definedName name="XREF_COLUMN_38" localSheetId="19" hidden="1">#REF!</definedName>
    <definedName name="XREF_COLUMN_38" localSheetId="16" hidden="1">#REF!</definedName>
    <definedName name="XREF_COLUMN_38" localSheetId="15" hidden="1">#REF!</definedName>
    <definedName name="XREF_COLUMN_38" localSheetId="14" hidden="1">#REF!</definedName>
    <definedName name="XREF_COLUMN_38" localSheetId="17" hidden="1">#REF!</definedName>
    <definedName name="XREF_COLUMN_38" localSheetId="18" hidden="1">#REF!</definedName>
    <definedName name="XREF_COLUMN_38" localSheetId="21" hidden="1">#REF!</definedName>
    <definedName name="XREF_COLUMN_38" localSheetId="24" hidden="1">#REF!</definedName>
    <definedName name="XREF_COLUMN_38" localSheetId="22" hidden="1">#REF!</definedName>
    <definedName name="XREF_COLUMN_38" localSheetId="20" hidden="1">#REF!</definedName>
    <definedName name="XREF_COLUMN_38" hidden="1">#REF!</definedName>
    <definedName name="XREF_COLUMN_39" localSheetId="19" hidden="1">#REF!</definedName>
    <definedName name="XREF_COLUMN_39" localSheetId="16" hidden="1">#REF!</definedName>
    <definedName name="XREF_COLUMN_39" localSheetId="15" hidden="1">#REF!</definedName>
    <definedName name="XREF_COLUMN_39" localSheetId="14" hidden="1">#REF!</definedName>
    <definedName name="XREF_COLUMN_39" localSheetId="17" hidden="1">#REF!</definedName>
    <definedName name="XREF_COLUMN_39" localSheetId="18" hidden="1">#REF!</definedName>
    <definedName name="XREF_COLUMN_39" localSheetId="21" hidden="1">#REF!</definedName>
    <definedName name="XREF_COLUMN_39" localSheetId="24" hidden="1">#REF!</definedName>
    <definedName name="XREF_COLUMN_39" localSheetId="22" hidden="1">#REF!</definedName>
    <definedName name="XREF_COLUMN_39" localSheetId="20" hidden="1">#REF!</definedName>
    <definedName name="XREF_COLUMN_39" hidden="1">#REF!</definedName>
    <definedName name="XREF_COLUMN_4" localSheetId="19" hidden="1">#REF!</definedName>
    <definedName name="XREF_COLUMN_4" localSheetId="16" hidden="1">#REF!</definedName>
    <definedName name="XREF_COLUMN_4" localSheetId="15" hidden="1">#REF!</definedName>
    <definedName name="XREF_COLUMN_4" localSheetId="14" hidden="1">#REF!</definedName>
    <definedName name="XREF_COLUMN_4" localSheetId="17" hidden="1">#REF!</definedName>
    <definedName name="XREF_COLUMN_4" localSheetId="18" hidden="1">#REF!</definedName>
    <definedName name="XREF_COLUMN_4" localSheetId="21" hidden="1">#REF!</definedName>
    <definedName name="XREF_COLUMN_4" localSheetId="24" hidden="1">#REF!</definedName>
    <definedName name="XREF_COLUMN_4" localSheetId="22" hidden="1">#REF!</definedName>
    <definedName name="XREF_COLUMN_4" localSheetId="20" hidden="1">#REF!</definedName>
    <definedName name="XREF_COLUMN_4" hidden="1">#REF!</definedName>
    <definedName name="XREF_COLUMN_40" localSheetId="19" hidden="1">#REF!</definedName>
    <definedName name="XREF_COLUMN_40" localSheetId="16" hidden="1">#REF!</definedName>
    <definedName name="XREF_COLUMN_40" localSheetId="15" hidden="1">#REF!</definedName>
    <definedName name="XREF_COLUMN_40" localSheetId="14" hidden="1">#REF!</definedName>
    <definedName name="XREF_COLUMN_40" localSheetId="17" hidden="1">#REF!</definedName>
    <definedName name="XREF_COLUMN_40" localSheetId="18" hidden="1">#REF!</definedName>
    <definedName name="XREF_COLUMN_40" localSheetId="21" hidden="1">#REF!</definedName>
    <definedName name="XREF_COLUMN_40" localSheetId="24" hidden="1">#REF!</definedName>
    <definedName name="XREF_COLUMN_40" localSheetId="22" hidden="1">#REF!</definedName>
    <definedName name="XREF_COLUMN_40" localSheetId="20" hidden="1">#REF!</definedName>
    <definedName name="XREF_COLUMN_40" hidden="1">#REF!</definedName>
    <definedName name="XREF_COLUMN_41" localSheetId="19" hidden="1">#REF!</definedName>
    <definedName name="XREF_COLUMN_41" localSheetId="16" hidden="1">#REF!</definedName>
    <definedName name="XREF_COLUMN_41" localSheetId="15" hidden="1">#REF!</definedName>
    <definedName name="XREF_COLUMN_41" localSheetId="14" hidden="1">#REF!</definedName>
    <definedName name="XREF_COLUMN_41" localSheetId="17" hidden="1">#REF!</definedName>
    <definedName name="XREF_COLUMN_41" localSheetId="18" hidden="1">#REF!</definedName>
    <definedName name="XREF_COLUMN_41" localSheetId="21" hidden="1">#REF!</definedName>
    <definedName name="XREF_COLUMN_41" localSheetId="24" hidden="1">#REF!</definedName>
    <definedName name="XREF_COLUMN_41" localSheetId="22" hidden="1">#REF!</definedName>
    <definedName name="XREF_COLUMN_41" localSheetId="20" hidden="1">#REF!</definedName>
    <definedName name="XREF_COLUMN_41" hidden="1">#REF!</definedName>
    <definedName name="XREF_COLUMN_42" localSheetId="19" hidden="1">#REF!</definedName>
    <definedName name="XREF_COLUMN_42" localSheetId="16" hidden="1">#REF!</definedName>
    <definedName name="XREF_COLUMN_42" localSheetId="15" hidden="1">#REF!</definedName>
    <definedName name="XREF_COLUMN_42" localSheetId="14" hidden="1">#REF!</definedName>
    <definedName name="XREF_COLUMN_42" localSheetId="17" hidden="1">#REF!</definedName>
    <definedName name="XREF_COLUMN_42" localSheetId="18" hidden="1">#REF!</definedName>
    <definedName name="XREF_COLUMN_42" localSheetId="21" hidden="1">#REF!</definedName>
    <definedName name="XREF_COLUMN_42" localSheetId="24" hidden="1">#REF!</definedName>
    <definedName name="XREF_COLUMN_42" localSheetId="22" hidden="1">#REF!</definedName>
    <definedName name="XREF_COLUMN_42" localSheetId="20" hidden="1">#REF!</definedName>
    <definedName name="XREF_COLUMN_42" hidden="1">#REF!</definedName>
    <definedName name="XREF_COLUMN_43" localSheetId="19" hidden="1">#REF!</definedName>
    <definedName name="XREF_COLUMN_43" localSheetId="16" hidden="1">#REF!</definedName>
    <definedName name="XREF_COLUMN_43" localSheetId="15" hidden="1">#REF!</definedName>
    <definedName name="XREF_COLUMN_43" localSheetId="14" hidden="1">#REF!</definedName>
    <definedName name="XREF_COLUMN_43" localSheetId="17" hidden="1">#REF!</definedName>
    <definedName name="XREF_COLUMN_43" localSheetId="18" hidden="1">#REF!</definedName>
    <definedName name="XREF_COLUMN_43" localSheetId="21" hidden="1">#REF!</definedName>
    <definedName name="XREF_COLUMN_43" localSheetId="24" hidden="1">#REF!</definedName>
    <definedName name="XREF_COLUMN_43" localSheetId="22" hidden="1">#REF!</definedName>
    <definedName name="XREF_COLUMN_43" localSheetId="20" hidden="1">#REF!</definedName>
    <definedName name="XREF_COLUMN_43" hidden="1">#REF!</definedName>
    <definedName name="XREF_COLUMN_44" localSheetId="19" hidden="1">#REF!</definedName>
    <definedName name="XREF_COLUMN_44" localSheetId="16" hidden="1">#REF!</definedName>
    <definedName name="XREF_COLUMN_44" localSheetId="15" hidden="1">#REF!</definedName>
    <definedName name="XREF_COLUMN_44" localSheetId="14" hidden="1">#REF!</definedName>
    <definedName name="XREF_COLUMN_44" localSheetId="17" hidden="1">#REF!</definedName>
    <definedName name="XREF_COLUMN_44" localSheetId="18" hidden="1">#REF!</definedName>
    <definedName name="XREF_COLUMN_44" localSheetId="21" hidden="1">#REF!</definedName>
    <definedName name="XREF_COLUMN_44" localSheetId="24" hidden="1">#REF!</definedName>
    <definedName name="XREF_COLUMN_44" localSheetId="22" hidden="1">#REF!</definedName>
    <definedName name="XREF_COLUMN_44" localSheetId="20" hidden="1">#REF!</definedName>
    <definedName name="XREF_COLUMN_44" hidden="1">#REF!</definedName>
    <definedName name="XREF_COLUMN_45" localSheetId="19" hidden="1">#REF!</definedName>
    <definedName name="XREF_COLUMN_45" localSheetId="16" hidden="1">#REF!</definedName>
    <definedName name="XREF_COLUMN_45" localSheetId="15" hidden="1">#REF!</definedName>
    <definedName name="XREF_COLUMN_45" localSheetId="14" hidden="1">#REF!</definedName>
    <definedName name="XREF_COLUMN_45" localSheetId="17" hidden="1">#REF!</definedName>
    <definedName name="XREF_COLUMN_45" localSheetId="18" hidden="1">#REF!</definedName>
    <definedName name="XREF_COLUMN_45" localSheetId="21" hidden="1">#REF!</definedName>
    <definedName name="XREF_COLUMN_45" localSheetId="24" hidden="1">#REF!</definedName>
    <definedName name="XREF_COLUMN_45" localSheetId="22" hidden="1">#REF!</definedName>
    <definedName name="XREF_COLUMN_45" localSheetId="20" hidden="1">#REF!</definedName>
    <definedName name="XREF_COLUMN_45" hidden="1">#REF!</definedName>
    <definedName name="XREF_COLUMN_5" localSheetId="19" hidden="1">#REF!</definedName>
    <definedName name="XREF_COLUMN_5" localSheetId="16" hidden="1">#REF!</definedName>
    <definedName name="XREF_COLUMN_5" localSheetId="15" hidden="1">#REF!</definedName>
    <definedName name="XREF_COLUMN_5" localSheetId="14" hidden="1">#REF!</definedName>
    <definedName name="XREF_COLUMN_5" localSheetId="17" hidden="1">#REF!</definedName>
    <definedName name="XREF_COLUMN_5" localSheetId="18" hidden="1">#REF!</definedName>
    <definedName name="XREF_COLUMN_5" localSheetId="21" hidden="1">#REF!</definedName>
    <definedName name="XREF_COLUMN_5" localSheetId="24" hidden="1">#REF!</definedName>
    <definedName name="XREF_COLUMN_5" localSheetId="22" hidden="1">#REF!</definedName>
    <definedName name="XREF_COLUMN_5" localSheetId="20" hidden="1">#REF!</definedName>
    <definedName name="XREF_COLUMN_5" hidden="1">#REF!</definedName>
    <definedName name="XREF_COLUMN_6" localSheetId="19" hidden="1">#REF!</definedName>
    <definedName name="XREF_COLUMN_6" localSheetId="16" hidden="1">#REF!</definedName>
    <definedName name="XREF_COLUMN_6" localSheetId="15" hidden="1">#REF!</definedName>
    <definedName name="XREF_COLUMN_6" localSheetId="14" hidden="1">#REF!</definedName>
    <definedName name="XREF_COLUMN_6" localSheetId="17" hidden="1">#REF!</definedName>
    <definedName name="XREF_COLUMN_6" localSheetId="18" hidden="1">#REF!</definedName>
    <definedName name="XREF_COLUMN_6" localSheetId="21" hidden="1">#REF!</definedName>
    <definedName name="XREF_COLUMN_6" localSheetId="24" hidden="1">#REF!</definedName>
    <definedName name="XREF_COLUMN_6" localSheetId="22" hidden="1">#REF!</definedName>
    <definedName name="XREF_COLUMN_6" localSheetId="20" hidden="1">#REF!</definedName>
    <definedName name="XREF_COLUMN_6" hidden="1">#REF!</definedName>
    <definedName name="XREF_COLUMN_7" localSheetId="19" hidden="1">#REF!</definedName>
    <definedName name="XREF_COLUMN_7" localSheetId="16" hidden="1">#REF!</definedName>
    <definedName name="XREF_COLUMN_7" localSheetId="15" hidden="1">#REF!</definedName>
    <definedName name="XREF_COLUMN_7" localSheetId="14" hidden="1">#REF!</definedName>
    <definedName name="XREF_COLUMN_7" localSheetId="17" hidden="1">#REF!</definedName>
    <definedName name="XREF_COLUMN_7" localSheetId="18" hidden="1">#REF!</definedName>
    <definedName name="XREF_COLUMN_7" localSheetId="21" hidden="1">#REF!</definedName>
    <definedName name="XREF_COLUMN_7" localSheetId="24" hidden="1">#REF!</definedName>
    <definedName name="XREF_COLUMN_7" localSheetId="22" hidden="1">#REF!</definedName>
    <definedName name="XREF_COLUMN_7" localSheetId="20" hidden="1">#REF!</definedName>
    <definedName name="XREF_COLUMN_7" hidden="1">#REF!</definedName>
    <definedName name="XREF_COLUMN_8" localSheetId="19" hidden="1">#REF!</definedName>
    <definedName name="XREF_COLUMN_8" localSheetId="16" hidden="1">#REF!</definedName>
    <definedName name="XREF_COLUMN_8" localSheetId="15" hidden="1">#REF!</definedName>
    <definedName name="XREF_COLUMN_8" localSheetId="14" hidden="1">#REF!</definedName>
    <definedName name="XREF_COLUMN_8" localSheetId="17" hidden="1">#REF!</definedName>
    <definedName name="XREF_COLUMN_8" localSheetId="18" hidden="1">#REF!</definedName>
    <definedName name="XREF_COLUMN_8" localSheetId="21" hidden="1">#REF!</definedName>
    <definedName name="XREF_COLUMN_8" localSheetId="24" hidden="1">#REF!</definedName>
    <definedName name="XREF_COLUMN_8" localSheetId="22" hidden="1">#REF!</definedName>
    <definedName name="XREF_COLUMN_8" localSheetId="20" hidden="1">#REF!</definedName>
    <definedName name="XREF_COLUMN_8" hidden="1">#REF!</definedName>
    <definedName name="XREF_COLUMN_9" localSheetId="19" hidden="1">#REF!</definedName>
    <definedName name="XREF_COLUMN_9" localSheetId="16" hidden="1">#REF!</definedName>
    <definedName name="XREF_COLUMN_9" localSheetId="15" hidden="1">#REF!</definedName>
    <definedName name="XREF_COLUMN_9" localSheetId="14" hidden="1">#REF!</definedName>
    <definedName name="XREF_COLUMN_9" localSheetId="17" hidden="1">#REF!</definedName>
    <definedName name="XREF_COLUMN_9" localSheetId="18" hidden="1">#REF!</definedName>
    <definedName name="XREF_COLUMN_9" localSheetId="21" hidden="1">#REF!</definedName>
    <definedName name="XREF_COLUMN_9" localSheetId="24" hidden="1">#REF!</definedName>
    <definedName name="XREF_COLUMN_9" localSheetId="22" hidden="1">#REF!</definedName>
    <definedName name="XREF_COLUMN_9" localSheetId="20" hidden="1">#REF!</definedName>
    <definedName name="XREF_COLUMN_9" hidden="1">#REF!</definedName>
    <definedName name="XRefActiveRow" localSheetId="19" hidden="1">#REF!</definedName>
    <definedName name="XRefActiveRow" localSheetId="16" hidden="1">#REF!</definedName>
    <definedName name="XRefActiveRow" localSheetId="15" hidden="1">#REF!</definedName>
    <definedName name="XRefActiveRow" localSheetId="14" hidden="1">#REF!</definedName>
    <definedName name="XRefActiveRow" localSheetId="17" hidden="1">#REF!</definedName>
    <definedName name="XRefActiveRow" localSheetId="18" hidden="1">#REF!</definedName>
    <definedName name="XRefActiveRow" localSheetId="21" hidden="1">#REF!</definedName>
    <definedName name="XRefActiveRow" localSheetId="24" hidden="1">#REF!</definedName>
    <definedName name="XRefActiveRow" localSheetId="22" hidden="1">#REF!</definedName>
    <definedName name="XRefActiveRow" localSheetId="20" hidden="1">#REF!</definedName>
    <definedName name="XRefActiveRow" hidden="1">#REF!</definedName>
    <definedName name="XRefColumnsCount" hidden="1">2</definedName>
    <definedName name="XRefCopy1" localSheetId="19" hidden="1">#REF!</definedName>
    <definedName name="XRefCopy1" localSheetId="16" hidden="1">#REF!</definedName>
    <definedName name="XRefCopy1" localSheetId="15" hidden="1">#REF!</definedName>
    <definedName name="XRefCopy1" localSheetId="14" hidden="1">#REF!</definedName>
    <definedName name="XRefCopy1" localSheetId="17" hidden="1">#REF!</definedName>
    <definedName name="XRefCopy1" localSheetId="18" hidden="1">#REF!</definedName>
    <definedName name="XRefCopy1" localSheetId="21" hidden="1">#REF!</definedName>
    <definedName name="XRefCopy1" localSheetId="24" hidden="1">#REF!</definedName>
    <definedName name="XRefCopy1" localSheetId="22" hidden="1">#REF!</definedName>
    <definedName name="XRefCopy1" localSheetId="20" hidden="1">#REF!</definedName>
    <definedName name="XRefCopy1" hidden="1">#REF!</definedName>
    <definedName name="XRefCopy10" localSheetId="19" hidden="1">#REF!</definedName>
    <definedName name="XRefCopy10" localSheetId="16" hidden="1">#REF!</definedName>
    <definedName name="XRefCopy10" localSheetId="15" hidden="1">#REF!</definedName>
    <definedName name="XRefCopy10" localSheetId="14" hidden="1">#REF!</definedName>
    <definedName name="XRefCopy10" localSheetId="17" hidden="1">#REF!</definedName>
    <definedName name="XRefCopy10" localSheetId="18" hidden="1">#REF!</definedName>
    <definedName name="XRefCopy10" localSheetId="21" hidden="1">#REF!</definedName>
    <definedName name="XRefCopy10" localSheetId="24" hidden="1">#REF!</definedName>
    <definedName name="XRefCopy10" localSheetId="22" hidden="1">#REF!</definedName>
    <definedName name="XRefCopy10" localSheetId="20" hidden="1">#REF!</definedName>
    <definedName name="XRefCopy10" hidden="1">#REF!</definedName>
    <definedName name="XRefCopy10Row" localSheetId="19" hidden="1">#REF!</definedName>
    <definedName name="XRefCopy10Row" localSheetId="16" hidden="1">#REF!</definedName>
    <definedName name="XRefCopy10Row" localSheetId="15" hidden="1">#REF!</definedName>
    <definedName name="XRefCopy10Row" localSheetId="14" hidden="1">#REF!</definedName>
    <definedName name="XRefCopy10Row" localSheetId="17" hidden="1">#REF!</definedName>
    <definedName name="XRefCopy10Row" localSheetId="18" hidden="1">#REF!</definedName>
    <definedName name="XRefCopy10Row" localSheetId="21" hidden="1">#REF!</definedName>
    <definedName name="XRefCopy10Row" localSheetId="24" hidden="1">#REF!</definedName>
    <definedName name="XRefCopy10Row" localSheetId="22" hidden="1">#REF!</definedName>
    <definedName name="XRefCopy10Row" localSheetId="20" hidden="1">#REF!</definedName>
    <definedName name="XRefCopy10Row" hidden="1">#REF!</definedName>
    <definedName name="XRefCopy11" localSheetId="19" hidden="1">#REF!</definedName>
    <definedName name="XRefCopy11" localSheetId="16" hidden="1">#REF!</definedName>
    <definedName name="XRefCopy11" localSheetId="15" hidden="1">#REF!</definedName>
    <definedName name="XRefCopy11" localSheetId="14" hidden="1">#REF!</definedName>
    <definedName name="XRefCopy11" localSheetId="17" hidden="1">#REF!</definedName>
    <definedName name="XRefCopy11" localSheetId="18" hidden="1">#REF!</definedName>
    <definedName name="XRefCopy11" localSheetId="21" hidden="1">#REF!</definedName>
    <definedName name="XRefCopy11" localSheetId="24" hidden="1">#REF!</definedName>
    <definedName name="XRefCopy11" localSheetId="22" hidden="1">#REF!</definedName>
    <definedName name="XRefCopy11" localSheetId="20" hidden="1">#REF!</definedName>
    <definedName name="XRefCopy11" hidden="1">#REF!</definedName>
    <definedName name="XRefCopy11Row" localSheetId="19" hidden="1">#REF!</definedName>
    <definedName name="XRefCopy11Row" localSheetId="16" hidden="1">#REF!</definedName>
    <definedName name="XRefCopy11Row" localSheetId="15" hidden="1">#REF!</definedName>
    <definedName name="XRefCopy11Row" localSheetId="14" hidden="1">#REF!</definedName>
    <definedName name="XRefCopy11Row" localSheetId="17" hidden="1">#REF!</definedName>
    <definedName name="XRefCopy11Row" localSheetId="18" hidden="1">#REF!</definedName>
    <definedName name="XRefCopy11Row" localSheetId="21" hidden="1">#REF!</definedName>
    <definedName name="XRefCopy11Row" localSheetId="24" hidden="1">#REF!</definedName>
    <definedName name="XRefCopy11Row" localSheetId="22" hidden="1">#REF!</definedName>
    <definedName name="XRefCopy11Row" localSheetId="20" hidden="1">#REF!</definedName>
    <definedName name="XRefCopy11Row" hidden="1">#REF!</definedName>
    <definedName name="XRefCopy12" localSheetId="19" hidden="1">#REF!</definedName>
    <definedName name="XRefCopy12" localSheetId="16" hidden="1">#REF!</definedName>
    <definedName name="XRefCopy12" localSheetId="15" hidden="1">#REF!</definedName>
    <definedName name="XRefCopy12" localSheetId="14" hidden="1">#REF!</definedName>
    <definedName name="XRefCopy12" localSheetId="17" hidden="1">#REF!</definedName>
    <definedName name="XRefCopy12" localSheetId="18" hidden="1">#REF!</definedName>
    <definedName name="XRefCopy12" localSheetId="21" hidden="1">#REF!</definedName>
    <definedName name="XRefCopy12" localSheetId="24" hidden="1">#REF!</definedName>
    <definedName name="XRefCopy12" localSheetId="22" hidden="1">#REF!</definedName>
    <definedName name="XRefCopy12" localSheetId="20" hidden="1">#REF!</definedName>
    <definedName name="XRefCopy12" hidden="1">#REF!</definedName>
    <definedName name="XRefCopy120" localSheetId="19" hidden="1">#REF!</definedName>
    <definedName name="XRefCopy120" localSheetId="16" hidden="1">#REF!</definedName>
    <definedName name="XRefCopy120" localSheetId="15" hidden="1">#REF!</definedName>
    <definedName name="XRefCopy120" localSheetId="14" hidden="1">#REF!</definedName>
    <definedName name="XRefCopy120" localSheetId="17" hidden="1">#REF!</definedName>
    <definedName name="XRefCopy120" localSheetId="18" hidden="1">#REF!</definedName>
    <definedName name="XRefCopy120" localSheetId="21" hidden="1">#REF!</definedName>
    <definedName name="XRefCopy120" localSheetId="24" hidden="1">#REF!</definedName>
    <definedName name="XRefCopy120" localSheetId="22" hidden="1">#REF!</definedName>
    <definedName name="XRefCopy120" localSheetId="20" hidden="1">#REF!</definedName>
    <definedName name="XRefCopy120" hidden="1">#REF!</definedName>
    <definedName name="XRefCopy123" localSheetId="19" hidden="1">#REF!</definedName>
    <definedName name="XRefCopy123" localSheetId="16" hidden="1">#REF!</definedName>
    <definedName name="XRefCopy123" localSheetId="15" hidden="1">#REF!</definedName>
    <definedName name="XRefCopy123" localSheetId="14" hidden="1">#REF!</definedName>
    <definedName name="XRefCopy123" localSheetId="17" hidden="1">#REF!</definedName>
    <definedName name="XRefCopy123" localSheetId="18" hidden="1">#REF!</definedName>
    <definedName name="XRefCopy123" localSheetId="21" hidden="1">#REF!</definedName>
    <definedName name="XRefCopy123" localSheetId="24" hidden="1">#REF!</definedName>
    <definedName name="XRefCopy123" localSheetId="22" hidden="1">#REF!</definedName>
    <definedName name="XRefCopy123" localSheetId="20" hidden="1">#REF!</definedName>
    <definedName name="XRefCopy123" hidden="1">#REF!</definedName>
    <definedName name="XRefCopy124" localSheetId="19" hidden="1">#REF!</definedName>
    <definedName name="XRefCopy124" localSheetId="16" hidden="1">#REF!</definedName>
    <definedName name="XRefCopy124" localSheetId="15" hidden="1">#REF!</definedName>
    <definedName name="XRefCopy124" localSheetId="14" hidden="1">#REF!</definedName>
    <definedName name="XRefCopy124" localSheetId="17" hidden="1">#REF!</definedName>
    <definedName name="XRefCopy124" localSheetId="18" hidden="1">#REF!</definedName>
    <definedName name="XRefCopy124" localSheetId="21" hidden="1">#REF!</definedName>
    <definedName name="XRefCopy124" localSheetId="24" hidden="1">#REF!</definedName>
    <definedName name="XRefCopy124" localSheetId="22" hidden="1">#REF!</definedName>
    <definedName name="XRefCopy124" localSheetId="20" hidden="1">#REF!</definedName>
    <definedName name="XRefCopy124" hidden="1">#REF!</definedName>
    <definedName name="XRefCopy125" localSheetId="19" hidden="1">#REF!</definedName>
    <definedName name="XRefCopy125" localSheetId="16" hidden="1">#REF!</definedName>
    <definedName name="XRefCopy125" localSheetId="15" hidden="1">#REF!</definedName>
    <definedName name="XRefCopy125" localSheetId="14" hidden="1">#REF!</definedName>
    <definedName name="XRefCopy125" localSheetId="17" hidden="1">#REF!</definedName>
    <definedName name="XRefCopy125" localSheetId="18" hidden="1">#REF!</definedName>
    <definedName name="XRefCopy125" localSheetId="21" hidden="1">#REF!</definedName>
    <definedName name="XRefCopy125" localSheetId="24" hidden="1">#REF!</definedName>
    <definedName name="XRefCopy125" localSheetId="22" hidden="1">#REF!</definedName>
    <definedName name="XRefCopy125" localSheetId="20" hidden="1">#REF!</definedName>
    <definedName name="XRefCopy125" hidden="1">#REF!</definedName>
    <definedName name="XRefCopy12Row" localSheetId="19" hidden="1">#REF!</definedName>
    <definedName name="XRefCopy12Row" localSheetId="16" hidden="1">#REF!</definedName>
    <definedName name="XRefCopy12Row" localSheetId="15" hidden="1">#REF!</definedName>
    <definedName name="XRefCopy12Row" localSheetId="14" hidden="1">#REF!</definedName>
    <definedName name="XRefCopy12Row" localSheetId="17" hidden="1">#REF!</definedName>
    <definedName name="XRefCopy12Row" localSheetId="18" hidden="1">#REF!</definedName>
    <definedName name="XRefCopy12Row" localSheetId="21" hidden="1">#REF!</definedName>
    <definedName name="XRefCopy12Row" localSheetId="24" hidden="1">#REF!</definedName>
    <definedName name="XRefCopy12Row" localSheetId="22" hidden="1">#REF!</definedName>
    <definedName name="XRefCopy12Row" localSheetId="20" hidden="1">#REF!</definedName>
    <definedName name="XRefCopy12Row" hidden="1">#REF!</definedName>
    <definedName name="XRefCopy13" localSheetId="19" hidden="1">#REF!</definedName>
    <definedName name="XRefCopy13" localSheetId="16" hidden="1">#REF!</definedName>
    <definedName name="XRefCopy13" localSheetId="15" hidden="1">#REF!</definedName>
    <definedName name="XRefCopy13" localSheetId="14" hidden="1">#REF!</definedName>
    <definedName name="XRefCopy13" localSheetId="17" hidden="1">#REF!</definedName>
    <definedName name="XRefCopy13" localSheetId="18" hidden="1">#REF!</definedName>
    <definedName name="XRefCopy13" localSheetId="21" hidden="1">#REF!</definedName>
    <definedName name="XRefCopy13" localSheetId="24" hidden="1">#REF!</definedName>
    <definedName name="XRefCopy13" localSheetId="22" hidden="1">#REF!</definedName>
    <definedName name="XRefCopy13" localSheetId="20" hidden="1">#REF!</definedName>
    <definedName name="XRefCopy13" hidden="1">#REF!</definedName>
    <definedName name="XRefCopy13Row" localSheetId="19" hidden="1">#REF!</definedName>
    <definedName name="XRefCopy13Row" localSheetId="16" hidden="1">#REF!</definedName>
    <definedName name="XRefCopy13Row" localSheetId="15" hidden="1">#REF!</definedName>
    <definedName name="XRefCopy13Row" localSheetId="14" hidden="1">#REF!</definedName>
    <definedName name="XRefCopy13Row" localSheetId="17" hidden="1">#REF!</definedName>
    <definedName name="XRefCopy13Row" localSheetId="18" hidden="1">#REF!</definedName>
    <definedName name="XRefCopy13Row" localSheetId="21" hidden="1">#REF!</definedName>
    <definedName name="XRefCopy13Row" localSheetId="24" hidden="1">#REF!</definedName>
    <definedName name="XRefCopy13Row" localSheetId="22" hidden="1">#REF!</definedName>
    <definedName name="XRefCopy13Row" localSheetId="20" hidden="1">#REF!</definedName>
    <definedName name="XRefCopy13Row" hidden="1">#REF!</definedName>
    <definedName name="XRefCopy14" localSheetId="19" hidden="1">#REF!</definedName>
    <definedName name="XRefCopy14" localSheetId="16" hidden="1">#REF!</definedName>
    <definedName name="XRefCopy14" localSheetId="15" hidden="1">#REF!</definedName>
    <definedName name="XRefCopy14" localSheetId="14" hidden="1">#REF!</definedName>
    <definedName name="XRefCopy14" localSheetId="17" hidden="1">#REF!</definedName>
    <definedName name="XRefCopy14" localSheetId="18" hidden="1">#REF!</definedName>
    <definedName name="XRefCopy14" localSheetId="21" hidden="1">#REF!</definedName>
    <definedName name="XRefCopy14" localSheetId="24" hidden="1">#REF!</definedName>
    <definedName name="XRefCopy14" localSheetId="22" hidden="1">#REF!</definedName>
    <definedName name="XRefCopy14" localSheetId="20" hidden="1">#REF!</definedName>
    <definedName name="XRefCopy14" hidden="1">#REF!</definedName>
    <definedName name="XRefCopy14Row" localSheetId="19" hidden="1">#REF!</definedName>
    <definedName name="XRefCopy14Row" localSheetId="16" hidden="1">#REF!</definedName>
    <definedName name="XRefCopy14Row" localSheetId="15" hidden="1">#REF!</definedName>
    <definedName name="XRefCopy14Row" localSheetId="14" hidden="1">#REF!</definedName>
    <definedName name="XRefCopy14Row" localSheetId="17" hidden="1">#REF!</definedName>
    <definedName name="XRefCopy14Row" localSheetId="18" hidden="1">#REF!</definedName>
    <definedName name="XRefCopy14Row" localSheetId="21" hidden="1">#REF!</definedName>
    <definedName name="XRefCopy14Row" localSheetId="24" hidden="1">#REF!</definedName>
    <definedName name="XRefCopy14Row" localSheetId="22" hidden="1">#REF!</definedName>
    <definedName name="XRefCopy14Row" localSheetId="20" hidden="1">#REF!</definedName>
    <definedName name="XRefCopy14Row" hidden="1">#REF!</definedName>
    <definedName name="XRefCopy15" localSheetId="19" hidden="1">#REF!</definedName>
    <definedName name="XRefCopy15" localSheetId="16" hidden="1">#REF!</definedName>
    <definedName name="XRefCopy15" localSheetId="15" hidden="1">#REF!</definedName>
    <definedName name="XRefCopy15" localSheetId="14" hidden="1">#REF!</definedName>
    <definedName name="XRefCopy15" localSheetId="17" hidden="1">#REF!</definedName>
    <definedName name="XRefCopy15" localSheetId="18" hidden="1">#REF!</definedName>
    <definedName name="XRefCopy15" localSheetId="21" hidden="1">#REF!</definedName>
    <definedName name="XRefCopy15" localSheetId="24" hidden="1">#REF!</definedName>
    <definedName name="XRefCopy15" localSheetId="22" hidden="1">#REF!</definedName>
    <definedName name="XRefCopy15" localSheetId="20" hidden="1">#REF!</definedName>
    <definedName name="XRefCopy15" hidden="1">#REF!</definedName>
    <definedName name="XRefCopy15Row" localSheetId="19" hidden="1">#REF!</definedName>
    <definedName name="XRefCopy15Row" localSheetId="16" hidden="1">#REF!</definedName>
    <definedName name="XRefCopy15Row" localSheetId="15" hidden="1">#REF!</definedName>
    <definedName name="XRefCopy15Row" localSheetId="14" hidden="1">#REF!</definedName>
    <definedName name="XRefCopy15Row" localSheetId="17" hidden="1">#REF!</definedName>
    <definedName name="XRefCopy15Row" localSheetId="18" hidden="1">#REF!</definedName>
    <definedName name="XRefCopy15Row" localSheetId="21" hidden="1">#REF!</definedName>
    <definedName name="XRefCopy15Row" localSheetId="24" hidden="1">#REF!</definedName>
    <definedName name="XRefCopy15Row" localSheetId="22" hidden="1">#REF!</definedName>
    <definedName name="XRefCopy15Row" localSheetId="20" hidden="1">#REF!</definedName>
    <definedName name="XRefCopy15Row" hidden="1">#REF!</definedName>
    <definedName name="XRefCopy16" localSheetId="19" hidden="1">#REF!</definedName>
    <definedName name="XRefCopy16" localSheetId="16" hidden="1">#REF!</definedName>
    <definedName name="XRefCopy16" localSheetId="15" hidden="1">#REF!</definedName>
    <definedName name="XRefCopy16" localSheetId="14" hidden="1">#REF!</definedName>
    <definedName name="XRefCopy16" localSheetId="17" hidden="1">#REF!</definedName>
    <definedName name="XRefCopy16" localSheetId="18" hidden="1">#REF!</definedName>
    <definedName name="XRefCopy16" localSheetId="21" hidden="1">#REF!</definedName>
    <definedName name="XRefCopy16" localSheetId="24" hidden="1">#REF!</definedName>
    <definedName name="XRefCopy16" localSheetId="22" hidden="1">#REF!</definedName>
    <definedName name="XRefCopy16" localSheetId="20" hidden="1">#REF!</definedName>
    <definedName name="XRefCopy16" hidden="1">#REF!</definedName>
    <definedName name="XRefCopy16Row" localSheetId="19" hidden="1">#REF!</definedName>
    <definedName name="XRefCopy16Row" localSheetId="16" hidden="1">#REF!</definedName>
    <definedName name="XRefCopy16Row" localSheetId="15" hidden="1">#REF!</definedName>
    <definedName name="XRefCopy16Row" localSheetId="14" hidden="1">#REF!</definedName>
    <definedName name="XRefCopy16Row" localSheetId="17" hidden="1">#REF!</definedName>
    <definedName name="XRefCopy16Row" localSheetId="18" hidden="1">#REF!</definedName>
    <definedName name="XRefCopy16Row" localSheetId="21" hidden="1">#REF!</definedName>
    <definedName name="XRefCopy16Row" localSheetId="24" hidden="1">#REF!</definedName>
    <definedName name="XRefCopy16Row" localSheetId="22" hidden="1">#REF!</definedName>
    <definedName name="XRefCopy16Row" localSheetId="20" hidden="1">#REF!</definedName>
    <definedName name="XRefCopy16Row" hidden="1">#REF!</definedName>
    <definedName name="XRefCopy17" localSheetId="19" hidden="1">#REF!</definedName>
    <definedName name="XRefCopy17" localSheetId="16" hidden="1">#REF!</definedName>
    <definedName name="XRefCopy17" localSheetId="15" hidden="1">#REF!</definedName>
    <definedName name="XRefCopy17" localSheetId="14" hidden="1">#REF!</definedName>
    <definedName name="XRefCopy17" localSheetId="17" hidden="1">#REF!</definedName>
    <definedName name="XRefCopy17" localSheetId="18" hidden="1">#REF!</definedName>
    <definedName name="XRefCopy17" localSheetId="21" hidden="1">#REF!</definedName>
    <definedName name="XRefCopy17" localSheetId="24" hidden="1">#REF!</definedName>
    <definedName name="XRefCopy17" localSheetId="22" hidden="1">#REF!</definedName>
    <definedName name="XRefCopy17" localSheetId="20" hidden="1">#REF!</definedName>
    <definedName name="XRefCopy17" hidden="1">#REF!</definedName>
    <definedName name="XRefCopy17Row" localSheetId="19" hidden="1">#REF!</definedName>
    <definedName name="XRefCopy17Row" localSheetId="16" hidden="1">#REF!</definedName>
    <definedName name="XRefCopy17Row" localSheetId="15" hidden="1">#REF!</definedName>
    <definedName name="XRefCopy17Row" localSheetId="14" hidden="1">#REF!</definedName>
    <definedName name="XRefCopy17Row" localSheetId="17" hidden="1">#REF!</definedName>
    <definedName name="XRefCopy17Row" localSheetId="18" hidden="1">#REF!</definedName>
    <definedName name="XRefCopy17Row" localSheetId="21" hidden="1">#REF!</definedName>
    <definedName name="XRefCopy17Row" localSheetId="24" hidden="1">#REF!</definedName>
    <definedName name="XRefCopy17Row" localSheetId="22" hidden="1">#REF!</definedName>
    <definedName name="XRefCopy17Row" localSheetId="20" hidden="1">#REF!</definedName>
    <definedName name="XRefCopy17Row" hidden="1">#REF!</definedName>
    <definedName name="XRefCopy18" localSheetId="19" hidden="1">#REF!</definedName>
    <definedName name="XRefCopy18" localSheetId="16" hidden="1">#REF!</definedName>
    <definedName name="XRefCopy18" localSheetId="15" hidden="1">#REF!</definedName>
    <definedName name="XRefCopy18" localSheetId="14" hidden="1">#REF!</definedName>
    <definedName name="XRefCopy18" localSheetId="17" hidden="1">#REF!</definedName>
    <definedName name="XRefCopy18" localSheetId="18" hidden="1">#REF!</definedName>
    <definedName name="XRefCopy18" localSheetId="21" hidden="1">#REF!</definedName>
    <definedName name="XRefCopy18" localSheetId="24" hidden="1">#REF!</definedName>
    <definedName name="XRefCopy18" localSheetId="22" hidden="1">#REF!</definedName>
    <definedName name="XRefCopy18" localSheetId="20" hidden="1">#REF!</definedName>
    <definedName name="XRefCopy18" hidden="1">#REF!</definedName>
    <definedName name="XRefCopy18Row" localSheetId="19" hidden="1">#REF!</definedName>
    <definedName name="XRefCopy18Row" localSheetId="16" hidden="1">#REF!</definedName>
    <definedName name="XRefCopy18Row" localSheetId="15" hidden="1">#REF!</definedName>
    <definedName name="XRefCopy18Row" localSheetId="14" hidden="1">#REF!</definedName>
    <definedName name="XRefCopy18Row" localSheetId="17" hidden="1">#REF!</definedName>
    <definedName name="XRefCopy18Row" localSheetId="18" hidden="1">#REF!</definedName>
    <definedName name="XRefCopy18Row" localSheetId="21" hidden="1">#REF!</definedName>
    <definedName name="XRefCopy18Row" localSheetId="24" hidden="1">#REF!</definedName>
    <definedName name="XRefCopy18Row" localSheetId="22" hidden="1">#REF!</definedName>
    <definedName name="XRefCopy18Row" localSheetId="20" hidden="1">#REF!</definedName>
    <definedName name="XRefCopy18Row" hidden="1">#REF!</definedName>
    <definedName name="XRefCopy19" localSheetId="19" hidden="1">#REF!</definedName>
    <definedName name="XRefCopy19" localSheetId="16" hidden="1">#REF!</definedName>
    <definedName name="XRefCopy19" localSheetId="15" hidden="1">#REF!</definedName>
    <definedName name="XRefCopy19" localSheetId="14" hidden="1">#REF!</definedName>
    <definedName name="XRefCopy19" localSheetId="17" hidden="1">#REF!</definedName>
    <definedName name="XRefCopy19" localSheetId="18" hidden="1">#REF!</definedName>
    <definedName name="XRefCopy19" localSheetId="21" hidden="1">#REF!</definedName>
    <definedName name="XRefCopy19" localSheetId="24" hidden="1">#REF!</definedName>
    <definedName name="XRefCopy19" localSheetId="22" hidden="1">#REF!</definedName>
    <definedName name="XRefCopy19" localSheetId="20" hidden="1">#REF!</definedName>
    <definedName name="XRefCopy19" hidden="1">#REF!</definedName>
    <definedName name="XRefCopy19Row" localSheetId="19" hidden="1">#REF!</definedName>
    <definedName name="XRefCopy19Row" localSheetId="16" hidden="1">#REF!</definedName>
    <definedName name="XRefCopy19Row" localSheetId="15" hidden="1">#REF!</definedName>
    <definedName name="XRefCopy19Row" localSheetId="14" hidden="1">#REF!</definedName>
    <definedName name="XRefCopy19Row" localSheetId="17" hidden="1">#REF!</definedName>
    <definedName name="XRefCopy19Row" localSheetId="18" hidden="1">#REF!</definedName>
    <definedName name="XRefCopy19Row" localSheetId="21" hidden="1">#REF!</definedName>
    <definedName name="XRefCopy19Row" localSheetId="24" hidden="1">#REF!</definedName>
    <definedName name="XRefCopy19Row" localSheetId="22" hidden="1">#REF!</definedName>
    <definedName name="XRefCopy19Row" localSheetId="20" hidden="1">#REF!</definedName>
    <definedName name="XRefCopy19Row" hidden="1">#REF!</definedName>
    <definedName name="XRefCopy1Row" localSheetId="19" hidden="1">#REF!</definedName>
    <definedName name="XRefCopy1Row" localSheetId="16" hidden="1">#REF!</definedName>
    <definedName name="XRefCopy1Row" localSheetId="15" hidden="1">#REF!</definedName>
    <definedName name="XRefCopy1Row" localSheetId="14" hidden="1">#REF!</definedName>
    <definedName name="XRefCopy1Row" localSheetId="17" hidden="1">#REF!</definedName>
    <definedName name="XRefCopy1Row" localSheetId="18" hidden="1">#REF!</definedName>
    <definedName name="XRefCopy1Row" localSheetId="21" hidden="1">#REF!</definedName>
    <definedName name="XRefCopy1Row" localSheetId="24" hidden="1">#REF!</definedName>
    <definedName name="XRefCopy1Row" localSheetId="22" hidden="1">#REF!</definedName>
    <definedName name="XRefCopy1Row" localSheetId="20" hidden="1">#REF!</definedName>
    <definedName name="XRefCopy1Row" hidden="1">#REF!</definedName>
    <definedName name="XRefCopy2" localSheetId="19" hidden="1">#REF!</definedName>
    <definedName name="XRefCopy2" localSheetId="16" hidden="1">#REF!</definedName>
    <definedName name="XRefCopy2" localSheetId="15" hidden="1">#REF!</definedName>
    <definedName name="XRefCopy2" localSheetId="14" hidden="1">#REF!</definedName>
    <definedName name="XRefCopy2" localSheetId="17" hidden="1">#REF!</definedName>
    <definedName name="XRefCopy2" localSheetId="18" hidden="1">#REF!</definedName>
    <definedName name="XRefCopy2" localSheetId="21" hidden="1">#REF!</definedName>
    <definedName name="XRefCopy2" localSheetId="24" hidden="1">#REF!</definedName>
    <definedName name="XRefCopy2" localSheetId="22" hidden="1">#REF!</definedName>
    <definedName name="XRefCopy2" localSheetId="20" hidden="1">#REF!</definedName>
    <definedName name="XRefCopy2" hidden="1">#REF!</definedName>
    <definedName name="XRefCopy20" localSheetId="19" hidden="1">#REF!</definedName>
    <definedName name="XRefCopy20" localSheetId="16" hidden="1">#REF!</definedName>
    <definedName name="XRefCopy20" localSheetId="15" hidden="1">#REF!</definedName>
    <definedName name="XRefCopy20" localSheetId="14" hidden="1">#REF!</definedName>
    <definedName name="XRefCopy20" localSheetId="17" hidden="1">#REF!</definedName>
    <definedName name="XRefCopy20" localSheetId="18" hidden="1">#REF!</definedName>
    <definedName name="XRefCopy20" localSheetId="21" hidden="1">#REF!</definedName>
    <definedName name="XRefCopy20" localSheetId="24" hidden="1">#REF!</definedName>
    <definedName name="XRefCopy20" localSheetId="22" hidden="1">#REF!</definedName>
    <definedName name="XRefCopy20" localSheetId="20" hidden="1">#REF!</definedName>
    <definedName name="XRefCopy20" hidden="1">#REF!</definedName>
    <definedName name="XRefCopy20Row" localSheetId="19" hidden="1">#REF!</definedName>
    <definedName name="XRefCopy20Row" localSheetId="16" hidden="1">#REF!</definedName>
    <definedName name="XRefCopy20Row" localSheetId="15" hidden="1">#REF!</definedName>
    <definedName name="XRefCopy20Row" localSheetId="14" hidden="1">#REF!</definedName>
    <definedName name="XRefCopy20Row" localSheetId="17" hidden="1">#REF!</definedName>
    <definedName name="XRefCopy20Row" localSheetId="18" hidden="1">#REF!</definedName>
    <definedName name="XRefCopy20Row" localSheetId="21" hidden="1">#REF!</definedName>
    <definedName name="XRefCopy20Row" localSheetId="24" hidden="1">#REF!</definedName>
    <definedName name="XRefCopy20Row" localSheetId="22" hidden="1">#REF!</definedName>
    <definedName name="XRefCopy20Row" localSheetId="20" hidden="1">#REF!</definedName>
    <definedName name="XRefCopy20Row" hidden="1">#REF!</definedName>
    <definedName name="XRefCopy21" localSheetId="19" hidden="1">#REF!</definedName>
    <definedName name="XRefCopy21" localSheetId="16" hidden="1">#REF!</definedName>
    <definedName name="XRefCopy21" localSheetId="15" hidden="1">#REF!</definedName>
    <definedName name="XRefCopy21" localSheetId="14" hidden="1">#REF!</definedName>
    <definedName name="XRefCopy21" localSheetId="17" hidden="1">#REF!</definedName>
    <definedName name="XRefCopy21" localSheetId="18" hidden="1">#REF!</definedName>
    <definedName name="XRefCopy21" localSheetId="21" hidden="1">#REF!</definedName>
    <definedName name="XRefCopy21" localSheetId="24" hidden="1">#REF!</definedName>
    <definedName name="XRefCopy21" localSheetId="22" hidden="1">#REF!</definedName>
    <definedName name="XRefCopy21" localSheetId="20" hidden="1">#REF!</definedName>
    <definedName name="XRefCopy21" hidden="1">#REF!</definedName>
    <definedName name="XRefCopy21Row" localSheetId="19" hidden="1">#REF!</definedName>
    <definedName name="XRefCopy21Row" localSheetId="16" hidden="1">#REF!</definedName>
    <definedName name="XRefCopy21Row" localSheetId="15" hidden="1">#REF!</definedName>
    <definedName name="XRefCopy21Row" localSheetId="14" hidden="1">#REF!</definedName>
    <definedName name="XRefCopy21Row" localSheetId="17" hidden="1">#REF!</definedName>
    <definedName name="XRefCopy21Row" localSheetId="18" hidden="1">#REF!</definedName>
    <definedName name="XRefCopy21Row" localSheetId="21" hidden="1">#REF!</definedName>
    <definedName name="XRefCopy21Row" localSheetId="24" hidden="1">#REF!</definedName>
    <definedName name="XRefCopy21Row" localSheetId="22" hidden="1">#REF!</definedName>
    <definedName name="XRefCopy21Row" localSheetId="20" hidden="1">#REF!</definedName>
    <definedName name="XRefCopy21Row" hidden="1">#REF!</definedName>
    <definedName name="XRefCopy22" localSheetId="19" hidden="1">#REF!</definedName>
    <definedName name="XRefCopy22" localSheetId="16" hidden="1">#REF!</definedName>
    <definedName name="XRefCopy22" localSheetId="15" hidden="1">#REF!</definedName>
    <definedName name="XRefCopy22" localSheetId="14" hidden="1">#REF!</definedName>
    <definedName name="XRefCopy22" localSheetId="17" hidden="1">#REF!</definedName>
    <definedName name="XRefCopy22" localSheetId="18" hidden="1">#REF!</definedName>
    <definedName name="XRefCopy22" localSheetId="21" hidden="1">#REF!</definedName>
    <definedName name="XRefCopy22" localSheetId="24" hidden="1">#REF!</definedName>
    <definedName name="XRefCopy22" localSheetId="22" hidden="1">#REF!</definedName>
    <definedName name="XRefCopy22" localSheetId="20" hidden="1">#REF!</definedName>
    <definedName name="XRefCopy22" hidden="1">#REF!</definedName>
    <definedName name="XRefCopy22Row" localSheetId="19" hidden="1">#REF!</definedName>
    <definedName name="XRefCopy22Row" localSheetId="16" hidden="1">#REF!</definedName>
    <definedName name="XRefCopy22Row" localSheetId="15" hidden="1">#REF!</definedName>
    <definedName name="XRefCopy22Row" localSheetId="14" hidden="1">#REF!</definedName>
    <definedName name="XRefCopy22Row" localSheetId="17" hidden="1">#REF!</definedName>
    <definedName name="XRefCopy22Row" localSheetId="18" hidden="1">#REF!</definedName>
    <definedName name="XRefCopy22Row" localSheetId="21" hidden="1">#REF!</definedName>
    <definedName name="XRefCopy22Row" localSheetId="24" hidden="1">#REF!</definedName>
    <definedName name="XRefCopy22Row" localSheetId="22" hidden="1">#REF!</definedName>
    <definedName name="XRefCopy22Row" localSheetId="20" hidden="1">#REF!</definedName>
    <definedName name="XRefCopy22Row" hidden="1">#REF!</definedName>
    <definedName name="XRefCopy23" localSheetId="19" hidden="1">#REF!</definedName>
    <definedName name="XRefCopy23" localSheetId="16" hidden="1">#REF!</definedName>
    <definedName name="XRefCopy23" localSheetId="15" hidden="1">#REF!</definedName>
    <definedName name="XRefCopy23" localSheetId="14" hidden="1">#REF!</definedName>
    <definedName name="XRefCopy23" localSheetId="17" hidden="1">#REF!</definedName>
    <definedName name="XRefCopy23" localSheetId="18" hidden="1">#REF!</definedName>
    <definedName name="XRefCopy23" localSheetId="21" hidden="1">#REF!</definedName>
    <definedName name="XRefCopy23" localSheetId="24" hidden="1">#REF!</definedName>
    <definedName name="XRefCopy23" localSheetId="22" hidden="1">#REF!</definedName>
    <definedName name="XRefCopy23" localSheetId="20" hidden="1">#REF!</definedName>
    <definedName name="XRefCopy23" hidden="1">#REF!</definedName>
    <definedName name="XRefCopy23Row" localSheetId="19" hidden="1">#REF!</definedName>
    <definedName name="XRefCopy23Row" localSheetId="16" hidden="1">#REF!</definedName>
    <definedName name="XRefCopy23Row" localSheetId="15" hidden="1">#REF!</definedName>
    <definedName name="XRefCopy23Row" localSheetId="14" hidden="1">#REF!</definedName>
    <definedName name="XRefCopy23Row" localSheetId="17" hidden="1">#REF!</definedName>
    <definedName name="XRefCopy23Row" localSheetId="18" hidden="1">#REF!</definedName>
    <definedName name="XRefCopy23Row" localSheetId="21" hidden="1">#REF!</definedName>
    <definedName name="XRefCopy23Row" localSheetId="24" hidden="1">#REF!</definedName>
    <definedName name="XRefCopy23Row" localSheetId="22" hidden="1">#REF!</definedName>
    <definedName name="XRefCopy23Row" localSheetId="20" hidden="1">#REF!</definedName>
    <definedName name="XRefCopy23Row" hidden="1">#REF!</definedName>
    <definedName name="XRefCopy24" localSheetId="19" hidden="1">#REF!</definedName>
    <definedName name="XRefCopy24" localSheetId="16" hidden="1">#REF!</definedName>
    <definedName name="XRefCopy24" localSheetId="15" hidden="1">#REF!</definedName>
    <definedName name="XRefCopy24" localSheetId="14" hidden="1">#REF!</definedName>
    <definedName name="XRefCopy24" localSheetId="17" hidden="1">#REF!</definedName>
    <definedName name="XRefCopy24" localSheetId="18" hidden="1">#REF!</definedName>
    <definedName name="XRefCopy24" localSheetId="21" hidden="1">#REF!</definedName>
    <definedName name="XRefCopy24" localSheetId="24" hidden="1">#REF!</definedName>
    <definedName name="XRefCopy24" localSheetId="22" hidden="1">#REF!</definedName>
    <definedName name="XRefCopy24" localSheetId="20" hidden="1">#REF!</definedName>
    <definedName name="XRefCopy24" hidden="1">#REF!</definedName>
    <definedName name="XRefCopy24Row" localSheetId="19" hidden="1">#REF!</definedName>
    <definedName name="XRefCopy24Row" localSheetId="16" hidden="1">#REF!</definedName>
    <definedName name="XRefCopy24Row" localSheetId="15" hidden="1">#REF!</definedName>
    <definedName name="XRefCopy24Row" localSheetId="14" hidden="1">#REF!</definedName>
    <definedName name="XRefCopy24Row" localSheetId="17" hidden="1">#REF!</definedName>
    <definedName name="XRefCopy24Row" localSheetId="18" hidden="1">#REF!</definedName>
    <definedName name="XRefCopy24Row" localSheetId="21" hidden="1">#REF!</definedName>
    <definedName name="XRefCopy24Row" localSheetId="24" hidden="1">#REF!</definedName>
    <definedName name="XRefCopy24Row" localSheetId="22" hidden="1">#REF!</definedName>
    <definedName name="XRefCopy24Row" localSheetId="20" hidden="1">#REF!</definedName>
    <definedName name="XRefCopy24Row" hidden="1">#REF!</definedName>
    <definedName name="XRefCopy25" localSheetId="19" hidden="1">#REF!</definedName>
    <definedName name="XRefCopy25" localSheetId="16" hidden="1">#REF!</definedName>
    <definedName name="XRefCopy25" localSheetId="15" hidden="1">#REF!</definedName>
    <definedName name="XRefCopy25" localSheetId="14" hidden="1">#REF!</definedName>
    <definedName name="XRefCopy25" localSheetId="17" hidden="1">#REF!</definedName>
    <definedName name="XRefCopy25" localSheetId="18" hidden="1">#REF!</definedName>
    <definedName name="XRefCopy25" localSheetId="21" hidden="1">#REF!</definedName>
    <definedName name="XRefCopy25" localSheetId="24" hidden="1">#REF!</definedName>
    <definedName name="XRefCopy25" localSheetId="22" hidden="1">#REF!</definedName>
    <definedName name="XRefCopy25" localSheetId="20" hidden="1">#REF!</definedName>
    <definedName name="XRefCopy25" hidden="1">#REF!</definedName>
    <definedName name="XRefCopy25Row" localSheetId="19" hidden="1">#REF!</definedName>
    <definedName name="XRefCopy25Row" localSheetId="16" hidden="1">#REF!</definedName>
    <definedName name="XRefCopy25Row" localSheetId="15" hidden="1">#REF!</definedName>
    <definedName name="XRefCopy25Row" localSheetId="14" hidden="1">#REF!</definedName>
    <definedName name="XRefCopy25Row" localSheetId="17" hidden="1">#REF!</definedName>
    <definedName name="XRefCopy25Row" localSheetId="18" hidden="1">#REF!</definedName>
    <definedName name="XRefCopy25Row" localSheetId="21" hidden="1">#REF!</definedName>
    <definedName name="XRefCopy25Row" localSheetId="24" hidden="1">#REF!</definedName>
    <definedName name="XRefCopy25Row" localSheetId="22" hidden="1">#REF!</definedName>
    <definedName name="XRefCopy25Row" localSheetId="20" hidden="1">#REF!</definedName>
    <definedName name="XRefCopy25Row" hidden="1">#REF!</definedName>
    <definedName name="XRefCopy26" localSheetId="19" hidden="1">#REF!</definedName>
    <definedName name="XRefCopy26" localSheetId="16" hidden="1">#REF!</definedName>
    <definedName name="XRefCopy26" localSheetId="15" hidden="1">#REF!</definedName>
    <definedName name="XRefCopy26" localSheetId="14" hidden="1">#REF!</definedName>
    <definedName name="XRefCopy26" localSheetId="17" hidden="1">#REF!</definedName>
    <definedName name="XRefCopy26" localSheetId="18" hidden="1">#REF!</definedName>
    <definedName name="XRefCopy26" localSheetId="21" hidden="1">#REF!</definedName>
    <definedName name="XRefCopy26" localSheetId="24" hidden="1">#REF!</definedName>
    <definedName name="XRefCopy26" localSheetId="22" hidden="1">#REF!</definedName>
    <definedName name="XRefCopy26" localSheetId="20" hidden="1">#REF!</definedName>
    <definedName name="XRefCopy26" hidden="1">#REF!</definedName>
    <definedName name="XRefCopy26Row" hidden="1">#REF!</definedName>
    <definedName name="XRefCopy27" localSheetId="19" hidden="1">#REF!</definedName>
    <definedName name="XRefCopy27" localSheetId="16" hidden="1">#REF!</definedName>
    <definedName name="XRefCopy27" localSheetId="15" hidden="1">#REF!</definedName>
    <definedName name="XRefCopy27" localSheetId="14" hidden="1">#REF!</definedName>
    <definedName name="XRefCopy27" localSheetId="17" hidden="1">#REF!</definedName>
    <definedName name="XRefCopy27" localSheetId="18" hidden="1">#REF!</definedName>
    <definedName name="XRefCopy27" localSheetId="21" hidden="1">#REF!</definedName>
    <definedName name="XRefCopy27" localSheetId="24" hidden="1">#REF!</definedName>
    <definedName name="XRefCopy27" localSheetId="22" hidden="1">#REF!</definedName>
    <definedName name="XRefCopy27" localSheetId="20" hidden="1">#REF!</definedName>
    <definedName name="XRefCopy27" hidden="1">#REF!</definedName>
    <definedName name="XRefCopy27Row" localSheetId="19" hidden="1">#REF!</definedName>
    <definedName name="XRefCopy27Row" localSheetId="16" hidden="1">#REF!</definedName>
    <definedName name="XRefCopy27Row" localSheetId="15" hidden="1">#REF!</definedName>
    <definedName name="XRefCopy27Row" localSheetId="14" hidden="1">#REF!</definedName>
    <definedName name="XRefCopy27Row" localSheetId="17" hidden="1">#REF!</definedName>
    <definedName name="XRefCopy27Row" localSheetId="18" hidden="1">#REF!</definedName>
    <definedName name="XRefCopy27Row" localSheetId="21" hidden="1">#REF!</definedName>
    <definedName name="XRefCopy27Row" localSheetId="24" hidden="1">#REF!</definedName>
    <definedName name="XRefCopy27Row" localSheetId="22" hidden="1">#REF!</definedName>
    <definedName name="XRefCopy27Row" localSheetId="20" hidden="1">#REF!</definedName>
    <definedName name="XRefCopy27Row" hidden="1">#REF!</definedName>
    <definedName name="XRefCopy28" localSheetId="19" hidden="1">#REF!</definedName>
    <definedName name="XRefCopy28" localSheetId="16" hidden="1">#REF!</definedName>
    <definedName name="XRefCopy28" localSheetId="15" hidden="1">#REF!</definedName>
    <definedName name="XRefCopy28" localSheetId="14" hidden="1">#REF!</definedName>
    <definedName name="XRefCopy28" localSheetId="17" hidden="1">#REF!</definedName>
    <definedName name="XRefCopy28" localSheetId="18" hidden="1">#REF!</definedName>
    <definedName name="XRefCopy28" localSheetId="21" hidden="1">#REF!</definedName>
    <definedName name="XRefCopy28" localSheetId="24" hidden="1">#REF!</definedName>
    <definedName name="XRefCopy28" localSheetId="22" hidden="1">#REF!</definedName>
    <definedName name="XRefCopy28" localSheetId="20" hidden="1">#REF!</definedName>
    <definedName name="XRefCopy28" hidden="1">#REF!</definedName>
    <definedName name="XRefCopy28Row" localSheetId="19" hidden="1">#REF!</definedName>
    <definedName name="XRefCopy28Row" localSheetId="16" hidden="1">#REF!</definedName>
    <definedName name="XRefCopy28Row" localSheetId="15" hidden="1">#REF!</definedName>
    <definedName name="XRefCopy28Row" localSheetId="14" hidden="1">#REF!</definedName>
    <definedName name="XRefCopy28Row" localSheetId="17" hidden="1">#REF!</definedName>
    <definedName name="XRefCopy28Row" localSheetId="18" hidden="1">#REF!</definedName>
    <definedName name="XRefCopy28Row" localSheetId="21" hidden="1">#REF!</definedName>
    <definedName name="XRefCopy28Row" localSheetId="24" hidden="1">#REF!</definedName>
    <definedName name="XRefCopy28Row" localSheetId="22" hidden="1">#REF!</definedName>
    <definedName name="XRefCopy28Row" localSheetId="20" hidden="1">#REF!</definedName>
    <definedName name="XRefCopy28Row" hidden="1">#REF!</definedName>
    <definedName name="XRefCopy29" localSheetId="19" hidden="1">#REF!</definedName>
    <definedName name="XRefCopy29" localSheetId="16" hidden="1">#REF!</definedName>
    <definedName name="XRefCopy29" localSheetId="15" hidden="1">#REF!</definedName>
    <definedName name="XRefCopy29" localSheetId="14" hidden="1">#REF!</definedName>
    <definedName name="XRefCopy29" localSheetId="17" hidden="1">#REF!</definedName>
    <definedName name="XRefCopy29" localSheetId="18" hidden="1">#REF!</definedName>
    <definedName name="XRefCopy29" localSheetId="21" hidden="1">#REF!</definedName>
    <definedName name="XRefCopy29" localSheetId="24" hidden="1">#REF!</definedName>
    <definedName name="XRefCopy29" localSheetId="22" hidden="1">#REF!</definedName>
    <definedName name="XRefCopy29" localSheetId="20" hidden="1">#REF!</definedName>
    <definedName name="XRefCopy29" hidden="1">#REF!</definedName>
    <definedName name="XRefCopy29Row" localSheetId="19" hidden="1">#REF!</definedName>
    <definedName name="XRefCopy29Row" localSheetId="16" hidden="1">#REF!</definedName>
    <definedName name="XRefCopy29Row" localSheetId="15" hidden="1">#REF!</definedName>
    <definedName name="XRefCopy29Row" localSheetId="14" hidden="1">#REF!</definedName>
    <definedName name="XRefCopy29Row" localSheetId="17" hidden="1">#REF!</definedName>
    <definedName name="XRefCopy29Row" localSheetId="18" hidden="1">#REF!</definedName>
    <definedName name="XRefCopy29Row" localSheetId="21" hidden="1">#REF!</definedName>
    <definedName name="XRefCopy29Row" localSheetId="24" hidden="1">#REF!</definedName>
    <definedName name="XRefCopy29Row" localSheetId="22" hidden="1">#REF!</definedName>
    <definedName name="XRefCopy29Row" localSheetId="20" hidden="1">#REF!</definedName>
    <definedName name="XRefCopy29Row" hidden="1">#REF!</definedName>
    <definedName name="XRefCopy2Row" localSheetId="19" hidden="1">#REF!</definedName>
    <definedName name="XRefCopy2Row" localSheetId="16" hidden="1">#REF!</definedName>
    <definedName name="XRefCopy2Row" localSheetId="15" hidden="1">#REF!</definedName>
    <definedName name="XRefCopy2Row" localSheetId="14" hidden="1">#REF!</definedName>
    <definedName name="XRefCopy2Row" localSheetId="17" hidden="1">#REF!</definedName>
    <definedName name="XRefCopy2Row" localSheetId="18" hidden="1">#REF!</definedName>
    <definedName name="XRefCopy2Row" localSheetId="21" hidden="1">#REF!</definedName>
    <definedName name="XRefCopy2Row" localSheetId="24" hidden="1">#REF!</definedName>
    <definedName name="XRefCopy2Row" localSheetId="22" hidden="1">#REF!</definedName>
    <definedName name="XRefCopy2Row" localSheetId="20" hidden="1">#REF!</definedName>
    <definedName name="XRefCopy2Row" hidden="1">#REF!</definedName>
    <definedName name="XRefCopy3" localSheetId="19" hidden="1">#REF!</definedName>
    <definedName name="XRefCopy3" localSheetId="16" hidden="1">#REF!</definedName>
    <definedName name="XRefCopy3" localSheetId="15" hidden="1">#REF!</definedName>
    <definedName name="XRefCopy3" localSheetId="14" hidden="1">#REF!</definedName>
    <definedName name="XRefCopy3" localSheetId="17" hidden="1">#REF!</definedName>
    <definedName name="XRefCopy3" localSheetId="18" hidden="1">#REF!</definedName>
    <definedName name="XRefCopy3" localSheetId="21" hidden="1">#REF!</definedName>
    <definedName name="XRefCopy3" localSheetId="24" hidden="1">#REF!</definedName>
    <definedName name="XRefCopy3" localSheetId="22" hidden="1">#REF!</definedName>
    <definedName name="XRefCopy3" localSheetId="20" hidden="1">#REF!</definedName>
    <definedName name="XRefCopy3" hidden="1">#REF!</definedName>
    <definedName name="XRefCopy30" localSheetId="19" hidden="1">#REF!</definedName>
    <definedName name="XRefCopy30" localSheetId="16" hidden="1">#REF!</definedName>
    <definedName name="XRefCopy30" localSheetId="15" hidden="1">#REF!</definedName>
    <definedName name="XRefCopy30" localSheetId="14" hidden="1">#REF!</definedName>
    <definedName name="XRefCopy30" localSheetId="17" hidden="1">#REF!</definedName>
    <definedName name="XRefCopy30" localSheetId="18" hidden="1">#REF!</definedName>
    <definedName name="XRefCopy30" localSheetId="21" hidden="1">#REF!</definedName>
    <definedName name="XRefCopy30" localSheetId="24" hidden="1">#REF!</definedName>
    <definedName name="XRefCopy30" localSheetId="22" hidden="1">#REF!</definedName>
    <definedName name="XRefCopy30" localSheetId="20" hidden="1">#REF!</definedName>
    <definedName name="XRefCopy30" hidden="1">#REF!</definedName>
    <definedName name="XRefCopy30Row" localSheetId="19" hidden="1">#REF!</definedName>
    <definedName name="XRefCopy30Row" localSheetId="16" hidden="1">#REF!</definedName>
    <definedName name="XRefCopy30Row" localSheetId="15" hidden="1">#REF!</definedName>
    <definedName name="XRefCopy30Row" localSheetId="14" hidden="1">#REF!</definedName>
    <definedName name="XRefCopy30Row" localSheetId="17" hidden="1">#REF!</definedName>
    <definedName name="XRefCopy30Row" localSheetId="18" hidden="1">#REF!</definedName>
    <definedName name="XRefCopy30Row" localSheetId="21" hidden="1">#REF!</definedName>
    <definedName name="XRefCopy30Row" localSheetId="24" hidden="1">#REF!</definedName>
    <definedName name="XRefCopy30Row" localSheetId="22" hidden="1">#REF!</definedName>
    <definedName name="XRefCopy30Row" localSheetId="20" hidden="1">#REF!</definedName>
    <definedName name="XRefCopy30Row" hidden="1">#REF!</definedName>
    <definedName name="XRefCopy31" localSheetId="19" hidden="1">#REF!</definedName>
    <definedName name="XRefCopy31" localSheetId="16" hidden="1">#REF!</definedName>
    <definedName name="XRefCopy31" localSheetId="15" hidden="1">#REF!</definedName>
    <definedName name="XRefCopy31" localSheetId="14" hidden="1">#REF!</definedName>
    <definedName name="XRefCopy31" localSheetId="17" hidden="1">#REF!</definedName>
    <definedName name="XRefCopy31" localSheetId="18" hidden="1">#REF!</definedName>
    <definedName name="XRefCopy31" localSheetId="21" hidden="1">#REF!</definedName>
    <definedName name="XRefCopy31" localSheetId="24" hidden="1">#REF!</definedName>
    <definedName name="XRefCopy31" localSheetId="22" hidden="1">#REF!</definedName>
    <definedName name="XRefCopy31" localSheetId="20" hidden="1">#REF!</definedName>
    <definedName name="XRefCopy31" hidden="1">#REF!</definedName>
    <definedName name="XRefCopy31Row" localSheetId="19" hidden="1">#REF!</definedName>
    <definedName name="XRefCopy31Row" localSheetId="16" hidden="1">#REF!</definedName>
    <definedName name="XRefCopy31Row" localSheetId="15" hidden="1">#REF!</definedName>
    <definedName name="XRefCopy31Row" localSheetId="14" hidden="1">#REF!</definedName>
    <definedName name="XRefCopy31Row" localSheetId="17" hidden="1">#REF!</definedName>
    <definedName name="XRefCopy31Row" localSheetId="18" hidden="1">#REF!</definedName>
    <definedName name="XRefCopy31Row" localSheetId="21" hidden="1">#REF!</definedName>
    <definedName name="XRefCopy31Row" localSheetId="24" hidden="1">#REF!</definedName>
    <definedName name="XRefCopy31Row" localSheetId="22" hidden="1">#REF!</definedName>
    <definedName name="XRefCopy31Row" localSheetId="20" hidden="1">#REF!</definedName>
    <definedName name="XRefCopy31Row" hidden="1">#REF!</definedName>
    <definedName name="XRefCopy32" localSheetId="19" hidden="1">#REF!</definedName>
    <definedName name="XRefCopy32" localSheetId="16" hidden="1">#REF!</definedName>
    <definedName name="XRefCopy32" localSheetId="15" hidden="1">#REF!</definedName>
    <definedName name="XRefCopy32" localSheetId="14" hidden="1">#REF!</definedName>
    <definedName name="XRefCopy32" localSheetId="17" hidden="1">#REF!</definedName>
    <definedName name="XRefCopy32" localSheetId="18" hidden="1">#REF!</definedName>
    <definedName name="XRefCopy32" localSheetId="21" hidden="1">#REF!</definedName>
    <definedName name="XRefCopy32" localSheetId="24" hidden="1">#REF!</definedName>
    <definedName name="XRefCopy32" localSheetId="22" hidden="1">#REF!</definedName>
    <definedName name="XRefCopy32" localSheetId="20" hidden="1">#REF!</definedName>
    <definedName name="XRefCopy32" hidden="1">#REF!</definedName>
    <definedName name="XRefCopy32Row" localSheetId="19" hidden="1">#REF!</definedName>
    <definedName name="XRefCopy32Row" localSheetId="16" hidden="1">#REF!</definedName>
    <definedName name="XRefCopy32Row" localSheetId="15" hidden="1">#REF!</definedName>
    <definedName name="XRefCopy32Row" localSheetId="14" hidden="1">#REF!</definedName>
    <definedName name="XRefCopy32Row" localSheetId="17" hidden="1">#REF!</definedName>
    <definedName name="XRefCopy32Row" localSheetId="18" hidden="1">#REF!</definedName>
    <definedName name="XRefCopy32Row" localSheetId="21" hidden="1">#REF!</definedName>
    <definedName name="XRefCopy32Row" localSheetId="24" hidden="1">#REF!</definedName>
    <definedName name="XRefCopy32Row" localSheetId="22" hidden="1">#REF!</definedName>
    <definedName name="XRefCopy32Row" localSheetId="20" hidden="1">#REF!</definedName>
    <definedName name="XRefCopy32Row" hidden="1">#REF!</definedName>
    <definedName name="XRefCopy33" localSheetId="19" hidden="1">#REF!</definedName>
    <definedName name="XRefCopy33" localSheetId="16" hidden="1">#REF!</definedName>
    <definedName name="XRefCopy33" localSheetId="15" hidden="1">#REF!</definedName>
    <definedName name="XRefCopy33" localSheetId="14" hidden="1">#REF!</definedName>
    <definedName name="XRefCopy33" localSheetId="17" hidden="1">#REF!</definedName>
    <definedName name="XRefCopy33" localSheetId="18" hidden="1">#REF!</definedName>
    <definedName name="XRefCopy33" localSheetId="21" hidden="1">#REF!</definedName>
    <definedName name="XRefCopy33" localSheetId="24" hidden="1">#REF!</definedName>
    <definedName name="XRefCopy33" localSheetId="22" hidden="1">#REF!</definedName>
    <definedName name="XRefCopy33" localSheetId="20" hidden="1">#REF!</definedName>
    <definedName name="XRefCopy33" hidden="1">#REF!</definedName>
    <definedName name="XRefCopy33Row" localSheetId="19" hidden="1">#REF!</definedName>
    <definedName name="XRefCopy33Row" localSheetId="16" hidden="1">#REF!</definedName>
    <definedName name="XRefCopy33Row" localSheetId="15" hidden="1">#REF!</definedName>
    <definedName name="XRefCopy33Row" localSheetId="14" hidden="1">#REF!</definedName>
    <definedName name="XRefCopy33Row" localSheetId="17" hidden="1">#REF!</definedName>
    <definedName name="XRefCopy33Row" localSheetId="18" hidden="1">#REF!</definedName>
    <definedName name="XRefCopy33Row" localSheetId="21" hidden="1">#REF!</definedName>
    <definedName name="XRefCopy33Row" localSheetId="24" hidden="1">#REF!</definedName>
    <definedName name="XRefCopy33Row" localSheetId="22" hidden="1">#REF!</definedName>
    <definedName name="XRefCopy33Row" localSheetId="20" hidden="1">#REF!</definedName>
    <definedName name="XRefCopy33Row" hidden="1">#REF!</definedName>
    <definedName name="XRefCopy34" localSheetId="19" hidden="1">#REF!</definedName>
    <definedName name="XRefCopy34" localSheetId="16" hidden="1">#REF!</definedName>
    <definedName name="XRefCopy34" localSheetId="15" hidden="1">#REF!</definedName>
    <definedName name="XRefCopy34" localSheetId="14" hidden="1">#REF!</definedName>
    <definedName name="XRefCopy34" localSheetId="17" hidden="1">#REF!</definedName>
    <definedName name="XRefCopy34" localSheetId="18" hidden="1">#REF!</definedName>
    <definedName name="XRefCopy34" localSheetId="21" hidden="1">#REF!</definedName>
    <definedName name="XRefCopy34" localSheetId="24" hidden="1">#REF!</definedName>
    <definedName name="XRefCopy34" localSheetId="22" hidden="1">#REF!</definedName>
    <definedName name="XRefCopy34" localSheetId="20" hidden="1">#REF!</definedName>
    <definedName name="XRefCopy34" hidden="1">#REF!</definedName>
    <definedName name="XRefCopy34Row" localSheetId="19" hidden="1">#REF!</definedName>
    <definedName name="XRefCopy34Row" localSheetId="16" hidden="1">#REF!</definedName>
    <definedName name="XRefCopy34Row" localSheetId="15" hidden="1">#REF!</definedName>
    <definedName name="XRefCopy34Row" localSheetId="14" hidden="1">#REF!</definedName>
    <definedName name="XRefCopy34Row" localSheetId="17" hidden="1">#REF!</definedName>
    <definedName name="XRefCopy34Row" localSheetId="18" hidden="1">#REF!</definedName>
    <definedName name="XRefCopy34Row" localSheetId="21" hidden="1">#REF!</definedName>
    <definedName name="XRefCopy34Row" localSheetId="24" hidden="1">#REF!</definedName>
    <definedName name="XRefCopy34Row" localSheetId="22" hidden="1">#REF!</definedName>
    <definedName name="XRefCopy34Row" localSheetId="20" hidden="1">#REF!</definedName>
    <definedName name="XRefCopy34Row" hidden="1">#REF!</definedName>
    <definedName name="XRefCopy35" localSheetId="19" hidden="1">#REF!</definedName>
    <definedName name="XRefCopy35" localSheetId="16" hidden="1">#REF!</definedName>
    <definedName name="XRefCopy35" localSheetId="15" hidden="1">#REF!</definedName>
    <definedName name="XRefCopy35" localSheetId="14" hidden="1">#REF!</definedName>
    <definedName name="XRefCopy35" localSheetId="17" hidden="1">#REF!</definedName>
    <definedName name="XRefCopy35" localSheetId="18" hidden="1">#REF!</definedName>
    <definedName name="XRefCopy35" localSheetId="21" hidden="1">#REF!</definedName>
    <definedName name="XRefCopy35" localSheetId="24" hidden="1">#REF!</definedName>
    <definedName name="XRefCopy35" localSheetId="22" hidden="1">#REF!</definedName>
    <definedName name="XRefCopy35" localSheetId="20" hidden="1">#REF!</definedName>
    <definedName name="XRefCopy35" hidden="1">#REF!</definedName>
    <definedName name="XRefCopy35Row" localSheetId="19" hidden="1">#REF!</definedName>
    <definedName name="XRefCopy35Row" localSheetId="16" hidden="1">#REF!</definedName>
    <definedName name="XRefCopy35Row" localSheetId="15" hidden="1">#REF!</definedName>
    <definedName name="XRefCopy35Row" localSheetId="14" hidden="1">#REF!</definedName>
    <definedName name="XRefCopy35Row" localSheetId="17" hidden="1">#REF!</definedName>
    <definedName name="XRefCopy35Row" localSheetId="18" hidden="1">#REF!</definedName>
    <definedName name="XRefCopy35Row" localSheetId="21" hidden="1">#REF!</definedName>
    <definedName name="XRefCopy35Row" localSheetId="24" hidden="1">#REF!</definedName>
    <definedName name="XRefCopy35Row" localSheetId="22" hidden="1">#REF!</definedName>
    <definedName name="XRefCopy35Row" localSheetId="20" hidden="1">#REF!</definedName>
    <definedName name="XRefCopy35Row" hidden="1">#REF!</definedName>
    <definedName name="XRefCopy36" localSheetId="19" hidden="1">#REF!</definedName>
    <definedName name="XRefCopy36" localSheetId="16" hidden="1">#REF!</definedName>
    <definedName name="XRefCopy36" localSheetId="15" hidden="1">#REF!</definedName>
    <definedName name="XRefCopy36" localSheetId="14" hidden="1">#REF!</definedName>
    <definedName name="XRefCopy36" localSheetId="17" hidden="1">#REF!</definedName>
    <definedName name="XRefCopy36" localSheetId="18" hidden="1">#REF!</definedName>
    <definedName name="XRefCopy36" localSheetId="21" hidden="1">#REF!</definedName>
    <definedName name="XRefCopy36" localSheetId="24" hidden="1">#REF!</definedName>
    <definedName name="XRefCopy36" localSheetId="22" hidden="1">#REF!</definedName>
    <definedName name="XRefCopy36" localSheetId="20" hidden="1">#REF!</definedName>
    <definedName name="XRefCopy36" hidden="1">#REF!</definedName>
    <definedName name="XRefCopy36Row" localSheetId="19" hidden="1">#REF!</definedName>
    <definedName name="XRefCopy36Row" localSheetId="16" hidden="1">#REF!</definedName>
    <definedName name="XRefCopy36Row" localSheetId="15" hidden="1">#REF!</definedName>
    <definedName name="XRefCopy36Row" localSheetId="14" hidden="1">#REF!</definedName>
    <definedName name="XRefCopy36Row" localSheetId="17" hidden="1">#REF!</definedName>
    <definedName name="XRefCopy36Row" localSheetId="18" hidden="1">#REF!</definedName>
    <definedName name="XRefCopy36Row" localSheetId="21" hidden="1">#REF!</definedName>
    <definedName name="XRefCopy36Row" localSheetId="24" hidden="1">#REF!</definedName>
    <definedName name="XRefCopy36Row" localSheetId="22" hidden="1">#REF!</definedName>
    <definedName name="XRefCopy36Row" localSheetId="20" hidden="1">#REF!</definedName>
    <definedName name="XRefCopy36Row" hidden="1">#REF!</definedName>
    <definedName name="XRefCopy37" localSheetId="19" hidden="1">#REF!</definedName>
    <definedName name="XRefCopy37" localSheetId="16" hidden="1">#REF!</definedName>
    <definedName name="XRefCopy37" localSheetId="15" hidden="1">#REF!</definedName>
    <definedName name="XRefCopy37" localSheetId="14" hidden="1">#REF!</definedName>
    <definedName name="XRefCopy37" localSheetId="17" hidden="1">#REF!</definedName>
    <definedName name="XRefCopy37" localSheetId="18" hidden="1">#REF!</definedName>
    <definedName name="XRefCopy37" localSheetId="21" hidden="1">#REF!</definedName>
    <definedName name="XRefCopy37" localSheetId="24" hidden="1">#REF!</definedName>
    <definedName name="XRefCopy37" localSheetId="22" hidden="1">#REF!</definedName>
    <definedName name="XRefCopy37" localSheetId="20" hidden="1">#REF!</definedName>
    <definedName name="XRefCopy37" hidden="1">#REF!</definedName>
    <definedName name="XRefCopy37Row" localSheetId="19" hidden="1">#REF!</definedName>
    <definedName name="XRefCopy37Row" localSheetId="16" hidden="1">#REF!</definedName>
    <definedName name="XRefCopy37Row" localSheetId="15" hidden="1">#REF!</definedName>
    <definedName name="XRefCopy37Row" localSheetId="14" hidden="1">#REF!</definedName>
    <definedName name="XRefCopy37Row" localSheetId="17" hidden="1">#REF!</definedName>
    <definedName name="XRefCopy37Row" localSheetId="18" hidden="1">#REF!</definedName>
    <definedName name="XRefCopy37Row" localSheetId="21" hidden="1">#REF!</definedName>
    <definedName name="XRefCopy37Row" localSheetId="24" hidden="1">#REF!</definedName>
    <definedName name="XRefCopy37Row" localSheetId="22" hidden="1">#REF!</definedName>
    <definedName name="XRefCopy37Row" localSheetId="20" hidden="1">#REF!</definedName>
    <definedName name="XRefCopy37Row" hidden="1">#REF!</definedName>
    <definedName name="XRefCopy38" localSheetId="19" hidden="1">#REF!</definedName>
    <definedName name="XRefCopy38" localSheetId="16" hidden="1">#REF!</definedName>
    <definedName name="XRefCopy38" localSheetId="15" hidden="1">#REF!</definedName>
    <definedName name="XRefCopy38" localSheetId="14" hidden="1">#REF!</definedName>
    <definedName name="XRefCopy38" localSheetId="17" hidden="1">#REF!</definedName>
    <definedName name="XRefCopy38" localSheetId="18" hidden="1">#REF!</definedName>
    <definedName name="XRefCopy38" localSheetId="21" hidden="1">#REF!</definedName>
    <definedName name="XRefCopy38" localSheetId="24" hidden="1">#REF!</definedName>
    <definedName name="XRefCopy38" localSheetId="22" hidden="1">#REF!</definedName>
    <definedName name="XRefCopy38" localSheetId="20" hidden="1">#REF!</definedName>
    <definedName name="XRefCopy38" hidden="1">#REF!</definedName>
    <definedName name="XRefCopy38Row" localSheetId="19" hidden="1">#REF!</definedName>
    <definedName name="XRefCopy38Row" localSheetId="16" hidden="1">#REF!</definedName>
    <definedName name="XRefCopy38Row" localSheetId="15" hidden="1">#REF!</definedName>
    <definedName name="XRefCopy38Row" localSheetId="14" hidden="1">#REF!</definedName>
    <definedName name="XRefCopy38Row" localSheetId="17" hidden="1">#REF!</definedName>
    <definedName name="XRefCopy38Row" localSheetId="18" hidden="1">#REF!</definedName>
    <definedName name="XRefCopy38Row" localSheetId="21" hidden="1">#REF!</definedName>
    <definedName name="XRefCopy38Row" localSheetId="24" hidden="1">#REF!</definedName>
    <definedName name="XRefCopy38Row" localSheetId="22" hidden="1">#REF!</definedName>
    <definedName name="XRefCopy38Row" localSheetId="20" hidden="1">#REF!</definedName>
    <definedName name="XRefCopy38Row" hidden="1">#REF!</definedName>
    <definedName name="XRefCopy39" localSheetId="19" hidden="1">#REF!</definedName>
    <definedName name="XRefCopy39" localSheetId="16" hidden="1">#REF!</definedName>
    <definedName name="XRefCopy39" localSheetId="15" hidden="1">#REF!</definedName>
    <definedName name="XRefCopy39" localSheetId="14" hidden="1">#REF!</definedName>
    <definedName name="XRefCopy39" localSheetId="17" hidden="1">#REF!</definedName>
    <definedName name="XRefCopy39" localSheetId="18" hidden="1">#REF!</definedName>
    <definedName name="XRefCopy39" localSheetId="21" hidden="1">#REF!</definedName>
    <definedName name="XRefCopy39" localSheetId="24" hidden="1">#REF!</definedName>
    <definedName name="XRefCopy39" localSheetId="22" hidden="1">#REF!</definedName>
    <definedName name="XRefCopy39" localSheetId="20" hidden="1">#REF!</definedName>
    <definedName name="XRefCopy39" hidden="1">#REF!</definedName>
    <definedName name="XRefCopy39Row" localSheetId="19" hidden="1">#REF!</definedName>
    <definedName name="XRefCopy39Row" localSheetId="16" hidden="1">#REF!</definedName>
    <definedName name="XRefCopy39Row" localSheetId="15" hidden="1">#REF!</definedName>
    <definedName name="XRefCopy39Row" localSheetId="14" hidden="1">#REF!</definedName>
    <definedName name="XRefCopy39Row" localSheetId="17" hidden="1">#REF!</definedName>
    <definedName name="XRefCopy39Row" localSheetId="18" hidden="1">#REF!</definedName>
    <definedName name="XRefCopy39Row" localSheetId="21" hidden="1">#REF!</definedName>
    <definedName name="XRefCopy39Row" localSheetId="24" hidden="1">#REF!</definedName>
    <definedName name="XRefCopy39Row" localSheetId="22" hidden="1">#REF!</definedName>
    <definedName name="XRefCopy39Row" localSheetId="20" hidden="1">#REF!</definedName>
    <definedName name="XRefCopy39Row" hidden="1">#REF!</definedName>
    <definedName name="XRefCopy3Row" localSheetId="19" hidden="1">#REF!</definedName>
    <definedName name="XRefCopy3Row" localSheetId="16" hidden="1">#REF!</definedName>
    <definedName name="XRefCopy3Row" localSheetId="15" hidden="1">#REF!</definedName>
    <definedName name="XRefCopy3Row" localSheetId="14" hidden="1">#REF!</definedName>
    <definedName name="XRefCopy3Row" localSheetId="17" hidden="1">#REF!</definedName>
    <definedName name="XRefCopy3Row" localSheetId="18" hidden="1">#REF!</definedName>
    <definedName name="XRefCopy3Row" localSheetId="21" hidden="1">#REF!</definedName>
    <definedName name="XRefCopy3Row" localSheetId="24" hidden="1">#REF!</definedName>
    <definedName name="XRefCopy3Row" localSheetId="22" hidden="1">#REF!</definedName>
    <definedName name="XRefCopy3Row" localSheetId="20" hidden="1">#REF!</definedName>
    <definedName name="XRefCopy3Row" hidden="1">#REF!</definedName>
    <definedName name="XRefCopy4" localSheetId="19" hidden="1">#REF!</definedName>
    <definedName name="XRefCopy4" localSheetId="16" hidden="1">#REF!</definedName>
    <definedName name="XRefCopy4" localSheetId="15" hidden="1">#REF!</definedName>
    <definedName name="XRefCopy4" localSheetId="14" hidden="1">#REF!</definedName>
    <definedName name="XRefCopy4" localSheetId="17" hidden="1">#REF!</definedName>
    <definedName name="XRefCopy4" localSheetId="18" hidden="1">#REF!</definedName>
    <definedName name="XRefCopy4" localSheetId="21" hidden="1">#REF!</definedName>
    <definedName name="XRefCopy4" localSheetId="24" hidden="1">#REF!</definedName>
    <definedName name="XRefCopy4" localSheetId="22" hidden="1">#REF!</definedName>
    <definedName name="XRefCopy4" localSheetId="20" hidden="1">#REF!</definedName>
    <definedName name="XRefCopy4" hidden="1">#REF!</definedName>
    <definedName name="XRefCopy40" localSheetId="19" hidden="1">#REF!</definedName>
    <definedName name="XRefCopy40" localSheetId="16" hidden="1">#REF!</definedName>
    <definedName name="XRefCopy40" localSheetId="15" hidden="1">#REF!</definedName>
    <definedName name="XRefCopy40" localSheetId="14" hidden="1">#REF!</definedName>
    <definedName name="XRefCopy40" localSheetId="17" hidden="1">#REF!</definedName>
    <definedName name="XRefCopy40" localSheetId="18" hidden="1">#REF!</definedName>
    <definedName name="XRefCopy40" localSheetId="21" hidden="1">#REF!</definedName>
    <definedName name="XRefCopy40" localSheetId="24" hidden="1">#REF!</definedName>
    <definedName name="XRefCopy40" localSheetId="22" hidden="1">#REF!</definedName>
    <definedName name="XRefCopy40" localSheetId="20" hidden="1">#REF!</definedName>
    <definedName name="XRefCopy40" hidden="1">#REF!</definedName>
    <definedName name="XRefCopy40Row" localSheetId="19" hidden="1">#REF!</definedName>
    <definedName name="XRefCopy40Row" localSheetId="16" hidden="1">#REF!</definedName>
    <definedName name="XRefCopy40Row" localSheetId="15" hidden="1">#REF!</definedName>
    <definedName name="XRefCopy40Row" localSheetId="14" hidden="1">#REF!</definedName>
    <definedName name="XRefCopy40Row" localSheetId="17" hidden="1">#REF!</definedName>
    <definedName name="XRefCopy40Row" localSheetId="18" hidden="1">#REF!</definedName>
    <definedName name="XRefCopy40Row" localSheetId="21" hidden="1">#REF!</definedName>
    <definedName name="XRefCopy40Row" localSheetId="24" hidden="1">#REF!</definedName>
    <definedName name="XRefCopy40Row" localSheetId="22" hidden="1">#REF!</definedName>
    <definedName name="XRefCopy40Row" localSheetId="20" hidden="1">#REF!</definedName>
    <definedName name="XRefCopy40Row" hidden="1">#REF!</definedName>
    <definedName name="XRefCopy41" localSheetId="19" hidden="1">#REF!</definedName>
    <definedName name="XRefCopy41" localSheetId="16" hidden="1">#REF!</definedName>
    <definedName name="XRefCopy41" localSheetId="15" hidden="1">#REF!</definedName>
    <definedName name="XRefCopy41" localSheetId="14" hidden="1">#REF!</definedName>
    <definedName name="XRefCopy41" localSheetId="17" hidden="1">#REF!</definedName>
    <definedName name="XRefCopy41" localSheetId="18" hidden="1">#REF!</definedName>
    <definedName name="XRefCopy41" localSheetId="21" hidden="1">#REF!</definedName>
    <definedName name="XRefCopy41" localSheetId="24" hidden="1">#REF!</definedName>
    <definedName name="XRefCopy41" localSheetId="22" hidden="1">#REF!</definedName>
    <definedName name="XRefCopy41" localSheetId="20" hidden="1">#REF!</definedName>
    <definedName name="XRefCopy41" hidden="1">#REF!</definedName>
    <definedName name="XRefCopy41Row" localSheetId="19" hidden="1">#REF!</definedName>
    <definedName name="XRefCopy41Row" localSheetId="16" hidden="1">#REF!</definedName>
    <definedName name="XRefCopy41Row" localSheetId="15" hidden="1">#REF!</definedName>
    <definedName name="XRefCopy41Row" localSheetId="14" hidden="1">#REF!</definedName>
    <definedName name="XRefCopy41Row" localSheetId="17" hidden="1">#REF!</definedName>
    <definedName name="XRefCopy41Row" localSheetId="18" hidden="1">#REF!</definedName>
    <definedName name="XRefCopy41Row" localSheetId="21" hidden="1">#REF!</definedName>
    <definedName name="XRefCopy41Row" localSheetId="24" hidden="1">#REF!</definedName>
    <definedName name="XRefCopy41Row" localSheetId="22" hidden="1">#REF!</definedName>
    <definedName name="XRefCopy41Row" localSheetId="20" hidden="1">#REF!</definedName>
    <definedName name="XRefCopy41Row" hidden="1">#REF!</definedName>
    <definedName name="XRefCopy42" localSheetId="19" hidden="1">#REF!</definedName>
    <definedName name="XRefCopy42" localSheetId="16" hidden="1">#REF!</definedName>
    <definedName name="XRefCopy42" localSheetId="15" hidden="1">#REF!</definedName>
    <definedName name="XRefCopy42" localSheetId="14" hidden="1">#REF!</definedName>
    <definedName name="XRefCopy42" localSheetId="17" hidden="1">#REF!</definedName>
    <definedName name="XRefCopy42" localSheetId="18" hidden="1">#REF!</definedName>
    <definedName name="XRefCopy42" localSheetId="21" hidden="1">#REF!</definedName>
    <definedName name="XRefCopy42" localSheetId="24" hidden="1">#REF!</definedName>
    <definedName name="XRefCopy42" localSheetId="22" hidden="1">#REF!</definedName>
    <definedName name="XRefCopy42" localSheetId="20" hidden="1">#REF!</definedName>
    <definedName name="XRefCopy42" hidden="1">#REF!</definedName>
    <definedName name="XRefCopy42Row" localSheetId="19" hidden="1">#REF!</definedName>
    <definedName name="XRefCopy42Row" localSheetId="16" hidden="1">#REF!</definedName>
    <definedName name="XRefCopy42Row" localSheetId="15" hidden="1">#REF!</definedName>
    <definedName name="XRefCopy42Row" localSheetId="14" hidden="1">#REF!</definedName>
    <definedName name="XRefCopy42Row" localSheetId="17" hidden="1">#REF!</definedName>
    <definedName name="XRefCopy42Row" localSheetId="18" hidden="1">#REF!</definedName>
    <definedName name="XRefCopy42Row" localSheetId="21" hidden="1">#REF!</definedName>
    <definedName name="XRefCopy42Row" localSheetId="24" hidden="1">#REF!</definedName>
    <definedName name="XRefCopy42Row" localSheetId="22" hidden="1">#REF!</definedName>
    <definedName name="XRefCopy42Row" localSheetId="20" hidden="1">#REF!</definedName>
    <definedName name="XRefCopy42Row" hidden="1">#REF!</definedName>
    <definedName name="XRefCopy43" localSheetId="19" hidden="1">#REF!</definedName>
    <definedName name="XRefCopy43" localSheetId="16" hidden="1">#REF!</definedName>
    <definedName name="XRefCopy43" localSheetId="15" hidden="1">#REF!</definedName>
    <definedName name="XRefCopy43" localSheetId="14" hidden="1">#REF!</definedName>
    <definedName name="XRefCopy43" localSheetId="17" hidden="1">#REF!</definedName>
    <definedName name="XRefCopy43" localSheetId="18" hidden="1">#REF!</definedName>
    <definedName name="XRefCopy43" localSheetId="21" hidden="1">#REF!</definedName>
    <definedName name="XRefCopy43" localSheetId="24" hidden="1">#REF!</definedName>
    <definedName name="XRefCopy43" localSheetId="22" hidden="1">#REF!</definedName>
    <definedName name="XRefCopy43" localSheetId="20" hidden="1">#REF!</definedName>
    <definedName name="XRefCopy43" hidden="1">#REF!</definedName>
    <definedName name="XRefCopy43Row" localSheetId="19" hidden="1">#REF!</definedName>
    <definedName name="XRefCopy43Row" localSheetId="16" hidden="1">#REF!</definedName>
    <definedName name="XRefCopy43Row" localSheetId="15" hidden="1">#REF!</definedName>
    <definedName name="XRefCopy43Row" localSheetId="14" hidden="1">#REF!</definedName>
    <definedName name="XRefCopy43Row" localSheetId="17" hidden="1">#REF!</definedName>
    <definedName name="XRefCopy43Row" localSheetId="18" hidden="1">#REF!</definedName>
    <definedName name="XRefCopy43Row" localSheetId="21" hidden="1">#REF!</definedName>
    <definedName name="XRefCopy43Row" localSheetId="24" hidden="1">#REF!</definedName>
    <definedName name="XRefCopy43Row" localSheetId="22" hidden="1">#REF!</definedName>
    <definedName name="XRefCopy43Row" localSheetId="20" hidden="1">#REF!</definedName>
    <definedName name="XRefCopy43Row" hidden="1">#REF!</definedName>
    <definedName name="XRefCopy44" localSheetId="19" hidden="1">#REF!</definedName>
    <definedName name="XRefCopy44" localSheetId="16" hidden="1">#REF!</definedName>
    <definedName name="XRefCopy44" localSheetId="15" hidden="1">#REF!</definedName>
    <definedName name="XRefCopy44" localSheetId="14" hidden="1">#REF!</definedName>
    <definedName name="XRefCopy44" localSheetId="17" hidden="1">#REF!</definedName>
    <definedName name="XRefCopy44" localSheetId="18" hidden="1">#REF!</definedName>
    <definedName name="XRefCopy44" localSheetId="21" hidden="1">#REF!</definedName>
    <definedName name="XRefCopy44" localSheetId="24" hidden="1">#REF!</definedName>
    <definedName name="XRefCopy44" localSheetId="22" hidden="1">#REF!</definedName>
    <definedName name="XRefCopy44" localSheetId="20" hidden="1">#REF!</definedName>
    <definedName name="XRefCopy44" hidden="1">#REF!</definedName>
    <definedName name="XRefCopy44Row" localSheetId="19" hidden="1">#REF!</definedName>
    <definedName name="XRefCopy44Row" localSheetId="16" hidden="1">#REF!</definedName>
    <definedName name="XRefCopy44Row" localSheetId="15" hidden="1">#REF!</definedName>
    <definedName name="XRefCopy44Row" localSheetId="14" hidden="1">#REF!</definedName>
    <definedName name="XRefCopy44Row" localSheetId="17" hidden="1">#REF!</definedName>
    <definedName name="XRefCopy44Row" localSheetId="18" hidden="1">#REF!</definedName>
    <definedName name="XRefCopy44Row" localSheetId="21" hidden="1">#REF!</definedName>
    <definedName name="XRefCopy44Row" localSheetId="24" hidden="1">#REF!</definedName>
    <definedName name="XRefCopy44Row" localSheetId="22" hidden="1">#REF!</definedName>
    <definedName name="XRefCopy44Row" localSheetId="20" hidden="1">#REF!</definedName>
    <definedName name="XRefCopy44Row" hidden="1">#REF!</definedName>
    <definedName name="XRefCopy45" localSheetId="19" hidden="1">#REF!</definedName>
    <definedName name="XRefCopy45" localSheetId="16" hidden="1">#REF!</definedName>
    <definedName name="XRefCopy45" localSheetId="15" hidden="1">#REF!</definedName>
    <definedName name="XRefCopy45" localSheetId="14" hidden="1">#REF!</definedName>
    <definedName name="XRefCopy45" localSheetId="17" hidden="1">#REF!</definedName>
    <definedName name="XRefCopy45" localSheetId="18" hidden="1">#REF!</definedName>
    <definedName name="XRefCopy45" localSheetId="21" hidden="1">#REF!</definedName>
    <definedName name="XRefCopy45" localSheetId="24" hidden="1">#REF!</definedName>
    <definedName name="XRefCopy45" localSheetId="22" hidden="1">#REF!</definedName>
    <definedName name="XRefCopy45" localSheetId="20" hidden="1">#REF!</definedName>
    <definedName name="XRefCopy45" hidden="1">#REF!</definedName>
    <definedName name="XRefCopy45Row" localSheetId="19" hidden="1">#REF!</definedName>
    <definedName name="XRefCopy45Row" localSheetId="16" hidden="1">#REF!</definedName>
    <definedName name="XRefCopy45Row" localSheetId="15" hidden="1">#REF!</definedName>
    <definedName name="XRefCopy45Row" localSheetId="14" hidden="1">#REF!</definedName>
    <definedName name="XRefCopy45Row" localSheetId="17" hidden="1">#REF!</definedName>
    <definedName name="XRefCopy45Row" localSheetId="18" hidden="1">#REF!</definedName>
    <definedName name="XRefCopy45Row" localSheetId="21" hidden="1">#REF!</definedName>
    <definedName name="XRefCopy45Row" localSheetId="24" hidden="1">#REF!</definedName>
    <definedName name="XRefCopy45Row" localSheetId="22" hidden="1">#REF!</definedName>
    <definedName name="XRefCopy45Row" localSheetId="20" hidden="1">#REF!</definedName>
    <definedName name="XRefCopy45Row" hidden="1">#REF!</definedName>
    <definedName name="XRefCopy46" localSheetId="19" hidden="1">#REF!</definedName>
    <definedName name="XRefCopy46" localSheetId="16" hidden="1">#REF!</definedName>
    <definedName name="XRefCopy46" localSheetId="15" hidden="1">#REF!</definedName>
    <definedName name="XRefCopy46" localSheetId="14" hidden="1">#REF!</definedName>
    <definedName name="XRefCopy46" localSheetId="17" hidden="1">#REF!</definedName>
    <definedName name="XRefCopy46" localSheetId="18" hidden="1">#REF!</definedName>
    <definedName name="XRefCopy46" localSheetId="21" hidden="1">#REF!</definedName>
    <definedName name="XRefCopy46" localSheetId="24" hidden="1">#REF!</definedName>
    <definedName name="XRefCopy46" localSheetId="22" hidden="1">#REF!</definedName>
    <definedName name="XRefCopy46" localSheetId="20" hidden="1">#REF!</definedName>
    <definedName name="XRefCopy46" hidden="1">#REF!</definedName>
    <definedName name="XRefCopy46Row" localSheetId="19" hidden="1">#REF!</definedName>
    <definedName name="XRefCopy46Row" localSheetId="16" hidden="1">#REF!</definedName>
    <definedName name="XRefCopy46Row" localSheetId="15" hidden="1">#REF!</definedName>
    <definedName name="XRefCopy46Row" localSheetId="14" hidden="1">#REF!</definedName>
    <definedName name="XRefCopy46Row" localSheetId="17" hidden="1">#REF!</definedName>
    <definedName name="XRefCopy46Row" localSheetId="18" hidden="1">#REF!</definedName>
    <definedName name="XRefCopy46Row" localSheetId="21" hidden="1">#REF!</definedName>
    <definedName name="XRefCopy46Row" localSheetId="24" hidden="1">#REF!</definedName>
    <definedName name="XRefCopy46Row" localSheetId="22" hidden="1">#REF!</definedName>
    <definedName name="XRefCopy46Row" localSheetId="20" hidden="1">#REF!</definedName>
    <definedName name="XRefCopy46Row" hidden="1">#REF!</definedName>
    <definedName name="XRefCopy47" localSheetId="19" hidden="1">#REF!</definedName>
    <definedName name="XRefCopy47" localSheetId="16" hidden="1">#REF!</definedName>
    <definedName name="XRefCopy47" localSheetId="15" hidden="1">#REF!</definedName>
    <definedName name="XRefCopy47" localSheetId="14" hidden="1">#REF!</definedName>
    <definedName name="XRefCopy47" localSheetId="17" hidden="1">#REF!</definedName>
    <definedName name="XRefCopy47" localSheetId="18" hidden="1">#REF!</definedName>
    <definedName name="XRefCopy47" localSheetId="21" hidden="1">#REF!</definedName>
    <definedName name="XRefCopy47" localSheetId="24" hidden="1">#REF!</definedName>
    <definedName name="XRefCopy47" localSheetId="22" hidden="1">#REF!</definedName>
    <definedName name="XRefCopy47" localSheetId="20" hidden="1">#REF!</definedName>
    <definedName name="XRefCopy47" hidden="1">#REF!</definedName>
    <definedName name="XRefCopy47Row" localSheetId="19" hidden="1">#REF!</definedName>
    <definedName name="XRefCopy47Row" localSheetId="16" hidden="1">#REF!</definedName>
    <definedName name="XRefCopy47Row" localSheetId="15" hidden="1">#REF!</definedName>
    <definedName name="XRefCopy47Row" localSheetId="14" hidden="1">#REF!</definedName>
    <definedName name="XRefCopy47Row" localSheetId="17" hidden="1">#REF!</definedName>
    <definedName name="XRefCopy47Row" localSheetId="18" hidden="1">#REF!</definedName>
    <definedName name="XRefCopy47Row" localSheetId="21" hidden="1">#REF!</definedName>
    <definedName name="XRefCopy47Row" localSheetId="24" hidden="1">#REF!</definedName>
    <definedName name="XRefCopy47Row" localSheetId="22" hidden="1">#REF!</definedName>
    <definedName name="XRefCopy47Row" localSheetId="20" hidden="1">#REF!</definedName>
    <definedName name="XRefCopy47Row" hidden="1">#REF!</definedName>
    <definedName name="XRefCopy48" hidden="1">#REF!</definedName>
    <definedName name="XRefCopy48Row" localSheetId="19" hidden="1">#REF!</definedName>
    <definedName name="XRefCopy48Row" localSheetId="16" hidden="1">#REF!</definedName>
    <definedName name="XRefCopy48Row" localSheetId="15" hidden="1">#REF!</definedName>
    <definedName name="XRefCopy48Row" localSheetId="14" hidden="1">#REF!</definedName>
    <definedName name="XRefCopy48Row" localSheetId="17" hidden="1">#REF!</definedName>
    <definedName name="XRefCopy48Row" localSheetId="18" hidden="1">#REF!</definedName>
    <definedName name="XRefCopy48Row" localSheetId="21" hidden="1">#REF!</definedName>
    <definedName name="XRefCopy48Row" localSheetId="24" hidden="1">#REF!</definedName>
    <definedName name="XRefCopy48Row" localSheetId="22" hidden="1">#REF!</definedName>
    <definedName name="XRefCopy48Row" localSheetId="20" hidden="1">#REF!</definedName>
    <definedName name="XRefCopy48Row" hidden="1">#REF!</definedName>
    <definedName name="XRefCopy49" hidden="1">#REF!</definedName>
    <definedName name="XRefCopy49Row" localSheetId="19" hidden="1">#REF!</definedName>
    <definedName name="XRefCopy49Row" localSheetId="16" hidden="1">#REF!</definedName>
    <definedName name="XRefCopy49Row" localSheetId="15" hidden="1">#REF!</definedName>
    <definedName name="XRefCopy49Row" localSheetId="14" hidden="1">#REF!</definedName>
    <definedName name="XRefCopy49Row" localSheetId="17" hidden="1">#REF!</definedName>
    <definedName name="XRefCopy49Row" localSheetId="18" hidden="1">#REF!</definedName>
    <definedName name="XRefCopy49Row" localSheetId="21" hidden="1">#REF!</definedName>
    <definedName name="XRefCopy49Row" localSheetId="24" hidden="1">#REF!</definedName>
    <definedName name="XRefCopy49Row" localSheetId="22" hidden="1">#REF!</definedName>
    <definedName name="XRefCopy49Row" localSheetId="20" hidden="1">#REF!</definedName>
    <definedName name="XRefCopy49Row" hidden="1">#REF!</definedName>
    <definedName name="XRefCopy4Row" localSheetId="19" hidden="1">#REF!</definedName>
    <definedName name="XRefCopy4Row" localSheetId="16" hidden="1">#REF!</definedName>
    <definedName name="XRefCopy4Row" localSheetId="15" hidden="1">#REF!</definedName>
    <definedName name="XRefCopy4Row" localSheetId="14" hidden="1">#REF!</definedName>
    <definedName name="XRefCopy4Row" localSheetId="17" hidden="1">#REF!</definedName>
    <definedName name="XRefCopy4Row" localSheetId="18" hidden="1">#REF!</definedName>
    <definedName name="XRefCopy4Row" localSheetId="21" hidden="1">#REF!</definedName>
    <definedName name="XRefCopy4Row" localSheetId="24" hidden="1">#REF!</definedName>
    <definedName name="XRefCopy4Row" localSheetId="22" hidden="1">#REF!</definedName>
    <definedName name="XRefCopy4Row" localSheetId="20" hidden="1">#REF!</definedName>
    <definedName name="XRefCopy4Row" hidden="1">#REF!</definedName>
    <definedName name="XRefCopy5" localSheetId="19" hidden="1">#REF!</definedName>
    <definedName name="XRefCopy5" localSheetId="16" hidden="1">#REF!</definedName>
    <definedName name="XRefCopy5" localSheetId="15" hidden="1">#REF!</definedName>
    <definedName name="XRefCopy5" localSheetId="14" hidden="1">#REF!</definedName>
    <definedName name="XRefCopy5" localSheetId="17" hidden="1">#REF!</definedName>
    <definedName name="XRefCopy5" localSheetId="18" hidden="1">#REF!</definedName>
    <definedName name="XRefCopy5" localSheetId="21" hidden="1">#REF!</definedName>
    <definedName name="XRefCopy5" localSheetId="24" hidden="1">#REF!</definedName>
    <definedName name="XRefCopy5" localSheetId="22" hidden="1">#REF!</definedName>
    <definedName name="XRefCopy5" localSheetId="20" hidden="1">#REF!</definedName>
    <definedName name="XRefCopy5" hidden="1">#REF!</definedName>
    <definedName name="XRefCopy50" localSheetId="19" hidden="1">#REF!</definedName>
    <definedName name="XRefCopy50" localSheetId="16" hidden="1">#REF!</definedName>
    <definedName name="XRefCopy50" localSheetId="15" hidden="1">#REF!</definedName>
    <definedName name="XRefCopy50" localSheetId="14" hidden="1">#REF!</definedName>
    <definedName name="XRefCopy50" localSheetId="17" hidden="1">#REF!</definedName>
    <definedName name="XRefCopy50" localSheetId="18" hidden="1">#REF!</definedName>
    <definedName name="XRefCopy50" localSheetId="21" hidden="1">#REF!</definedName>
    <definedName name="XRefCopy50" localSheetId="24" hidden="1">#REF!</definedName>
    <definedName name="XRefCopy50" localSheetId="22" hidden="1">#REF!</definedName>
    <definedName name="XRefCopy50" localSheetId="20" hidden="1">#REF!</definedName>
    <definedName name="XRefCopy50" hidden="1">#REF!</definedName>
    <definedName name="XRefCopy50Row" localSheetId="19" hidden="1">#REF!</definedName>
    <definedName name="XRefCopy50Row" localSheetId="16" hidden="1">#REF!</definedName>
    <definedName name="XRefCopy50Row" localSheetId="15" hidden="1">#REF!</definedName>
    <definedName name="XRefCopy50Row" localSheetId="14" hidden="1">#REF!</definedName>
    <definedName name="XRefCopy50Row" localSheetId="17" hidden="1">#REF!</definedName>
    <definedName name="XRefCopy50Row" localSheetId="18" hidden="1">#REF!</definedName>
    <definedName name="XRefCopy50Row" localSheetId="21" hidden="1">#REF!</definedName>
    <definedName name="XRefCopy50Row" localSheetId="24" hidden="1">#REF!</definedName>
    <definedName name="XRefCopy50Row" localSheetId="22" hidden="1">#REF!</definedName>
    <definedName name="XRefCopy50Row" localSheetId="20" hidden="1">#REF!</definedName>
    <definedName name="XRefCopy50Row" hidden="1">#REF!</definedName>
    <definedName name="XRefCopy51" localSheetId="19" hidden="1">#REF!</definedName>
    <definedName name="XRefCopy51" localSheetId="16" hidden="1">#REF!</definedName>
    <definedName name="XRefCopy51" localSheetId="15" hidden="1">#REF!</definedName>
    <definedName name="XRefCopy51" localSheetId="14" hidden="1">#REF!</definedName>
    <definedName name="XRefCopy51" localSheetId="17" hidden="1">#REF!</definedName>
    <definedName name="XRefCopy51" localSheetId="18" hidden="1">#REF!</definedName>
    <definedName name="XRefCopy51" localSheetId="21" hidden="1">#REF!</definedName>
    <definedName name="XRefCopy51" localSheetId="24" hidden="1">#REF!</definedName>
    <definedName name="XRefCopy51" localSheetId="22" hidden="1">#REF!</definedName>
    <definedName name="XRefCopy51" localSheetId="20" hidden="1">#REF!</definedName>
    <definedName name="XRefCopy51" hidden="1">#REF!</definedName>
    <definedName name="XRefCopy51Row" localSheetId="19" hidden="1">#REF!</definedName>
    <definedName name="XRefCopy51Row" localSheetId="16" hidden="1">#REF!</definedName>
    <definedName name="XRefCopy51Row" localSheetId="15" hidden="1">#REF!</definedName>
    <definedName name="XRefCopy51Row" localSheetId="14" hidden="1">#REF!</definedName>
    <definedName name="XRefCopy51Row" localSheetId="17" hidden="1">#REF!</definedName>
    <definedName name="XRefCopy51Row" localSheetId="18" hidden="1">#REF!</definedName>
    <definedName name="XRefCopy51Row" localSheetId="21" hidden="1">#REF!</definedName>
    <definedName name="XRefCopy51Row" localSheetId="24" hidden="1">#REF!</definedName>
    <definedName name="XRefCopy51Row" localSheetId="22" hidden="1">#REF!</definedName>
    <definedName name="XRefCopy51Row" localSheetId="20" hidden="1">#REF!</definedName>
    <definedName name="XRefCopy51Row" hidden="1">#REF!</definedName>
    <definedName name="XRefCopy52" localSheetId="19" hidden="1">#REF!</definedName>
    <definedName name="XRefCopy52" localSheetId="16" hidden="1">#REF!</definedName>
    <definedName name="XRefCopy52" localSheetId="15" hidden="1">#REF!</definedName>
    <definedName name="XRefCopy52" localSheetId="14" hidden="1">#REF!</definedName>
    <definedName name="XRefCopy52" localSheetId="17" hidden="1">#REF!</definedName>
    <definedName name="XRefCopy52" localSheetId="18" hidden="1">#REF!</definedName>
    <definedName name="XRefCopy52" localSheetId="21" hidden="1">#REF!</definedName>
    <definedName name="XRefCopy52" localSheetId="24" hidden="1">#REF!</definedName>
    <definedName name="XRefCopy52" localSheetId="22" hidden="1">#REF!</definedName>
    <definedName name="XRefCopy52" localSheetId="20" hidden="1">#REF!</definedName>
    <definedName name="XRefCopy52" hidden="1">#REF!</definedName>
    <definedName name="XRefCopy52Row" localSheetId="19" hidden="1">#REF!</definedName>
    <definedName name="XRefCopy52Row" localSheetId="16" hidden="1">#REF!</definedName>
    <definedName name="XRefCopy52Row" localSheetId="15" hidden="1">#REF!</definedName>
    <definedName name="XRefCopy52Row" localSheetId="14" hidden="1">#REF!</definedName>
    <definedName name="XRefCopy52Row" localSheetId="17" hidden="1">#REF!</definedName>
    <definedName name="XRefCopy52Row" localSheetId="18" hidden="1">#REF!</definedName>
    <definedName name="XRefCopy52Row" localSheetId="21" hidden="1">#REF!</definedName>
    <definedName name="XRefCopy52Row" localSheetId="24" hidden="1">#REF!</definedName>
    <definedName name="XRefCopy52Row" localSheetId="22" hidden="1">#REF!</definedName>
    <definedName name="XRefCopy52Row" localSheetId="20" hidden="1">#REF!</definedName>
    <definedName name="XRefCopy52Row" hidden="1">#REF!</definedName>
    <definedName name="XRefCopy53" localSheetId="19" hidden="1">#REF!</definedName>
    <definedName name="XRefCopy53" localSheetId="16" hidden="1">#REF!</definedName>
    <definedName name="XRefCopy53" localSheetId="15" hidden="1">#REF!</definedName>
    <definedName name="XRefCopy53" localSheetId="14" hidden="1">#REF!</definedName>
    <definedName name="XRefCopy53" localSheetId="17" hidden="1">#REF!</definedName>
    <definedName name="XRefCopy53" localSheetId="18" hidden="1">#REF!</definedName>
    <definedName name="XRefCopy53" localSheetId="21" hidden="1">#REF!</definedName>
    <definedName name="XRefCopy53" localSheetId="24" hidden="1">#REF!</definedName>
    <definedName name="XRefCopy53" localSheetId="22" hidden="1">#REF!</definedName>
    <definedName name="XRefCopy53" localSheetId="20" hidden="1">#REF!</definedName>
    <definedName name="XRefCopy53" hidden="1">#REF!</definedName>
    <definedName name="XRefCopy53Row" localSheetId="19" hidden="1">#REF!</definedName>
    <definedName name="XRefCopy53Row" localSheetId="16" hidden="1">#REF!</definedName>
    <definedName name="XRefCopy53Row" localSheetId="15" hidden="1">#REF!</definedName>
    <definedName name="XRefCopy53Row" localSheetId="14" hidden="1">#REF!</definedName>
    <definedName name="XRefCopy53Row" localSheetId="17" hidden="1">#REF!</definedName>
    <definedName name="XRefCopy53Row" localSheetId="18" hidden="1">#REF!</definedName>
    <definedName name="XRefCopy53Row" localSheetId="21" hidden="1">#REF!</definedName>
    <definedName name="XRefCopy53Row" localSheetId="24" hidden="1">#REF!</definedName>
    <definedName name="XRefCopy53Row" localSheetId="22" hidden="1">#REF!</definedName>
    <definedName name="XRefCopy53Row" localSheetId="20" hidden="1">#REF!</definedName>
    <definedName name="XRefCopy53Row" hidden="1">#REF!</definedName>
    <definedName name="XRefCopy54" localSheetId="19" hidden="1">#REF!</definedName>
    <definedName name="XRefCopy54" localSheetId="16" hidden="1">#REF!</definedName>
    <definedName name="XRefCopy54" localSheetId="15" hidden="1">#REF!</definedName>
    <definedName name="XRefCopy54" localSheetId="14" hidden="1">#REF!</definedName>
    <definedName name="XRefCopy54" localSheetId="17" hidden="1">#REF!</definedName>
    <definedName name="XRefCopy54" localSheetId="18" hidden="1">#REF!</definedName>
    <definedName name="XRefCopy54" localSheetId="21" hidden="1">#REF!</definedName>
    <definedName name="XRefCopy54" localSheetId="24" hidden="1">#REF!</definedName>
    <definedName name="XRefCopy54" localSheetId="22" hidden="1">#REF!</definedName>
    <definedName name="XRefCopy54" localSheetId="20" hidden="1">#REF!</definedName>
    <definedName name="XRefCopy54" hidden="1">#REF!</definedName>
    <definedName name="XRefCopy54Row" localSheetId="19" hidden="1">#REF!</definedName>
    <definedName name="XRefCopy54Row" localSheetId="16" hidden="1">#REF!</definedName>
    <definedName name="XRefCopy54Row" localSheetId="15" hidden="1">#REF!</definedName>
    <definedName name="XRefCopy54Row" localSheetId="14" hidden="1">#REF!</definedName>
    <definedName name="XRefCopy54Row" localSheetId="17" hidden="1">#REF!</definedName>
    <definedName name="XRefCopy54Row" localSheetId="18" hidden="1">#REF!</definedName>
    <definedName name="XRefCopy54Row" localSheetId="21" hidden="1">#REF!</definedName>
    <definedName name="XRefCopy54Row" localSheetId="24" hidden="1">#REF!</definedName>
    <definedName name="XRefCopy54Row" localSheetId="22" hidden="1">#REF!</definedName>
    <definedName name="XRefCopy54Row" localSheetId="20" hidden="1">#REF!</definedName>
    <definedName name="XRefCopy54Row" hidden="1">#REF!</definedName>
    <definedName name="XRefCopy55" localSheetId="19" hidden="1">#REF!</definedName>
    <definedName name="XRefCopy55" localSheetId="16" hidden="1">#REF!</definedName>
    <definedName name="XRefCopy55" localSheetId="15" hidden="1">#REF!</definedName>
    <definedName name="XRefCopy55" localSheetId="14" hidden="1">#REF!</definedName>
    <definedName name="XRefCopy55" localSheetId="17" hidden="1">#REF!</definedName>
    <definedName name="XRefCopy55" localSheetId="18" hidden="1">#REF!</definedName>
    <definedName name="XRefCopy55" localSheetId="21" hidden="1">#REF!</definedName>
    <definedName name="XRefCopy55" localSheetId="24" hidden="1">#REF!</definedName>
    <definedName name="XRefCopy55" localSheetId="22" hidden="1">#REF!</definedName>
    <definedName name="XRefCopy55" localSheetId="20" hidden="1">#REF!</definedName>
    <definedName name="XRefCopy55" hidden="1">#REF!</definedName>
    <definedName name="XRefCopy55Row" localSheetId="19" hidden="1">#REF!</definedName>
    <definedName name="XRefCopy55Row" localSheetId="16" hidden="1">#REF!</definedName>
    <definedName name="XRefCopy55Row" localSheetId="15" hidden="1">#REF!</definedName>
    <definedName name="XRefCopy55Row" localSheetId="14" hidden="1">#REF!</definedName>
    <definedName name="XRefCopy55Row" localSheetId="17" hidden="1">#REF!</definedName>
    <definedName name="XRefCopy55Row" localSheetId="18" hidden="1">#REF!</definedName>
    <definedName name="XRefCopy55Row" localSheetId="21" hidden="1">#REF!</definedName>
    <definedName name="XRefCopy55Row" localSheetId="24" hidden="1">#REF!</definedName>
    <definedName name="XRefCopy55Row" localSheetId="22" hidden="1">#REF!</definedName>
    <definedName name="XRefCopy55Row" localSheetId="20" hidden="1">#REF!</definedName>
    <definedName name="XRefCopy55Row" hidden="1">#REF!</definedName>
    <definedName name="XRefCopy56" localSheetId="19" hidden="1">#REF!</definedName>
    <definedName name="XRefCopy56" localSheetId="16" hidden="1">#REF!</definedName>
    <definedName name="XRefCopy56" localSheetId="15" hidden="1">#REF!</definedName>
    <definedName name="XRefCopy56" localSheetId="14" hidden="1">#REF!</definedName>
    <definedName name="XRefCopy56" localSheetId="17" hidden="1">#REF!</definedName>
    <definedName name="XRefCopy56" localSheetId="18" hidden="1">#REF!</definedName>
    <definedName name="XRefCopy56" localSheetId="21" hidden="1">#REF!</definedName>
    <definedName name="XRefCopy56" localSheetId="24" hidden="1">#REF!</definedName>
    <definedName name="XRefCopy56" localSheetId="22" hidden="1">#REF!</definedName>
    <definedName name="XRefCopy56" localSheetId="20" hidden="1">#REF!</definedName>
    <definedName name="XRefCopy56" hidden="1">#REF!</definedName>
    <definedName name="XRefCopy56Row" localSheetId="19" hidden="1">#REF!</definedName>
    <definedName name="XRefCopy56Row" localSheetId="16" hidden="1">#REF!</definedName>
    <definedName name="XRefCopy56Row" localSheetId="15" hidden="1">#REF!</definedName>
    <definedName name="XRefCopy56Row" localSheetId="14" hidden="1">#REF!</definedName>
    <definedName name="XRefCopy56Row" localSheetId="17" hidden="1">#REF!</definedName>
    <definedName name="XRefCopy56Row" localSheetId="18" hidden="1">#REF!</definedName>
    <definedName name="XRefCopy56Row" localSheetId="21" hidden="1">#REF!</definedName>
    <definedName name="XRefCopy56Row" localSheetId="24" hidden="1">#REF!</definedName>
    <definedName name="XRefCopy56Row" localSheetId="22" hidden="1">#REF!</definedName>
    <definedName name="XRefCopy56Row" localSheetId="20" hidden="1">#REF!</definedName>
    <definedName name="XRefCopy56Row" hidden="1">#REF!</definedName>
    <definedName name="XRefCopy57" localSheetId="19" hidden="1">#REF!</definedName>
    <definedName name="XRefCopy57" localSheetId="16" hidden="1">#REF!</definedName>
    <definedName name="XRefCopy57" localSheetId="15" hidden="1">#REF!</definedName>
    <definedName name="XRefCopy57" localSheetId="14" hidden="1">#REF!</definedName>
    <definedName name="XRefCopy57" localSheetId="17" hidden="1">#REF!</definedName>
    <definedName name="XRefCopy57" localSheetId="18" hidden="1">#REF!</definedName>
    <definedName name="XRefCopy57" localSheetId="21" hidden="1">#REF!</definedName>
    <definedName name="XRefCopy57" localSheetId="24" hidden="1">#REF!</definedName>
    <definedName name="XRefCopy57" localSheetId="22" hidden="1">#REF!</definedName>
    <definedName name="XRefCopy57" localSheetId="20" hidden="1">#REF!</definedName>
    <definedName name="XRefCopy57" hidden="1">#REF!</definedName>
    <definedName name="XRefCopy57Row" localSheetId="19" hidden="1">#REF!</definedName>
    <definedName name="XRefCopy57Row" localSheetId="16" hidden="1">#REF!</definedName>
    <definedName name="XRefCopy57Row" localSheetId="15" hidden="1">#REF!</definedName>
    <definedName name="XRefCopy57Row" localSheetId="14" hidden="1">#REF!</definedName>
    <definedName name="XRefCopy57Row" localSheetId="17" hidden="1">#REF!</definedName>
    <definedName name="XRefCopy57Row" localSheetId="18" hidden="1">#REF!</definedName>
    <definedName name="XRefCopy57Row" localSheetId="21" hidden="1">#REF!</definedName>
    <definedName name="XRefCopy57Row" localSheetId="24" hidden="1">#REF!</definedName>
    <definedName name="XRefCopy57Row" localSheetId="22" hidden="1">#REF!</definedName>
    <definedName name="XRefCopy57Row" localSheetId="20" hidden="1">#REF!</definedName>
    <definedName name="XRefCopy57Row" hidden="1">#REF!</definedName>
    <definedName name="XRefCopy58" localSheetId="19" hidden="1">#REF!</definedName>
    <definedName name="XRefCopy58" localSheetId="16" hidden="1">#REF!</definedName>
    <definedName name="XRefCopy58" localSheetId="15" hidden="1">#REF!</definedName>
    <definedName name="XRefCopy58" localSheetId="14" hidden="1">#REF!</definedName>
    <definedName name="XRefCopy58" localSheetId="17" hidden="1">#REF!</definedName>
    <definedName name="XRefCopy58" localSheetId="18" hidden="1">#REF!</definedName>
    <definedName name="XRefCopy58" localSheetId="21" hidden="1">#REF!</definedName>
    <definedName name="XRefCopy58" localSheetId="24" hidden="1">#REF!</definedName>
    <definedName name="XRefCopy58" localSheetId="22" hidden="1">#REF!</definedName>
    <definedName name="XRefCopy58" localSheetId="20" hidden="1">#REF!</definedName>
    <definedName name="XRefCopy58" hidden="1">#REF!</definedName>
    <definedName name="XRefCopy58Row" localSheetId="19" hidden="1">#REF!</definedName>
    <definedName name="XRefCopy58Row" localSheetId="16" hidden="1">#REF!</definedName>
    <definedName name="XRefCopy58Row" localSheetId="15" hidden="1">#REF!</definedName>
    <definedName name="XRefCopy58Row" localSheetId="14" hidden="1">#REF!</definedName>
    <definedName name="XRefCopy58Row" localSheetId="17" hidden="1">#REF!</definedName>
    <definedName name="XRefCopy58Row" localSheetId="18" hidden="1">#REF!</definedName>
    <definedName name="XRefCopy58Row" localSheetId="21" hidden="1">#REF!</definedName>
    <definedName name="XRefCopy58Row" localSheetId="24" hidden="1">#REF!</definedName>
    <definedName name="XRefCopy58Row" localSheetId="22" hidden="1">#REF!</definedName>
    <definedName name="XRefCopy58Row" localSheetId="20" hidden="1">#REF!</definedName>
    <definedName name="XRefCopy58Row" hidden="1">#REF!</definedName>
    <definedName name="XRefCopy59" localSheetId="19" hidden="1">#REF!</definedName>
    <definedName name="XRefCopy59" localSheetId="16" hidden="1">#REF!</definedName>
    <definedName name="XRefCopy59" localSheetId="15" hidden="1">#REF!</definedName>
    <definedName name="XRefCopy59" localSheetId="14" hidden="1">#REF!</definedName>
    <definedName name="XRefCopy59" localSheetId="17" hidden="1">#REF!</definedName>
    <definedName name="XRefCopy59" localSheetId="18" hidden="1">#REF!</definedName>
    <definedName name="XRefCopy59" localSheetId="21" hidden="1">#REF!</definedName>
    <definedName name="XRefCopy59" localSheetId="24" hidden="1">#REF!</definedName>
    <definedName name="XRefCopy59" localSheetId="22" hidden="1">#REF!</definedName>
    <definedName name="XRefCopy59" localSheetId="20" hidden="1">#REF!</definedName>
    <definedName name="XRefCopy59" hidden="1">#REF!</definedName>
    <definedName name="XRefCopy59Row" localSheetId="19" hidden="1">#REF!</definedName>
    <definedName name="XRefCopy59Row" localSheetId="16" hidden="1">#REF!</definedName>
    <definedName name="XRefCopy59Row" localSheetId="15" hidden="1">#REF!</definedName>
    <definedName name="XRefCopy59Row" localSheetId="14" hidden="1">#REF!</definedName>
    <definedName name="XRefCopy59Row" localSheetId="17" hidden="1">#REF!</definedName>
    <definedName name="XRefCopy59Row" localSheetId="18" hidden="1">#REF!</definedName>
    <definedName name="XRefCopy59Row" localSheetId="21" hidden="1">#REF!</definedName>
    <definedName name="XRefCopy59Row" localSheetId="24" hidden="1">#REF!</definedName>
    <definedName name="XRefCopy59Row" localSheetId="22" hidden="1">#REF!</definedName>
    <definedName name="XRefCopy59Row" localSheetId="20" hidden="1">#REF!</definedName>
    <definedName name="XRefCopy59Row" hidden="1">#REF!</definedName>
    <definedName name="XRefCopy5Row" localSheetId="19" hidden="1">#REF!</definedName>
    <definedName name="XRefCopy5Row" localSheetId="16" hidden="1">#REF!</definedName>
    <definedName name="XRefCopy5Row" localSheetId="15" hidden="1">#REF!</definedName>
    <definedName name="XRefCopy5Row" localSheetId="14" hidden="1">#REF!</definedName>
    <definedName name="XRefCopy5Row" localSheetId="17" hidden="1">#REF!</definedName>
    <definedName name="XRefCopy5Row" localSheetId="18" hidden="1">#REF!</definedName>
    <definedName name="XRefCopy5Row" localSheetId="21" hidden="1">#REF!</definedName>
    <definedName name="XRefCopy5Row" localSheetId="24" hidden="1">#REF!</definedName>
    <definedName name="XRefCopy5Row" localSheetId="22" hidden="1">#REF!</definedName>
    <definedName name="XRefCopy5Row" localSheetId="20" hidden="1">#REF!</definedName>
    <definedName name="XRefCopy5Row" hidden="1">#REF!</definedName>
    <definedName name="XRefCopy6" localSheetId="19" hidden="1">#REF!</definedName>
    <definedName name="XRefCopy6" localSheetId="16" hidden="1">#REF!</definedName>
    <definedName name="XRefCopy6" localSheetId="15" hidden="1">#REF!</definedName>
    <definedName name="XRefCopy6" localSheetId="14" hidden="1">#REF!</definedName>
    <definedName name="XRefCopy6" localSheetId="17" hidden="1">#REF!</definedName>
    <definedName name="XRefCopy6" localSheetId="18" hidden="1">#REF!</definedName>
    <definedName name="XRefCopy6" localSheetId="21" hidden="1">#REF!</definedName>
    <definedName name="XRefCopy6" localSheetId="24" hidden="1">#REF!</definedName>
    <definedName name="XRefCopy6" localSheetId="22" hidden="1">#REF!</definedName>
    <definedName name="XRefCopy6" localSheetId="20" hidden="1">#REF!</definedName>
    <definedName name="XRefCopy6" hidden="1">#REF!</definedName>
    <definedName name="XRefCopy60" localSheetId="19" hidden="1">#REF!</definedName>
    <definedName name="XRefCopy60" localSheetId="16" hidden="1">#REF!</definedName>
    <definedName name="XRefCopy60" localSheetId="15" hidden="1">#REF!</definedName>
    <definedName name="XRefCopy60" localSheetId="14" hidden="1">#REF!</definedName>
    <definedName name="XRefCopy60" localSheetId="17" hidden="1">#REF!</definedName>
    <definedName name="XRefCopy60" localSheetId="18" hidden="1">#REF!</definedName>
    <definedName name="XRefCopy60" localSheetId="21" hidden="1">#REF!</definedName>
    <definedName name="XRefCopy60" localSheetId="24" hidden="1">#REF!</definedName>
    <definedName name="XRefCopy60" localSheetId="22" hidden="1">#REF!</definedName>
    <definedName name="XRefCopy60" localSheetId="20" hidden="1">#REF!</definedName>
    <definedName name="XRefCopy60" hidden="1">#REF!</definedName>
    <definedName name="XRefCopy60Row" localSheetId="19" hidden="1">#REF!</definedName>
    <definedName name="XRefCopy60Row" localSheetId="16" hidden="1">#REF!</definedName>
    <definedName name="XRefCopy60Row" localSheetId="15" hidden="1">#REF!</definedName>
    <definedName name="XRefCopy60Row" localSheetId="14" hidden="1">#REF!</definedName>
    <definedName name="XRefCopy60Row" localSheetId="17" hidden="1">#REF!</definedName>
    <definedName name="XRefCopy60Row" localSheetId="18" hidden="1">#REF!</definedName>
    <definedName name="XRefCopy60Row" localSheetId="21" hidden="1">#REF!</definedName>
    <definedName name="XRefCopy60Row" localSheetId="24" hidden="1">#REF!</definedName>
    <definedName name="XRefCopy60Row" localSheetId="22" hidden="1">#REF!</definedName>
    <definedName name="XRefCopy60Row" localSheetId="20" hidden="1">#REF!</definedName>
    <definedName name="XRefCopy60Row" hidden="1">#REF!</definedName>
    <definedName name="XRefCopy61" localSheetId="19" hidden="1">#REF!</definedName>
    <definedName name="XRefCopy61" localSheetId="16" hidden="1">#REF!</definedName>
    <definedName name="XRefCopy61" localSheetId="15" hidden="1">#REF!</definedName>
    <definedName name="XRefCopy61" localSheetId="14" hidden="1">#REF!</definedName>
    <definedName name="XRefCopy61" localSheetId="17" hidden="1">#REF!</definedName>
    <definedName name="XRefCopy61" localSheetId="18" hidden="1">#REF!</definedName>
    <definedName name="XRefCopy61" localSheetId="21" hidden="1">#REF!</definedName>
    <definedName name="XRefCopy61" localSheetId="24" hidden="1">#REF!</definedName>
    <definedName name="XRefCopy61" localSheetId="22" hidden="1">#REF!</definedName>
    <definedName name="XRefCopy61" localSheetId="20" hidden="1">#REF!</definedName>
    <definedName name="XRefCopy61" hidden="1">#REF!</definedName>
    <definedName name="XRefCopy61Row" localSheetId="19" hidden="1">#REF!</definedName>
    <definedName name="XRefCopy61Row" localSheetId="16" hidden="1">#REF!</definedName>
    <definedName name="XRefCopy61Row" localSheetId="15" hidden="1">#REF!</definedName>
    <definedName name="XRefCopy61Row" localSheetId="14" hidden="1">#REF!</definedName>
    <definedName name="XRefCopy61Row" localSheetId="17" hidden="1">#REF!</definedName>
    <definedName name="XRefCopy61Row" localSheetId="18" hidden="1">#REF!</definedName>
    <definedName name="XRefCopy61Row" localSheetId="21" hidden="1">#REF!</definedName>
    <definedName name="XRefCopy61Row" localSheetId="24" hidden="1">#REF!</definedName>
    <definedName name="XRefCopy61Row" localSheetId="22" hidden="1">#REF!</definedName>
    <definedName name="XRefCopy61Row" localSheetId="20" hidden="1">#REF!</definedName>
    <definedName name="XRefCopy61Row" hidden="1">#REF!</definedName>
    <definedName name="XRefCopy62" localSheetId="19" hidden="1">#REF!</definedName>
    <definedName name="XRefCopy62" localSheetId="16" hidden="1">#REF!</definedName>
    <definedName name="XRefCopy62" localSheetId="15" hidden="1">#REF!</definedName>
    <definedName name="XRefCopy62" localSheetId="14" hidden="1">#REF!</definedName>
    <definedName name="XRefCopy62" localSheetId="17" hidden="1">#REF!</definedName>
    <definedName name="XRefCopy62" localSheetId="18" hidden="1">#REF!</definedName>
    <definedName name="XRefCopy62" localSheetId="21" hidden="1">#REF!</definedName>
    <definedName name="XRefCopy62" localSheetId="24" hidden="1">#REF!</definedName>
    <definedName name="XRefCopy62" localSheetId="22" hidden="1">#REF!</definedName>
    <definedName name="XRefCopy62" localSheetId="20" hidden="1">#REF!</definedName>
    <definedName name="XRefCopy62" hidden="1">#REF!</definedName>
    <definedName name="XRefCopy62Row" localSheetId="19" hidden="1">#REF!</definedName>
    <definedName name="XRefCopy62Row" localSheetId="16" hidden="1">#REF!</definedName>
    <definedName name="XRefCopy62Row" localSheetId="15" hidden="1">#REF!</definedName>
    <definedName name="XRefCopy62Row" localSheetId="14" hidden="1">#REF!</definedName>
    <definedName name="XRefCopy62Row" localSheetId="17" hidden="1">#REF!</definedName>
    <definedName name="XRefCopy62Row" localSheetId="18" hidden="1">#REF!</definedName>
    <definedName name="XRefCopy62Row" localSheetId="21" hidden="1">#REF!</definedName>
    <definedName name="XRefCopy62Row" localSheetId="24" hidden="1">#REF!</definedName>
    <definedName name="XRefCopy62Row" localSheetId="22" hidden="1">#REF!</definedName>
    <definedName name="XRefCopy62Row" localSheetId="20" hidden="1">#REF!</definedName>
    <definedName name="XRefCopy62Row" hidden="1">#REF!</definedName>
    <definedName name="XRefCopy63" localSheetId="19" hidden="1">#REF!</definedName>
    <definedName name="XRefCopy63" localSheetId="16" hidden="1">#REF!</definedName>
    <definedName name="XRefCopy63" localSheetId="15" hidden="1">#REF!</definedName>
    <definedName name="XRefCopy63" localSheetId="14" hidden="1">#REF!</definedName>
    <definedName name="XRefCopy63" localSheetId="17" hidden="1">#REF!</definedName>
    <definedName name="XRefCopy63" localSheetId="18" hidden="1">#REF!</definedName>
    <definedName name="XRefCopy63" localSheetId="21" hidden="1">#REF!</definedName>
    <definedName name="XRefCopy63" localSheetId="24" hidden="1">#REF!</definedName>
    <definedName name="XRefCopy63" localSheetId="22" hidden="1">#REF!</definedName>
    <definedName name="XRefCopy63" localSheetId="20" hidden="1">#REF!</definedName>
    <definedName name="XRefCopy63" hidden="1">#REF!</definedName>
    <definedName name="XRefCopy63Row" localSheetId="19" hidden="1">#REF!</definedName>
    <definedName name="XRefCopy63Row" localSheetId="16" hidden="1">#REF!</definedName>
    <definedName name="XRefCopy63Row" localSheetId="15" hidden="1">#REF!</definedName>
    <definedName name="XRefCopy63Row" localSheetId="14" hidden="1">#REF!</definedName>
    <definedName name="XRefCopy63Row" localSheetId="17" hidden="1">#REF!</definedName>
    <definedName name="XRefCopy63Row" localSheetId="18" hidden="1">#REF!</definedName>
    <definedName name="XRefCopy63Row" localSheetId="21" hidden="1">#REF!</definedName>
    <definedName name="XRefCopy63Row" localSheetId="24" hidden="1">#REF!</definedName>
    <definedName name="XRefCopy63Row" localSheetId="22" hidden="1">#REF!</definedName>
    <definedName name="XRefCopy63Row" localSheetId="20" hidden="1">#REF!</definedName>
    <definedName name="XRefCopy63Row" hidden="1">#REF!</definedName>
    <definedName name="XRefCopy64" localSheetId="19" hidden="1">#REF!</definedName>
    <definedName name="XRefCopy64" localSheetId="16" hidden="1">#REF!</definedName>
    <definedName name="XRefCopy64" localSheetId="15" hidden="1">#REF!</definedName>
    <definedName name="XRefCopy64" localSheetId="14" hidden="1">#REF!</definedName>
    <definedName name="XRefCopy64" localSheetId="17" hidden="1">#REF!</definedName>
    <definedName name="XRefCopy64" localSheetId="18" hidden="1">#REF!</definedName>
    <definedName name="XRefCopy64" localSheetId="21" hidden="1">#REF!</definedName>
    <definedName name="XRefCopy64" localSheetId="24" hidden="1">#REF!</definedName>
    <definedName name="XRefCopy64" localSheetId="22" hidden="1">#REF!</definedName>
    <definedName name="XRefCopy64" localSheetId="20" hidden="1">#REF!</definedName>
    <definedName name="XRefCopy64" hidden="1">#REF!</definedName>
    <definedName name="XRefCopy64Row" localSheetId="19" hidden="1">#REF!</definedName>
    <definedName name="XRefCopy64Row" localSheetId="16" hidden="1">#REF!</definedName>
    <definedName name="XRefCopy64Row" localSheetId="15" hidden="1">#REF!</definedName>
    <definedName name="XRefCopy64Row" localSheetId="14" hidden="1">#REF!</definedName>
    <definedName name="XRefCopy64Row" localSheetId="17" hidden="1">#REF!</definedName>
    <definedName name="XRefCopy64Row" localSheetId="18" hidden="1">#REF!</definedName>
    <definedName name="XRefCopy64Row" localSheetId="21" hidden="1">#REF!</definedName>
    <definedName name="XRefCopy64Row" localSheetId="24" hidden="1">#REF!</definedName>
    <definedName name="XRefCopy64Row" localSheetId="22" hidden="1">#REF!</definedName>
    <definedName name="XRefCopy64Row" localSheetId="20" hidden="1">#REF!</definedName>
    <definedName name="XRefCopy64Row" hidden="1">#REF!</definedName>
    <definedName name="XRefCopy65" localSheetId="19" hidden="1">#REF!</definedName>
    <definedName name="XRefCopy65" localSheetId="16" hidden="1">#REF!</definedName>
    <definedName name="XRefCopy65" localSheetId="15" hidden="1">#REF!</definedName>
    <definedName name="XRefCopy65" localSheetId="14" hidden="1">#REF!</definedName>
    <definedName name="XRefCopy65" localSheetId="17" hidden="1">#REF!</definedName>
    <definedName name="XRefCopy65" localSheetId="18" hidden="1">#REF!</definedName>
    <definedName name="XRefCopy65" localSheetId="21" hidden="1">#REF!</definedName>
    <definedName name="XRefCopy65" localSheetId="24" hidden="1">#REF!</definedName>
    <definedName name="XRefCopy65" localSheetId="22" hidden="1">#REF!</definedName>
    <definedName name="XRefCopy65" localSheetId="20" hidden="1">#REF!</definedName>
    <definedName name="XRefCopy65" hidden="1">#REF!</definedName>
    <definedName name="XRefCopy65Row" localSheetId="19" hidden="1">#REF!</definedName>
    <definedName name="XRefCopy65Row" localSheetId="16" hidden="1">#REF!</definedName>
    <definedName name="XRefCopy65Row" localSheetId="15" hidden="1">#REF!</definedName>
    <definedName name="XRefCopy65Row" localSheetId="14" hidden="1">#REF!</definedName>
    <definedName name="XRefCopy65Row" localSheetId="17" hidden="1">#REF!</definedName>
    <definedName name="XRefCopy65Row" localSheetId="18" hidden="1">#REF!</definedName>
    <definedName name="XRefCopy65Row" localSheetId="21" hidden="1">#REF!</definedName>
    <definedName name="XRefCopy65Row" localSheetId="24" hidden="1">#REF!</definedName>
    <definedName name="XRefCopy65Row" localSheetId="22" hidden="1">#REF!</definedName>
    <definedName name="XRefCopy65Row" localSheetId="20" hidden="1">#REF!</definedName>
    <definedName name="XRefCopy65Row" hidden="1">#REF!</definedName>
    <definedName name="XRefCopy66" localSheetId="19" hidden="1">#REF!</definedName>
    <definedName name="XRefCopy66" localSheetId="16" hidden="1">#REF!</definedName>
    <definedName name="XRefCopy66" localSheetId="15" hidden="1">#REF!</definedName>
    <definedName name="XRefCopy66" localSheetId="14" hidden="1">#REF!</definedName>
    <definedName name="XRefCopy66" localSheetId="17" hidden="1">#REF!</definedName>
    <definedName name="XRefCopy66" localSheetId="18" hidden="1">#REF!</definedName>
    <definedName name="XRefCopy66" localSheetId="21" hidden="1">#REF!</definedName>
    <definedName name="XRefCopy66" localSheetId="24" hidden="1">#REF!</definedName>
    <definedName name="XRefCopy66" localSheetId="22" hidden="1">#REF!</definedName>
    <definedName name="XRefCopy66" localSheetId="20" hidden="1">#REF!</definedName>
    <definedName name="XRefCopy66" hidden="1">#REF!</definedName>
    <definedName name="XRefCopy66Row" localSheetId="19" hidden="1">#REF!</definedName>
    <definedName name="XRefCopy66Row" localSheetId="16" hidden="1">#REF!</definedName>
    <definedName name="XRefCopy66Row" localSheetId="15" hidden="1">#REF!</definedName>
    <definedName name="XRefCopy66Row" localSheetId="14" hidden="1">#REF!</definedName>
    <definedName name="XRefCopy66Row" localSheetId="17" hidden="1">#REF!</definedName>
    <definedName name="XRefCopy66Row" localSheetId="18" hidden="1">#REF!</definedName>
    <definedName name="XRefCopy66Row" localSheetId="21" hidden="1">#REF!</definedName>
    <definedName name="XRefCopy66Row" localSheetId="24" hidden="1">#REF!</definedName>
    <definedName name="XRefCopy66Row" localSheetId="22" hidden="1">#REF!</definedName>
    <definedName name="XRefCopy66Row" localSheetId="20" hidden="1">#REF!</definedName>
    <definedName name="XRefCopy66Row" hidden="1">#REF!</definedName>
    <definedName name="XRefCopy67" localSheetId="19" hidden="1">#REF!</definedName>
    <definedName name="XRefCopy67" localSheetId="16" hidden="1">#REF!</definedName>
    <definedName name="XRefCopy67" localSheetId="15" hidden="1">#REF!</definedName>
    <definedName name="XRefCopy67" localSheetId="14" hidden="1">#REF!</definedName>
    <definedName name="XRefCopy67" localSheetId="17" hidden="1">#REF!</definedName>
    <definedName name="XRefCopy67" localSheetId="18" hidden="1">#REF!</definedName>
    <definedName name="XRefCopy67" localSheetId="21" hidden="1">#REF!</definedName>
    <definedName name="XRefCopy67" localSheetId="24" hidden="1">#REF!</definedName>
    <definedName name="XRefCopy67" localSheetId="22" hidden="1">#REF!</definedName>
    <definedName name="XRefCopy67" localSheetId="20" hidden="1">#REF!</definedName>
    <definedName name="XRefCopy67" hidden="1">#REF!</definedName>
    <definedName name="XRefCopy67Row" localSheetId="19" hidden="1">#REF!</definedName>
    <definedName name="XRefCopy67Row" localSheetId="16" hidden="1">#REF!</definedName>
    <definedName name="XRefCopy67Row" localSheetId="15" hidden="1">#REF!</definedName>
    <definedName name="XRefCopy67Row" localSheetId="14" hidden="1">#REF!</definedName>
    <definedName name="XRefCopy67Row" localSheetId="17" hidden="1">#REF!</definedName>
    <definedName name="XRefCopy67Row" localSheetId="18" hidden="1">#REF!</definedName>
    <definedName name="XRefCopy67Row" localSheetId="21" hidden="1">#REF!</definedName>
    <definedName name="XRefCopy67Row" localSheetId="24" hidden="1">#REF!</definedName>
    <definedName name="XRefCopy67Row" localSheetId="22" hidden="1">#REF!</definedName>
    <definedName name="XRefCopy67Row" localSheetId="20" hidden="1">#REF!</definedName>
    <definedName name="XRefCopy67Row" hidden="1">#REF!</definedName>
    <definedName name="XRefCopy68" localSheetId="19" hidden="1">#REF!</definedName>
    <definedName name="XRefCopy68" localSheetId="16" hidden="1">#REF!</definedName>
    <definedName name="XRefCopy68" localSheetId="15" hidden="1">#REF!</definedName>
    <definedName name="XRefCopy68" localSheetId="14" hidden="1">#REF!</definedName>
    <definedName name="XRefCopy68" localSheetId="17" hidden="1">#REF!</definedName>
    <definedName name="XRefCopy68" localSheetId="18" hidden="1">#REF!</definedName>
    <definedName name="XRefCopy68" localSheetId="21" hidden="1">#REF!</definedName>
    <definedName name="XRefCopy68" localSheetId="24" hidden="1">#REF!</definedName>
    <definedName name="XRefCopy68" localSheetId="22" hidden="1">#REF!</definedName>
    <definedName name="XRefCopy68" localSheetId="20" hidden="1">#REF!</definedName>
    <definedName name="XRefCopy68" hidden="1">#REF!</definedName>
    <definedName name="XRefCopy68Row" localSheetId="19" hidden="1">#REF!</definedName>
    <definedName name="XRefCopy68Row" localSheetId="16" hidden="1">#REF!</definedName>
    <definedName name="XRefCopy68Row" localSheetId="15" hidden="1">#REF!</definedName>
    <definedName name="XRefCopy68Row" localSheetId="14" hidden="1">#REF!</definedName>
    <definedName name="XRefCopy68Row" localSheetId="17" hidden="1">#REF!</definedName>
    <definedName name="XRefCopy68Row" localSheetId="18" hidden="1">#REF!</definedName>
    <definedName name="XRefCopy68Row" localSheetId="21" hidden="1">#REF!</definedName>
    <definedName name="XRefCopy68Row" localSheetId="24" hidden="1">#REF!</definedName>
    <definedName name="XRefCopy68Row" localSheetId="22" hidden="1">#REF!</definedName>
    <definedName name="XRefCopy68Row" localSheetId="20" hidden="1">#REF!</definedName>
    <definedName name="XRefCopy68Row" hidden="1">#REF!</definedName>
    <definedName name="XRefCopy69Row" localSheetId="19" hidden="1">#REF!</definedName>
    <definedName name="XRefCopy69Row" localSheetId="16" hidden="1">#REF!</definedName>
    <definedName name="XRefCopy69Row" localSheetId="15" hidden="1">#REF!</definedName>
    <definedName name="XRefCopy69Row" localSheetId="14" hidden="1">#REF!</definedName>
    <definedName name="XRefCopy69Row" localSheetId="17" hidden="1">#REF!</definedName>
    <definedName name="XRefCopy69Row" localSheetId="18" hidden="1">#REF!</definedName>
    <definedName name="XRefCopy69Row" localSheetId="21" hidden="1">#REF!</definedName>
    <definedName name="XRefCopy69Row" localSheetId="24" hidden="1">#REF!</definedName>
    <definedName name="XRefCopy69Row" localSheetId="22" hidden="1">#REF!</definedName>
    <definedName name="XRefCopy69Row" localSheetId="20" hidden="1">#REF!</definedName>
    <definedName name="XRefCopy69Row" hidden="1">#REF!</definedName>
    <definedName name="XRefCopy6Row" localSheetId="19" hidden="1">#REF!</definedName>
    <definedName name="XRefCopy6Row" localSheetId="16" hidden="1">#REF!</definedName>
    <definedName name="XRefCopy6Row" localSheetId="15" hidden="1">#REF!</definedName>
    <definedName name="XRefCopy6Row" localSheetId="14" hidden="1">#REF!</definedName>
    <definedName name="XRefCopy6Row" localSheetId="17" hidden="1">#REF!</definedName>
    <definedName name="XRefCopy6Row" localSheetId="18" hidden="1">#REF!</definedName>
    <definedName name="XRefCopy6Row" localSheetId="21" hidden="1">#REF!</definedName>
    <definedName name="XRefCopy6Row" localSheetId="24" hidden="1">#REF!</definedName>
    <definedName name="XRefCopy6Row" localSheetId="22" hidden="1">#REF!</definedName>
    <definedName name="XRefCopy6Row" localSheetId="20" hidden="1">#REF!</definedName>
    <definedName name="XRefCopy6Row" hidden="1">#REF!</definedName>
    <definedName name="XRefCopy7" hidden="1">#REF!</definedName>
    <definedName name="XRefCopy70" localSheetId="19" hidden="1">#REF!</definedName>
    <definedName name="XRefCopy70" localSheetId="16" hidden="1">#REF!</definedName>
    <definedName name="XRefCopy70" localSheetId="15" hidden="1">#REF!</definedName>
    <definedName name="XRefCopy70" localSheetId="14" hidden="1">#REF!</definedName>
    <definedName name="XRefCopy70" localSheetId="17" hidden="1">#REF!</definedName>
    <definedName name="XRefCopy70" localSheetId="18" hidden="1">#REF!</definedName>
    <definedName name="XRefCopy70" localSheetId="21" hidden="1">#REF!</definedName>
    <definedName name="XRefCopy70" localSheetId="24" hidden="1">#REF!</definedName>
    <definedName name="XRefCopy70" localSheetId="22" hidden="1">#REF!</definedName>
    <definedName name="XRefCopy70" localSheetId="20" hidden="1">#REF!</definedName>
    <definedName name="XRefCopy70" hidden="1">#REF!</definedName>
    <definedName name="XRefCopy70Row" localSheetId="19" hidden="1">#REF!</definedName>
    <definedName name="XRefCopy70Row" localSheetId="16" hidden="1">#REF!</definedName>
    <definedName name="XRefCopy70Row" localSheetId="15" hidden="1">#REF!</definedName>
    <definedName name="XRefCopy70Row" localSheetId="14" hidden="1">#REF!</definedName>
    <definedName name="XRefCopy70Row" localSheetId="17" hidden="1">#REF!</definedName>
    <definedName name="XRefCopy70Row" localSheetId="18" hidden="1">#REF!</definedName>
    <definedName name="XRefCopy70Row" localSheetId="21" hidden="1">#REF!</definedName>
    <definedName name="XRefCopy70Row" localSheetId="24" hidden="1">#REF!</definedName>
    <definedName name="XRefCopy70Row" localSheetId="22" hidden="1">#REF!</definedName>
    <definedName name="XRefCopy70Row" localSheetId="20" hidden="1">#REF!</definedName>
    <definedName name="XRefCopy70Row" hidden="1">#REF!</definedName>
    <definedName name="XRefCopy71" localSheetId="19" hidden="1">#REF!</definedName>
    <definedName name="XRefCopy71" localSheetId="16" hidden="1">#REF!</definedName>
    <definedName name="XRefCopy71" localSheetId="15" hidden="1">#REF!</definedName>
    <definedName name="XRefCopy71" localSheetId="14" hidden="1">#REF!</definedName>
    <definedName name="XRefCopy71" localSheetId="17" hidden="1">#REF!</definedName>
    <definedName name="XRefCopy71" localSheetId="18" hidden="1">#REF!</definedName>
    <definedName name="XRefCopy71" localSheetId="21" hidden="1">#REF!</definedName>
    <definedName name="XRefCopy71" localSheetId="24" hidden="1">#REF!</definedName>
    <definedName name="XRefCopy71" localSheetId="22" hidden="1">#REF!</definedName>
    <definedName name="XRefCopy71" localSheetId="20" hidden="1">#REF!</definedName>
    <definedName name="XRefCopy71" hidden="1">#REF!</definedName>
    <definedName name="XRefCopy71Row" localSheetId="19" hidden="1">#REF!</definedName>
    <definedName name="XRefCopy71Row" localSheetId="16" hidden="1">#REF!</definedName>
    <definedName name="XRefCopy71Row" localSheetId="15" hidden="1">#REF!</definedName>
    <definedName name="XRefCopy71Row" localSheetId="14" hidden="1">#REF!</definedName>
    <definedName name="XRefCopy71Row" localSheetId="17" hidden="1">#REF!</definedName>
    <definedName name="XRefCopy71Row" localSheetId="18" hidden="1">#REF!</definedName>
    <definedName name="XRefCopy71Row" localSheetId="21" hidden="1">#REF!</definedName>
    <definedName name="XRefCopy71Row" localSheetId="24" hidden="1">#REF!</definedName>
    <definedName name="XRefCopy71Row" localSheetId="22" hidden="1">#REF!</definedName>
    <definedName name="XRefCopy71Row" localSheetId="20" hidden="1">#REF!</definedName>
    <definedName name="XRefCopy71Row" hidden="1">#REF!</definedName>
    <definedName name="XRefCopy72" localSheetId="19" hidden="1">#REF!</definedName>
    <definedName name="XRefCopy72" localSheetId="16" hidden="1">#REF!</definedName>
    <definedName name="XRefCopy72" localSheetId="15" hidden="1">#REF!</definedName>
    <definedName name="XRefCopy72" localSheetId="14" hidden="1">#REF!</definedName>
    <definedName name="XRefCopy72" localSheetId="17" hidden="1">#REF!</definedName>
    <definedName name="XRefCopy72" localSheetId="18" hidden="1">#REF!</definedName>
    <definedName name="XRefCopy72" localSheetId="21" hidden="1">#REF!</definedName>
    <definedName name="XRefCopy72" localSheetId="24" hidden="1">#REF!</definedName>
    <definedName name="XRefCopy72" localSheetId="22" hidden="1">#REF!</definedName>
    <definedName name="XRefCopy72" localSheetId="20" hidden="1">#REF!</definedName>
    <definedName name="XRefCopy72" hidden="1">#REF!</definedName>
    <definedName name="XRefCopy72Row" localSheetId="19" hidden="1">#REF!</definedName>
    <definedName name="XRefCopy72Row" localSheetId="16" hidden="1">#REF!</definedName>
    <definedName name="XRefCopy72Row" localSheetId="15" hidden="1">#REF!</definedName>
    <definedName name="XRefCopy72Row" localSheetId="14" hidden="1">#REF!</definedName>
    <definedName name="XRefCopy72Row" localSheetId="17" hidden="1">#REF!</definedName>
    <definedName name="XRefCopy72Row" localSheetId="18" hidden="1">#REF!</definedName>
    <definedName name="XRefCopy72Row" localSheetId="21" hidden="1">#REF!</definedName>
    <definedName name="XRefCopy72Row" localSheetId="24" hidden="1">#REF!</definedName>
    <definedName name="XRefCopy72Row" localSheetId="22" hidden="1">#REF!</definedName>
    <definedName name="XRefCopy72Row" localSheetId="20" hidden="1">#REF!</definedName>
    <definedName name="XRefCopy72Row" hidden="1">#REF!</definedName>
    <definedName name="XRefCopy73" localSheetId="19" hidden="1">#REF!</definedName>
    <definedName name="XRefCopy73" localSheetId="16" hidden="1">#REF!</definedName>
    <definedName name="XRefCopy73" localSheetId="15" hidden="1">#REF!</definedName>
    <definedName name="XRefCopy73" localSheetId="14" hidden="1">#REF!</definedName>
    <definedName name="XRefCopy73" localSheetId="17" hidden="1">#REF!</definedName>
    <definedName name="XRefCopy73" localSheetId="18" hidden="1">#REF!</definedName>
    <definedName name="XRefCopy73" localSheetId="21" hidden="1">#REF!</definedName>
    <definedName name="XRefCopy73" localSheetId="24" hidden="1">#REF!</definedName>
    <definedName name="XRefCopy73" localSheetId="22" hidden="1">#REF!</definedName>
    <definedName name="XRefCopy73" localSheetId="20" hidden="1">#REF!</definedName>
    <definedName name="XRefCopy73" hidden="1">#REF!</definedName>
    <definedName name="XRefCopy73Row" localSheetId="19" hidden="1">#REF!</definedName>
    <definedName name="XRefCopy73Row" localSheetId="16" hidden="1">#REF!</definedName>
    <definedName name="XRefCopy73Row" localSheetId="15" hidden="1">#REF!</definedName>
    <definedName name="XRefCopy73Row" localSheetId="14" hidden="1">#REF!</definedName>
    <definedName name="XRefCopy73Row" localSheetId="17" hidden="1">#REF!</definedName>
    <definedName name="XRefCopy73Row" localSheetId="18" hidden="1">#REF!</definedName>
    <definedName name="XRefCopy73Row" localSheetId="21" hidden="1">#REF!</definedName>
    <definedName name="XRefCopy73Row" localSheetId="24" hidden="1">#REF!</definedName>
    <definedName name="XRefCopy73Row" localSheetId="22" hidden="1">#REF!</definedName>
    <definedName name="XRefCopy73Row" localSheetId="20" hidden="1">#REF!</definedName>
    <definedName name="XRefCopy73Row" hidden="1">#REF!</definedName>
    <definedName name="XRefCopy74" localSheetId="19" hidden="1">#REF!</definedName>
    <definedName name="XRefCopy74" localSheetId="16" hidden="1">#REF!</definedName>
    <definedName name="XRefCopy74" localSheetId="15" hidden="1">#REF!</definedName>
    <definedName name="XRefCopy74" localSheetId="14" hidden="1">#REF!</definedName>
    <definedName name="XRefCopy74" localSheetId="17" hidden="1">#REF!</definedName>
    <definedName name="XRefCopy74" localSheetId="18" hidden="1">#REF!</definedName>
    <definedName name="XRefCopy74" localSheetId="21" hidden="1">#REF!</definedName>
    <definedName name="XRefCopy74" localSheetId="24" hidden="1">#REF!</definedName>
    <definedName name="XRefCopy74" localSheetId="22" hidden="1">#REF!</definedName>
    <definedName name="XRefCopy74" localSheetId="20" hidden="1">#REF!</definedName>
    <definedName name="XRefCopy74" hidden="1">#REF!</definedName>
    <definedName name="XRefCopy74Row" localSheetId="19" hidden="1">#REF!</definedName>
    <definedName name="XRefCopy74Row" localSheetId="16" hidden="1">#REF!</definedName>
    <definedName name="XRefCopy74Row" localSheetId="15" hidden="1">#REF!</definedName>
    <definedName name="XRefCopy74Row" localSheetId="14" hidden="1">#REF!</definedName>
    <definedName name="XRefCopy74Row" localSheetId="17" hidden="1">#REF!</definedName>
    <definedName name="XRefCopy74Row" localSheetId="18" hidden="1">#REF!</definedName>
    <definedName name="XRefCopy74Row" localSheetId="21" hidden="1">#REF!</definedName>
    <definedName name="XRefCopy74Row" localSheetId="24" hidden="1">#REF!</definedName>
    <definedName name="XRefCopy74Row" localSheetId="22" hidden="1">#REF!</definedName>
    <definedName name="XRefCopy74Row" localSheetId="20" hidden="1">#REF!</definedName>
    <definedName name="XRefCopy74Row" hidden="1">#REF!</definedName>
    <definedName name="XRefCopy75" localSheetId="19" hidden="1">#REF!</definedName>
    <definedName name="XRefCopy75" localSheetId="16" hidden="1">#REF!</definedName>
    <definedName name="XRefCopy75" localSheetId="15" hidden="1">#REF!</definedName>
    <definedName name="XRefCopy75" localSheetId="14" hidden="1">#REF!</definedName>
    <definedName name="XRefCopy75" localSheetId="17" hidden="1">#REF!</definedName>
    <definedName name="XRefCopy75" localSheetId="18" hidden="1">#REF!</definedName>
    <definedName name="XRefCopy75" localSheetId="21" hidden="1">#REF!</definedName>
    <definedName name="XRefCopy75" localSheetId="24" hidden="1">#REF!</definedName>
    <definedName name="XRefCopy75" localSheetId="22" hidden="1">#REF!</definedName>
    <definedName name="XRefCopy75" localSheetId="20" hidden="1">#REF!</definedName>
    <definedName name="XRefCopy75" hidden="1">#REF!</definedName>
    <definedName name="XRefCopy75Row" localSheetId="19" hidden="1">#REF!</definedName>
    <definedName name="XRefCopy75Row" localSheetId="16" hidden="1">#REF!</definedName>
    <definedName name="XRefCopy75Row" localSheetId="15" hidden="1">#REF!</definedName>
    <definedName name="XRefCopy75Row" localSheetId="14" hidden="1">#REF!</definedName>
    <definedName name="XRefCopy75Row" localSheetId="17" hidden="1">#REF!</definedName>
    <definedName name="XRefCopy75Row" localSheetId="18" hidden="1">#REF!</definedName>
    <definedName name="XRefCopy75Row" localSheetId="21" hidden="1">#REF!</definedName>
    <definedName name="XRefCopy75Row" localSheetId="24" hidden="1">#REF!</definedName>
    <definedName name="XRefCopy75Row" localSheetId="22" hidden="1">#REF!</definedName>
    <definedName name="XRefCopy75Row" localSheetId="20" hidden="1">#REF!</definedName>
    <definedName name="XRefCopy75Row" hidden="1">#REF!</definedName>
    <definedName name="XRefCopy76" localSheetId="19" hidden="1">#REF!</definedName>
    <definedName name="XRefCopy76" localSheetId="16" hidden="1">#REF!</definedName>
    <definedName name="XRefCopy76" localSheetId="15" hidden="1">#REF!</definedName>
    <definedName name="XRefCopy76" localSheetId="14" hidden="1">#REF!</definedName>
    <definedName name="XRefCopy76" localSheetId="17" hidden="1">#REF!</definedName>
    <definedName name="XRefCopy76" localSheetId="18" hidden="1">#REF!</definedName>
    <definedName name="XRefCopy76" localSheetId="21" hidden="1">#REF!</definedName>
    <definedName name="XRefCopy76" localSheetId="24" hidden="1">#REF!</definedName>
    <definedName name="XRefCopy76" localSheetId="22" hidden="1">#REF!</definedName>
    <definedName name="XRefCopy76" localSheetId="20" hidden="1">#REF!</definedName>
    <definedName name="XRefCopy76" hidden="1">#REF!</definedName>
    <definedName name="XRefCopy76Row" localSheetId="19" hidden="1">#REF!</definedName>
    <definedName name="XRefCopy76Row" localSheetId="16" hidden="1">#REF!</definedName>
    <definedName name="XRefCopy76Row" localSheetId="15" hidden="1">#REF!</definedName>
    <definedName name="XRefCopy76Row" localSheetId="14" hidden="1">#REF!</definedName>
    <definedName name="XRefCopy76Row" localSheetId="17" hidden="1">#REF!</definedName>
    <definedName name="XRefCopy76Row" localSheetId="18" hidden="1">#REF!</definedName>
    <definedName name="XRefCopy76Row" localSheetId="21" hidden="1">#REF!</definedName>
    <definedName name="XRefCopy76Row" localSheetId="24" hidden="1">#REF!</definedName>
    <definedName name="XRefCopy76Row" localSheetId="22" hidden="1">#REF!</definedName>
    <definedName name="XRefCopy76Row" localSheetId="20" hidden="1">#REF!</definedName>
    <definedName name="XRefCopy76Row" hidden="1">#REF!</definedName>
    <definedName name="XRefCopy77" localSheetId="19" hidden="1">#REF!</definedName>
    <definedName name="XRefCopy77" localSheetId="16" hidden="1">#REF!</definedName>
    <definedName name="XRefCopy77" localSheetId="15" hidden="1">#REF!</definedName>
    <definedName name="XRefCopy77" localSheetId="14" hidden="1">#REF!</definedName>
    <definedName name="XRefCopy77" localSheetId="17" hidden="1">#REF!</definedName>
    <definedName name="XRefCopy77" localSheetId="18" hidden="1">#REF!</definedName>
    <definedName name="XRefCopy77" localSheetId="21" hidden="1">#REF!</definedName>
    <definedName name="XRefCopy77" localSheetId="24" hidden="1">#REF!</definedName>
    <definedName name="XRefCopy77" localSheetId="22" hidden="1">#REF!</definedName>
    <definedName name="XRefCopy77" localSheetId="20" hidden="1">#REF!</definedName>
    <definedName name="XRefCopy77" hidden="1">#REF!</definedName>
    <definedName name="XRefCopy77Row" localSheetId="19" hidden="1">#REF!</definedName>
    <definedName name="XRefCopy77Row" localSheetId="16" hidden="1">#REF!</definedName>
    <definedName name="XRefCopy77Row" localSheetId="15" hidden="1">#REF!</definedName>
    <definedName name="XRefCopy77Row" localSheetId="14" hidden="1">#REF!</definedName>
    <definedName name="XRefCopy77Row" localSheetId="17" hidden="1">#REF!</definedName>
    <definedName name="XRefCopy77Row" localSheetId="18" hidden="1">#REF!</definedName>
    <definedName name="XRefCopy77Row" localSheetId="21" hidden="1">#REF!</definedName>
    <definedName name="XRefCopy77Row" localSheetId="24" hidden="1">#REF!</definedName>
    <definedName name="XRefCopy77Row" localSheetId="22" hidden="1">#REF!</definedName>
    <definedName name="XRefCopy77Row" localSheetId="20" hidden="1">#REF!</definedName>
    <definedName name="XRefCopy77Row" hidden="1">#REF!</definedName>
    <definedName name="XRefCopy78" localSheetId="19" hidden="1">#REF!</definedName>
    <definedName name="XRefCopy78" localSheetId="16" hidden="1">#REF!</definedName>
    <definedName name="XRefCopy78" localSheetId="15" hidden="1">#REF!</definedName>
    <definedName name="XRefCopy78" localSheetId="14" hidden="1">#REF!</definedName>
    <definedName name="XRefCopy78" localSheetId="17" hidden="1">#REF!</definedName>
    <definedName name="XRefCopy78" localSheetId="18" hidden="1">#REF!</definedName>
    <definedName name="XRefCopy78" localSheetId="21" hidden="1">#REF!</definedName>
    <definedName name="XRefCopy78" localSheetId="24" hidden="1">#REF!</definedName>
    <definedName name="XRefCopy78" localSheetId="22" hidden="1">#REF!</definedName>
    <definedName name="XRefCopy78" localSheetId="20" hidden="1">#REF!</definedName>
    <definedName name="XRefCopy78" hidden="1">#REF!</definedName>
    <definedName name="XRefCopy78Row" localSheetId="19" hidden="1">#REF!</definedName>
    <definedName name="XRefCopy78Row" localSheetId="16" hidden="1">#REF!</definedName>
    <definedName name="XRefCopy78Row" localSheetId="15" hidden="1">#REF!</definedName>
    <definedName name="XRefCopy78Row" localSheetId="14" hidden="1">#REF!</definedName>
    <definedName name="XRefCopy78Row" localSheetId="17" hidden="1">#REF!</definedName>
    <definedName name="XRefCopy78Row" localSheetId="18" hidden="1">#REF!</definedName>
    <definedName name="XRefCopy78Row" localSheetId="21" hidden="1">#REF!</definedName>
    <definedName name="XRefCopy78Row" localSheetId="24" hidden="1">#REF!</definedName>
    <definedName name="XRefCopy78Row" localSheetId="22" hidden="1">#REF!</definedName>
    <definedName name="XRefCopy78Row" localSheetId="20" hidden="1">#REF!</definedName>
    <definedName name="XRefCopy78Row" hidden="1">#REF!</definedName>
    <definedName name="XRefCopy79" localSheetId="19" hidden="1">#REF!</definedName>
    <definedName name="XRefCopy79" localSheetId="16" hidden="1">#REF!</definedName>
    <definedName name="XRefCopy79" localSheetId="15" hidden="1">#REF!</definedName>
    <definedName name="XRefCopy79" localSheetId="14" hidden="1">#REF!</definedName>
    <definedName name="XRefCopy79" localSheetId="17" hidden="1">#REF!</definedName>
    <definedName name="XRefCopy79" localSheetId="18" hidden="1">#REF!</definedName>
    <definedName name="XRefCopy79" localSheetId="21" hidden="1">#REF!</definedName>
    <definedName name="XRefCopy79" localSheetId="24" hidden="1">#REF!</definedName>
    <definedName name="XRefCopy79" localSheetId="22" hidden="1">#REF!</definedName>
    <definedName name="XRefCopy79" localSheetId="20" hidden="1">#REF!</definedName>
    <definedName name="XRefCopy79" hidden="1">#REF!</definedName>
    <definedName name="XRefCopy79Row" localSheetId="19" hidden="1">#REF!</definedName>
    <definedName name="XRefCopy79Row" localSheetId="16" hidden="1">#REF!</definedName>
    <definedName name="XRefCopy79Row" localSheetId="15" hidden="1">#REF!</definedName>
    <definedName name="XRefCopy79Row" localSheetId="14" hidden="1">#REF!</definedName>
    <definedName name="XRefCopy79Row" localSheetId="17" hidden="1">#REF!</definedName>
    <definedName name="XRefCopy79Row" localSheetId="18" hidden="1">#REF!</definedName>
    <definedName name="XRefCopy79Row" localSheetId="21" hidden="1">#REF!</definedName>
    <definedName name="XRefCopy79Row" localSheetId="24" hidden="1">#REF!</definedName>
    <definedName name="XRefCopy79Row" localSheetId="22" hidden="1">#REF!</definedName>
    <definedName name="XRefCopy79Row" localSheetId="20" hidden="1">#REF!</definedName>
    <definedName name="XRefCopy79Row" hidden="1">#REF!</definedName>
    <definedName name="XRefCopy7Row" localSheetId="19" hidden="1">#REF!</definedName>
    <definedName name="XRefCopy7Row" localSheetId="16" hidden="1">#REF!</definedName>
    <definedName name="XRefCopy7Row" localSheetId="15" hidden="1">#REF!</definedName>
    <definedName name="XRefCopy7Row" localSheetId="14" hidden="1">#REF!</definedName>
    <definedName name="XRefCopy7Row" localSheetId="17" hidden="1">#REF!</definedName>
    <definedName name="XRefCopy7Row" localSheetId="18" hidden="1">#REF!</definedName>
    <definedName name="XRefCopy7Row" localSheetId="21" hidden="1">#REF!</definedName>
    <definedName name="XRefCopy7Row" localSheetId="24" hidden="1">#REF!</definedName>
    <definedName name="XRefCopy7Row" localSheetId="22" hidden="1">#REF!</definedName>
    <definedName name="XRefCopy7Row" localSheetId="20" hidden="1">#REF!</definedName>
    <definedName name="XRefCopy7Row" hidden="1">#REF!</definedName>
    <definedName name="XRefCopy8" localSheetId="19" hidden="1">#REF!</definedName>
    <definedName name="XRefCopy8" localSheetId="16" hidden="1">#REF!</definedName>
    <definedName name="XRefCopy8" localSheetId="15" hidden="1">#REF!</definedName>
    <definedName name="XRefCopy8" localSheetId="14" hidden="1">#REF!</definedName>
    <definedName name="XRefCopy8" localSheetId="17" hidden="1">#REF!</definedName>
    <definedName name="XRefCopy8" localSheetId="18" hidden="1">#REF!</definedName>
    <definedName name="XRefCopy8" localSheetId="21" hidden="1">#REF!</definedName>
    <definedName name="XRefCopy8" localSheetId="24" hidden="1">#REF!</definedName>
    <definedName name="XRefCopy8" localSheetId="22" hidden="1">#REF!</definedName>
    <definedName name="XRefCopy8" localSheetId="20" hidden="1">#REF!</definedName>
    <definedName name="XRefCopy8" hidden="1">#REF!</definedName>
    <definedName name="XRefCopy80" localSheetId="19" hidden="1">#REF!</definedName>
    <definedName name="XRefCopy80" localSheetId="16" hidden="1">#REF!</definedName>
    <definedName name="XRefCopy80" localSheetId="15" hidden="1">#REF!</definedName>
    <definedName name="XRefCopy80" localSheetId="14" hidden="1">#REF!</definedName>
    <definedName name="XRefCopy80" localSheetId="17" hidden="1">#REF!</definedName>
    <definedName name="XRefCopy80" localSheetId="18" hidden="1">#REF!</definedName>
    <definedName name="XRefCopy80" localSheetId="21" hidden="1">#REF!</definedName>
    <definedName name="XRefCopy80" localSheetId="24" hidden="1">#REF!</definedName>
    <definedName name="XRefCopy80" localSheetId="22" hidden="1">#REF!</definedName>
    <definedName name="XRefCopy80" localSheetId="20" hidden="1">#REF!</definedName>
    <definedName name="XRefCopy80" hidden="1">#REF!</definedName>
    <definedName name="XRefCopy80Row" localSheetId="19" hidden="1">#REF!</definedName>
    <definedName name="XRefCopy80Row" localSheetId="16" hidden="1">#REF!</definedName>
    <definedName name="XRefCopy80Row" localSheetId="15" hidden="1">#REF!</definedName>
    <definedName name="XRefCopy80Row" localSheetId="14" hidden="1">#REF!</definedName>
    <definedName name="XRefCopy80Row" localSheetId="17" hidden="1">#REF!</definedName>
    <definedName name="XRefCopy80Row" localSheetId="18" hidden="1">#REF!</definedName>
    <definedName name="XRefCopy80Row" localSheetId="21" hidden="1">#REF!</definedName>
    <definedName name="XRefCopy80Row" localSheetId="24" hidden="1">#REF!</definedName>
    <definedName name="XRefCopy80Row" localSheetId="22" hidden="1">#REF!</definedName>
    <definedName name="XRefCopy80Row" localSheetId="20" hidden="1">#REF!</definedName>
    <definedName name="XRefCopy80Row" hidden="1">#REF!</definedName>
    <definedName name="XRefCopy81" localSheetId="19" hidden="1">#REF!</definedName>
    <definedName name="XRefCopy81" localSheetId="16" hidden="1">#REF!</definedName>
    <definedName name="XRefCopy81" localSheetId="15" hidden="1">#REF!</definedName>
    <definedName name="XRefCopy81" localSheetId="14" hidden="1">#REF!</definedName>
    <definedName name="XRefCopy81" localSheetId="17" hidden="1">#REF!</definedName>
    <definedName name="XRefCopy81" localSheetId="18" hidden="1">#REF!</definedName>
    <definedName name="XRefCopy81" localSheetId="21" hidden="1">#REF!</definedName>
    <definedName name="XRefCopy81" localSheetId="24" hidden="1">#REF!</definedName>
    <definedName name="XRefCopy81" localSheetId="22" hidden="1">#REF!</definedName>
    <definedName name="XRefCopy81" localSheetId="20" hidden="1">#REF!</definedName>
    <definedName name="XRefCopy81" hidden="1">#REF!</definedName>
    <definedName name="XRefCopy81Row" localSheetId="19" hidden="1">#REF!</definedName>
    <definedName name="XRefCopy81Row" localSheetId="16" hidden="1">#REF!</definedName>
    <definedName name="XRefCopy81Row" localSheetId="15" hidden="1">#REF!</definedName>
    <definedName name="XRefCopy81Row" localSheetId="14" hidden="1">#REF!</definedName>
    <definedName name="XRefCopy81Row" localSheetId="17" hidden="1">#REF!</definedName>
    <definedName name="XRefCopy81Row" localSheetId="18" hidden="1">#REF!</definedName>
    <definedName name="XRefCopy81Row" localSheetId="21" hidden="1">#REF!</definedName>
    <definedName name="XRefCopy81Row" localSheetId="24" hidden="1">#REF!</definedName>
    <definedName name="XRefCopy81Row" localSheetId="22" hidden="1">#REF!</definedName>
    <definedName name="XRefCopy81Row" localSheetId="20" hidden="1">#REF!</definedName>
    <definedName name="XRefCopy81Row" hidden="1">#REF!</definedName>
    <definedName name="XRefCopy82" localSheetId="19" hidden="1">#REF!</definedName>
    <definedName name="XRefCopy82" localSheetId="16" hidden="1">#REF!</definedName>
    <definedName name="XRefCopy82" localSheetId="15" hidden="1">#REF!</definedName>
    <definedName name="XRefCopy82" localSheetId="14" hidden="1">#REF!</definedName>
    <definedName name="XRefCopy82" localSheetId="17" hidden="1">#REF!</definedName>
    <definedName name="XRefCopy82" localSheetId="18" hidden="1">#REF!</definedName>
    <definedName name="XRefCopy82" localSheetId="21" hidden="1">#REF!</definedName>
    <definedName name="XRefCopy82" localSheetId="24" hidden="1">#REF!</definedName>
    <definedName name="XRefCopy82" localSheetId="22" hidden="1">#REF!</definedName>
    <definedName name="XRefCopy82" localSheetId="20" hidden="1">#REF!</definedName>
    <definedName name="XRefCopy82" hidden="1">#REF!</definedName>
    <definedName name="XRefCopy82Row" localSheetId="19" hidden="1">#REF!</definedName>
    <definedName name="XRefCopy82Row" localSheetId="16" hidden="1">#REF!</definedName>
    <definedName name="XRefCopy82Row" localSheetId="15" hidden="1">#REF!</definedName>
    <definedName name="XRefCopy82Row" localSheetId="14" hidden="1">#REF!</definedName>
    <definedName name="XRefCopy82Row" localSheetId="17" hidden="1">#REF!</definedName>
    <definedName name="XRefCopy82Row" localSheetId="18" hidden="1">#REF!</definedName>
    <definedName name="XRefCopy82Row" localSheetId="21" hidden="1">#REF!</definedName>
    <definedName name="XRefCopy82Row" localSheetId="24" hidden="1">#REF!</definedName>
    <definedName name="XRefCopy82Row" localSheetId="22" hidden="1">#REF!</definedName>
    <definedName name="XRefCopy82Row" localSheetId="20" hidden="1">#REF!</definedName>
    <definedName name="XRefCopy82Row" hidden="1">#REF!</definedName>
    <definedName name="XRefCopy83" localSheetId="19" hidden="1">#REF!</definedName>
    <definedName name="XRefCopy83" localSheetId="16" hidden="1">#REF!</definedName>
    <definedName name="XRefCopy83" localSheetId="15" hidden="1">#REF!</definedName>
    <definedName name="XRefCopy83" localSheetId="14" hidden="1">#REF!</definedName>
    <definedName name="XRefCopy83" localSheetId="17" hidden="1">#REF!</definedName>
    <definedName name="XRefCopy83" localSheetId="18" hidden="1">#REF!</definedName>
    <definedName name="XRefCopy83" localSheetId="21" hidden="1">#REF!</definedName>
    <definedName name="XRefCopy83" localSheetId="24" hidden="1">#REF!</definedName>
    <definedName name="XRefCopy83" localSheetId="22" hidden="1">#REF!</definedName>
    <definedName name="XRefCopy83" localSheetId="20" hidden="1">#REF!</definedName>
    <definedName name="XRefCopy83" hidden="1">#REF!</definedName>
    <definedName name="XRefCopy83Row" localSheetId="19" hidden="1">#REF!</definedName>
    <definedName name="XRefCopy83Row" localSheetId="16" hidden="1">#REF!</definedName>
    <definedName name="XRefCopy83Row" localSheetId="15" hidden="1">#REF!</definedName>
    <definedName name="XRefCopy83Row" localSheetId="14" hidden="1">#REF!</definedName>
    <definedName name="XRefCopy83Row" localSheetId="17" hidden="1">#REF!</definedName>
    <definedName name="XRefCopy83Row" localSheetId="18" hidden="1">#REF!</definedName>
    <definedName name="XRefCopy83Row" localSheetId="21" hidden="1">#REF!</definedName>
    <definedName name="XRefCopy83Row" localSheetId="24" hidden="1">#REF!</definedName>
    <definedName name="XRefCopy83Row" localSheetId="22" hidden="1">#REF!</definedName>
    <definedName name="XRefCopy83Row" localSheetId="20" hidden="1">#REF!</definedName>
    <definedName name="XRefCopy83Row" hidden="1">#REF!</definedName>
    <definedName name="XRefCopy84" localSheetId="19" hidden="1">#REF!</definedName>
    <definedName name="XRefCopy84" localSheetId="16" hidden="1">#REF!</definedName>
    <definedName name="XRefCopy84" localSheetId="15" hidden="1">#REF!</definedName>
    <definedName name="XRefCopy84" localSheetId="14" hidden="1">#REF!</definedName>
    <definedName name="XRefCopy84" localSheetId="17" hidden="1">#REF!</definedName>
    <definedName name="XRefCopy84" localSheetId="18" hidden="1">#REF!</definedName>
    <definedName name="XRefCopy84" localSheetId="21" hidden="1">#REF!</definedName>
    <definedName name="XRefCopy84" localSheetId="24" hidden="1">#REF!</definedName>
    <definedName name="XRefCopy84" localSheetId="22" hidden="1">#REF!</definedName>
    <definedName name="XRefCopy84" localSheetId="20" hidden="1">#REF!</definedName>
    <definedName name="XRefCopy84" hidden="1">#REF!</definedName>
    <definedName name="XRefCopy85" localSheetId="19" hidden="1">#REF!</definedName>
    <definedName name="XRefCopy85" localSheetId="16" hidden="1">#REF!</definedName>
    <definedName name="XRefCopy85" localSheetId="15" hidden="1">#REF!</definedName>
    <definedName name="XRefCopy85" localSheetId="14" hidden="1">#REF!</definedName>
    <definedName name="XRefCopy85" localSheetId="17" hidden="1">#REF!</definedName>
    <definedName name="XRefCopy85" localSheetId="18" hidden="1">#REF!</definedName>
    <definedName name="XRefCopy85" localSheetId="21" hidden="1">#REF!</definedName>
    <definedName name="XRefCopy85" localSheetId="24" hidden="1">#REF!</definedName>
    <definedName name="XRefCopy85" localSheetId="22" hidden="1">#REF!</definedName>
    <definedName name="XRefCopy85" localSheetId="20" hidden="1">#REF!</definedName>
    <definedName name="XRefCopy85" hidden="1">#REF!</definedName>
    <definedName name="XRefCopy85Row" localSheetId="19" hidden="1">#REF!</definedName>
    <definedName name="XRefCopy85Row" localSheetId="16" hidden="1">#REF!</definedName>
    <definedName name="XRefCopy85Row" localSheetId="15" hidden="1">#REF!</definedName>
    <definedName name="XRefCopy85Row" localSheetId="14" hidden="1">#REF!</definedName>
    <definedName name="XRefCopy85Row" localSheetId="17" hidden="1">#REF!</definedName>
    <definedName name="XRefCopy85Row" localSheetId="18" hidden="1">#REF!</definedName>
    <definedName name="XRefCopy85Row" localSheetId="21" hidden="1">#REF!</definedName>
    <definedName name="XRefCopy85Row" localSheetId="24" hidden="1">#REF!</definedName>
    <definedName name="XRefCopy85Row" localSheetId="22" hidden="1">#REF!</definedName>
    <definedName name="XRefCopy85Row" localSheetId="20" hidden="1">#REF!</definedName>
    <definedName name="XRefCopy85Row" hidden="1">#REF!</definedName>
    <definedName name="XRefCopy86" localSheetId="19" hidden="1">#REF!</definedName>
    <definedName name="XRefCopy86" localSheetId="16" hidden="1">#REF!</definedName>
    <definedName name="XRefCopy86" localSheetId="15" hidden="1">#REF!</definedName>
    <definedName name="XRefCopy86" localSheetId="14" hidden="1">#REF!</definedName>
    <definedName name="XRefCopy86" localSheetId="17" hidden="1">#REF!</definedName>
    <definedName name="XRefCopy86" localSheetId="18" hidden="1">#REF!</definedName>
    <definedName name="XRefCopy86" localSheetId="21" hidden="1">#REF!</definedName>
    <definedName name="XRefCopy86" localSheetId="24" hidden="1">#REF!</definedName>
    <definedName name="XRefCopy86" localSheetId="22" hidden="1">#REF!</definedName>
    <definedName name="XRefCopy86" localSheetId="20" hidden="1">#REF!</definedName>
    <definedName name="XRefCopy86" hidden="1">#REF!</definedName>
    <definedName name="XRefCopy86Row" localSheetId="19" hidden="1">#REF!</definedName>
    <definedName name="XRefCopy86Row" localSheetId="16" hidden="1">#REF!</definedName>
    <definedName name="XRefCopy86Row" localSheetId="15" hidden="1">#REF!</definedName>
    <definedName name="XRefCopy86Row" localSheetId="14" hidden="1">#REF!</definedName>
    <definedName name="XRefCopy86Row" localSheetId="17" hidden="1">#REF!</definedName>
    <definedName name="XRefCopy86Row" localSheetId="18" hidden="1">#REF!</definedName>
    <definedName name="XRefCopy86Row" localSheetId="21" hidden="1">#REF!</definedName>
    <definedName name="XRefCopy86Row" localSheetId="24" hidden="1">#REF!</definedName>
    <definedName name="XRefCopy86Row" localSheetId="22" hidden="1">#REF!</definedName>
    <definedName name="XRefCopy86Row" localSheetId="20" hidden="1">#REF!</definedName>
    <definedName name="XRefCopy86Row" hidden="1">#REF!</definedName>
    <definedName name="XRefCopy87" localSheetId="19" hidden="1">#REF!</definedName>
    <definedName name="XRefCopy87" localSheetId="16" hidden="1">#REF!</definedName>
    <definedName name="XRefCopy87" localSheetId="15" hidden="1">#REF!</definedName>
    <definedName name="XRefCopy87" localSheetId="14" hidden="1">#REF!</definedName>
    <definedName name="XRefCopy87" localSheetId="17" hidden="1">#REF!</definedName>
    <definedName name="XRefCopy87" localSheetId="18" hidden="1">#REF!</definedName>
    <definedName name="XRefCopy87" localSheetId="21" hidden="1">#REF!</definedName>
    <definedName name="XRefCopy87" localSheetId="24" hidden="1">#REF!</definedName>
    <definedName name="XRefCopy87" localSheetId="22" hidden="1">#REF!</definedName>
    <definedName name="XRefCopy87" localSheetId="20" hidden="1">#REF!</definedName>
    <definedName name="XRefCopy87" hidden="1">#REF!</definedName>
    <definedName name="XRefCopy87Row" localSheetId="19" hidden="1">#REF!</definedName>
    <definedName name="XRefCopy87Row" localSheetId="16" hidden="1">#REF!</definedName>
    <definedName name="XRefCopy87Row" localSheetId="15" hidden="1">#REF!</definedName>
    <definedName name="XRefCopy87Row" localSheetId="14" hidden="1">#REF!</definedName>
    <definedName name="XRefCopy87Row" localSheetId="17" hidden="1">#REF!</definedName>
    <definedName name="XRefCopy87Row" localSheetId="18" hidden="1">#REF!</definedName>
    <definedName name="XRefCopy87Row" localSheetId="21" hidden="1">#REF!</definedName>
    <definedName name="XRefCopy87Row" localSheetId="24" hidden="1">#REF!</definedName>
    <definedName name="XRefCopy87Row" localSheetId="22" hidden="1">#REF!</definedName>
    <definedName name="XRefCopy87Row" localSheetId="20" hidden="1">#REF!</definedName>
    <definedName name="XRefCopy87Row" hidden="1">#REF!</definedName>
    <definedName name="XRefCopy8Row" localSheetId="19" hidden="1">#REF!</definedName>
    <definedName name="XRefCopy8Row" localSheetId="16" hidden="1">#REF!</definedName>
    <definedName name="XRefCopy8Row" localSheetId="15" hidden="1">#REF!</definedName>
    <definedName name="XRefCopy8Row" localSheetId="14" hidden="1">#REF!</definedName>
    <definedName name="XRefCopy8Row" localSheetId="17" hidden="1">#REF!</definedName>
    <definedName name="XRefCopy8Row" localSheetId="18" hidden="1">#REF!</definedName>
    <definedName name="XRefCopy8Row" localSheetId="21" hidden="1">#REF!</definedName>
    <definedName name="XRefCopy8Row" localSheetId="24" hidden="1">#REF!</definedName>
    <definedName name="XRefCopy8Row" localSheetId="22" hidden="1">#REF!</definedName>
    <definedName name="XRefCopy8Row" localSheetId="20" hidden="1">#REF!</definedName>
    <definedName name="XRefCopy8Row" hidden="1">#REF!</definedName>
    <definedName name="XRefCopy9" localSheetId="19" hidden="1">#REF!</definedName>
    <definedName name="XRefCopy9" localSheetId="16" hidden="1">#REF!</definedName>
    <definedName name="XRefCopy9" localSheetId="15" hidden="1">#REF!</definedName>
    <definedName name="XRefCopy9" localSheetId="14" hidden="1">#REF!</definedName>
    <definedName name="XRefCopy9" localSheetId="17" hidden="1">#REF!</definedName>
    <definedName name="XRefCopy9" localSheetId="18" hidden="1">#REF!</definedName>
    <definedName name="XRefCopy9" localSheetId="21" hidden="1">#REF!</definedName>
    <definedName name="XRefCopy9" localSheetId="24" hidden="1">#REF!</definedName>
    <definedName name="XRefCopy9" localSheetId="22" hidden="1">#REF!</definedName>
    <definedName name="XRefCopy9" localSheetId="20" hidden="1">#REF!</definedName>
    <definedName name="XRefCopy9" hidden="1">#REF!</definedName>
    <definedName name="XRefCopy95" localSheetId="19" hidden="1">#REF!</definedName>
    <definedName name="XRefCopy95" localSheetId="16" hidden="1">#REF!</definedName>
    <definedName name="XRefCopy95" localSheetId="15" hidden="1">#REF!</definedName>
    <definedName name="XRefCopy95" localSheetId="14" hidden="1">#REF!</definedName>
    <definedName name="XRefCopy95" localSheetId="17" hidden="1">#REF!</definedName>
    <definedName name="XRefCopy95" localSheetId="18" hidden="1">#REF!</definedName>
    <definedName name="XRefCopy95" localSheetId="21" hidden="1">#REF!</definedName>
    <definedName name="XRefCopy95" localSheetId="24" hidden="1">#REF!</definedName>
    <definedName name="XRefCopy95" localSheetId="22" hidden="1">#REF!</definedName>
    <definedName name="XRefCopy95" localSheetId="20" hidden="1">#REF!</definedName>
    <definedName name="XRefCopy95" hidden="1">#REF!</definedName>
    <definedName name="XRefCopy96" localSheetId="19" hidden="1">#REF!</definedName>
    <definedName name="XRefCopy96" localSheetId="16" hidden="1">#REF!</definedName>
    <definedName name="XRefCopy96" localSheetId="15" hidden="1">#REF!</definedName>
    <definedName name="XRefCopy96" localSheetId="14" hidden="1">#REF!</definedName>
    <definedName name="XRefCopy96" localSheetId="17" hidden="1">#REF!</definedName>
    <definedName name="XRefCopy96" localSheetId="18" hidden="1">#REF!</definedName>
    <definedName name="XRefCopy96" localSheetId="21" hidden="1">#REF!</definedName>
    <definedName name="XRefCopy96" localSheetId="24" hidden="1">#REF!</definedName>
    <definedName name="XRefCopy96" localSheetId="22" hidden="1">#REF!</definedName>
    <definedName name="XRefCopy96" localSheetId="20" hidden="1">#REF!</definedName>
    <definedName name="XRefCopy96" hidden="1">#REF!</definedName>
    <definedName name="XRefCopy97" localSheetId="19" hidden="1">#REF!</definedName>
    <definedName name="XRefCopy97" localSheetId="16" hidden="1">#REF!</definedName>
    <definedName name="XRefCopy97" localSheetId="15" hidden="1">#REF!</definedName>
    <definedName name="XRefCopy97" localSheetId="14" hidden="1">#REF!</definedName>
    <definedName name="XRefCopy97" localSheetId="17" hidden="1">#REF!</definedName>
    <definedName name="XRefCopy97" localSheetId="18" hidden="1">#REF!</definedName>
    <definedName name="XRefCopy97" localSheetId="21" hidden="1">#REF!</definedName>
    <definedName name="XRefCopy97" localSheetId="24" hidden="1">#REF!</definedName>
    <definedName name="XRefCopy97" localSheetId="22" hidden="1">#REF!</definedName>
    <definedName name="XRefCopy97" localSheetId="20" hidden="1">#REF!</definedName>
    <definedName name="XRefCopy97" hidden="1">#REF!</definedName>
    <definedName name="XRefCopy9Row" localSheetId="19" hidden="1">#REF!</definedName>
    <definedName name="XRefCopy9Row" localSheetId="16" hidden="1">#REF!</definedName>
    <definedName name="XRefCopy9Row" localSheetId="15" hidden="1">#REF!</definedName>
    <definedName name="XRefCopy9Row" localSheetId="14" hidden="1">#REF!</definedName>
    <definedName name="XRefCopy9Row" localSheetId="17" hidden="1">#REF!</definedName>
    <definedName name="XRefCopy9Row" localSheetId="18" hidden="1">#REF!</definedName>
    <definedName name="XRefCopy9Row" localSheetId="21" hidden="1">#REF!</definedName>
    <definedName name="XRefCopy9Row" localSheetId="24" hidden="1">#REF!</definedName>
    <definedName name="XRefCopy9Row" localSheetId="22" hidden="1">#REF!</definedName>
    <definedName name="XRefCopy9Row" localSheetId="20" hidden="1">#REF!</definedName>
    <definedName name="XRefCopy9Row" hidden="1">#REF!</definedName>
    <definedName name="XRefCopyRangeCount" hidden="1">35</definedName>
    <definedName name="XRefPaste1" localSheetId="19" hidden="1">#REF!</definedName>
    <definedName name="XRefPaste1" localSheetId="16" hidden="1">#REF!</definedName>
    <definedName name="XRefPaste1" localSheetId="15" hidden="1">#REF!</definedName>
    <definedName name="XRefPaste1" localSheetId="14" hidden="1">#REF!</definedName>
    <definedName name="XRefPaste1" localSheetId="17" hidden="1">#REF!</definedName>
    <definedName name="XRefPaste1" localSheetId="18" hidden="1">#REF!</definedName>
    <definedName name="XRefPaste1" localSheetId="21" hidden="1">#REF!</definedName>
    <definedName name="XRefPaste1" localSheetId="24" hidden="1">#REF!</definedName>
    <definedName name="XRefPaste1" localSheetId="22" hidden="1">#REF!</definedName>
    <definedName name="XRefPaste1" localSheetId="20" hidden="1">#REF!</definedName>
    <definedName name="XRefPaste1" hidden="1">#REF!</definedName>
    <definedName name="XRefPaste10" localSheetId="19" hidden="1">#REF!</definedName>
    <definedName name="XRefPaste10" localSheetId="16" hidden="1">#REF!</definedName>
    <definedName name="XRefPaste10" localSheetId="15" hidden="1">#REF!</definedName>
    <definedName name="XRefPaste10" localSheetId="14" hidden="1">#REF!</definedName>
    <definedName name="XRefPaste10" localSheetId="17" hidden="1">#REF!</definedName>
    <definedName name="XRefPaste10" localSheetId="18" hidden="1">#REF!</definedName>
    <definedName name="XRefPaste10" localSheetId="21" hidden="1">#REF!</definedName>
    <definedName name="XRefPaste10" localSheetId="24" hidden="1">#REF!</definedName>
    <definedName name="XRefPaste10" localSheetId="22" hidden="1">#REF!</definedName>
    <definedName name="XRefPaste10" localSheetId="20" hidden="1">#REF!</definedName>
    <definedName name="XRefPaste10" hidden="1">#REF!</definedName>
    <definedName name="XRefPaste100Row" localSheetId="19" hidden="1">#REF!</definedName>
    <definedName name="XRefPaste100Row" localSheetId="16" hidden="1">#REF!</definedName>
    <definedName name="XRefPaste100Row" localSheetId="15" hidden="1">#REF!</definedName>
    <definedName name="XRefPaste100Row" localSheetId="14" hidden="1">#REF!</definedName>
    <definedName name="XRefPaste100Row" localSheetId="17" hidden="1">#REF!</definedName>
    <definedName name="XRefPaste100Row" localSheetId="18" hidden="1">#REF!</definedName>
    <definedName name="XRefPaste100Row" localSheetId="21" hidden="1">#REF!</definedName>
    <definedName name="XRefPaste100Row" localSheetId="24" hidden="1">#REF!</definedName>
    <definedName name="XRefPaste100Row" localSheetId="22" hidden="1">#REF!</definedName>
    <definedName name="XRefPaste100Row" localSheetId="20" hidden="1">#REF!</definedName>
    <definedName name="XRefPaste100Row" hidden="1">#REF!</definedName>
    <definedName name="XRefPaste101" localSheetId="19" hidden="1">#REF!</definedName>
    <definedName name="XRefPaste101" localSheetId="16" hidden="1">#REF!</definedName>
    <definedName name="XRefPaste101" localSheetId="15" hidden="1">#REF!</definedName>
    <definedName name="XRefPaste101" localSheetId="14" hidden="1">#REF!</definedName>
    <definedName name="XRefPaste101" localSheetId="17" hidden="1">#REF!</definedName>
    <definedName name="XRefPaste101" localSheetId="18" hidden="1">#REF!</definedName>
    <definedName name="XRefPaste101" localSheetId="21" hidden="1">#REF!</definedName>
    <definedName name="XRefPaste101" localSheetId="24" hidden="1">#REF!</definedName>
    <definedName name="XRefPaste101" localSheetId="22" hidden="1">#REF!</definedName>
    <definedName name="XRefPaste101" localSheetId="20" hidden="1">#REF!</definedName>
    <definedName name="XRefPaste101" hidden="1">#REF!</definedName>
    <definedName name="XRefPaste101Row" localSheetId="19" hidden="1">#REF!</definedName>
    <definedName name="XRefPaste101Row" localSheetId="16" hidden="1">#REF!</definedName>
    <definedName name="XRefPaste101Row" localSheetId="15" hidden="1">#REF!</definedName>
    <definedName name="XRefPaste101Row" localSheetId="14" hidden="1">#REF!</definedName>
    <definedName name="XRefPaste101Row" localSheetId="17" hidden="1">#REF!</definedName>
    <definedName name="XRefPaste101Row" localSheetId="18" hidden="1">#REF!</definedName>
    <definedName name="XRefPaste101Row" localSheetId="21" hidden="1">#REF!</definedName>
    <definedName name="XRefPaste101Row" localSheetId="24" hidden="1">#REF!</definedName>
    <definedName name="XRefPaste101Row" localSheetId="22" hidden="1">#REF!</definedName>
    <definedName name="XRefPaste101Row" localSheetId="20" hidden="1">#REF!</definedName>
    <definedName name="XRefPaste101Row" hidden="1">#REF!</definedName>
    <definedName name="XRefPaste102" localSheetId="19" hidden="1">#REF!</definedName>
    <definedName name="XRefPaste102" localSheetId="16" hidden="1">#REF!</definedName>
    <definedName name="XRefPaste102" localSheetId="15" hidden="1">#REF!</definedName>
    <definedName name="XRefPaste102" localSheetId="14" hidden="1">#REF!</definedName>
    <definedName name="XRefPaste102" localSheetId="17" hidden="1">#REF!</definedName>
    <definedName name="XRefPaste102" localSheetId="18" hidden="1">#REF!</definedName>
    <definedName name="XRefPaste102" localSheetId="21" hidden="1">#REF!</definedName>
    <definedName name="XRefPaste102" localSheetId="24" hidden="1">#REF!</definedName>
    <definedName name="XRefPaste102" localSheetId="22" hidden="1">#REF!</definedName>
    <definedName name="XRefPaste102" localSheetId="20" hidden="1">#REF!</definedName>
    <definedName name="XRefPaste102" hidden="1">#REF!</definedName>
    <definedName name="XRefPaste102Row" localSheetId="19" hidden="1">#REF!</definedName>
    <definedName name="XRefPaste102Row" localSheetId="16" hidden="1">#REF!</definedName>
    <definedName name="XRefPaste102Row" localSheetId="15" hidden="1">#REF!</definedName>
    <definedName name="XRefPaste102Row" localSheetId="14" hidden="1">#REF!</definedName>
    <definedName name="XRefPaste102Row" localSheetId="17" hidden="1">#REF!</definedName>
    <definedName name="XRefPaste102Row" localSheetId="18" hidden="1">#REF!</definedName>
    <definedName name="XRefPaste102Row" localSheetId="21" hidden="1">#REF!</definedName>
    <definedName name="XRefPaste102Row" localSheetId="24" hidden="1">#REF!</definedName>
    <definedName name="XRefPaste102Row" localSheetId="22" hidden="1">#REF!</definedName>
    <definedName name="XRefPaste102Row" localSheetId="20" hidden="1">#REF!</definedName>
    <definedName name="XRefPaste102Row" hidden="1">#REF!</definedName>
    <definedName name="XRefPaste103" localSheetId="19" hidden="1">#REF!</definedName>
    <definedName name="XRefPaste103" localSheetId="16" hidden="1">#REF!</definedName>
    <definedName name="XRefPaste103" localSheetId="15" hidden="1">#REF!</definedName>
    <definedName name="XRefPaste103" localSheetId="14" hidden="1">#REF!</definedName>
    <definedName name="XRefPaste103" localSheetId="17" hidden="1">#REF!</definedName>
    <definedName name="XRefPaste103" localSheetId="18" hidden="1">#REF!</definedName>
    <definedName name="XRefPaste103" localSheetId="21" hidden="1">#REF!</definedName>
    <definedName name="XRefPaste103" localSheetId="24" hidden="1">#REF!</definedName>
    <definedName name="XRefPaste103" localSheetId="22" hidden="1">#REF!</definedName>
    <definedName name="XRefPaste103" localSheetId="20" hidden="1">#REF!</definedName>
    <definedName name="XRefPaste103" hidden="1">#REF!</definedName>
    <definedName name="XRefPaste103Row" localSheetId="19" hidden="1">#REF!</definedName>
    <definedName name="XRefPaste103Row" localSheetId="16" hidden="1">#REF!</definedName>
    <definedName name="XRefPaste103Row" localSheetId="15" hidden="1">#REF!</definedName>
    <definedName name="XRefPaste103Row" localSheetId="14" hidden="1">#REF!</definedName>
    <definedName name="XRefPaste103Row" localSheetId="17" hidden="1">#REF!</definedName>
    <definedName name="XRefPaste103Row" localSheetId="18" hidden="1">#REF!</definedName>
    <definedName name="XRefPaste103Row" localSheetId="21" hidden="1">#REF!</definedName>
    <definedName name="XRefPaste103Row" localSheetId="24" hidden="1">#REF!</definedName>
    <definedName name="XRefPaste103Row" localSheetId="22" hidden="1">#REF!</definedName>
    <definedName name="XRefPaste103Row" localSheetId="20" hidden="1">#REF!</definedName>
    <definedName name="XRefPaste103Row" hidden="1">#REF!</definedName>
    <definedName name="XRefPaste104Row" localSheetId="19" hidden="1">#REF!</definedName>
    <definedName name="XRefPaste104Row" localSheetId="16" hidden="1">#REF!</definedName>
    <definedName name="XRefPaste104Row" localSheetId="15" hidden="1">#REF!</definedName>
    <definedName name="XRefPaste104Row" localSheetId="14" hidden="1">#REF!</definedName>
    <definedName name="XRefPaste104Row" localSheetId="17" hidden="1">#REF!</definedName>
    <definedName name="XRefPaste104Row" localSheetId="18" hidden="1">#REF!</definedName>
    <definedName name="XRefPaste104Row" localSheetId="21" hidden="1">#REF!</definedName>
    <definedName name="XRefPaste104Row" localSheetId="24" hidden="1">#REF!</definedName>
    <definedName name="XRefPaste104Row" localSheetId="22" hidden="1">#REF!</definedName>
    <definedName name="XRefPaste104Row" localSheetId="20" hidden="1">#REF!</definedName>
    <definedName name="XRefPaste104Row" hidden="1">#REF!</definedName>
    <definedName name="XRefPaste105Row" localSheetId="19" hidden="1">#REF!</definedName>
    <definedName name="XRefPaste105Row" localSheetId="16" hidden="1">#REF!</definedName>
    <definedName name="XRefPaste105Row" localSheetId="15" hidden="1">#REF!</definedName>
    <definedName name="XRefPaste105Row" localSheetId="14" hidden="1">#REF!</definedName>
    <definedName name="XRefPaste105Row" localSheetId="17" hidden="1">#REF!</definedName>
    <definedName name="XRefPaste105Row" localSheetId="18" hidden="1">#REF!</definedName>
    <definedName name="XRefPaste105Row" localSheetId="21" hidden="1">#REF!</definedName>
    <definedName name="XRefPaste105Row" localSheetId="24" hidden="1">#REF!</definedName>
    <definedName name="XRefPaste105Row" localSheetId="22" hidden="1">#REF!</definedName>
    <definedName name="XRefPaste105Row" localSheetId="20" hidden="1">#REF!</definedName>
    <definedName name="XRefPaste105Row" hidden="1">#REF!</definedName>
    <definedName name="XRefPaste106" localSheetId="19" hidden="1">#REF!</definedName>
    <definedName name="XRefPaste106" localSheetId="16" hidden="1">#REF!</definedName>
    <definedName name="XRefPaste106" localSheetId="15" hidden="1">#REF!</definedName>
    <definedName name="XRefPaste106" localSheetId="14" hidden="1">#REF!</definedName>
    <definedName name="XRefPaste106" localSheetId="17" hidden="1">#REF!</definedName>
    <definedName name="XRefPaste106" localSheetId="18" hidden="1">#REF!</definedName>
    <definedName name="XRefPaste106" localSheetId="21" hidden="1">#REF!</definedName>
    <definedName name="XRefPaste106" localSheetId="24" hidden="1">#REF!</definedName>
    <definedName name="XRefPaste106" localSheetId="22" hidden="1">#REF!</definedName>
    <definedName name="XRefPaste106" localSheetId="20" hidden="1">#REF!</definedName>
    <definedName name="XRefPaste106" hidden="1">#REF!</definedName>
    <definedName name="XRefPaste106Row" localSheetId="19" hidden="1">#REF!</definedName>
    <definedName name="XRefPaste106Row" localSheetId="16" hidden="1">#REF!</definedName>
    <definedName name="XRefPaste106Row" localSheetId="15" hidden="1">#REF!</definedName>
    <definedName name="XRefPaste106Row" localSheetId="14" hidden="1">#REF!</definedName>
    <definedName name="XRefPaste106Row" localSheetId="17" hidden="1">#REF!</definedName>
    <definedName name="XRefPaste106Row" localSheetId="18" hidden="1">#REF!</definedName>
    <definedName name="XRefPaste106Row" localSheetId="21" hidden="1">#REF!</definedName>
    <definedName name="XRefPaste106Row" localSheetId="24" hidden="1">#REF!</definedName>
    <definedName name="XRefPaste106Row" localSheetId="22" hidden="1">#REF!</definedName>
    <definedName name="XRefPaste106Row" localSheetId="20" hidden="1">#REF!</definedName>
    <definedName name="XRefPaste106Row" hidden="1">#REF!</definedName>
    <definedName name="XRefPaste107Row" localSheetId="19" hidden="1">#REF!</definedName>
    <definedName name="XRefPaste107Row" localSheetId="16" hidden="1">#REF!</definedName>
    <definedName name="XRefPaste107Row" localSheetId="15" hidden="1">#REF!</definedName>
    <definedName name="XRefPaste107Row" localSheetId="14" hidden="1">#REF!</definedName>
    <definedName name="XRefPaste107Row" localSheetId="17" hidden="1">#REF!</definedName>
    <definedName name="XRefPaste107Row" localSheetId="18" hidden="1">#REF!</definedName>
    <definedName name="XRefPaste107Row" localSheetId="21" hidden="1">#REF!</definedName>
    <definedName name="XRefPaste107Row" localSheetId="24" hidden="1">#REF!</definedName>
    <definedName name="XRefPaste107Row" localSheetId="22" hidden="1">#REF!</definedName>
    <definedName name="XRefPaste107Row" localSheetId="20" hidden="1">#REF!</definedName>
    <definedName name="XRefPaste107Row" hidden="1">#REF!</definedName>
    <definedName name="XRefPaste108Row" localSheetId="19" hidden="1">#REF!</definedName>
    <definedName name="XRefPaste108Row" localSheetId="16" hidden="1">#REF!</definedName>
    <definedName name="XRefPaste108Row" localSheetId="15" hidden="1">#REF!</definedName>
    <definedName name="XRefPaste108Row" localSheetId="14" hidden="1">#REF!</definedName>
    <definedName name="XRefPaste108Row" localSheetId="17" hidden="1">#REF!</definedName>
    <definedName name="XRefPaste108Row" localSheetId="18" hidden="1">#REF!</definedName>
    <definedName name="XRefPaste108Row" localSheetId="21" hidden="1">#REF!</definedName>
    <definedName name="XRefPaste108Row" localSheetId="24" hidden="1">#REF!</definedName>
    <definedName name="XRefPaste108Row" localSheetId="22" hidden="1">#REF!</definedName>
    <definedName name="XRefPaste108Row" localSheetId="20" hidden="1">#REF!</definedName>
    <definedName name="XRefPaste108Row" hidden="1">#REF!</definedName>
    <definedName name="XRefPaste10Row" localSheetId="19" hidden="1">#REF!</definedName>
    <definedName name="XRefPaste10Row" localSheetId="16" hidden="1">#REF!</definedName>
    <definedName name="XRefPaste10Row" localSheetId="15" hidden="1">#REF!</definedName>
    <definedName name="XRefPaste10Row" localSheetId="14" hidden="1">#REF!</definedName>
    <definedName name="XRefPaste10Row" localSheetId="17" hidden="1">#REF!</definedName>
    <definedName name="XRefPaste10Row" localSheetId="18" hidden="1">#REF!</definedName>
    <definedName name="XRefPaste10Row" localSheetId="21" hidden="1">#REF!</definedName>
    <definedName name="XRefPaste10Row" localSheetId="24" hidden="1">#REF!</definedName>
    <definedName name="XRefPaste10Row" localSheetId="22" hidden="1">#REF!</definedName>
    <definedName name="XRefPaste10Row" localSheetId="20" hidden="1">#REF!</definedName>
    <definedName name="XRefPaste10Row" hidden="1">#REF!</definedName>
    <definedName name="XRefPaste11" localSheetId="19" hidden="1">#REF!</definedName>
    <definedName name="XRefPaste11" localSheetId="16" hidden="1">#REF!</definedName>
    <definedName name="XRefPaste11" localSheetId="15" hidden="1">#REF!</definedName>
    <definedName name="XRefPaste11" localSheetId="14" hidden="1">#REF!</definedName>
    <definedName name="XRefPaste11" localSheetId="17" hidden="1">#REF!</definedName>
    <definedName name="XRefPaste11" localSheetId="18" hidden="1">#REF!</definedName>
    <definedName name="XRefPaste11" localSheetId="21" hidden="1">#REF!</definedName>
    <definedName name="XRefPaste11" localSheetId="24" hidden="1">#REF!</definedName>
    <definedName name="XRefPaste11" localSheetId="22" hidden="1">#REF!</definedName>
    <definedName name="XRefPaste11" localSheetId="20" hidden="1">#REF!</definedName>
    <definedName name="XRefPaste11" hidden="1">#REF!</definedName>
    <definedName name="XRefPaste111Row" localSheetId="19" hidden="1">#REF!</definedName>
    <definedName name="XRefPaste111Row" localSheetId="16" hidden="1">#REF!</definedName>
    <definedName name="XRefPaste111Row" localSheetId="15" hidden="1">#REF!</definedName>
    <definedName name="XRefPaste111Row" localSheetId="14" hidden="1">#REF!</definedName>
    <definedName name="XRefPaste111Row" localSheetId="17" hidden="1">#REF!</definedName>
    <definedName name="XRefPaste111Row" localSheetId="18" hidden="1">#REF!</definedName>
    <definedName name="XRefPaste111Row" localSheetId="21" hidden="1">#REF!</definedName>
    <definedName name="XRefPaste111Row" localSheetId="24" hidden="1">#REF!</definedName>
    <definedName name="XRefPaste111Row" localSheetId="22" hidden="1">#REF!</definedName>
    <definedName name="XRefPaste111Row" localSheetId="20" hidden="1">#REF!</definedName>
    <definedName name="XRefPaste111Row" hidden="1">#REF!</definedName>
    <definedName name="XRefPaste112Row" localSheetId="19" hidden="1">#REF!</definedName>
    <definedName name="XRefPaste112Row" localSheetId="16" hidden="1">#REF!</definedName>
    <definedName name="XRefPaste112Row" localSheetId="15" hidden="1">#REF!</definedName>
    <definedName name="XRefPaste112Row" localSheetId="14" hidden="1">#REF!</definedName>
    <definedName name="XRefPaste112Row" localSheetId="17" hidden="1">#REF!</definedName>
    <definedName name="XRefPaste112Row" localSheetId="18" hidden="1">#REF!</definedName>
    <definedName name="XRefPaste112Row" localSheetId="21" hidden="1">#REF!</definedName>
    <definedName name="XRefPaste112Row" localSheetId="24" hidden="1">#REF!</definedName>
    <definedName name="XRefPaste112Row" localSheetId="22" hidden="1">#REF!</definedName>
    <definedName name="XRefPaste112Row" localSheetId="20" hidden="1">#REF!</definedName>
    <definedName name="XRefPaste112Row" hidden="1">#REF!</definedName>
    <definedName name="XRefPaste117" localSheetId="19" hidden="1">#REF!</definedName>
    <definedName name="XRefPaste117" localSheetId="16" hidden="1">#REF!</definedName>
    <definedName name="XRefPaste117" localSheetId="15" hidden="1">#REF!</definedName>
    <definedName name="XRefPaste117" localSheetId="14" hidden="1">#REF!</definedName>
    <definedName name="XRefPaste117" localSheetId="17" hidden="1">#REF!</definedName>
    <definedName name="XRefPaste117" localSheetId="18" hidden="1">#REF!</definedName>
    <definedName name="XRefPaste117" localSheetId="21" hidden="1">#REF!</definedName>
    <definedName name="XRefPaste117" localSheetId="24" hidden="1">#REF!</definedName>
    <definedName name="XRefPaste117" localSheetId="22" hidden="1">#REF!</definedName>
    <definedName name="XRefPaste117" localSheetId="20" hidden="1">#REF!</definedName>
    <definedName name="XRefPaste117" hidden="1">#REF!</definedName>
    <definedName name="XRefPaste117Row" localSheetId="19" hidden="1">#REF!</definedName>
    <definedName name="XRefPaste117Row" localSheetId="16" hidden="1">#REF!</definedName>
    <definedName name="XRefPaste117Row" localSheetId="15" hidden="1">#REF!</definedName>
    <definedName name="XRefPaste117Row" localSheetId="14" hidden="1">#REF!</definedName>
    <definedName name="XRefPaste117Row" localSheetId="17" hidden="1">#REF!</definedName>
    <definedName name="XRefPaste117Row" localSheetId="18" hidden="1">#REF!</definedName>
    <definedName name="XRefPaste117Row" localSheetId="21" hidden="1">#REF!</definedName>
    <definedName name="XRefPaste117Row" localSheetId="24" hidden="1">#REF!</definedName>
    <definedName name="XRefPaste117Row" localSheetId="22" hidden="1">#REF!</definedName>
    <definedName name="XRefPaste117Row" localSheetId="20" hidden="1">#REF!</definedName>
    <definedName name="XRefPaste117Row" hidden="1">#REF!</definedName>
    <definedName name="XRefPaste118" localSheetId="19" hidden="1">#REF!</definedName>
    <definedName name="XRefPaste118" localSheetId="16" hidden="1">#REF!</definedName>
    <definedName name="XRefPaste118" localSheetId="15" hidden="1">#REF!</definedName>
    <definedName name="XRefPaste118" localSheetId="14" hidden="1">#REF!</definedName>
    <definedName name="XRefPaste118" localSheetId="17" hidden="1">#REF!</definedName>
    <definedName name="XRefPaste118" localSheetId="18" hidden="1">#REF!</definedName>
    <definedName name="XRefPaste118" localSheetId="21" hidden="1">#REF!</definedName>
    <definedName name="XRefPaste118" localSheetId="24" hidden="1">#REF!</definedName>
    <definedName name="XRefPaste118" localSheetId="22" hidden="1">#REF!</definedName>
    <definedName name="XRefPaste118" localSheetId="20" hidden="1">#REF!</definedName>
    <definedName name="XRefPaste118" hidden="1">#REF!</definedName>
    <definedName name="XRefPaste118Row" localSheetId="19" hidden="1">#REF!</definedName>
    <definedName name="XRefPaste118Row" localSheetId="16" hidden="1">#REF!</definedName>
    <definedName name="XRefPaste118Row" localSheetId="15" hidden="1">#REF!</definedName>
    <definedName name="XRefPaste118Row" localSheetId="14" hidden="1">#REF!</definedName>
    <definedName name="XRefPaste118Row" localSheetId="17" hidden="1">#REF!</definedName>
    <definedName name="XRefPaste118Row" localSheetId="18" hidden="1">#REF!</definedName>
    <definedName name="XRefPaste118Row" localSheetId="21" hidden="1">#REF!</definedName>
    <definedName name="XRefPaste118Row" localSheetId="24" hidden="1">#REF!</definedName>
    <definedName name="XRefPaste118Row" localSheetId="22" hidden="1">#REF!</definedName>
    <definedName name="XRefPaste118Row" localSheetId="20" hidden="1">#REF!</definedName>
    <definedName name="XRefPaste118Row" hidden="1">#REF!</definedName>
    <definedName name="XRefPaste119" localSheetId="19" hidden="1">#REF!</definedName>
    <definedName name="XRefPaste119" localSheetId="16" hidden="1">#REF!</definedName>
    <definedName name="XRefPaste119" localSheetId="15" hidden="1">#REF!</definedName>
    <definedName name="XRefPaste119" localSheetId="14" hidden="1">#REF!</definedName>
    <definedName name="XRefPaste119" localSheetId="17" hidden="1">#REF!</definedName>
    <definedName name="XRefPaste119" localSheetId="18" hidden="1">#REF!</definedName>
    <definedName name="XRefPaste119" localSheetId="21" hidden="1">#REF!</definedName>
    <definedName name="XRefPaste119" localSheetId="24" hidden="1">#REF!</definedName>
    <definedName name="XRefPaste119" localSheetId="22" hidden="1">#REF!</definedName>
    <definedName name="XRefPaste119" localSheetId="20" hidden="1">#REF!</definedName>
    <definedName name="XRefPaste119" hidden="1">#REF!</definedName>
    <definedName name="XRefPaste119Row" localSheetId="19" hidden="1">#REF!</definedName>
    <definedName name="XRefPaste119Row" localSheetId="16" hidden="1">#REF!</definedName>
    <definedName name="XRefPaste119Row" localSheetId="15" hidden="1">#REF!</definedName>
    <definedName name="XRefPaste119Row" localSheetId="14" hidden="1">#REF!</definedName>
    <definedName name="XRefPaste119Row" localSheetId="17" hidden="1">#REF!</definedName>
    <definedName name="XRefPaste119Row" localSheetId="18" hidden="1">#REF!</definedName>
    <definedName name="XRefPaste119Row" localSheetId="21" hidden="1">#REF!</definedName>
    <definedName name="XRefPaste119Row" localSheetId="24" hidden="1">#REF!</definedName>
    <definedName name="XRefPaste119Row" localSheetId="22" hidden="1">#REF!</definedName>
    <definedName name="XRefPaste119Row" localSheetId="20" hidden="1">#REF!</definedName>
    <definedName name="XRefPaste119Row" hidden="1">#REF!</definedName>
    <definedName name="XRefPaste11Row" localSheetId="19" hidden="1">#REF!</definedName>
    <definedName name="XRefPaste11Row" localSheetId="16" hidden="1">#REF!</definedName>
    <definedName name="XRefPaste11Row" localSheetId="15" hidden="1">#REF!</definedName>
    <definedName name="XRefPaste11Row" localSheetId="14" hidden="1">#REF!</definedName>
    <definedName name="XRefPaste11Row" localSheetId="17" hidden="1">#REF!</definedName>
    <definedName name="XRefPaste11Row" localSheetId="18" hidden="1">#REF!</definedName>
    <definedName name="XRefPaste11Row" localSheetId="21" hidden="1">#REF!</definedName>
    <definedName name="XRefPaste11Row" localSheetId="24" hidden="1">#REF!</definedName>
    <definedName name="XRefPaste11Row" localSheetId="22" hidden="1">#REF!</definedName>
    <definedName name="XRefPaste11Row" localSheetId="20" hidden="1">#REF!</definedName>
    <definedName name="XRefPaste11Row" hidden="1">#REF!</definedName>
    <definedName name="XRefPaste12" localSheetId="19" hidden="1">#REF!</definedName>
    <definedName name="XRefPaste12" localSheetId="16" hidden="1">#REF!</definedName>
    <definedName name="XRefPaste12" localSheetId="15" hidden="1">#REF!</definedName>
    <definedName name="XRefPaste12" localSheetId="14" hidden="1">#REF!</definedName>
    <definedName name="XRefPaste12" localSheetId="17" hidden="1">#REF!</definedName>
    <definedName name="XRefPaste12" localSheetId="18" hidden="1">#REF!</definedName>
    <definedName name="XRefPaste12" localSheetId="21" hidden="1">#REF!</definedName>
    <definedName name="XRefPaste12" localSheetId="24" hidden="1">#REF!</definedName>
    <definedName name="XRefPaste12" localSheetId="22" hidden="1">#REF!</definedName>
    <definedName name="XRefPaste12" localSheetId="20" hidden="1">#REF!</definedName>
    <definedName name="XRefPaste12" hidden="1">#REF!</definedName>
    <definedName name="XRefPaste120" localSheetId="19" hidden="1">#REF!</definedName>
    <definedName name="XRefPaste120" localSheetId="16" hidden="1">#REF!</definedName>
    <definedName name="XRefPaste120" localSheetId="15" hidden="1">#REF!</definedName>
    <definedName name="XRefPaste120" localSheetId="14" hidden="1">#REF!</definedName>
    <definedName name="XRefPaste120" localSheetId="17" hidden="1">#REF!</definedName>
    <definedName name="XRefPaste120" localSheetId="18" hidden="1">#REF!</definedName>
    <definedName name="XRefPaste120" localSheetId="21" hidden="1">#REF!</definedName>
    <definedName name="XRefPaste120" localSheetId="24" hidden="1">#REF!</definedName>
    <definedName name="XRefPaste120" localSheetId="22" hidden="1">#REF!</definedName>
    <definedName name="XRefPaste120" localSheetId="20" hidden="1">#REF!</definedName>
    <definedName name="XRefPaste120" hidden="1">#REF!</definedName>
    <definedName name="XRefPaste120Row" localSheetId="19" hidden="1">#REF!</definedName>
    <definedName name="XRefPaste120Row" localSheetId="16" hidden="1">#REF!</definedName>
    <definedName name="XRefPaste120Row" localSheetId="15" hidden="1">#REF!</definedName>
    <definedName name="XRefPaste120Row" localSheetId="14" hidden="1">#REF!</definedName>
    <definedName name="XRefPaste120Row" localSheetId="17" hidden="1">#REF!</definedName>
    <definedName name="XRefPaste120Row" localSheetId="18" hidden="1">#REF!</definedName>
    <definedName name="XRefPaste120Row" localSheetId="21" hidden="1">#REF!</definedName>
    <definedName name="XRefPaste120Row" localSheetId="24" hidden="1">#REF!</definedName>
    <definedName name="XRefPaste120Row" localSheetId="22" hidden="1">#REF!</definedName>
    <definedName name="XRefPaste120Row" localSheetId="20" hidden="1">#REF!</definedName>
    <definedName name="XRefPaste120Row" hidden="1">#REF!</definedName>
    <definedName name="XRefPaste121Row" localSheetId="19" hidden="1">#REF!</definedName>
    <definedName name="XRefPaste121Row" localSheetId="16" hidden="1">#REF!</definedName>
    <definedName name="XRefPaste121Row" localSheetId="15" hidden="1">#REF!</definedName>
    <definedName name="XRefPaste121Row" localSheetId="14" hidden="1">#REF!</definedName>
    <definedName name="XRefPaste121Row" localSheetId="17" hidden="1">#REF!</definedName>
    <definedName name="XRefPaste121Row" localSheetId="18" hidden="1">#REF!</definedName>
    <definedName name="XRefPaste121Row" localSheetId="21" hidden="1">#REF!</definedName>
    <definedName name="XRefPaste121Row" localSheetId="24" hidden="1">#REF!</definedName>
    <definedName name="XRefPaste121Row" localSheetId="22" hidden="1">#REF!</definedName>
    <definedName name="XRefPaste121Row" localSheetId="20" hidden="1">#REF!</definedName>
    <definedName name="XRefPaste121Row" hidden="1">#REF!</definedName>
    <definedName name="XRefPaste122Row" localSheetId="19" hidden="1">#REF!</definedName>
    <definedName name="XRefPaste122Row" localSheetId="16" hidden="1">#REF!</definedName>
    <definedName name="XRefPaste122Row" localSheetId="15" hidden="1">#REF!</definedName>
    <definedName name="XRefPaste122Row" localSheetId="14" hidden="1">#REF!</definedName>
    <definedName name="XRefPaste122Row" localSheetId="17" hidden="1">#REF!</definedName>
    <definedName name="XRefPaste122Row" localSheetId="18" hidden="1">#REF!</definedName>
    <definedName name="XRefPaste122Row" localSheetId="21" hidden="1">#REF!</definedName>
    <definedName name="XRefPaste122Row" localSheetId="24" hidden="1">#REF!</definedName>
    <definedName name="XRefPaste122Row" localSheetId="22" hidden="1">#REF!</definedName>
    <definedName name="XRefPaste122Row" localSheetId="20" hidden="1">#REF!</definedName>
    <definedName name="XRefPaste122Row" hidden="1">#REF!</definedName>
    <definedName name="XRefPaste123Row" localSheetId="19" hidden="1">#REF!</definedName>
    <definedName name="XRefPaste123Row" localSheetId="16" hidden="1">#REF!</definedName>
    <definedName name="XRefPaste123Row" localSheetId="15" hidden="1">#REF!</definedName>
    <definedName name="XRefPaste123Row" localSheetId="14" hidden="1">#REF!</definedName>
    <definedName name="XRefPaste123Row" localSheetId="17" hidden="1">#REF!</definedName>
    <definedName name="XRefPaste123Row" localSheetId="18" hidden="1">#REF!</definedName>
    <definedName name="XRefPaste123Row" localSheetId="21" hidden="1">#REF!</definedName>
    <definedName name="XRefPaste123Row" localSheetId="24" hidden="1">#REF!</definedName>
    <definedName name="XRefPaste123Row" localSheetId="22" hidden="1">#REF!</definedName>
    <definedName name="XRefPaste123Row" localSheetId="20" hidden="1">#REF!</definedName>
    <definedName name="XRefPaste123Row" hidden="1">#REF!</definedName>
    <definedName name="XRefPaste124Row" localSheetId="19" hidden="1">#REF!</definedName>
    <definedName name="XRefPaste124Row" localSheetId="16" hidden="1">#REF!</definedName>
    <definedName name="XRefPaste124Row" localSheetId="15" hidden="1">#REF!</definedName>
    <definedName name="XRefPaste124Row" localSheetId="14" hidden="1">#REF!</definedName>
    <definedName name="XRefPaste124Row" localSheetId="17" hidden="1">#REF!</definedName>
    <definedName name="XRefPaste124Row" localSheetId="18" hidden="1">#REF!</definedName>
    <definedName name="XRefPaste124Row" localSheetId="21" hidden="1">#REF!</definedName>
    <definedName name="XRefPaste124Row" localSheetId="24" hidden="1">#REF!</definedName>
    <definedName name="XRefPaste124Row" localSheetId="22" hidden="1">#REF!</definedName>
    <definedName name="XRefPaste124Row" localSheetId="20" hidden="1">#REF!</definedName>
    <definedName name="XRefPaste124Row" hidden="1">#REF!</definedName>
    <definedName name="XRefPaste126Row" localSheetId="19" hidden="1">#REF!</definedName>
    <definedName name="XRefPaste126Row" localSheetId="16" hidden="1">#REF!</definedName>
    <definedName name="XRefPaste126Row" localSheetId="15" hidden="1">#REF!</definedName>
    <definedName name="XRefPaste126Row" localSheetId="14" hidden="1">#REF!</definedName>
    <definedName name="XRefPaste126Row" localSheetId="17" hidden="1">#REF!</definedName>
    <definedName name="XRefPaste126Row" localSheetId="18" hidden="1">#REF!</definedName>
    <definedName name="XRefPaste126Row" localSheetId="21" hidden="1">#REF!</definedName>
    <definedName name="XRefPaste126Row" localSheetId="24" hidden="1">#REF!</definedName>
    <definedName name="XRefPaste126Row" localSheetId="22" hidden="1">#REF!</definedName>
    <definedName name="XRefPaste126Row" localSheetId="20" hidden="1">#REF!</definedName>
    <definedName name="XRefPaste126Row" hidden="1">#REF!</definedName>
    <definedName name="XRefPaste127Row" localSheetId="19" hidden="1">#REF!</definedName>
    <definedName name="XRefPaste127Row" localSheetId="16" hidden="1">#REF!</definedName>
    <definedName name="XRefPaste127Row" localSheetId="15" hidden="1">#REF!</definedName>
    <definedName name="XRefPaste127Row" localSheetId="14" hidden="1">#REF!</definedName>
    <definedName name="XRefPaste127Row" localSheetId="17" hidden="1">#REF!</definedName>
    <definedName name="XRefPaste127Row" localSheetId="18" hidden="1">#REF!</definedName>
    <definedName name="XRefPaste127Row" localSheetId="21" hidden="1">#REF!</definedName>
    <definedName name="XRefPaste127Row" localSheetId="24" hidden="1">#REF!</definedName>
    <definedName name="XRefPaste127Row" localSheetId="22" hidden="1">#REF!</definedName>
    <definedName name="XRefPaste127Row" localSheetId="20" hidden="1">#REF!</definedName>
    <definedName name="XRefPaste127Row" hidden="1">#REF!</definedName>
    <definedName name="XRefPaste128Row" localSheetId="19" hidden="1">#REF!</definedName>
    <definedName name="XRefPaste128Row" localSheetId="16" hidden="1">#REF!</definedName>
    <definedName name="XRefPaste128Row" localSheetId="15" hidden="1">#REF!</definedName>
    <definedName name="XRefPaste128Row" localSheetId="14" hidden="1">#REF!</definedName>
    <definedName name="XRefPaste128Row" localSheetId="17" hidden="1">#REF!</definedName>
    <definedName name="XRefPaste128Row" localSheetId="18" hidden="1">#REF!</definedName>
    <definedName name="XRefPaste128Row" localSheetId="21" hidden="1">#REF!</definedName>
    <definedName name="XRefPaste128Row" localSheetId="24" hidden="1">#REF!</definedName>
    <definedName name="XRefPaste128Row" localSheetId="22" hidden="1">#REF!</definedName>
    <definedName name="XRefPaste128Row" localSheetId="20" hidden="1">#REF!</definedName>
    <definedName name="XRefPaste128Row" hidden="1">#REF!</definedName>
    <definedName name="XRefPaste129Row" localSheetId="19" hidden="1">#REF!</definedName>
    <definedName name="XRefPaste129Row" localSheetId="16" hidden="1">#REF!</definedName>
    <definedName name="XRefPaste129Row" localSheetId="15" hidden="1">#REF!</definedName>
    <definedName name="XRefPaste129Row" localSheetId="14" hidden="1">#REF!</definedName>
    <definedName name="XRefPaste129Row" localSheetId="17" hidden="1">#REF!</definedName>
    <definedName name="XRefPaste129Row" localSheetId="18" hidden="1">#REF!</definedName>
    <definedName name="XRefPaste129Row" localSheetId="21" hidden="1">#REF!</definedName>
    <definedName name="XRefPaste129Row" localSheetId="24" hidden="1">#REF!</definedName>
    <definedName name="XRefPaste129Row" localSheetId="22" hidden="1">#REF!</definedName>
    <definedName name="XRefPaste129Row" localSheetId="20" hidden="1">#REF!</definedName>
    <definedName name="XRefPaste129Row" hidden="1">#REF!</definedName>
    <definedName name="XRefPaste12Row" localSheetId="19" hidden="1">#REF!</definedName>
    <definedName name="XRefPaste12Row" localSheetId="16" hidden="1">#REF!</definedName>
    <definedName name="XRefPaste12Row" localSheetId="15" hidden="1">#REF!</definedName>
    <definedName name="XRefPaste12Row" localSheetId="14" hidden="1">#REF!</definedName>
    <definedName name="XRefPaste12Row" localSheetId="17" hidden="1">#REF!</definedName>
    <definedName name="XRefPaste12Row" localSheetId="18" hidden="1">#REF!</definedName>
    <definedName name="XRefPaste12Row" localSheetId="21" hidden="1">#REF!</definedName>
    <definedName name="XRefPaste12Row" localSheetId="24" hidden="1">#REF!</definedName>
    <definedName name="XRefPaste12Row" localSheetId="22" hidden="1">#REF!</definedName>
    <definedName name="XRefPaste12Row" localSheetId="20" hidden="1">#REF!</definedName>
    <definedName name="XRefPaste12Row" hidden="1">#REF!</definedName>
    <definedName name="XRefPaste13" localSheetId="19" hidden="1">#REF!</definedName>
    <definedName name="XRefPaste13" localSheetId="16" hidden="1">#REF!</definedName>
    <definedName name="XRefPaste13" localSheetId="15" hidden="1">#REF!</definedName>
    <definedName name="XRefPaste13" localSheetId="14" hidden="1">#REF!</definedName>
    <definedName name="XRefPaste13" localSheetId="17" hidden="1">#REF!</definedName>
    <definedName name="XRefPaste13" localSheetId="18" hidden="1">#REF!</definedName>
    <definedName name="XRefPaste13" localSheetId="21" hidden="1">#REF!</definedName>
    <definedName name="XRefPaste13" localSheetId="24" hidden="1">#REF!</definedName>
    <definedName name="XRefPaste13" localSheetId="22" hidden="1">#REF!</definedName>
    <definedName name="XRefPaste13" localSheetId="20" hidden="1">#REF!</definedName>
    <definedName name="XRefPaste13" hidden="1">#REF!</definedName>
    <definedName name="XRefPaste130Row" localSheetId="19" hidden="1">#REF!</definedName>
    <definedName name="XRefPaste130Row" localSheetId="16" hidden="1">#REF!</definedName>
    <definedName name="XRefPaste130Row" localSheetId="15" hidden="1">#REF!</definedName>
    <definedName name="XRefPaste130Row" localSheetId="14" hidden="1">#REF!</definedName>
    <definedName name="XRefPaste130Row" localSheetId="17" hidden="1">#REF!</definedName>
    <definedName name="XRefPaste130Row" localSheetId="18" hidden="1">#REF!</definedName>
    <definedName name="XRefPaste130Row" localSheetId="21" hidden="1">#REF!</definedName>
    <definedName name="XRefPaste130Row" localSheetId="24" hidden="1">#REF!</definedName>
    <definedName name="XRefPaste130Row" localSheetId="22" hidden="1">#REF!</definedName>
    <definedName name="XRefPaste130Row" localSheetId="20" hidden="1">#REF!</definedName>
    <definedName name="XRefPaste130Row" hidden="1">#REF!</definedName>
    <definedName name="XRefPaste131Row" localSheetId="19" hidden="1">#REF!</definedName>
    <definedName name="XRefPaste131Row" localSheetId="16" hidden="1">#REF!</definedName>
    <definedName name="XRefPaste131Row" localSheetId="15" hidden="1">#REF!</definedName>
    <definedName name="XRefPaste131Row" localSheetId="14" hidden="1">#REF!</definedName>
    <definedName name="XRefPaste131Row" localSheetId="17" hidden="1">#REF!</definedName>
    <definedName name="XRefPaste131Row" localSheetId="18" hidden="1">#REF!</definedName>
    <definedName name="XRefPaste131Row" localSheetId="21" hidden="1">#REF!</definedName>
    <definedName name="XRefPaste131Row" localSheetId="24" hidden="1">#REF!</definedName>
    <definedName name="XRefPaste131Row" localSheetId="22" hidden="1">#REF!</definedName>
    <definedName name="XRefPaste131Row" localSheetId="20" hidden="1">#REF!</definedName>
    <definedName name="XRefPaste131Row" hidden="1">#REF!</definedName>
    <definedName name="XRefPaste132Row" localSheetId="19" hidden="1">#REF!</definedName>
    <definedName name="XRefPaste132Row" localSheetId="16" hidden="1">#REF!</definedName>
    <definedName name="XRefPaste132Row" localSheetId="15" hidden="1">#REF!</definedName>
    <definedName name="XRefPaste132Row" localSheetId="14" hidden="1">#REF!</definedName>
    <definedName name="XRefPaste132Row" localSheetId="17" hidden="1">#REF!</definedName>
    <definedName name="XRefPaste132Row" localSheetId="18" hidden="1">#REF!</definedName>
    <definedName name="XRefPaste132Row" localSheetId="21" hidden="1">#REF!</definedName>
    <definedName name="XRefPaste132Row" localSheetId="24" hidden="1">#REF!</definedName>
    <definedName name="XRefPaste132Row" localSheetId="22" hidden="1">#REF!</definedName>
    <definedName name="XRefPaste132Row" localSheetId="20" hidden="1">#REF!</definedName>
    <definedName name="XRefPaste132Row" hidden="1">#REF!</definedName>
    <definedName name="XRefPaste133Row" localSheetId="19" hidden="1">#REF!</definedName>
    <definedName name="XRefPaste133Row" localSheetId="16" hidden="1">#REF!</definedName>
    <definedName name="XRefPaste133Row" localSheetId="15" hidden="1">#REF!</definedName>
    <definedName name="XRefPaste133Row" localSheetId="14" hidden="1">#REF!</definedName>
    <definedName name="XRefPaste133Row" localSheetId="17" hidden="1">#REF!</definedName>
    <definedName name="XRefPaste133Row" localSheetId="18" hidden="1">#REF!</definedName>
    <definedName name="XRefPaste133Row" localSheetId="21" hidden="1">#REF!</definedName>
    <definedName name="XRefPaste133Row" localSheetId="24" hidden="1">#REF!</definedName>
    <definedName name="XRefPaste133Row" localSheetId="22" hidden="1">#REF!</definedName>
    <definedName name="XRefPaste133Row" localSheetId="20" hidden="1">#REF!</definedName>
    <definedName name="XRefPaste133Row" hidden="1">#REF!</definedName>
    <definedName name="XRefPaste134Row" localSheetId="19" hidden="1">#REF!</definedName>
    <definedName name="XRefPaste134Row" localSheetId="16" hidden="1">#REF!</definedName>
    <definedName name="XRefPaste134Row" localSheetId="15" hidden="1">#REF!</definedName>
    <definedName name="XRefPaste134Row" localSheetId="14" hidden="1">#REF!</definedName>
    <definedName name="XRefPaste134Row" localSheetId="17" hidden="1">#REF!</definedName>
    <definedName name="XRefPaste134Row" localSheetId="18" hidden="1">#REF!</definedName>
    <definedName name="XRefPaste134Row" localSheetId="21" hidden="1">#REF!</definedName>
    <definedName name="XRefPaste134Row" localSheetId="24" hidden="1">#REF!</definedName>
    <definedName name="XRefPaste134Row" localSheetId="22" hidden="1">#REF!</definedName>
    <definedName name="XRefPaste134Row" localSheetId="20" hidden="1">#REF!</definedName>
    <definedName name="XRefPaste134Row" hidden="1">#REF!</definedName>
    <definedName name="XRefPaste135Row" localSheetId="19" hidden="1">#REF!</definedName>
    <definedName name="XRefPaste135Row" localSheetId="16" hidden="1">#REF!</definedName>
    <definedName name="XRefPaste135Row" localSheetId="15" hidden="1">#REF!</definedName>
    <definedName name="XRefPaste135Row" localSheetId="14" hidden="1">#REF!</definedName>
    <definedName name="XRefPaste135Row" localSheetId="17" hidden="1">#REF!</definedName>
    <definedName name="XRefPaste135Row" localSheetId="18" hidden="1">#REF!</definedName>
    <definedName name="XRefPaste135Row" localSheetId="21" hidden="1">#REF!</definedName>
    <definedName name="XRefPaste135Row" localSheetId="24" hidden="1">#REF!</definedName>
    <definedName name="XRefPaste135Row" localSheetId="22" hidden="1">#REF!</definedName>
    <definedName name="XRefPaste135Row" localSheetId="20" hidden="1">#REF!</definedName>
    <definedName name="XRefPaste135Row" hidden="1">#REF!</definedName>
    <definedName name="XRefPaste136Row" localSheetId="19" hidden="1">#REF!</definedName>
    <definedName name="XRefPaste136Row" localSheetId="16" hidden="1">#REF!</definedName>
    <definedName name="XRefPaste136Row" localSheetId="15" hidden="1">#REF!</definedName>
    <definedName name="XRefPaste136Row" localSheetId="14" hidden="1">#REF!</definedName>
    <definedName name="XRefPaste136Row" localSheetId="17" hidden="1">#REF!</definedName>
    <definedName name="XRefPaste136Row" localSheetId="18" hidden="1">#REF!</definedName>
    <definedName name="XRefPaste136Row" localSheetId="21" hidden="1">#REF!</definedName>
    <definedName name="XRefPaste136Row" localSheetId="24" hidden="1">#REF!</definedName>
    <definedName name="XRefPaste136Row" localSheetId="22" hidden="1">#REF!</definedName>
    <definedName name="XRefPaste136Row" localSheetId="20" hidden="1">#REF!</definedName>
    <definedName name="XRefPaste136Row" hidden="1">#REF!</definedName>
    <definedName name="XRefPaste137Row" localSheetId="19" hidden="1">#REF!</definedName>
    <definedName name="XRefPaste137Row" localSheetId="16" hidden="1">#REF!</definedName>
    <definedName name="XRefPaste137Row" localSheetId="15" hidden="1">#REF!</definedName>
    <definedName name="XRefPaste137Row" localSheetId="14" hidden="1">#REF!</definedName>
    <definedName name="XRefPaste137Row" localSheetId="17" hidden="1">#REF!</definedName>
    <definedName name="XRefPaste137Row" localSheetId="18" hidden="1">#REF!</definedName>
    <definedName name="XRefPaste137Row" localSheetId="21" hidden="1">#REF!</definedName>
    <definedName name="XRefPaste137Row" localSheetId="24" hidden="1">#REF!</definedName>
    <definedName name="XRefPaste137Row" localSheetId="22" hidden="1">#REF!</definedName>
    <definedName name="XRefPaste137Row" localSheetId="20" hidden="1">#REF!</definedName>
    <definedName name="XRefPaste137Row" hidden="1">#REF!</definedName>
    <definedName name="XRefPaste138Row" localSheetId="19" hidden="1">#REF!</definedName>
    <definedName name="XRefPaste138Row" localSheetId="16" hidden="1">#REF!</definedName>
    <definedName name="XRefPaste138Row" localSheetId="15" hidden="1">#REF!</definedName>
    <definedName name="XRefPaste138Row" localSheetId="14" hidden="1">#REF!</definedName>
    <definedName name="XRefPaste138Row" localSheetId="17" hidden="1">#REF!</definedName>
    <definedName name="XRefPaste138Row" localSheetId="18" hidden="1">#REF!</definedName>
    <definedName name="XRefPaste138Row" localSheetId="21" hidden="1">#REF!</definedName>
    <definedName name="XRefPaste138Row" localSheetId="24" hidden="1">#REF!</definedName>
    <definedName name="XRefPaste138Row" localSheetId="22" hidden="1">#REF!</definedName>
    <definedName name="XRefPaste138Row" localSheetId="20" hidden="1">#REF!</definedName>
    <definedName name="XRefPaste138Row" hidden="1">#REF!</definedName>
    <definedName name="XRefPaste139" localSheetId="19" hidden="1">#REF!</definedName>
    <definedName name="XRefPaste139" localSheetId="16" hidden="1">#REF!</definedName>
    <definedName name="XRefPaste139" localSheetId="15" hidden="1">#REF!</definedName>
    <definedName name="XRefPaste139" localSheetId="14" hidden="1">#REF!</definedName>
    <definedName name="XRefPaste139" localSheetId="17" hidden="1">#REF!</definedName>
    <definedName name="XRefPaste139" localSheetId="18" hidden="1">#REF!</definedName>
    <definedName name="XRefPaste139" localSheetId="21" hidden="1">#REF!</definedName>
    <definedName name="XRefPaste139" localSheetId="24" hidden="1">#REF!</definedName>
    <definedName name="XRefPaste139" localSheetId="22" hidden="1">#REF!</definedName>
    <definedName name="XRefPaste139" localSheetId="20" hidden="1">#REF!</definedName>
    <definedName name="XRefPaste139" hidden="1">#REF!</definedName>
    <definedName name="XRefPaste139Row" localSheetId="19" hidden="1">#REF!</definedName>
    <definedName name="XRefPaste139Row" localSheetId="16" hidden="1">#REF!</definedName>
    <definedName name="XRefPaste139Row" localSheetId="15" hidden="1">#REF!</definedName>
    <definedName name="XRefPaste139Row" localSheetId="14" hidden="1">#REF!</definedName>
    <definedName name="XRefPaste139Row" localSheetId="17" hidden="1">#REF!</definedName>
    <definedName name="XRefPaste139Row" localSheetId="18" hidden="1">#REF!</definedName>
    <definedName name="XRefPaste139Row" localSheetId="21" hidden="1">#REF!</definedName>
    <definedName name="XRefPaste139Row" localSheetId="24" hidden="1">#REF!</definedName>
    <definedName name="XRefPaste139Row" localSheetId="22" hidden="1">#REF!</definedName>
    <definedName name="XRefPaste139Row" localSheetId="20" hidden="1">#REF!</definedName>
    <definedName name="XRefPaste139Row" hidden="1">#REF!</definedName>
    <definedName name="XRefPaste13Row" localSheetId="19" hidden="1">#REF!</definedName>
    <definedName name="XRefPaste13Row" localSheetId="16" hidden="1">#REF!</definedName>
    <definedName name="XRefPaste13Row" localSheetId="15" hidden="1">#REF!</definedName>
    <definedName name="XRefPaste13Row" localSheetId="14" hidden="1">#REF!</definedName>
    <definedName name="XRefPaste13Row" localSheetId="17" hidden="1">#REF!</definedName>
    <definedName name="XRefPaste13Row" localSheetId="18" hidden="1">#REF!</definedName>
    <definedName name="XRefPaste13Row" localSheetId="21" hidden="1">#REF!</definedName>
    <definedName name="XRefPaste13Row" localSheetId="24" hidden="1">#REF!</definedName>
    <definedName name="XRefPaste13Row" localSheetId="22" hidden="1">#REF!</definedName>
    <definedName name="XRefPaste13Row" localSheetId="20" hidden="1">#REF!</definedName>
    <definedName name="XRefPaste13Row" hidden="1">#REF!</definedName>
    <definedName name="XRefPaste14" localSheetId="19" hidden="1">#REF!</definedName>
    <definedName name="XRefPaste14" localSheetId="16" hidden="1">#REF!</definedName>
    <definedName name="XRefPaste14" localSheetId="15" hidden="1">#REF!</definedName>
    <definedName name="XRefPaste14" localSheetId="14" hidden="1">#REF!</definedName>
    <definedName name="XRefPaste14" localSheetId="17" hidden="1">#REF!</definedName>
    <definedName name="XRefPaste14" localSheetId="18" hidden="1">#REF!</definedName>
    <definedName name="XRefPaste14" localSheetId="21" hidden="1">#REF!</definedName>
    <definedName name="XRefPaste14" localSheetId="24" hidden="1">#REF!</definedName>
    <definedName name="XRefPaste14" localSheetId="22" hidden="1">#REF!</definedName>
    <definedName name="XRefPaste14" localSheetId="20" hidden="1">#REF!</definedName>
    <definedName name="XRefPaste14" hidden="1">#REF!</definedName>
    <definedName name="XRefPaste14Row" localSheetId="19" hidden="1">#REF!</definedName>
    <definedName name="XRefPaste14Row" localSheetId="16" hidden="1">#REF!</definedName>
    <definedName name="XRefPaste14Row" localSheetId="15" hidden="1">#REF!</definedName>
    <definedName name="XRefPaste14Row" localSheetId="14" hidden="1">#REF!</definedName>
    <definedName name="XRefPaste14Row" localSheetId="17" hidden="1">#REF!</definedName>
    <definedName name="XRefPaste14Row" localSheetId="18" hidden="1">#REF!</definedName>
    <definedName name="XRefPaste14Row" localSheetId="21" hidden="1">#REF!</definedName>
    <definedName name="XRefPaste14Row" localSheetId="24" hidden="1">#REF!</definedName>
    <definedName name="XRefPaste14Row" localSheetId="22" hidden="1">#REF!</definedName>
    <definedName name="XRefPaste14Row" localSheetId="20" hidden="1">#REF!</definedName>
    <definedName name="XRefPaste14Row" hidden="1">#REF!</definedName>
    <definedName name="XRefPaste15" localSheetId="19" hidden="1">#REF!</definedName>
    <definedName name="XRefPaste15" localSheetId="16" hidden="1">#REF!</definedName>
    <definedName name="XRefPaste15" localSheetId="15" hidden="1">#REF!</definedName>
    <definedName name="XRefPaste15" localSheetId="14" hidden="1">#REF!</definedName>
    <definedName name="XRefPaste15" localSheetId="17" hidden="1">#REF!</definedName>
    <definedName name="XRefPaste15" localSheetId="18" hidden="1">#REF!</definedName>
    <definedName name="XRefPaste15" localSheetId="21" hidden="1">#REF!</definedName>
    <definedName name="XRefPaste15" localSheetId="24" hidden="1">#REF!</definedName>
    <definedName name="XRefPaste15" localSheetId="22" hidden="1">#REF!</definedName>
    <definedName name="XRefPaste15" localSheetId="20" hidden="1">#REF!</definedName>
    <definedName name="XRefPaste15" hidden="1">#REF!</definedName>
    <definedName name="XRefPaste15Row" localSheetId="19" hidden="1">#REF!</definedName>
    <definedName name="XRefPaste15Row" localSheetId="16" hidden="1">#REF!</definedName>
    <definedName name="XRefPaste15Row" localSheetId="15" hidden="1">#REF!</definedName>
    <definedName name="XRefPaste15Row" localSheetId="14" hidden="1">#REF!</definedName>
    <definedName name="XRefPaste15Row" localSheetId="17" hidden="1">#REF!</definedName>
    <definedName name="XRefPaste15Row" localSheetId="18" hidden="1">#REF!</definedName>
    <definedName name="XRefPaste15Row" localSheetId="21" hidden="1">#REF!</definedName>
    <definedName name="XRefPaste15Row" localSheetId="24" hidden="1">#REF!</definedName>
    <definedName name="XRefPaste15Row" localSheetId="22" hidden="1">#REF!</definedName>
    <definedName name="XRefPaste15Row" localSheetId="20" hidden="1">#REF!</definedName>
    <definedName name="XRefPaste15Row" hidden="1">#REF!</definedName>
    <definedName name="XRefPaste16" localSheetId="19" hidden="1">#REF!</definedName>
    <definedName name="XRefPaste16" localSheetId="16" hidden="1">#REF!</definedName>
    <definedName name="XRefPaste16" localSheetId="15" hidden="1">#REF!</definedName>
    <definedName name="XRefPaste16" localSheetId="14" hidden="1">#REF!</definedName>
    <definedName name="XRefPaste16" localSheetId="17" hidden="1">#REF!</definedName>
    <definedName name="XRefPaste16" localSheetId="18" hidden="1">#REF!</definedName>
    <definedName name="XRefPaste16" localSheetId="21" hidden="1">#REF!</definedName>
    <definedName name="XRefPaste16" localSheetId="24" hidden="1">#REF!</definedName>
    <definedName name="XRefPaste16" localSheetId="22" hidden="1">#REF!</definedName>
    <definedName name="XRefPaste16" localSheetId="20" hidden="1">#REF!</definedName>
    <definedName name="XRefPaste16" hidden="1">#REF!</definedName>
    <definedName name="XRefPaste16Row" localSheetId="19" hidden="1">#REF!</definedName>
    <definedName name="XRefPaste16Row" localSheetId="16" hidden="1">#REF!</definedName>
    <definedName name="XRefPaste16Row" localSheetId="15" hidden="1">#REF!</definedName>
    <definedName name="XRefPaste16Row" localSheetId="14" hidden="1">#REF!</definedName>
    <definedName name="XRefPaste16Row" localSheetId="17" hidden="1">#REF!</definedName>
    <definedName name="XRefPaste16Row" localSheetId="18" hidden="1">#REF!</definedName>
    <definedName name="XRefPaste16Row" localSheetId="21" hidden="1">#REF!</definedName>
    <definedName name="XRefPaste16Row" localSheetId="24" hidden="1">#REF!</definedName>
    <definedName name="XRefPaste16Row" localSheetId="22" hidden="1">#REF!</definedName>
    <definedName name="XRefPaste16Row" localSheetId="20" hidden="1">#REF!</definedName>
    <definedName name="XRefPaste16Row" hidden="1">#REF!</definedName>
    <definedName name="XRefPaste17" localSheetId="19" hidden="1">#REF!</definedName>
    <definedName name="XRefPaste17" localSheetId="16" hidden="1">#REF!</definedName>
    <definedName name="XRefPaste17" localSheetId="15" hidden="1">#REF!</definedName>
    <definedName name="XRefPaste17" localSheetId="14" hidden="1">#REF!</definedName>
    <definedName name="XRefPaste17" localSheetId="17" hidden="1">#REF!</definedName>
    <definedName name="XRefPaste17" localSheetId="18" hidden="1">#REF!</definedName>
    <definedName name="XRefPaste17" localSheetId="21" hidden="1">#REF!</definedName>
    <definedName name="XRefPaste17" localSheetId="24" hidden="1">#REF!</definedName>
    <definedName name="XRefPaste17" localSheetId="22" hidden="1">#REF!</definedName>
    <definedName name="XRefPaste17" localSheetId="20" hidden="1">#REF!</definedName>
    <definedName name="XRefPaste17" hidden="1">#REF!</definedName>
    <definedName name="XRefPaste17Row" localSheetId="19" hidden="1">#REF!</definedName>
    <definedName name="XRefPaste17Row" localSheetId="16" hidden="1">#REF!</definedName>
    <definedName name="XRefPaste17Row" localSheetId="15" hidden="1">#REF!</definedName>
    <definedName name="XRefPaste17Row" localSheetId="14" hidden="1">#REF!</definedName>
    <definedName name="XRefPaste17Row" localSheetId="17" hidden="1">#REF!</definedName>
    <definedName name="XRefPaste17Row" localSheetId="18" hidden="1">#REF!</definedName>
    <definedName name="XRefPaste17Row" localSheetId="21" hidden="1">#REF!</definedName>
    <definedName name="XRefPaste17Row" localSheetId="24" hidden="1">#REF!</definedName>
    <definedName name="XRefPaste17Row" localSheetId="22" hidden="1">#REF!</definedName>
    <definedName name="XRefPaste17Row" localSheetId="20" hidden="1">#REF!</definedName>
    <definedName name="XRefPaste17Row" hidden="1">#REF!</definedName>
    <definedName name="XRefPaste18" localSheetId="19" hidden="1">#REF!</definedName>
    <definedName name="XRefPaste18" localSheetId="16" hidden="1">#REF!</definedName>
    <definedName name="XRefPaste18" localSheetId="15" hidden="1">#REF!</definedName>
    <definedName name="XRefPaste18" localSheetId="14" hidden="1">#REF!</definedName>
    <definedName name="XRefPaste18" localSheetId="17" hidden="1">#REF!</definedName>
    <definedName name="XRefPaste18" localSheetId="18" hidden="1">#REF!</definedName>
    <definedName name="XRefPaste18" localSheetId="21" hidden="1">#REF!</definedName>
    <definedName name="XRefPaste18" localSheetId="24" hidden="1">#REF!</definedName>
    <definedName name="XRefPaste18" localSheetId="22" hidden="1">#REF!</definedName>
    <definedName name="XRefPaste18" localSheetId="20" hidden="1">#REF!</definedName>
    <definedName name="XRefPaste18" hidden="1">#REF!</definedName>
    <definedName name="XRefPaste18Row" localSheetId="19" hidden="1">#REF!</definedName>
    <definedName name="XRefPaste18Row" localSheetId="16" hidden="1">#REF!</definedName>
    <definedName name="XRefPaste18Row" localSheetId="15" hidden="1">#REF!</definedName>
    <definedName name="XRefPaste18Row" localSheetId="14" hidden="1">#REF!</definedName>
    <definedName name="XRefPaste18Row" localSheetId="17" hidden="1">#REF!</definedName>
    <definedName name="XRefPaste18Row" localSheetId="18" hidden="1">#REF!</definedName>
    <definedName name="XRefPaste18Row" localSheetId="21" hidden="1">#REF!</definedName>
    <definedName name="XRefPaste18Row" localSheetId="24" hidden="1">#REF!</definedName>
    <definedName name="XRefPaste18Row" localSheetId="22" hidden="1">#REF!</definedName>
    <definedName name="XRefPaste18Row" localSheetId="20" hidden="1">#REF!</definedName>
    <definedName name="XRefPaste18Row" hidden="1">#REF!</definedName>
    <definedName name="XRefPaste19" localSheetId="19" hidden="1">#REF!</definedName>
    <definedName name="XRefPaste19" localSheetId="16" hidden="1">#REF!</definedName>
    <definedName name="XRefPaste19" localSheetId="15" hidden="1">#REF!</definedName>
    <definedName name="XRefPaste19" localSheetId="14" hidden="1">#REF!</definedName>
    <definedName name="XRefPaste19" localSheetId="17" hidden="1">#REF!</definedName>
    <definedName name="XRefPaste19" localSheetId="18" hidden="1">#REF!</definedName>
    <definedName name="XRefPaste19" localSheetId="21" hidden="1">#REF!</definedName>
    <definedName name="XRefPaste19" localSheetId="24" hidden="1">#REF!</definedName>
    <definedName name="XRefPaste19" localSheetId="22" hidden="1">#REF!</definedName>
    <definedName name="XRefPaste19" localSheetId="20" hidden="1">#REF!</definedName>
    <definedName name="XRefPaste19" hidden="1">#REF!</definedName>
    <definedName name="XRefPaste19Row" localSheetId="19" hidden="1">#REF!</definedName>
    <definedName name="XRefPaste19Row" localSheetId="16" hidden="1">#REF!</definedName>
    <definedName name="XRefPaste19Row" localSheetId="15" hidden="1">#REF!</definedName>
    <definedName name="XRefPaste19Row" localSheetId="14" hidden="1">#REF!</definedName>
    <definedName name="XRefPaste19Row" localSheetId="17" hidden="1">#REF!</definedName>
    <definedName name="XRefPaste19Row" localSheetId="18" hidden="1">#REF!</definedName>
    <definedName name="XRefPaste19Row" localSheetId="21" hidden="1">#REF!</definedName>
    <definedName name="XRefPaste19Row" localSheetId="24" hidden="1">#REF!</definedName>
    <definedName name="XRefPaste19Row" localSheetId="22" hidden="1">#REF!</definedName>
    <definedName name="XRefPaste19Row" localSheetId="20" hidden="1">#REF!</definedName>
    <definedName name="XRefPaste19Row" hidden="1">#REF!</definedName>
    <definedName name="XRefPaste1Row" localSheetId="19" hidden="1">#REF!</definedName>
    <definedName name="XRefPaste1Row" localSheetId="16" hidden="1">#REF!</definedName>
    <definedName name="XRefPaste1Row" localSheetId="15" hidden="1">#REF!</definedName>
    <definedName name="XRefPaste1Row" localSheetId="14" hidden="1">#REF!</definedName>
    <definedName name="XRefPaste1Row" localSheetId="17" hidden="1">#REF!</definedName>
    <definedName name="XRefPaste1Row" localSheetId="18" hidden="1">#REF!</definedName>
    <definedName name="XRefPaste1Row" localSheetId="21" hidden="1">#REF!</definedName>
    <definedName name="XRefPaste1Row" localSheetId="24" hidden="1">#REF!</definedName>
    <definedName name="XRefPaste1Row" localSheetId="22" hidden="1">#REF!</definedName>
    <definedName name="XRefPaste1Row" localSheetId="20" hidden="1">#REF!</definedName>
    <definedName name="XRefPaste1Row" hidden="1">#REF!</definedName>
    <definedName name="XRefPaste2" localSheetId="19" hidden="1">#REF!</definedName>
    <definedName name="XRefPaste2" localSheetId="16" hidden="1">#REF!</definedName>
    <definedName name="XRefPaste2" localSheetId="15" hidden="1">#REF!</definedName>
    <definedName name="XRefPaste2" localSheetId="14" hidden="1">#REF!</definedName>
    <definedName name="XRefPaste2" localSheetId="17" hidden="1">#REF!</definedName>
    <definedName name="XRefPaste2" localSheetId="18" hidden="1">#REF!</definedName>
    <definedName name="XRefPaste2" localSheetId="21" hidden="1">#REF!</definedName>
    <definedName name="XRefPaste2" localSheetId="24" hidden="1">#REF!</definedName>
    <definedName name="XRefPaste2" localSheetId="22" hidden="1">#REF!</definedName>
    <definedName name="XRefPaste2" localSheetId="20" hidden="1">#REF!</definedName>
    <definedName name="XRefPaste2" hidden="1">#REF!</definedName>
    <definedName name="XRefPaste20" localSheetId="19" hidden="1">#REF!</definedName>
    <definedName name="XRefPaste20" localSheetId="16" hidden="1">#REF!</definedName>
    <definedName name="XRefPaste20" localSheetId="15" hidden="1">#REF!</definedName>
    <definedName name="XRefPaste20" localSheetId="14" hidden="1">#REF!</definedName>
    <definedName name="XRefPaste20" localSheetId="17" hidden="1">#REF!</definedName>
    <definedName name="XRefPaste20" localSheetId="18" hidden="1">#REF!</definedName>
    <definedName name="XRefPaste20" localSheetId="21" hidden="1">#REF!</definedName>
    <definedName name="XRefPaste20" localSheetId="24" hidden="1">#REF!</definedName>
    <definedName name="XRefPaste20" localSheetId="22" hidden="1">#REF!</definedName>
    <definedName name="XRefPaste20" localSheetId="20" hidden="1">#REF!</definedName>
    <definedName name="XRefPaste20" hidden="1">#REF!</definedName>
    <definedName name="XRefPaste20Row" localSheetId="19" hidden="1">#REF!</definedName>
    <definedName name="XRefPaste20Row" localSheetId="16" hidden="1">#REF!</definedName>
    <definedName name="XRefPaste20Row" localSheetId="15" hidden="1">#REF!</definedName>
    <definedName name="XRefPaste20Row" localSheetId="14" hidden="1">#REF!</definedName>
    <definedName name="XRefPaste20Row" localSheetId="17" hidden="1">#REF!</definedName>
    <definedName name="XRefPaste20Row" localSheetId="18" hidden="1">#REF!</definedName>
    <definedName name="XRefPaste20Row" localSheetId="21" hidden="1">#REF!</definedName>
    <definedName name="XRefPaste20Row" localSheetId="24" hidden="1">#REF!</definedName>
    <definedName name="XRefPaste20Row" localSheetId="22" hidden="1">#REF!</definedName>
    <definedName name="XRefPaste20Row" localSheetId="20" hidden="1">#REF!</definedName>
    <definedName name="XRefPaste20Row" hidden="1">#REF!</definedName>
    <definedName name="XRefPaste21" localSheetId="19" hidden="1">#REF!</definedName>
    <definedName name="XRefPaste21" localSheetId="16" hidden="1">#REF!</definedName>
    <definedName name="XRefPaste21" localSheetId="15" hidden="1">#REF!</definedName>
    <definedName name="XRefPaste21" localSheetId="14" hidden="1">#REF!</definedName>
    <definedName name="XRefPaste21" localSheetId="17" hidden="1">#REF!</definedName>
    <definedName name="XRefPaste21" localSheetId="18" hidden="1">#REF!</definedName>
    <definedName name="XRefPaste21" localSheetId="21" hidden="1">#REF!</definedName>
    <definedName name="XRefPaste21" localSheetId="24" hidden="1">#REF!</definedName>
    <definedName name="XRefPaste21" localSheetId="22" hidden="1">#REF!</definedName>
    <definedName name="XRefPaste21" localSheetId="20" hidden="1">#REF!</definedName>
    <definedName name="XRefPaste21" hidden="1">#REF!</definedName>
    <definedName name="XRefPaste21Row" localSheetId="19" hidden="1">#REF!</definedName>
    <definedName name="XRefPaste21Row" localSheetId="16" hidden="1">#REF!</definedName>
    <definedName name="XRefPaste21Row" localSheetId="15" hidden="1">#REF!</definedName>
    <definedName name="XRefPaste21Row" localSheetId="14" hidden="1">#REF!</definedName>
    <definedName name="XRefPaste21Row" localSheetId="17" hidden="1">#REF!</definedName>
    <definedName name="XRefPaste21Row" localSheetId="18" hidden="1">#REF!</definedName>
    <definedName name="XRefPaste21Row" localSheetId="21" hidden="1">#REF!</definedName>
    <definedName name="XRefPaste21Row" localSheetId="24" hidden="1">#REF!</definedName>
    <definedName name="XRefPaste21Row" localSheetId="22" hidden="1">#REF!</definedName>
    <definedName name="XRefPaste21Row" localSheetId="20" hidden="1">#REF!</definedName>
    <definedName name="XRefPaste21Row" hidden="1">#REF!</definedName>
    <definedName name="XRefPaste22" localSheetId="19" hidden="1">#REF!</definedName>
    <definedName name="XRefPaste22" localSheetId="16" hidden="1">#REF!</definedName>
    <definedName name="XRefPaste22" localSheetId="15" hidden="1">#REF!</definedName>
    <definedName name="XRefPaste22" localSheetId="14" hidden="1">#REF!</definedName>
    <definedName name="XRefPaste22" localSheetId="17" hidden="1">#REF!</definedName>
    <definedName name="XRefPaste22" localSheetId="18" hidden="1">#REF!</definedName>
    <definedName name="XRefPaste22" localSheetId="21" hidden="1">#REF!</definedName>
    <definedName name="XRefPaste22" localSheetId="24" hidden="1">#REF!</definedName>
    <definedName name="XRefPaste22" localSheetId="22" hidden="1">#REF!</definedName>
    <definedName name="XRefPaste22" localSheetId="20" hidden="1">#REF!</definedName>
    <definedName name="XRefPaste22" hidden="1">#REF!</definedName>
    <definedName name="XRefPaste22Row" localSheetId="19" hidden="1">#REF!</definedName>
    <definedName name="XRefPaste22Row" localSheetId="16" hidden="1">#REF!</definedName>
    <definedName name="XRefPaste22Row" localSheetId="15" hidden="1">#REF!</definedName>
    <definedName name="XRefPaste22Row" localSheetId="14" hidden="1">#REF!</definedName>
    <definedName name="XRefPaste22Row" localSheetId="17" hidden="1">#REF!</definedName>
    <definedName name="XRefPaste22Row" localSheetId="18" hidden="1">#REF!</definedName>
    <definedName name="XRefPaste22Row" localSheetId="21" hidden="1">#REF!</definedName>
    <definedName name="XRefPaste22Row" localSheetId="24" hidden="1">#REF!</definedName>
    <definedName name="XRefPaste22Row" localSheetId="22" hidden="1">#REF!</definedName>
    <definedName name="XRefPaste22Row" localSheetId="20" hidden="1">#REF!</definedName>
    <definedName name="XRefPaste22Row" hidden="1">#REF!</definedName>
    <definedName name="XRefPaste23" localSheetId="19" hidden="1">#REF!</definedName>
    <definedName name="XRefPaste23" localSheetId="16" hidden="1">#REF!</definedName>
    <definedName name="XRefPaste23" localSheetId="15" hidden="1">#REF!</definedName>
    <definedName name="XRefPaste23" localSheetId="14" hidden="1">#REF!</definedName>
    <definedName name="XRefPaste23" localSheetId="17" hidden="1">#REF!</definedName>
    <definedName name="XRefPaste23" localSheetId="18" hidden="1">#REF!</definedName>
    <definedName name="XRefPaste23" localSheetId="21" hidden="1">#REF!</definedName>
    <definedName name="XRefPaste23" localSheetId="24" hidden="1">#REF!</definedName>
    <definedName name="XRefPaste23" localSheetId="22" hidden="1">#REF!</definedName>
    <definedName name="XRefPaste23" localSheetId="20" hidden="1">#REF!</definedName>
    <definedName name="XRefPaste23" hidden="1">#REF!</definedName>
    <definedName name="XRefPaste23Row" localSheetId="19" hidden="1">#REF!</definedName>
    <definedName name="XRefPaste23Row" localSheetId="16" hidden="1">#REF!</definedName>
    <definedName name="XRefPaste23Row" localSheetId="15" hidden="1">#REF!</definedName>
    <definedName name="XRefPaste23Row" localSheetId="14" hidden="1">#REF!</definedName>
    <definedName name="XRefPaste23Row" localSheetId="17" hidden="1">#REF!</definedName>
    <definedName name="XRefPaste23Row" localSheetId="18" hidden="1">#REF!</definedName>
    <definedName name="XRefPaste23Row" localSheetId="21" hidden="1">#REF!</definedName>
    <definedName name="XRefPaste23Row" localSheetId="24" hidden="1">#REF!</definedName>
    <definedName name="XRefPaste23Row" localSheetId="22" hidden="1">#REF!</definedName>
    <definedName name="XRefPaste23Row" localSheetId="20" hidden="1">#REF!</definedName>
    <definedName name="XRefPaste23Row" hidden="1">#REF!</definedName>
    <definedName name="XRefPaste24" hidden="1">#REF!</definedName>
    <definedName name="XRefPaste24Row" localSheetId="19" hidden="1">#REF!</definedName>
    <definedName name="XRefPaste24Row" localSheetId="16" hidden="1">#REF!</definedName>
    <definedName name="XRefPaste24Row" localSheetId="15" hidden="1">#REF!</definedName>
    <definedName name="XRefPaste24Row" localSheetId="14" hidden="1">#REF!</definedName>
    <definedName name="XRefPaste24Row" localSheetId="17" hidden="1">#REF!</definedName>
    <definedName name="XRefPaste24Row" localSheetId="18" hidden="1">#REF!</definedName>
    <definedName name="XRefPaste24Row" localSheetId="21" hidden="1">#REF!</definedName>
    <definedName name="XRefPaste24Row" localSheetId="24" hidden="1">#REF!</definedName>
    <definedName name="XRefPaste24Row" localSheetId="22" hidden="1">#REF!</definedName>
    <definedName name="XRefPaste24Row" localSheetId="20" hidden="1">#REF!</definedName>
    <definedName name="XRefPaste24Row" hidden="1">#REF!</definedName>
    <definedName name="XRefPaste25" localSheetId="19" hidden="1">#REF!</definedName>
    <definedName name="XRefPaste25" localSheetId="16" hidden="1">#REF!</definedName>
    <definedName name="XRefPaste25" localSheetId="15" hidden="1">#REF!</definedName>
    <definedName name="XRefPaste25" localSheetId="14" hidden="1">#REF!</definedName>
    <definedName name="XRefPaste25" localSheetId="17" hidden="1">#REF!</definedName>
    <definedName name="XRefPaste25" localSheetId="18" hidden="1">#REF!</definedName>
    <definedName name="XRefPaste25" localSheetId="21" hidden="1">#REF!</definedName>
    <definedName name="XRefPaste25" localSheetId="24" hidden="1">#REF!</definedName>
    <definedName name="XRefPaste25" localSheetId="22" hidden="1">#REF!</definedName>
    <definedName name="XRefPaste25" localSheetId="20" hidden="1">#REF!</definedName>
    <definedName name="XRefPaste25" hidden="1">#REF!</definedName>
    <definedName name="XRefPaste25Row" localSheetId="19" hidden="1">#REF!</definedName>
    <definedName name="XRefPaste25Row" localSheetId="16" hidden="1">#REF!</definedName>
    <definedName name="XRefPaste25Row" localSheetId="15" hidden="1">#REF!</definedName>
    <definedName name="XRefPaste25Row" localSheetId="14" hidden="1">#REF!</definedName>
    <definedName name="XRefPaste25Row" localSheetId="17" hidden="1">#REF!</definedName>
    <definedName name="XRefPaste25Row" localSheetId="18" hidden="1">#REF!</definedName>
    <definedName name="XRefPaste25Row" localSheetId="21" hidden="1">#REF!</definedName>
    <definedName name="XRefPaste25Row" localSheetId="24" hidden="1">#REF!</definedName>
    <definedName name="XRefPaste25Row" localSheetId="22" hidden="1">#REF!</definedName>
    <definedName name="XRefPaste25Row" localSheetId="20" hidden="1">#REF!</definedName>
    <definedName name="XRefPaste25Row" hidden="1">#REF!</definedName>
    <definedName name="XRefPaste26" localSheetId="19" hidden="1">#REF!</definedName>
    <definedName name="XRefPaste26" localSheetId="16" hidden="1">#REF!</definedName>
    <definedName name="XRefPaste26" localSheetId="15" hidden="1">#REF!</definedName>
    <definedName name="XRefPaste26" localSheetId="14" hidden="1">#REF!</definedName>
    <definedName name="XRefPaste26" localSheetId="17" hidden="1">#REF!</definedName>
    <definedName name="XRefPaste26" localSheetId="18" hidden="1">#REF!</definedName>
    <definedName name="XRefPaste26" localSheetId="21" hidden="1">#REF!</definedName>
    <definedName name="XRefPaste26" localSheetId="24" hidden="1">#REF!</definedName>
    <definedName name="XRefPaste26" localSheetId="22" hidden="1">#REF!</definedName>
    <definedName name="XRefPaste26" localSheetId="20" hidden="1">#REF!</definedName>
    <definedName name="XRefPaste26" hidden="1">#REF!</definedName>
    <definedName name="XRefPaste26Row" localSheetId="19" hidden="1">#REF!</definedName>
    <definedName name="XRefPaste26Row" localSheetId="16" hidden="1">#REF!</definedName>
    <definedName name="XRefPaste26Row" localSheetId="15" hidden="1">#REF!</definedName>
    <definedName name="XRefPaste26Row" localSheetId="14" hidden="1">#REF!</definedName>
    <definedName name="XRefPaste26Row" localSheetId="17" hidden="1">#REF!</definedName>
    <definedName name="XRefPaste26Row" localSheetId="18" hidden="1">#REF!</definedName>
    <definedName name="XRefPaste26Row" localSheetId="21" hidden="1">#REF!</definedName>
    <definedName name="XRefPaste26Row" localSheetId="24" hidden="1">#REF!</definedName>
    <definedName name="XRefPaste26Row" localSheetId="22" hidden="1">#REF!</definedName>
    <definedName name="XRefPaste26Row" localSheetId="20" hidden="1">#REF!</definedName>
    <definedName name="XRefPaste26Row" hidden="1">#REF!</definedName>
    <definedName name="XRefPaste27" localSheetId="19" hidden="1">#REF!</definedName>
    <definedName name="XRefPaste27" localSheetId="16" hidden="1">#REF!</definedName>
    <definedName name="XRefPaste27" localSheetId="15" hidden="1">#REF!</definedName>
    <definedName name="XRefPaste27" localSheetId="14" hidden="1">#REF!</definedName>
    <definedName name="XRefPaste27" localSheetId="17" hidden="1">#REF!</definedName>
    <definedName name="XRefPaste27" localSheetId="18" hidden="1">#REF!</definedName>
    <definedName name="XRefPaste27" localSheetId="21" hidden="1">#REF!</definedName>
    <definedName name="XRefPaste27" localSheetId="24" hidden="1">#REF!</definedName>
    <definedName name="XRefPaste27" localSheetId="22" hidden="1">#REF!</definedName>
    <definedName name="XRefPaste27" localSheetId="20" hidden="1">#REF!</definedName>
    <definedName name="XRefPaste27" hidden="1">#REF!</definedName>
    <definedName name="XRefPaste27Row" localSheetId="19" hidden="1">#REF!</definedName>
    <definedName name="XRefPaste27Row" localSheetId="16" hidden="1">#REF!</definedName>
    <definedName name="XRefPaste27Row" localSheetId="15" hidden="1">#REF!</definedName>
    <definedName name="XRefPaste27Row" localSheetId="14" hidden="1">#REF!</definedName>
    <definedName name="XRefPaste27Row" localSheetId="17" hidden="1">#REF!</definedName>
    <definedName name="XRefPaste27Row" localSheetId="18" hidden="1">#REF!</definedName>
    <definedName name="XRefPaste27Row" localSheetId="21" hidden="1">#REF!</definedName>
    <definedName name="XRefPaste27Row" localSheetId="24" hidden="1">#REF!</definedName>
    <definedName name="XRefPaste27Row" localSheetId="22" hidden="1">#REF!</definedName>
    <definedName name="XRefPaste27Row" localSheetId="20" hidden="1">#REF!</definedName>
    <definedName name="XRefPaste27Row" hidden="1">#REF!</definedName>
    <definedName name="XRefPaste28" localSheetId="19" hidden="1">#REF!</definedName>
    <definedName name="XRefPaste28" localSheetId="16" hidden="1">#REF!</definedName>
    <definedName name="XRefPaste28" localSheetId="15" hidden="1">#REF!</definedName>
    <definedName name="XRefPaste28" localSheetId="14" hidden="1">#REF!</definedName>
    <definedName name="XRefPaste28" localSheetId="17" hidden="1">#REF!</definedName>
    <definedName name="XRefPaste28" localSheetId="18" hidden="1">#REF!</definedName>
    <definedName name="XRefPaste28" localSheetId="21" hidden="1">#REF!</definedName>
    <definedName name="XRefPaste28" localSheetId="24" hidden="1">#REF!</definedName>
    <definedName name="XRefPaste28" localSheetId="22" hidden="1">#REF!</definedName>
    <definedName name="XRefPaste28" localSheetId="20" hidden="1">#REF!</definedName>
    <definedName name="XRefPaste28" hidden="1">#REF!</definedName>
    <definedName name="XRefPaste28Row" localSheetId="19" hidden="1">#REF!</definedName>
    <definedName name="XRefPaste28Row" localSheetId="16" hidden="1">#REF!</definedName>
    <definedName name="XRefPaste28Row" localSheetId="15" hidden="1">#REF!</definedName>
    <definedName name="XRefPaste28Row" localSheetId="14" hidden="1">#REF!</definedName>
    <definedName name="XRefPaste28Row" localSheetId="17" hidden="1">#REF!</definedName>
    <definedName name="XRefPaste28Row" localSheetId="18" hidden="1">#REF!</definedName>
    <definedName name="XRefPaste28Row" localSheetId="21" hidden="1">#REF!</definedName>
    <definedName name="XRefPaste28Row" localSheetId="24" hidden="1">#REF!</definedName>
    <definedName name="XRefPaste28Row" localSheetId="22" hidden="1">#REF!</definedName>
    <definedName name="XRefPaste28Row" localSheetId="20" hidden="1">#REF!</definedName>
    <definedName name="XRefPaste28Row" hidden="1">#REF!</definedName>
    <definedName name="XRefPaste29" localSheetId="19" hidden="1">#REF!</definedName>
    <definedName name="XRefPaste29" localSheetId="16" hidden="1">#REF!</definedName>
    <definedName name="XRefPaste29" localSheetId="15" hidden="1">#REF!</definedName>
    <definedName name="XRefPaste29" localSheetId="14" hidden="1">#REF!</definedName>
    <definedName name="XRefPaste29" localSheetId="17" hidden="1">#REF!</definedName>
    <definedName name="XRefPaste29" localSheetId="18" hidden="1">#REF!</definedName>
    <definedName name="XRefPaste29" localSheetId="21" hidden="1">#REF!</definedName>
    <definedName name="XRefPaste29" localSheetId="24" hidden="1">#REF!</definedName>
    <definedName name="XRefPaste29" localSheetId="22" hidden="1">#REF!</definedName>
    <definedName name="XRefPaste29" localSheetId="20" hidden="1">#REF!</definedName>
    <definedName name="XRefPaste29" hidden="1">#REF!</definedName>
    <definedName name="XRefPaste29Row" localSheetId="19" hidden="1">#REF!</definedName>
    <definedName name="XRefPaste29Row" localSheetId="16" hidden="1">#REF!</definedName>
    <definedName name="XRefPaste29Row" localSheetId="15" hidden="1">#REF!</definedName>
    <definedName name="XRefPaste29Row" localSheetId="14" hidden="1">#REF!</definedName>
    <definedName name="XRefPaste29Row" localSheetId="17" hidden="1">#REF!</definedName>
    <definedName name="XRefPaste29Row" localSheetId="18" hidden="1">#REF!</definedName>
    <definedName name="XRefPaste29Row" localSheetId="21" hidden="1">#REF!</definedName>
    <definedName name="XRefPaste29Row" localSheetId="24" hidden="1">#REF!</definedName>
    <definedName name="XRefPaste29Row" localSheetId="22" hidden="1">#REF!</definedName>
    <definedName name="XRefPaste29Row" localSheetId="20" hidden="1">#REF!</definedName>
    <definedName name="XRefPaste29Row" hidden="1">#REF!</definedName>
    <definedName name="XRefPaste2Row" localSheetId="19" hidden="1">#REF!</definedName>
    <definedName name="XRefPaste2Row" localSheetId="16" hidden="1">#REF!</definedName>
    <definedName name="XRefPaste2Row" localSheetId="15" hidden="1">#REF!</definedName>
    <definedName name="XRefPaste2Row" localSheetId="14" hidden="1">#REF!</definedName>
    <definedName name="XRefPaste2Row" localSheetId="17" hidden="1">#REF!</definedName>
    <definedName name="XRefPaste2Row" localSheetId="18" hidden="1">#REF!</definedName>
    <definedName name="XRefPaste2Row" localSheetId="21" hidden="1">#REF!</definedName>
    <definedName name="XRefPaste2Row" localSheetId="24" hidden="1">#REF!</definedName>
    <definedName name="XRefPaste2Row" localSheetId="22" hidden="1">#REF!</definedName>
    <definedName name="XRefPaste2Row" localSheetId="20" hidden="1">#REF!</definedName>
    <definedName name="XRefPaste2Row" hidden="1">#REF!</definedName>
    <definedName name="XRefPaste3" localSheetId="19" hidden="1">#REF!</definedName>
    <definedName name="XRefPaste3" localSheetId="16" hidden="1">#REF!</definedName>
    <definedName name="XRefPaste3" localSheetId="15" hidden="1">#REF!</definedName>
    <definedName name="XRefPaste3" localSheetId="14" hidden="1">#REF!</definedName>
    <definedName name="XRefPaste3" localSheetId="17" hidden="1">#REF!</definedName>
    <definedName name="XRefPaste3" localSheetId="18" hidden="1">#REF!</definedName>
    <definedName name="XRefPaste3" localSheetId="21" hidden="1">#REF!</definedName>
    <definedName name="XRefPaste3" localSheetId="24" hidden="1">#REF!</definedName>
    <definedName name="XRefPaste3" localSheetId="22" hidden="1">#REF!</definedName>
    <definedName name="XRefPaste3" localSheetId="20" hidden="1">#REF!</definedName>
    <definedName name="XRefPaste3" hidden="1">#REF!</definedName>
    <definedName name="XRefPaste30" localSheetId="19" hidden="1">#REF!</definedName>
    <definedName name="XRefPaste30" localSheetId="16" hidden="1">#REF!</definedName>
    <definedName name="XRefPaste30" localSheetId="15" hidden="1">#REF!</definedName>
    <definedName name="XRefPaste30" localSheetId="14" hidden="1">#REF!</definedName>
    <definedName name="XRefPaste30" localSheetId="17" hidden="1">#REF!</definedName>
    <definedName name="XRefPaste30" localSheetId="18" hidden="1">#REF!</definedName>
    <definedName name="XRefPaste30" localSheetId="21" hidden="1">#REF!</definedName>
    <definedName name="XRefPaste30" localSheetId="24" hidden="1">#REF!</definedName>
    <definedName name="XRefPaste30" localSheetId="22" hidden="1">#REF!</definedName>
    <definedName name="XRefPaste30" localSheetId="20" hidden="1">#REF!</definedName>
    <definedName name="XRefPaste30" hidden="1">#REF!</definedName>
    <definedName name="XRefPaste30Row" hidden="1">#REF!</definedName>
    <definedName name="XRefPaste31" localSheetId="19" hidden="1">#REF!</definedName>
    <definedName name="XRefPaste31" localSheetId="16" hidden="1">#REF!</definedName>
    <definedName name="XRefPaste31" localSheetId="15" hidden="1">#REF!</definedName>
    <definedName name="XRefPaste31" localSheetId="14" hidden="1">#REF!</definedName>
    <definedName name="XRefPaste31" localSheetId="17" hidden="1">#REF!</definedName>
    <definedName name="XRefPaste31" localSheetId="18" hidden="1">#REF!</definedName>
    <definedName name="XRefPaste31" localSheetId="21" hidden="1">#REF!</definedName>
    <definedName name="XRefPaste31" localSheetId="24" hidden="1">#REF!</definedName>
    <definedName name="XRefPaste31" localSheetId="22" hidden="1">#REF!</definedName>
    <definedName name="XRefPaste31" localSheetId="20" hidden="1">#REF!</definedName>
    <definedName name="XRefPaste31" hidden="1">#REF!</definedName>
    <definedName name="XRefPaste31Row" localSheetId="19" hidden="1">#REF!</definedName>
    <definedName name="XRefPaste31Row" localSheetId="16" hidden="1">#REF!</definedName>
    <definedName name="XRefPaste31Row" localSheetId="15" hidden="1">#REF!</definedName>
    <definedName name="XRefPaste31Row" localSheetId="14" hidden="1">#REF!</definedName>
    <definedName name="XRefPaste31Row" localSheetId="17" hidden="1">#REF!</definedName>
    <definedName name="XRefPaste31Row" localSheetId="18" hidden="1">#REF!</definedName>
    <definedName name="XRefPaste31Row" localSheetId="21" hidden="1">#REF!</definedName>
    <definedName name="XRefPaste31Row" localSheetId="24" hidden="1">#REF!</definedName>
    <definedName name="XRefPaste31Row" localSheetId="22" hidden="1">#REF!</definedName>
    <definedName name="XRefPaste31Row" localSheetId="20" hidden="1">#REF!</definedName>
    <definedName name="XRefPaste31Row" hidden="1">#REF!</definedName>
    <definedName name="XRefPaste32" localSheetId="19" hidden="1">#REF!</definedName>
    <definedName name="XRefPaste32" localSheetId="16" hidden="1">#REF!</definedName>
    <definedName name="XRefPaste32" localSheetId="15" hidden="1">#REF!</definedName>
    <definedName name="XRefPaste32" localSheetId="14" hidden="1">#REF!</definedName>
    <definedName name="XRefPaste32" localSheetId="17" hidden="1">#REF!</definedName>
    <definedName name="XRefPaste32" localSheetId="18" hidden="1">#REF!</definedName>
    <definedName name="XRefPaste32" localSheetId="21" hidden="1">#REF!</definedName>
    <definedName name="XRefPaste32" localSheetId="24" hidden="1">#REF!</definedName>
    <definedName name="XRefPaste32" localSheetId="22" hidden="1">#REF!</definedName>
    <definedName name="XRefPaste32" localSheetId="20" hidden="1">#REF!</definedName>
    <definedName name="XRefPaste32" hidden="1">#REF!</definedName>
    <definedName name="XRefPaste32Row" localSheetId="19" hidden="1">#REF!</definedName>
    <definedName name="XRefPaste32Row" localSheetId="16" hidden="1">#REF!</definedName>
    <definedName name="XRefPaste32Row" localSheetId="15" hidden="1">#REF!</definedName>
    <definedName name="XRefPaste32Row" localSheetId="14" hidden="1">#REF!</definedName>
    <definedName name="XRefPaste32Row" localSheetId="17" hidden="1">#REF!</definedName>
    <definedName name="XRefPaste32Row" localSheetId="18" hidden="1">#REF!</definedName>
    <definedName name="XRefPaste32Row" localSheetId="21" hidden="1">#REF!</definedName>
    <definedName name="XRefPaste32Row" localSheetId="24" hidden="1">#REF!</definedName>
    <definedName name="XRefPaste32Row" localSheetId="22" hidden="1">#REF!</definedName>
    <definedName name="XRefPaste32Row" localSheetId="20" hidden="1">#REF!</definedName>
    <definedName name="XRefPaste32Row" hidden="1">#REF!</definedName>
    <definedName name="XRefPaste33" localSheetId="19" hidden="1">#REF!</definedName>
    <definedName name="XRefPaste33" localSheetId="16" hidden="1">#REF!</definedName>
    <definedName name="XRefPaste33" localSheetId="15" hidden="1">#REF!</definedName>
    <definedName name="XRefPaste33" localSheetId="14" hidden="1">#REF!</definedName>
    <definedName name="XRefPaste33" localSheetId="17" hidden="1">#REF!</definedName>
    <definedName name="XRefPaste33" localSheetId="18" hidden="1">#REF!</definedName>
    <definedName name="XRefPaste33" localSheetId="21" hidden="1">#REF!</definedName>
    <definedName name="XRefPaste33" localSheetId="24" hidden="1">#REF!</definedName>
    <definedName name="XRefPaste33" localSheetId="22" hidden="1">#REF!</definedName>
    <definedName name="XRefPaste33" localSheetId="20" hidden="1">#REF!</definedName>
    <definedName name="XRefPaste33" hidden="1">#REF!</definedName>
    <definedName name="XRefPaste33Row" localSheetId="19" hidden="1">#REF!</definedName>
    <definedName name="XRefPaste33Row" localSheetId="16" hidden="1">#REF!</definedName>
    <definedName name="XRefPaste33Row" localSheetId="15" hidden="1">#REF!</definedName>
    <definedName name="XRefPaste33Row" localSheetId="14" hidden="1">#REF!</definedName>
    <definedName name="XRefPaste33Row" localSheetId="17" hidden="1">#REF!</definedName>
    <definedName name="XRefPaste33Row" localSheetId="18" hidden="1">#REF!</definedName>
    <definedName name="XRefPaste33Row" localSheetId="21" hidden="1">#REF!</definedName>
    <definedName name="XRefPaste33Row" localSheetId="24" hidden="1">#REF!</definedName>
    <definedName name="XRefPaste33Row" localSheetId="22" hidden="1">#REF!</definedName>
    <definedName name="XRefPaste33Row" localSheetId="20" hidden="1">#REF!</definedName>
    <definedName name="XRefPaste33Row" hidden="1">#REF!</definedName>
    <definedName name="XRefPaste34" localSheetId="19" hidden="1">#REF!</definedName>
    <definedName name="XRefPaste34" localSheetId="16" hidden="1">#REF!</definedName>
    <definedName name="XRefPaste34" localSheetId="15" hidden="1">#REF!</definedName>
    <definedName name="XRefPaste34" localSheetId="14" hidden="1">#REF!</definedName>
    <definedName name="XRefPaste34" localSheetId="17" hidden="1">#REF!</definedName>
    <definedName name="XRefPaste34" localSheetId="18" hidden="1">#REF!</definedName>
    <definedName name="XRefPaste34" localSheetId="21" hidden="1">#REF!</definedName>
    <definedName name="XRefPaste34" localSheetId="24" hidden="1">#REF!</definedName>
    <definedName name="XRefPaste34" localSheetId="22" hidden="1">#REF!</definedName>
    <definedName name="XRefPaste34" localSheetId="20" hidden="1">#REF!</definedName>
    <definedName name="XRefPaste34" hidden="1">#REF!</definedName>
    <definedName name="XRefPaste34Row" localSheetId="19" hidden="1">#REF!</definedName>
    <definedName name="XRefPaste34Row" localSheetId="16" hidden="1">#REF!</definedName>
    <definedName name="XRefPaste34Row" localSheetId="15" hidden="1">#REF!</definedName>
    <definedName name="XRefPaste34Row" localSheetId="14" hidden="1">#REF!</definedName>
    <definedName name="XRefPaste34Row" localSheetId="17" hidden="1">#REF!</definedName>
    <definedName name="XRefPaste34Row" localSheetId="18" hidden="1">#REF!</definedName>
    <definedName name="XRefPaste34Row" localSheetId="21" hidden="1">#REF!</definedName>
    <definedName name="XRefPaste34Row" localSheetId="24" hidden="1">#REF!</definedName>
    <definedName name="XRefPaste34Row" localSheetId="22" hidden="1">#REF!</definedName>
    <definedName name="XRefPaste34Row" localSheetId="20" hidden="1">#REF!</definedName>
    <definedName name="XRefPaste34Row" hidden="1">#REF!</definedName>
    <definedName name="XRefPaste35" localSheetId="19" hidden="1">#REF!</definedName>
    <definedName name="XRefPaste35" localSheetId="16" hidden="1">#REF!</definedName>
    <definedName name="XRefPaste35" localSheetId="15" hidden="1">#REF!</definedName>
    <definedName name="XRefPaste35" localSheetId="14" hidden="1">#REF!</definedName>
    <definedName name="XRefPaste35" localSheetId="17" hidden="1">#REF!</definedName>
    <definedName name="XRefPaste35" localSheetId="18" hidden="1">#REF!</definedName>
    <definedName name="XRefPaste35" localSheetId="21" hidden="1">#REF!</definedName>
    <definedName name="XRefPaste35" localSheetId="24" hidden="1">#REF!</definedName>
    <definedName name="XRefPaste35" localSheetId="22" hidden="1">#REF!</definedName>
    <definedName name="XRefPaste35" localSheetId="20" hidden="1">#REF!</definedName>
    <definedName name="XRefPaste35" hidden="1">#REF!</definedName>
    <definedName name="XRefPaste35Row" localSheetId="19" hidden="1">#REF!</definedName>
    <definedName name="XRefPaste35Row" localSheetId="16" hidden="1">#REF!</definedName>
    <definedName name="XRefPaste35Row" localSheetId="15" hidden="1">#REF!</definedName>
    <definedName name="XRefPaste35Row" localSheetId="14" hidden="1">#REF!</definedName>
    <definedName name="XRefPaste35Row" localSheetId="17" hidden="1">#REF!</definedName>
    <definedName name="XRefPaste35Row" localSheetId="18" hidden="1">#REF!</definedName>
    <definedName name="XRefPaste35Row" localSheetId="21" hidden="1">#REF!</definedName>
    <definedName name="XRefPaste35Row" localSheetId="24" hidden="1">#REF!</definedName>
    <definedName name="XRefPaste35Row" localSheetId="22" hidden="1">#REF!</definedName>
    <definedName name="XRefPaste35Row" localSheetId="20" hidden="1">#REF!</definedName>
    <definedName name="XRefPaste35Row" hidden="1">#REF!</definedName>
    <definedName name="XRefPaste36" localSheetId="19" hidden="1">#REF!</definedName>
    <definedName name="XRefPaste36" localSheetId="16" hidden="1">#REF!</definedName>
    <definedName name="XRefPaste36" localSheetId="15" hidden="1">#REF!</definedName>
    <definedName name="XRefPaste36" localSheetId="14" hidden="1">#REF!</definedName>
    <definedName name="XRefPaste36" localSheetId="17" hidden="1">#REF!</definedName>
    <definedName name="XRefPaste36" localSheetId="18" hidden="1">#REF!</definedName>
    <definedName name="XRefPaste36" localSheetId="21" hidden="1">#REF!</definedName>
    <definedName name="XRefPaste36" localSheetId="24" hidden="1">#REF!</definedName>
    <definedName name="XRefPaste36" localSheetId="22" hidden="1">#REF!</definedName>
    <definedName name="XRefPaste36" localSheetId="20" hidden="1">#REF!</definedName>
    <definedName name="XRefPaste36" hidden="1">#REF!</definedName>
    <definedName name="XRefPaste36Row" localSheetId="19" hidden="1">#REF!</definedName>
    <definedName name="XRefPaste36Row" localSheetId="16" hidden="1">#REF!</definedName>
    <definedName name="XRefPaste36Row" localSheetId="15" hidden="1">#REF!</definedName>
    <definedName name="XRefPaste36Row" localSheetId="14" hidden="1">#REF!</definedName>
    <definedName name="XRefPaste36Row" localSheetId="17" hidden="1">#REF!</definedName>
    <definedName name="XRefPaste36Row" localSheetId="18" hidden="1">#REF!</definedName>
    <definedName name="XRefPaste36Row" localSheetId="21" hidden="1">#REF!</definedName>
    <definedName name="XRefPaste36Row" localSheetId="24" hidden="1">#REF!</definedName>
    <definedName name="XRefPaste36Row" localSheetId="22" hidden="1">#REF!</definedName>
    <definedName name="XRefPaste36Row" localSheetId="20" hidden="1">#REF!</definedName>
    <definedName name="XRefPaste36Row" hidden="1">#REF!</definedName>
    <definedName name="XRefPaste37" localSheetId="19" hidden="1">#REF!</definedName>
    <definedName name="XRefPaste37" localSheetId="16" hidden="1">#REF!</definedName>
    <definedName name="XRefPaste37" localSheetId="15" hidden="1">#REF!</definedName>
    <definedName name="XRefPaste37" localSheetId="14" hidden="1">#REF!</definedName>
    <definedName name="XRefPaste37" localSheetId="17" hidden="1">#REF!</definedName>
    <definedName name="XRefPaste37" localSheetId="18" hidden="1">#REF!</definedName>
    <definedName name="XRefPaste37" localSheetId="21" hidden="1">#REF!</definedName>
    <definedName name="XRefPaste37" localSheetId="24" hidden="1">#REF!</definedName>
    <definedName name="XRefPaste37" localSheetId="22" hidden="1">#REF!</definedName>
    <definedName name="XRefPaste37" localSheetId="20" hidden="1">#REF!</definedName>
    <definedName name="XRefPaste37" hidden="1">#REF!</definedName>
    <definedName name="XRefPaste37Row" localSheetId="19" hidden="1">#REF!</definedName>
    <definedName name="XRefPaste37Row" localSheetId="16" hidden="1">#REF!</definedName>
    <definedName name="XRefPaste37Row" localSheetId="15" hidden="1">#REF!</definedName>
    <definedName name="XRefPaste37Row" localSheetId="14" hidden="1">#REF!</definedName>
    <definedName name="XRefPaste37Row" localSheetId="17" hidden="1">#REF!</definedName>
    <definedName name="XRefPaste37Row" localSheetId="18" hidden="1">#REF!</definedName>
    <definedName name="XRefPaste37Row" localSheetId="21" hidden="1">#REF!</definedName>
    <definedName name="XRefPaste37Row" localSheetId="24" hidden="1">#REF!</definedName>
    <definedName name="XRefPaste37Row" localSheetId="22" hidden="1">#REF!</definedName>
    <definedName name="XRefPaste37Row" localSheetId="20" hidden="1">#REF!</definedName>
    <definedName name="XRefPaste37Row" hidden="1">#REF!</definedName>
    <definedName name="XRefPaste38" localSheetId="19" hidden="1">#REF!</definedName>
    <definedName name="XRefPaste38" localSheetId="16" hidden="1">#REF!</definedName>
    <definedName name="XRefPaste38" localSheetId="15" hidden="1">#REF!</definedName>
    <definedName name="XRefPaste38" localSheetId="14" hidden="1">#REF!</definedName>
    <definedName name="XRefPaste38" localSheetId="17" hidden="1">#REF!</definedName>
    <definedName name="XRefPaste38" localSheetId="18" hidden="1">#REF!</definedName>
    <definedName name="XRefPaste38" localSheetId="21" hidden="1">#REF!</definedName>
    <definedName name="XRefPaste38" localSheetId="24" hidden="1">#REF!</definedName>
    <definedName name="XRefPaste38" localSheetId="22" hidden="1">#REF!</definedName>
    <definedName name="XRefPaste38" localSheetId="20" hidden="1">#REF!</definedName>
    <definedName name="XRefPaste38" hidden="1">#REF!</definedName>
    <definedName name="XRefPaste38Row" localSheetId="19" hidden="1">#REF!</definedName>
    <definedName name="XRefPaste38Row" localSheetId="16" hidden="1">#REF!</definedName>
    <definedName name="XRefPaste38Row" localSheetId="15" hidden="1">#REF!</definedName>
    <definedName name="XRefPaste38Row" localSheetId="14" hidden="1">#REF!</definedName>
    <definedName name="XRefPaste38Row" localSheetId="17" hidden="1">#REF!</definedName>
    <definedName name="XRefPaste38Row" localSheetId="18" hidden="1">#REF!</definedName>
    <definedName name="XRefPaste38Row" localSheetId="21" hidden="1">#REF!</definedName>
    <definedName name="XRefPaste38Row" localSheetId="24" hidden="1">#REF!</definedName>
    <definedName name="XRefPaste38Row" localSheetId="22" hidden="1">#REF!</definedName>
    <definedName name="XRefPaste38Row" localSheetId="20" hidden="1">#REF!</definedName>
    <definedName name="XRefPaste38Row" hidden="1">#REF!</definedName>
    <definedName name="XRefPaste39" localSheetId="19" hidden="1">#REF!</definedName>
    <definedName name="XRefPaste39" localSheetId="16" hidden="1">#REF!</definedName>
    <definedName name="XRefPaste39" localSheetId="15" hidden="1">#REF!</definedName>
    <definedName name="XRefPaste39" localSheetId="14" hidden="1">#REF!</definedName>
    <definedName name="XRefPaste39" localSheetId="17" hidden="1">#REF!</definedName>
    <definedName name="XRefPaste39" localSheetId="18" hidden="1">#REF!</definedName>
    <definedName name="XRefPaste39" localSheetId="21" hidden="1">#REF!</definedName>
    <definedName name="XRefPaste39" localSheetId="24" hidden="1">#REF!</definedName>
    <definedName name="XRefPaste39" localSheetId="22" hidden="1">#REF!</definedName>
    <definedName name="XRefPaste39" localSheetId="20" hidden="1">#REF!</definedName>
    <definedName name="XRefPaste39" hidden="1">#REF!</definedName>
    <definedName name="XRefPaste39Row" localSheetId="19" hidden="1">#REF!</definedName>
    <definedName name="XRefPaste39Row" localSheetId="16" hidden="1">#REF!</definedName>
    <definedName name="XRefPaste39Row" localSheetId="15" hidden="1">#REF!</definedName>
    <definedName name="XRefPaste39Row" localSheetId="14" hidden="1">#REF!</definedName>
    <definedName name="XRefPaste39Row" localSheetId="17" hidden="1">#REF!</definedName>
    <definedName name="XRefPaste39Row" localSheetId="18" hidden="1">#REF!</definedName>
    <definedName name="XRefPaste39Row" localSheetId="21" hidden="1">#REF!</definedName>
    <definedName name="XRefPaste39Row" localSheetId="24" hidden="1">#REF!</definedName>
    <definedName name="XRefPaste39Row" localSheetId="22" hidden="1">#REF!</definedName>
    <definedName name="XRefPaste39Row" localSheetId="20" hidden="1">#REF!</definedName>
    <definedName name="XRefPaste39Row" hidden="1">#REF!</definedName>
    <definedName name="XRefPaste3Row" localSheetId="19" hidden="1">#REF!</definedName>
    <definedName name="XRefPaste3Row" localSheetId="16" hidden="1">#REF!</definedName>
    <definedName name="XRefPaste3Row" localSheetId="15" hidden="1">#REF!</definedName>
    <definedName name="XRefPaste3Row" localSheetId="14" hidden="1">#REF!</definedName>
    <definedName name="XRefPaste3Row" localSheetId="17" hidden="1">#REF!</definedName>
    <definedName name="XRefPaste3Row" localSheetId="18" hidden="1">#REF!</definedName>
    <definedName name="XRefPaste3Row" localSheetId="21" hidden="1">#REF!</definedName>
    <definedName name="XRefPaste3Row" localSheetId="24" hidden="1">#REF!</definedName>
    <definedName name="XRefPaste3Row" localSheetId="22" hidden="1">#REF!</definedName>
    <definedName name="XRefPaste3Row" localSheetId="20" hidden="1">#REF!</definedName>
    <definedName name="XRefPaste3Row" hidden="1">#REF!</definedName>
    <definedName name="XRefPaste4" localSheetId="19" hidden="1">#REF!</definedName>
    <definedName name="XRefPaste4" localSheetId="16" hidden="1">#REF!</definedName>
    <definedName name="XRefPaste4" localSheetId="15" hidden="1">#REF!</definedName>
    <definedName name="XRefPaste4" localSheetId="14" hidden="1">#REF!</definedName>
    <definedName name="XRefPaste4" localSheetId="17" hidden="1">#REF!</definedName>
    <definedName name="XRefPaste4" localSheetId="18" hidden="1">#REF!</definedName>
    <definedName name="XRefPaste4" localSheetId="21" hidden="1">#REF!</definedName>
    <definedName name="XRefPaste4" localSheetId="24" hidden="1">#REF!</definedName>
    <definedName name="XRefPaste4" localSheetId="22" hidden="1">#REF!</definedName>
    <definedName name="XRefPaste4" localSheetId="20" hidden="1">#REF!</definedName>
    <definedName name="XRefPaste4" hidden="1">#REF!</definedName>
    <definedName name="XRefPaste40" localSheetId="19" hidden="1">#REF!</definedName>
    <definedName name="XRefPaste40" localSheetId="16" hidden="1">#REF!</definedName>
    <definedName name="XRefPaste40" localSheetId="15" hidden="1">#REF!</definedName>
    <definedName name="XRefPaste40" localSheetId="14" hidden="1">#REF!</definedName>
    <definedName name="XRefPaste40" localSheetId="17" hidden="1">#REF!</definedName>
    <definedName name="XRefPaste40" localSheetId="18" hidden="1">#REF!</definedName>
    <definedName name="XRefPaste40" localSheetId="21" hidden="1">#REF!</definedName>
    <definedName name="XRefPaste40" localSheetId="24" hidden="1">#REF!</definedName>
    <definedName name="XRefPaste40" localSheetId="22" hidden="1">#REF!</definedName>
    <definedName name="XRefPaste40" localSheetId="20" hidden="1">#REF!</definedName>
    <definedName name="XRefPaste40" hidden="1">#REF!</definedName>
    <definedName name="XRefPaste40Row" localSheetId="19" hidden="1">#REF!</definedName>
    <definedName name="XRefPaste40Row" localSheetId="16" hidden="1">#REF!</definedName>
    <definedName name="XRefPaste40Row" localSheetId="15" hidden="1">#REF!</definedName>
    <definedName name="XRefPaste40Row" localSheetId="14" hidden="1">#REF!</definedName>
    <definedName name="XRefPaste40Row" localSheetId="17" hidden="1">#REF!</definedName>
    <definedName name="XRefPaste40Row" localSheetId="18" hidden="1">#REF!</definedName>
    <definedName name="XRefPaste40Row" localSheetId="21" hidden="1">#REF!</definedName>
    <definedName name="XRefPaste40Row" localSheetId="24" hidden="1">#REF!</definedName>
    <definedName name="XRefPaste40Row" localSheetId="22" hidden="1">#REF!</definedName>
    <definedName name="XRefPaste40Row" localSheetId="20" hidden="1">#REF!</definedName>
    <definedName name="XRefPaste40Row" hidden="1">#REF!</definedName>
    <definedName name="XRefPaste41" localSheetId="19" hidden="1">#REF!</definedName>
    <definedName name="XRefPaste41" localSheetId="16" hidden="1">#REF!</definedName>
    <definedName name="XRefPaste41" localSheetId="15" hidden="1">#REF!</definedName>
    <definedName name="XRefPaste41" localSheetId="14" hidden="1">#REF!</definedName>
    <definedName name="XRefPaste41" localSheetId="17" hidden="1">#REF!</definedName>
    <definedName name="XRefPaste41" localSheetId="18" hidden="1">#REF!</definedName>
    <definedName name="XRefPaste41" localSheetId="21" hidden="1">#REF!</definedName>
    <definedName name="XRefPaste41" localSheetId="24" hidden="1">#REF!</definedName>
    <definedName name="XRefPaste41" localSheetId="22" hidden="1">#REF!</definedName>
    <definedName name="XRefPaste41" localSheetId="20" hidden="1">#REF!</definedName>
    <definedName name="XRefPaste41" hidden="1">#REF!</definedName>
    <definedName name="XRefPaste41Row" localSheetId="19" hidden="1">#REF!</definedName>
    <definedName name="XRefPaste41Row" localSheetId="16" hidden="1">#REF!</definedName>
    <definedName name="XRefPaste41Row" localSheetId="15" hidden="1">#REF!</definedName>
    <definedName name="XRefPaste41Row" localSheetId="14" hidden="1">#REF!</definedName>
    <definedName name="XRefPaste41Row" localSheetId="17" hidden="1">#REF!</definedName>
    <definedName name="XRefPaste41Row" localSheetId="18" hidden="1">#REF!</definedName>
    <definedName name="XRefPaste41Row" localSheetId="21" hidden="1">#REF!</definedName>
    <definedName name="XRefPaste41Row" localSheetId="24" hidden="1">#REF!</definedName>
    <definedName name="XRefPaste41Row" localSheetId="22" hidden="1">#REF!</definedName>
    <definedName name="XRefPaste41Row" localSheetId="20" hidden="1">#REF!</definedName>
    <definedName name="XRefPaste41Row" hidden="1">#REF!</definedName>
    <definedName name="XRefPaste42" localSheetId="19" hidden="1">#REF!</definedName>
    <definedName name="XRefPaste42" localSheetId="16" hidden="1">#REF!</definedName>
    <definedName name="XRefPaste42" localSheetId="15" hidden="1">#REF!</definedName>
    <definedName name="XRefPaste42" localSheetId="14" hidden="1">#REF!</definedName>
    <definedName name="XRefPaste42" localSheetId="17" hidden="1">#REF!</definedName>
    <definedName name="XRefPaste42" localSheetId="18" hidden="1">#REF!</definedName>
    <definedName name="XRefPaste42" localSheetId="21" hidden="1">#REF!</definedName>
    <definedName name="XRefPaste42" localSheetId="24" hidden="1">#REF!</definedName>
    <definedName name="XRefPaste42" localSheetId="22" hidden="1">#REF!</definedName>
    <definedName name="XRefPaste42" localSheetId="20" hidden="1">#REF!</definedName>
    <definedName name="XRefPaste42" hidden="1">#REF!</definedName>
    <definedName name="XRefPaste42Row" localSheetId="19" hidden="1">#REF!</definedName>
    <definedName name="XRefPaste42Row" localSheetId="16" hidden="1">#REF!</definedName>
    <definedName name="XRefPaste42Row" localSheetId="15" hidden="1">#REF!</definedName>
    <definedName name="XRefPaste42Row" localSheetId="14" hidden="1">#REF!</definedName>
    <definedName name="XRefPaste42Row" localSheetId="17" hidden="1">#REF!</definedName>
    <definedName name="XRefPaste42Row" localSheetId="18" hidden="1">#REF!</definedName>
    <definedName name="XRefPaste42Row" localSheetId="21" hidden="1">#REF!</definedName>
    <definedName name="XRefPaste42Row" localSheetId="24" hidden="1">#REF!</definedName>
    <definedName name="XRefPaste42Row" localSheetId="22" hidden="1">#REF!</definedName>
    <definedName name="XRefPaste42Row" localSheetId="20" hidden="1">#REF!</definedName>
    <definedName name="XRefPaste42Row" hidden="1">#REF!</definedName>
    <definedName name="XRefPaste43" localSheetId="19" hidden="1">#REF!</definedName>
    <definedName name="XRefPaste43" localSheetId="16" hidden="1">#REF!</definedName>
    <definedName name="XRefPaste43" localSheetId="15" hidden="1">#REF!</definedName>
    <definedName name="XRefPaste43" localSheetId="14" hidden="1">#REF!</definedName>
    <definedName name="XRefPaste43" localSheetId="17" hidden="1">#REF!</definedName>
    <definedName name="XRefPaste43" localSheetId="18" hidden="1">#REF!</definedName>
    <definedName name="XRefPaste43" localSheetId="21" hidden="1">#REF!</definedName>
    <definedName name="XRefPaste43" localSheetId="24" hidden="1">#REF!</definedName>
    <definedName name="XRefPaste43" localSheetId="22" hidden="1">#REF!</definedName>
    <definedName name="XRefPaste43" localSheetId="20" hidden="1">#REF!</definedName>
    <definedName name="XRefPaste43" hidden="1">#REF!</definedName>
    <definedName name="XRefPaste43Row" localSheetId="19" hidden="1">#REF!</definedName>
    <definedName name="XRefPaste43Row" localSheetId="16" hidden="1">#REF!</definedName>
    <definedName name="XRefPaste43Row" localSheetId="15" hidden="1">#REF!</definedName>
    <definedName name="XRefPaste43Row" localSheetId="14" hidden="1">#REF!</definedName>
    <definedName name="XRefPaste43Row" localSheetId="17" hidden="1">#REF!</definedName>
    <definedName name="XRefPaste43Row" localSheetId="18" hidden="1">#REF!</definedName>
    <definedName name="XRefPaste43Row" localSheetId="21" hidden="1">#REF!</definedName>
    <definedName name="XRefPaste43Row" localSheetId="24" hidden="1">#REF!</definedName>
    <definedName name="XRefPaste43Row" localSheetId="22" hidden="1">#REF!</definedName>
    <definedName name="XRefPaste43Row" localSheetId="20" hidden="1">#REF!</definedName>
    <definedName name="XRefPaste43Row" hidden="1">#REF!</definedName>
    <definedName name="XRefPaste44" localSheetId="19" hidden="1">#REF!</definedName>
    <definedName name="XRefPaste44" localSheetId="16" hidden="1">#REF!</definedName>
    <definedName name="XRefPaste44" localSheetId="15" hidden="1">#REF!</definedName>
    <definedName name="XRefPaste44" localSheetId="14" hidden="1">#REF!</definedName>
    <definedName name="XRefPaste44" localSheetId="17" hidden="1">#REF!</definedName>
    <definedName name="XRefPaste44" localSheetId="18" hidden="1">#REF!</definedName>
    <definedName name="XRefPaste44" localSheetId="21" hidden="1">#REF!</definedName>
    <definedName name="XRefPaste44" localSheetId="24" hidden="1">#REF!</definedName>
    <definedName name="XRefPaste44" localSheetId="22" hidden="1">#REF!</definedName>
    <definedName name="XRefPaste44" localSheetId="20" hidden="1">#REF!</definedName>
    <definedName name="XRefPaste44" hidden="1">#REF!</definedName>
    <definedName name="XRefPaste44Row" localSheetId="19" hidden="1">#REF!</definedName>
    <definedName name="XRefPaste44Row" localSheetId="16" hidden="1">#REF!</definedName>
    <definedName name="XRefPaste44Row" localSheetId="15" hidden="1">#REF!</definedName>
    <definedName name="XRefPaste44Row" localSheetId="14" hidden="1">#REF!</definedName>
    <definedName name="XRefPaste44Row" localSheetId="17" hidden="1">#REF!</definedName>
    <definedName name="XRefPaste44Row" localSheetId="18" hidden="1">#REF!</definedName>
    <definedName name="XRefPaste44Row" localSheetId="21" hidden="1">#REF!</definedName>
    <definedName name="XRefPaste44Row" localSheetId="24" hidden="1">#REF!</definedName>
    <definedName name="XRefPaste44Row" localSheetId="22" hidden="1">#REF!</definedName>
    <definedName name="XRefPaste44Row" localSheetId="20" hidden="1">#REF!</definedName>
    <definedName name="XRefPaste44Row" hidden="1">#REF!</definedName>
    <definedName name="XRefPaste45" localSheetId="19" hidden="1">#REF!</definedName>
    <definedName name="XRefPaste45" localSheetId="16" hidden="1">#REF!</definedName>
    <definedName name="XRefPaste45" localSheetId="15" hidden="1">#REF!</definedName>
    <definedName name="XRefPaste45" localSheetId="14" hidden="1">#REF!</definedName>
    <definedName name="XRefPaste45" localSheetId="17" hidden="1">#REF!</definedName>
    <definedName name="XRefPaste45" localSheetId="18" hidden="1">#REF!</definedName>
    <definedName name="XRefPaste45" localSheetId="21" hidden="1">#REF!</definedName>
    <definedName name="XRefPaste45" localSheetId="24" hidden="1">#REF!</definedName>
    <definedName name="XRefPaste45" localSheetId="22" hidden="1">#REF!</definedName>
    <definedName name="XRefPaste45" localSheetId="20" hidden="1">#REF!</definedName>
    <definedName name="XRefPaste45" hidden="1">#REF!</definedName>
    <definedName name="XRefPaste45Row" localSheetId="19" hidden="1">#REF!</definedName>
    <definedName name="XRefPaste45Row" localSheetId="16" hidden="1">#REF!</definedName>
    <definedName name="XRefPaste45Row" localSheetId="15" hidden="1">#REF!</definedName>
    <definedName name="XRefPaste45Row" localSheetId="14" hidden="1">#REF!</definedName>
    <definedName name="XRefPaste45Row" localSheetId="17" hidden="1">#REF!</definedName>
    <definedName name="XRefPaste45Row" localSheetId="18" hidden="1">#REF!</definedName>
    <definedName name="XRefPaste45Row" localSheetId="21" hidden="1">#REF!</definedName>
    <definedName name="XRefPaste45Row" localSheetId="24" hidden="1">#REF!</definedName>
    <definedName name="XRefPaste45Row" localSheetId="22" hidden="1">#REF!</definedName>
    <definedName name="XRefPaste45Row" localSheetId="20" hidden="1">#REF!</definedName>
    <definedName name="XRefPaste45Row" hidden="1">#REF!</definedName>
    <definedName name="XRefPaste46" localSheetId="19" hidden="1">#REF!</definedName>
    <definedName name="XRefPaste46" localSheetId="16" hidden="1">#REF!</definedName>
    <definedName name="XRefPaste46" localSheetId="15" hidden="1">#REF!</definedName>
    <definedName name="XRefPaste46" localSheetId="14" hidden="1">#REF!</definedName>
    <definedName name="XRefPaste46" localSheetId="17" hidden="1">#REF!</definedName>
    <definedName name="XRefPaste46" localSheetId="18" hidden="1">#REF!</definedName>
    <definedName name="XRefPaste46" localSheetId="21" hidden="1">#REF!</definedName>
    <definedName name="XRefPaste46" localSheetId="24" hidden="1">#REF!</definedName>
    <definedName name="XRefPaste46" localSheetId="22" hidden="1">#REF!</definedName>
    <definedName name="XRefPaste46" localSheetId="20" hidden="1">#REF!</definedName>
    <definedName name="XRefPaste46" hidden="1">#REF!</definedName>
    <definedName name="XRefPaste46Row" localSheetId="19" hidden="1">#REF!</definedName>
    <definedName name="XRefPaste46Row" localSheetId="16" hidden="1">#REF!</definedName>
    <definedName name="XRefPaste46Row" localSheetId="15" hidden="1">#REF!</definedName>
    <definedName name="XRefPaste46Row" localSheetId="14" hidden="1">#REF!</definedName>
    <definedName name="XRefPaste46Row" localSheetId="17" hidden="1">#REF!</definedName>
    <definedName name="XRefPaste46Row" localSheetId="18" hidden="1">#REF!</definedName>
    <definedName name="XRefPaste46Row" localSheetId="21" hidden="1">#REF!</definedName>
    <definedName name="XRefPaste46Row" localSheetId="24" hidden="1">#REF!</definedName>
    <definedName name="XRefPaste46Row" localSheetId="22" hidden="1">#REF!</definedName>
    <definedName name="XRefPaste46Row" localSheetId="20" hidden="1">#REF!</definedName>
    <definedName name="XRefPaste46Row" hidden="1">#REF!</definedName>
    <definedName name="XRefPaste47" hidden="1">#REF!</definedName>
    <definedName name="XRefPaste47Row" localSheetId="19" hidden="1">#REF!</definedName>
    <definedName name="XRefPaste47Row" localSheetId="16" hidden="1">#REF!</definedName>
    <definedName name="XRefPaste47Row" localSheetId="15" hidden="1">#REF!</definedName>
    <definedName name="XRefPaste47Row" localSheetId="14" hidden="1">#REF!</definedName>
    <definedName name="XRefPaste47Row" localSheetId="17" hidden="1">#REF!</definedName>
    <definedName name="XRefPaste47Row" localSheetId="18" hidden="1">#REF!</definedName>
    <definedName name="XRefPaste47Row" localSheetId="21" hidden="1">#REF!</definedName>
    <definedName name="XRefPaste47Row" localSheetId="24" hidden="1">#REF!</definedName>
    <definedName name="XRefPaste47Row" localSheetId="22" hidden="1">#REF!</definedName>
    <definedName name="XRefPaste47Row" localSheetId="20" hidden="1">#REF!</definedName>
    <definedName name="XRefPaste47Row" hidden="1">#REF!</definedName>
    <definedName name="XRefPaste48" localSheetId="19" hidden="1">#REF!</definedName>
    <definedName name="XRefPaste48" localSheetId="16" hidden="1">#REF!</definedName>
    <definedName name="XRefPaste48" localSheetId="15" hidden="1">#REF!</definedName>
    <definedName name="XRefPaste48" localSheetId="14" hidden="1">#REF!</definedName>
    <definedName name="XRefPaste48" localSheetId="17" hidden="1">#REF!</definedName>
    <definedName name="XRefPaste48" localSheetId="18" hidden="1">#REF!</definedName>
    <definedName name="XRefPaste48" localSheetId="21" hidden="1">#REF!</definedName>
    <definedName name="XRefPaste48" localSheetId="24" hidden="1">#REF!</definedName>
    <definedName name="XRefPaste48" localSheetId="22" hidden="1">#REF!</definedName>
    <definedName name="XRefPaste48" localSheetId="20" hidden="1">#REF!</definedName>
    <definedName name="XRefPaste48" hidden="1">#REF!</definedName>
    <definedName name="XRefPaste48Row" localSheetId="19" hidden="1">#REF!</definedName>
    <definedName name="XRefPaste48Row" localSheetId="16" hidden="1">#REF!</definedName>
    <definedName name="XRefPaste48Row" localSheetId="15" hidden="1">#REF!</definedName>
    <definedName name="XRefPaste48Row" localSheetId="14" hidden="1">#REF!</definedName>
    <definedName name="XRefPaste48Row" localSheetId="17" hidden="1">#REF!</definedName>
    <definedName name="XRefPaste48Row" localSheetId="18" hidden="1">#REF!</definedName>
    <definedName name="XRefPaste48Row" localSheetId="21" hidden="1">#REF!</definedName>
    <definedName name="XRefPaste48Row" localSheetId="24" hidden="1">#REF!</definedName>
    <definedName name="XRefPaste48Row" localSheetId="22" hidden="1">#REF!</definedName>
    <definedName name="XRefPaste48Row" localSheetId="20" hidden="1">#REF!</definedName>
    <definedName name="XRefPaste48Row" hidden="1">#REF!</definedName>
    <definedName name="XRefPaste49" hidden="1">#REF!</definedName>
    <definedName name="XRefPaste49Row" localSheetId="19" hidden="1">#REF!</definedName>
    <definedName name="XRefPaste49Row" localSheetId="16" hidden="1">#REF!</definedName>
    <definedName name="XRefPaste49Row" localSheetId="15" hidden="1">#REF!</definedName>
    <definedName name="XRefPaste49Row" localSheetId="14" hidden="1">#REF!</definedName>
    <definedName name="XRefPaste49Row" localSheetId="17" hidden="1">#REF!</definedName>
    <definedName name="XRefPaste49Row" localSheetId="18" hidden="1">#REF!</definedName>
    <definedName name="XRefPaste49Row" localSheetId="21" hidden="1">#REF!</definedName>
    <definedName name="XRefPaste49Row" localSheetId="24" hidden="1">#REF!</definedName>
    <definedName name="XRefPaste49Row" localSheetId="22" hidden="1">#REF!</definedName>
    <definedName name="XRefPaste49Row" localSheetId="20" hidden="1">#REF!</definedName>
    <definedName name="XRefPaste49Row" hidden="1">#REF!</definedName>
    <definedName name="XRefPaste4Row" localSheetId="19" hidden="1">#REF!</definedName>
    <definedName name="XRefPaste4Row" localSheetId="16" hidden="1">#REF!</definedName>
    <definedName name="XRefPaste4Row" localSheetId="15" hidden="1">#REF!</definedName>
    <definedName name="XRefPaste4Row" localSheetId="14" hidden="1">#REF!</definedName>
    <definedName name="XRefPaste4Row" localSheetId="17" hidden="1">#REF!</definedName>
    <definedName name="XRefPaste4Row" localSheetId="18" hidden="1">#REF!</definedName>
    <definedName name="XRefPaste4Row" localSheetId="21" hidden="1">#REF!</definedName>
    <definedName name="XRefPaste4Row" localSheetId="24" hidden="1">#REF!</definedName>
    <definedName name="XRefPaste4Row" localSheetId="22" hidden="1">#REF!</definedName>
    <definedName name="XRefPaste4Row" localSheetId="20" hidden="1">#REF!</definedName>
    <definedName name="XRefPaste4Row" hidden="1">#REF!</definedName>
    <definedName name="XRefPaste5" localSheetId="19" hidden="1">#REF!</definedName>
    <definedName name="XRefPaste5" localSheetId="16" hidden="1">#REF!</definedName>
    <definedName name="XRefPaste5" localSheetId="15" hidden="1">#REF!</definedName>
    <definedName name="XRefPaste5" localSheetId="14" hidden="1">#REF!</definedName>
    <definedName name="XRefPaste5" localSheetId="17" hidden="1">#REF!</definedName>
    <definedName name="XRefPaste5" localSheetId="18" hidden="1">#REF!</definedName>
    <definedName name="XRefPaste5" localSheetId="21" hidden="1">#REF!</definedName>
    <definedName name="XRefPaste5" localSheetId="24" hidden="1">#REF!</definedName>
    <definedName name="XRefPaste5" localSheetId="22" hidden="1">#REF!</definedName>
    <definedName name="XRefPaste5" localSheetId="20" hidden="1">#REF!</definedName>
    <definedName name="XRefPaste5" hidden="1">#REF!</definedName>
    <definedName name="XRefPaste50Row" localSheetId="19" hidden="1">#REF!</definedName>
    <definedName name="XRefPaste50Row" localSheetId="16" hidden="1">#REF!</definedName>
    <definedName name="XRefPaste50Row" localSheetId="15" hidden="1">#REF!</definedName>
    <definedName name="XRefPaste50Row" localSheetId="14" hidden="1">#REF!</definedName>
    <definedName name="XRefPaste50Row" localSheetId="17" hidden="1">#REF!</definedName>
    <definedName name="XRefPaste50Row" localSheetId="18" hidden="1">#REF!</definedName>
    <definedName name="XRefPaste50Row" localSheetId="21" hidden="1">#REF!</definedName>
    <definedName name="XRefPaste50Row" localSheetId="24" hidden="1">#REF!</definedName>
    <definedName name="XRefPaste50Row" localSheetId="22" hidden="1">#REF!</definedName>
    <definedName name="XRefPaste50Row" localSheetId="20" hidden="1">#REF!</definedName>
    <definedName name="XRefPaste50Row" hidden="1">#REF!</definedName>
    <definedName name="XRefPaste51Row" localSheetId="19" hidden="1">#REF!</definedName>
    <definedName name="XRefPaste51Row" localSheetId="16" hidden="1">#REF!</definedName>
    <definedName name="XRefPaste51Row" localSheetId="15" hidden="1">#REF!</definedName>
    <definedName name="XRefPaste51Row" localSheetId="14" hidden="1">#REF!</definedName>
    <definedName name="XRefPaste51Row" localSheetId="17" hidden="1">#REF!</definedName>
    <definedName name="XRefPaste51Row" localSheetId="18" hidden="1">#REF!</definedName>
    <definedName name="XRefPaste51Row" localSheetId="21" hidden="1">#REF!</definedName>
    <definedName name="XRefPaste51Row" localSheetId="24" hidden="1">#REF!</definedName>
    <definedName name="XRefPaste51Row" localSheetId="22" hidden="1">#REF!</definedName>
    <definedName name="XRefPaste51Row" localSheetId="20" hidden="1">#REF!</definedName>
    <definedName name="XRefPaste51Row" hidden="1">#REF!</definedName>
    <definedName name="XRefPaste52Row" localSheetId="19" hidden="1">#REF!</definedName>
    <definedName name="XRefPaste52Row" localSheetId="16" hidden="1">#REF!</definedName>
    <definedName name="XRefPaste52Row" localSheetId="15" hidden="1">#REF!</definedName>
    <definedName name="XRefPaste52Row" localSheetId="14" hidden="1">#REF!</definedName>
    <definedName name="XRefPaste52Row" localSheetId="17" hidden="1">#REF!</definedName>
    <definedName name="XRefPaste52Row" localSheetId="18" hidden="1">#REF!</definedName>
    <definedName name="XRefPaste52Row" localSheetId="21" hidden="1">#REF!</definedName>
    <definedName name="XRefPaste52Row" localSheetId="24" hidden="1">#REF!</definedName>
    <definedName name="XRefPaste52Row" localSheetId="22" hidden="1">#REF!</definedName>
    <definedName name="XRefPaste52Row" localSheetId="20" hidden="1">#REF!</definedName>
    <definedName name="XRefPaste52Row" hidden="1">#REF!</definedName>
    <definedName name="XRefPaste53" localSheetId="19" hidden="1">#REF!</definedName>
    <definedName name="XRefPaste53" localSheetId="16" hidden="1">#REF!</definedName>
    <definedName name="XRefPaste53" localSheetId="15" hidden="1">#REF!</definedName>
    <definedName name="XRefPaste53" localSheetId="14" hidden="1">#REF!</definedName>
    <definedName name="XRefPaste53" localSheetId="17" hidden="1">#REF!</definedName>
    <definedName name="XRefPaste53" localSheetId="18" hidden="1">#REF!</definedName>
    <definedName name="XRefPaste53" localSheetId="21" hidden="1">#REF!</definedName>
    <definedName name="XRefPaste53" localSheetId="24" hidden="1">#REF!</definedName>
    <definedName name="XRefPaste53" localSheetId="22" hidden="1">#REF!</definedName>
    <definedName name="XRefPaste53" localSheetId="20" hidden="1">#REF!</definedName>
    <definedName name="XRefPaste53" hidden="1">#REF!</definedName>
    <definedName name="XRefPaste53Row" localSheetId="19" hidden="1">#REF!</definedName>
    <definedName name="XRefPaste53Row" localSheetId="16" hidden="1">#REF!</definedName>
    <definedName name="XRefPaste53Row" localSheetId="15" hidden="1">#REF!</definedName>
    <definedName name="XRefPaste53Row" localSheetId="14" hidden="1">#REF!</definedName>
    <definedName name="XRefPaste53Row" localSheetId="17" hidden="1">#REF!</definedName>
    <definedName name="XRefPaste53Row" localSheetId="18" hidden="1">#REF!</definedName>
    <definedName name="XRefPaste53Row" localSheetId="21" hidden="1">#REF!</definedName>
    <definedName name="XRefPaste53Row" localSheetId="24" hidden="1">#REF!</definedName>
    <definedName name="XRefPaste53Row" localSheetId="22" hidden="1">#REF!</definedName>
    <definedName name="XRefPaste53Row" localSheetId="20" hidden="1">#REF!</definedName>
    <definedName name="XRefPaste53Row" hidden="1">#REF!</definedName>
    <definedName name="XRefPaste55Row" localSheetId="19" hidden="1">#REF!</definedName>
    <definedName name="XRefPaste55Row" localSheetId="16" hidden="1">#REF!</definedName>
    <definedName name="XRefPaste55Row" localSheetId="15" hidden="1">#REF!</definedName>
    <definedName name="XRefPaste55Row" localSheetId="14" hidden="1">#REF!</definedName>
    <definedName name="XRefPaste55Row" localSheetId="17" hidden="1">#REF!</definedName>
    <definedName name="XRefPaste55Row" localSheetId="18" hidden="1">#REF!</definedName>
    <definedName name="XRefPaste55Row" localSheetId="21" hidden="1">#REF!</definedName>
    <definedName name="XRefPaste55Row" localSheetId="24" hidden="1">#REF!</definedName>
    <definedName name="XRefPaste55Row" localSheetId="22" hidden="1">#REF!</definedName>
    <definedName name="XRefPaste55Row" localSheetId="20" hidden="1">#REF!</definedName>
    <definedName name="XRefPaste55Row" hidden="1">#REF!</definedName>
    <definedName name="XRefPaste56" localSheetId="19" hidden="1">#REF!</definedName>
    <definedName name="XRefPaste56" localSheetId="16" hidden="1">#REF!</definedName>
    <definedName name="XRefPaste56" localSheetId="15" hidden="1">#REF!</definedName>
    <definedName name="XRefPaste56" localSheetId="14" hidden="1">#REF!</definedName>
    <definedName name="XRefPaste56" localSheetId="17" hidden="1">#REF!</definedName>
    <definedName name="XRefPaste56" localSheetId="18" hidden="1">#REF!</definedName>
    <definedName name="XRefPaste56" localSheetId="21" hidden="1">#REF!</definedName>
    <definedName name="XRefPaste56" localSheetId="24" hidden="1">#REF!</definedName>
    <definedName name="XRefPaste56" localSheetId="22" hidden="1">#REF!</definedName>
    <definedName name="XRefPaste56" localSheetId="20" hidden="1">#REF!</definedName>
    <definedName name="XRefPaste56" hidden="1">#REF!</definedName>
    <definedName name="XRefPaste56Row" localSheetId="19" hidden="1">#REF!</definedName>
    <definedName name="XRefPaste56Row" localSheetId="16" hidden="1">#REF!</definedName>
    <definedName name="XRefPaste56Row" localSheetId="15" hidden="1">#REF!</definedName>
    <definedName name="XRefPaste56Row" localSheetId="14" hidden="1">#REF!</definedName>
    <definedName name="XRefPaste56Row" localSheetId="17" hidden="1">#REF!</definedName>
    <definedName name="XRefPaste56Row" localSheetId="18" hidden="1">#REF!</definedName>
    <definedName name="XRefPaste56Row" localSheetId="21" hidden="1">#REF!</definedName>
    <definedName name="XRefPaste56Row" localSheetId="24" hidden="1">#REF!</definedName>
    <definedName name="XRefPaste56Row" localSheetId="22" hidden="1">#REF!</definedName>
    <definedName name="XRefPaste56Row" localSheetId="20" hidden="1">#REF!</definedName>
    <definedName name="XRefPaste56Row" hidden="1">#REF!</definedName>
    <definedName name="XRefPaste57Row" localSheetId="19" hidden="1">#REF!</definedName>
    <definedName name="XRefPaste57Row" localSheetId="16" hidden="1">#REF!</definedName>
    <definedName name="XRefPaste57Row" localSheetId="15" hidden="1">#REF!</definedName>
    <definedName name="XRefPaste57Row" localSheetId="14" hidden="1">#REF!</definedName>
    <definedName name="XRefPaste57Row" localSheetId="17" hidden="1">#REF!</definedName>
    <definedName name="XRefPaste57Row" localSheetId="18" hidden="1">#REF!</definedName>
    <definedName name="XRefPaste57Row" localSheetId="21" hidden="1">#REF!</definedName>
    <definedName name="XRefPaste57Row" localSheetId="24" hidden="1">#REF!</definedName>
    <definedName name="XRefPaste57Row" localSheetId="22" hidden="1">#REF!</definedName>
    <definedName name="XRefPaste57Row" localSheetId="20" hidden="1">#REF!</definedName>
    <definedName name="XRefPaste57Row" hidden="1">#REF!</definedName>
    <definedName name="XRefPaste58Row" localSheetId="19" hidden="1">#REF!</definedName>
    <definedName name="XRefPaste58Row" localSheetId="16" hidden="1">#REF!</definedName>
    <definedName name="XRefPaste58Row" localSheetId="15" hidden="1">#REF!</definedName>
    <definedName name="XRefPaste58Row" localSheetId="14" hidden="1">#REF!</definedName>
    <definedName name="XRefPaste58Row" localSheetId="17" hidden="1">#REF!</definedName>
    <definedName name="XRefPaste58Row" localSheetId="18" hidden="1">#REF!</definedName>
    <definedName name="XRefPaste58Row" localSheetId="21" hidden="1">#REF!</definedName>
    <definedName name="XRefPaste58Row" localSheetId="24" hidden="1">#REF!</definedName>
    <definedName name="XRefPaste58Row" localSheetId="22" hidden="1">#REF!</definedName>
    <definedName name="XRefPaste58Row" localSheetId="20" hidden="1">#REF!</definedName>
    <definedName name="XRefPaste58Row" hidden="1">#REF!</definedName>
    <definedName name="XRefPaste59Row" localSheetId="19" hidden="1">#REF!</definedName>
    <definedName name="XRefPaste59Row" localSheetId="16" hidden="1">#REF!</definedName>
    <definedName name="XRefPaste59Row" localSheetId="15" hidden="1">#REF!</definedName>
    <definedName name="XRefPaste59Row" localSheetId="14" hidden="1">#REF!</definedName>
    <definedName name="XRefPaste59Row" localSheetId="17" hidden="1">#REF!</definedName>
    <definedName name="XRefPaste59Row" localSheetId="18" hidden="1">#REF!</definedName>
    <definedName name="XRefPaste59Row" localSheetId="21" hidden="1">#REF!</definedName>
    <definedName name="XRefPaste59Row" localSheetId="24" hidden="1">#REF!</definedName>
    <definedName name="XRefPaste59Row" localSheetId="22" hidden="1">#REF!</definedName>
    <definedName name="XRefPaste59Row" localSheetId="20" hidden="1">#REF!</definedName>
    <definedName name="XRefPaste59Row" hidden="1">#REF!</definedName>
    <definedName name="XRefPaste5Row" localSheetId="19" hidden="1">#REF!</definedName>
    <definedName name="XRefPaste5Row" localSheetId="16" hidden="1">#REF!</definedName>
    <definedName name="XRefPaste5Row" localSheetId="15" hidden="1">#REF!</definedName>
    <definedName name="XRefPaste5Row" localSheetId="14" hidden="1">#REF!</definedName>
    <definedName name="XRefPaste5Row" localSheetId="17" hidden="1">#REF!</definedName>
    <definedName name="XRefPaste5Row" localSheetId="18" hidden="1">#REF!</definedName>
    <definedName name="XRefPaste5Row" localSheetId="21" hidden="1">#REF!</definedName>
    <definedName name="XRefPaste5Row" localSheetId="24" hidden="1">#REF!</definedName>
    <definedName name="XRefPaste5Row" localSheetId="22" hidden="1">#REF!</definedName>
    <definedName name="XRefPaste5Row" localSheetId="20" hidden="1">#REF!</definedName>
    <definedName name="XRefPaste5Row" hidden="1">#REF!</definedName>
    <definedName name="XRefPaste6" localSheetId="19" hidden="1">#REF!</definedName>
    <definedName name="XRefPaste6" localSheetId="16" hidden="1">#REF!</definedName>
    <definedName name="XRefPaste6" localSheetId="15" hidden="1">#REF!</definedName>
    <definedName name="XRefPaste6" localSheetId="14" hidden="1">#REF!</definedName>
    <definedName name="XRefPaste6" localSheetId="17" hidden="1">#REF!</definedName>
    <definedName name="XRefPaste6" localSheetId="18" hidden="1">#REF!</definedName>
    <definedName name="XRefPaste6" localSheetId="21" hidden="1">#REF!</definedName>
    <definedName name="XRefPaste6" localSheetId="24" hidden="1">#REF!</definedName>
    <definedName name="XRefPaste6" localSheetId="22" hidden="1">#REF!</definedName>
    <definedName name="XRefPaste6" localSheetId="20" hidden="1">#REF!</definedName>
    <definedName name="XRefPaste6" hidden="1">#REF!</definedName>
    <definedName name="XRefPaste60Row" localSheetId="19" hidden="1">#REF!</definedName>
    <definedName name="XRefPaste60Row" localSheetId="16" hidden="1">#REF!</definedName>
    <definedName name="XRefPaste60Row" localSheetId="15" hidden="1">#REF!</definedName>
    <definedName name="XRefPaste60Row" localSheetId="14" hidden="1">#REF!</definedName>
    <definedName name="XRefPaste60Row" localSheetId="17" hidden="1">#REF!</definedName>
    <definedName name="XRefPaste60Row" localSheetId="18" hidden="1">#REF!</definedName>
    <definedName name="XRefPaste60Row" localSheetId="21" hidden="1">#REF!</definedName>
    <definedName name="XRefPaste60Row" localSheetId="24" hidden="1">#REF!</definedName>
    <definedName name="XRefPaste60Row" localSheetId="22" hidden="1">#REF!</definedName>
    <definedName name="XRefPaste60Row" localSheetId="20" hidden="1">#REF!</definedName>
    <definedName name="XRefPaste60Row" hidden="1">#REF!</definedName>
    <definedName name="XRefPaste61" localSheetId="19" hidden="1">#REF!</definedName>
    <definedName name="XRefPaste61" localSheetId="16" hidden="1">#REF!</definedName>
    <definedName name="XRefPaste61" localSheetId="15" hidden="1">#REF!</definedName>
    <definedName name="XRefPaste61" localSheetId="14" hidden="1">#REF!</definedName>
    <definedName name="XRefPaste61" localSheetId="17" hidden="1">#REF!</definedName>
    <definedName name="XRefPaste61" localSheetId="18" hidden="1">#REF!</definedName>
    <definedName name="XRefPaste61" localSheetId="21" hidden="1">#REF!</definedName>
    <definedName name="XRefPaste61" localSheetId="24" hidden="1">#REF!</definedName>
    <definedName name="XRefPaste61" localSheetId="22" hidden="1">#REF!</definedName>
    <definedName name="XRefPaste61" localSheetId="20" hidden="1">#REF!</definedName>
    <definedName name="XRefPaste61" hidden="1">#REF!</definedName>
    <definedName name="XRefPaste61Row" localSheetId="19" hidden="1">#REF!</definedName>
    <definedName name="XRefPaste61Row" localSheetId="16" hidden="1">#REF!</definedName>
    <definedName name="XRefPaste61Row" localSheetId="15" hidden="1">#REF!</definedName>
    <definedName name="XRefPaste61Row" localSheetId="14" hidden="1">#REF!</definedName>
    <definedName name="XRefPaste61Row" localSheetId="17" hidden="1">#REF!</definedName>
    <definedName name="XRefPaste61Row" localSheetId="18" hidden="1">#REF!</definedName>
    <definedName name="XRefPaste61Row" localSheetId="21" hidden="1">#REF!</definedName>
    <definedName name="XRefPaste61Row" localSheetId="24" hidden="1">#REF!</definedName>
    <definedName name="XRefPaste61Row" localSheetId="22" hidden="1">#REF!</definedName>
    <definedName name="XRefPaste61Row" localSheetId="20" hidden="1">#REF!</definedName>
    <definedName name="XRefPaste61Row" hidden="1">#REF!</definedName>
    <definedName name="XRefPaste62Row" localSheetId="19" hidden="1">#REF!</definedName>
    <definedName name="XRefPaste62Row" localSheetId="16" hidden="1">#REF!</definedName>
    <definedName name="XRefPaste62Row" localSheetId="15" hidden="1">#REF!</definedName>
    <definedName name="XRefPaste62Row" localSheetId="14" hidden="1">#REF!</definedName>
    <definedName name="XRefPaste62Row" localSheetId="17" hidden="1">#REF!</definedName>
    <definedName name="XRefPaste62Row" localSheetId="18" hidden="1">#REF!</definedName>
    <definedName name="XRefPaste62Row" localSheetId="21" hidden="1">#REF!</definedName>
    <definedName name="XRefPaste62Row" localSheetId="24" hidden="1">#REF!</definedName>
    <definedName name="XRefPaste62Row" localSheetId="22" hidden="1">#REF!</definedName>
    <definedName name="XRefPaste62Row" localSheetId="20" hidden="1">#REF!</definedName>
    <definedName name="XRefPaste62Row" hidden="1">#REF!</definedName>
    <definedName name="XRefPaste63Row" localSheetId="19" hidden="1">#REF!</definedName>
    <definedName name="XRefPaste63Row" localSheetId="16" hidden="1">#REF!</definedName>
    <definedName name="XRefPaste63Row" localSheetId="15" hidden="1">#REF!</definedName>
    <definedName name="XRefPaste63Row" localSheetId="14" hidden="1">#REF!</definedName>
    <definedName name="XRefPaste63Row" localSheetId="17" hidden="1">#REF!</definedName>
    <definedName name="XRefPaste63Row" localSheetId="18" hidden="1">#REF!</definedName>
    <definedName name="XRefPaste63Row" localSheetId="21" hidden="1">#REF!</definedName>
    <definedName name="XRefPaste63Row" localSheetId="24" hidden="1">#REF!</definedName>
    <definedName name="XRefPaste63Row" localSheetId="22" hidden="1">#REF!</definedName>
    <definedName name="XRefPaste63Row" localSheetId="20" hidden="1">#REF!</definedName>
    <definedName name="XRefPaste63Row" hidden="1">#REF!</definedName>
    <definedName name="XRefPaste64Row" localSheetId="19" hidden="1">#REF!</definedName>
    <definedName name="XRefPaste64Row" localSheetId="16" hidden="1">#REF!</definedName>
    <definedName name="XRefPaste64Row" localSheetId="15" hidden="1">#REF!</definedName>
    <definedName name="XRefPaste64Row" localSheetId="14" hidden="1">#REF!</definedName>
    <definedName name="XRefPaste64Row" localSheetId="17" hidden="1">#REF!</definedName>
    <definedName name="XRefPaste64Row" localSheetId="18" hidden="1">#REF!</definedName>
    <definedName name="XRefPaste64Row" localSheetId="21" hidden="1">#REF!</definedName>
    <definedName name="XRefPaste64Row" localSheetId="24" hidden="1">#REF!</definedName>
    <definedName name="XRefPaste64Row" localSheetId="22" hidden="1">#REF!</definedName>
    <definedName name="XRefPaste64Row" localSheetId="20" hidden="1">#REF!</definedName>
    <definedName name="XRefPaste64Row" hidden="1">#REF!</definedName>
    <definedName name="XRefPaste65Row" localSheetId="19" hidden="1">#REF!</definedName>
    <definedName name="XRefPaste65Row" localSheetId="16" hidden="1">#REF!</definedName>
    <definedName name="XRefPaste65Row" localSheetId="15" hidden="1">#REF!</definedName>
    <definedName name="XRefPaste65Row" localSheetId="14" hidden="1">#REF!</definedName>
    <definedName name="XRefPaste65Row" localSheetId="17" hidden="1">#REF!</definedName>
    <definedName name="XRefPaste65Row" localSheetId="18" hidden="1">#REF!</definedName>
    <definedName name="XRefPaste65Row" localSheetId="21" hidden="1">#REF!</definedName>
    <definedName name="XRefPaste65Row" localSheetId="24" hidden="1">#REF!</definedName>
    <definedName name="XRefPaste65Row" localSheetId="22" hidden="1">#REF!</definedName>
    <definedName name="XRefPaste65Row" localSheetId="20" hidden="1">#REF!</definedName>
    <definedName name="XRefPaste65Row" hidden="1">#REF!</definedName>
    <definedName name="XRefPaste66" localSheetId="19" hidden="1">#REF!</definedName>
    <definedName name="XRefPaste66" localSheetId="16" hidden="1">#REF!</definedName>
    <definedName name="XRefPaste66" localSheetId="15" hidden="1">#REF!</definedName>
    <definedName name="XRefPaste66" localSheetId="14" hidden="1">#REF!</definedName>
    <definedName name="XRefPaste66" localSheetId="17" hidden="1">#REF!</definedName>
    <definedName name="XRefPaste66" localSheetId="18" hidden="1">#REF!</definedName>
    <definedName name="XRefPaste66" localSheetId="21" hidden="1">#REF!</definedName>
    <definedName name="XRefPaste66" localSheetId="24" hidden="1">#REF!</definedName>
    <definedName name="XRefPaste66" localSheetId="22" hidden="1">#REF!</definedName>
    <definedName name="XRefPaste66" localSheetId="20" hidden="1">#REF!</definedName>
    <definedName name="XRefPaste66" hidden="1">#REF!</definedName>
    <definedName name="XRefPaste66Row" localSheetId="19" hidden="1">#REF!</definedName>
    <definedName name="XRefPaste66Row" localSheetId="16" hidden="1">#REF!</definedName>
    <definedName name="XRefPaste66Row" localSheetId="15" hidden="1">#REF!</definedName>
    <definedName name="XRefPaste66Row" localSheetId="14" hidden="1">#REF!</definedName>
    <definedName name="XRefPaste66Row" localSheetId="17" hidden="1">#REF!</definedName>
    <definedName name="XRefPaste66Row" localSheetId="18" hidden="1">#REF!</definedName>
    <definedName name="XRefPaste66Row" localSheetId="21" hidden="1">#REF!</definedName>
    <definedName name="XRefPaste66Row" localSheetId="24" hidden="1">#REF!</definedName>
    <definedName name="XRefPaste66Row" localSheetId="22" hidden="1">#REF!</definedName>
    <definedName name="XRefPaste66Row" localSheetId="20" hidden="1">#REF!</definedName>
    <definedName name="XRefPaste66Row" hidden="1">#REF!</definedName>
    <definedName name="XRefPaste67" localSheetId="19" hidden="1">#REF!</definedName>
    <definedName name="XRefPaste67" localSheetId="16" hidden="1">#REF!</definedName>
    <definedName name="XRefPaste67" localSheetId="15" hidden="1">#REF!</definedName>
    <definedName name="XRefPaste67" localSheetId="14" hidden="1">#REF!</definedName>
    <definedName name="XRefPaste67" localSheetId="17" hidden="1">#REF!</definedName>
    <definedName name="XRefPaste67" localSheetId="18" hidden="1">#REF!</definedName>
    <definedName name="XRefPaste67" localSheetId="21" hidden="1">#REF!</definedName>
    <definedName name="XRefPaste67" localSheetId="24" hidden="1">#REF!</definedName>
    <definedName name="XRefPaste67" localSheetId="22" hidden="1">#REF!</definedName>
    <definedName name="XRefPaste67" localSheetId="20" hidden="1">#REF!</definedName>
    <definedName name="XRefPaste67" hidden="1">#REF!</definedName>
    <definedName name="XRefPaste67Row" localSheetId="19" hidden="1">#REF!</definedName>
    <definedName name="XRefPaste67Row" localSheetId="16" hidden="1">#REF!</definedName>
    <definedName name="XRefPaste67Row" localSheetId="15" hidden="1">#REF!</definedName>
    <definedName name="XRefPaste67Row" localSheetId="14" hidden="1">#REF!</definedName>
    <definedName name="XRefPaste67Row" localSheetId="17" hidden="1">#REF!</definedName>
    <definedName name="XRefPaste67Row" localSheetId="18" hidden="1">#REF!</definedName>
    <definedName name="XRefPaste67Row" localSheetId="21" hidden="1">#REF!</definedName>
    <definedName name="XRefPaste67Row" localSheetId="24" hidden="1">#REF!</definedName>
    <definedName name="XRefPaste67Row" localSheetId="22" hidden="1">#REF!</definedName>
    <definedName name="XRefPaste67Row" localSheetId="20" hidden="1">#REF!</definedName>
    <definedName name="XRefPaste67Row" hidden="1">#REF!</definedName>
    <definedName name="XRefPaste68" localSheetId="19" hidden="1">#REF!</definedName>
    <definedName name="XRefPaste68" localSheetId="16" hidden="1">#REF!</definedName>
    <definedName name="XRefPaste68" localSheetId="15" hidden="1">#REF!</definedName>
    <definedName name="XRefPaste68" localSheetId="14" hidden="1">#REF!</definedName>
    <definedName name="XRefPaste68" localSheetId="17" hidden="1">#REF!</definedName>
    <definedName name="XRefPaste68" localSheetId="18" hidden="1">#REF!</definedName>
    <definedName name="XRefPaste68" localSheetId="21" hidden="1">#REF!</definedName>
    <definedName name="XRefPaste68" localSheetId="24" hidden="1">#REF!</definedName>
    <definedName name="XRefPaste68" localSheetId="22" hidden="1">#REF!</definedName>
    <definedName name="XRefPaste68" localSheetId="20" hidden="1">#REF!</definedName>
    <definedName name="XRefPaste68" hidden="1">#REF!</definedName>
    <definedName name="XRefPaste68Row" localSheetId="19" hidden="1">#REF!</definedName>
    <definedName name="XRefPaste68Row" localSheetId="16" hidden="1">#REF!</definedName>
    <definedName name="XRefPaste68Row" localSheetId="15" hidden="1">#REF!</definedName>
    <definedName name="XRefPaste68Row" localSheetId="14" hidden="1">#REF!</definedName>
    <definedName name="XRefPaste68Row" localSheetId="17" hidden="1">#REF!</definedName>
    <definedName name="XRefPaste68Row" localSheetId="18" hidden="1">#REF!</definedName>
    <definedName name="XRefPaste68Row" localSheetId="21" hidden="1">#REF!</definedName>
    <definedName name="XRefPaste68Row" localSheetId="24" hidden="1">#REF!</definedName>
    <definedName name="XRefPaste68Row" localSheetId="22" hidden="1">#REF!</definedName>
    <definedName name="XRefPaste68Row" localSheetId="20" hidden="1">#REF!</definedName>
    <definedName name="XRefPaste68Row" hidden="1">#REF!</definedName>
    <definedName name="XRefPaste69" localSheetId="19" hidden="1">#REF!</definedName>
    <definedName name="XRefPaste69" localSheetId="16" hidden="1">#REF!</definedName>
    <definedName name="XRefPaste69" localSheetId="15" hidden="1">#REF!</definedName>
    <definedName name="XRefPaste69" localSheetId="14" hidden="1">#REF!</definedName>
    <definedName name="XRefPaste69" localSheetId="17" hidden="1">#REF!</definedName>
    <definedName name="XRefPaste69" localSheetId="18" hidden="1">#REF!</definedName>
    <definedName name="XRefPaste69" localSheetId="21" hidden="1">#REF!</definedName>
    <definedName name="XRefPaste69" localSheetId="24" hidden="1">#REF!</definedName>
    <definedName name="XRefPaste69" localSheetId="22" hidden="1">#REF!</definedName>
    <definedName name="XRefPaste69" localSheetId="20" hidden="1">#REF!</definedName>
    <definedName name="XRefPaste69" hidden="1">#REF!</definedName>
    <definedName name="XRefPaste69Row" localSheetId="19" hidden="1">#REF!</definedName>
    <definedName name="XRefPaste69Row" localSheetId="16" hidden="1">#REF!</definedName>
    <definedName name="XRefPaste69Row" localSheetId="15" hidden="1">#REF!</definedName>
    <definedName name="XRefPaste69Row" localSheetId="14" hidden="1">#REF!</definedName>
    <definedName name="XRefPaste69Row" localSheetId="17" hidden="1">#REF!</definedName>
    <definedName name="XRefPaste69Row" localSheetId="18" hidden="1">#REF!</definedName>
    <definedName name="XRefPaste69Row" localSheetId="21" hidden="1">#REF!</definedName>
    <definedName name="XRefPaste69Row" localSheetId="24" hidden="1">#REF!</definedName>
    <definedName name="XRefPaste69Row" localSheetId="22" hidden="1">#REF!</definedName>
    <definedName name="XRefPaste69Row" localSheetId="20" hidden="1">#REF!</definedName>
    <definedName name="XRefPaste69Row" hidden="1">#REF!</definedName>
    <definedName name="XRefPaste6Row" localSheetId="19" hidden="1">#REF!</definedName>
    <definedName name="XRefPaste6Row" localSheetId="16" hidden="1">#REF!</definedName>
    <definedName name="XRefPaste6Row" localSheetId="15" hidden="1">#REF!</definedName>
    <definedName name="XRefPaste6Row" localSheetId="14" hidden="1">#REF!</definedName>
    <definedName name="XRefPaste6Row" localSheetId="17" hidden="1">#REF!</definedName>
    <definedName name="XRefPaste6Row" localSheetId="18" hidden="1">#REF!</definedName>
    <definedName name="XRefPaste6Row" localSheetId="21" hidden="1">#REF!</definedName>
    <definedName name="XRefPaste6Row" localSheetId="24" hidden="1">#REF!</definedName>
    <definedName name="XRefPaste6Row" localSheetId="22" hidden="1">#REF!</definedName>
    <definedName name="XRefPaste6Row" localSheetId="20" hidden="1">#REF!</definedName>
    <definedName name="XRefPaste6Row" hidden="1">#REF!</definedName>
    <definedName name="XRefPaste7" localSheetId="19" hidden="1">#REF!</definedName>
    <definedName name="XRefPaste7" localSheetId="16" hidden="1">#REF!</definedName>
    <definedName name="XRefPaste7" localSheetId="15" hidden="1">#REF!</definedName>
    <definedName name="XRefPaste7" localSheetId="14" hidden="1">#REF!</definedName>
    <definedName name="XRefPaste7" localSheetId="17" hidden="1">#REF!</definedName>
    <definedName name="XRefPaste7" localSheetId="18" hidden="1">#REF!</definedName>
    <definedName name="XRefPaste7" localSheetId="21" hidden="1">#REF!</definedName>
    <definedName name="XRefPaste7" localSheetId="24" hidden="1">#REF!</definedName>
    <definedName name="XRefPaste7" localSheetId="22" hidden="1">#REF!</definedName>
    <definedName name="XRefPaste7" localSheetId="20" hidden="1">#REF!</definedName>
    <definedName name="XRefPaste7" hidden="1">#REF!</definedName>
    <definedName name="XRefPaste70" localSheetId="19" hidden="1">#REF!</definedName>
    <definedName name="XRefPaste70" localSheetId="16" hidden="1">#REF!</definedName>
    <definedName name="XRefPaste70" localSheetId="15" hidden="1">#REF!</definedName>
    <definedName name="XRefPaste70" localSheetId="14" hidden="1">#REF!</definedName>
    <definedName name="XRefPaste70" localSheetId="17" hidden="1">#REF!</definedName>
    <definedName name="XRefPaste70" localSheetId="18" hidden="1">#REF!</definedName>
    <definedName name="XRefPaste70" localSheetId="21" hidden="1">#REF!</definedName>
    <definedName name="XRefPaste70" localSheetId="24" hidden="1">#REF!</definedName>
    <definedName name="XRefPaste70" localSheetId="22" hidden="1">#REF!</definedName>
    <definedName name="XRefPaste70" localSheetId="20" hidden="1">#REF!</definedName>
    <definedName name="XRefPaste70" hidden="1">#REF!</definedName>
    <definedName name="XRefPaste70Row" localSheetId="19" hidden="1">#REF!</definedName>
    <definedName name="XRefPaste70Row" localSheetId="16" hidden="1">#REF!</definedName>
    <definedName name="XRefPaste70Row" localSheetId="15" hidden="1">#REF!</definedName>
    <definedName name="XRefPaste70Row" localSheetId="14" hidden="1">#REF!</definedName>
    <definedName name="XRefPaste70Row" localSheetId="17" hidden="1">#REF!</definedName>
    <definedName name="XRefPaste70Row" localSheetId="18" hidden="1">#REF!</definedName>
    <definedName name="XRefPaste70Row" localSheetId="21" hidden="1">#REF!</definedName>
    <definedName name="XRefPaste70Row" localSheetId="24" hidden="1">#REF!</definedName>
    <definedName name="XRefPaste70Row" localSheetId="22" hidden="1">#REF!</definedName>
    <definedName name="XRefPaste70Row" localSheetId="20" hidden="1">#REF!</definedName>
    <definedName name="XRefPaste70Row" hidden="1">#REF!</definedName>
    <definedName name="XRefPaste71" localSheetId="19" hidden="1">#REF!</definedName>
    <definedName name="XRefPaste71" localSheetId="16" hidden="1">#REF!</definedName>
    <definedName name="XRefPaste71" localSheetId="15" hidden="1">#REF!</definedName>
    <definedName name="XRefPaste71" localSheetId="14" hidden="1">#REF!</definedName>
    <definedName name="XRefPaste71" localSheetId="17" hidden="1">#REF!</definedName>
    <definedName name="XRefPaste71" localSheetId="18" hidden="1">#REF!</definedName>
    <definedName name="XRefPaste71" localSheetId="21" hidden="1">#REF!</definedName>
    <definedName name="XRefPaste71" localSheetId="24" hidden="1">#REF!</definedName>
    <definedName name="XRefPaste71" localSheetId="22" hidden="1">#REF!</definedName>
    <definedName name="XRefPaste71" localSheetId="20" hidden="1">#REF!</definedName>
    <definedName name="XRefPaste71" hidden="1">#REF!</definedName>
    <definedName name="XRefPaste71Row" localSheetId="19" hidden="1">#REF!</definedName>
    <definedName name="XRefPaste71Row" localSheetId="16" hidden="1">#REF!</definedName>
    <definedName name="XRefPaste71Row" localSheetId="15" hidden="1">#REF!</definedName>
    <definedName name="XRefPaste71Row" localSheetId="14" hidden="1">#REF!</definedName>
    <definedName name="XRefPaste71Row" localSheetId="17" hidden="1">#REF!</definedName>
    <definedName name="XRefPaste71Row" localSheetId="18" hidden="1">#REF!</definedName>
    <definedName name="XRefPaste71Row" localSheetId="21" hidden="1">#REF!</definedName>
    <definedName name="XRefPaste71Row" localSheetId="24" hidden="1">#REF!</definedName>
    <definedName name="XRefPaste71Row" localSheetId="22" hidden="1">#REF!</definedName>
    <definedName name="XRefPaste71Row" localSheetId="20" hidden="1">#REF!</definedName>
    <definedName name="XRefPaste71Row" hidden="1">#REF!</definedName>
    <definedName name="XRefPaste72" localSheetId="19" hidden="1">#REF!</definedName>
    <definedName name="XRefPaste72" localSheetId="16" hidden="1">#REF!</definedName>
    <definedName name="XRefPaste72" localSheetId="15" hidden="1">#REF!</definedName>
    <definedName name="XRefPaste72" localSheetId="14" hidden="1">#REF!</definedName>
    <definedName name="XRefPaste72" localSheetId="17" hidden="1">#REF!</definedName>
    <definedName name="XRefPaste72" localSheetId="18" hidden="1">#REF!</definedName>
    <definedName name="XRefPaste72" localSheetId="21" hidden="1">#REF!</definedName>
    <definedName name="XRefPaste72" localSheetId="24" hidden="1">#REF!</definedName>
    <definedName name="XRefPaste72" localSheetId="22" hidden="1">#REF!</definedName>
    <definedName name="XRefPaste72" localSheetId="20" hidden="1">#REF!</definedName>
    <definedName name="XRefPaste72" hidden="1">#REF!</definedName>
    <definedName name="XRefPaste75Row" localSheetId="19" hidden="1">#REF!</definedName>
    <definedName name="XRefPaste75Row" localSheetId="16" hidden="1">#REF!</definedName>
    <definedName name="XRefPaste75Row" localSheetId="15" hidden="1">#REF!</definedName>
    <definedName name="XRefPaste75Row" localSheetId="14" hidden="1">#REF!</definedName>
    <definedName name="XRefPaste75Row" localSheetId="17" hidden="1">#REF!</definedName>
    <definedName name="XRefPaste75Row" localSheetId="18" hidden="1">#REF!</definedName>
    <definedName name="XRefPaste75Row" localSheetId="21" hidden="1">#REF!</definedName>
    <definedName name="XRefPaste75Row" localSheetId="24" hidden="1">#REF!</definedName>
    <definedName name="XRefPaste75Row" localSheetId="22" hidden="1">#REF!</definedName>
    <definedName name="XRefPaste75Row" localSheetId="20" hidden="1">#REF!</definedName>
    <definedName name="XRefPaste75Row" hidden="1">#REF!</definedName>
    <definedName name="XRefPaste7Row" localSheetId="19" hidden="1">#REF!</definedName>
    <definedName name="XRefPaste7Row" localSheetId="16" hidden="1">#REF!</definedName>
    <definedName name="XRefPaste7Row" localSheetId="15" hidden="1">#REF!</definedName>
    <definedName name="XRefPaste7Row" localSheetId="14" hidden="1">#REF!</definedName>
    <definedName name="XRefPaste7Row" localSheetId="17" hidden="1">#REF!</definedName>
    <definedName name="XRefPaste7Row" localSheetId="18" hidden="1">#REF!</definedName>
    <definedName name="XRefPaste7Row" localSheetId="21" hidden="1">#REF!</definedName>
    <definedName name="XRefPaste7Row" localSheetId="24" hidden="1">#REF!</definedName>
    <definedName name="XRefPaste7Row" localSheetId="22" hidden="1">#REF!</definedName>
    <definedName name="XRefPaste7Row" localSheetId="20" hidden="1">#REF!</definedName>
    <definedName name="XRefPaste7Row" hidden="1">#REF!</definedName>
    <definedName name="XRefPaste8" localSheetId="19" hidden="1">#REF!</definedName>
    <definedName name="XRefPaste8" localSheetId="16" hidden="1">#REF!</definedName>
    <definedName name="XRefPaste8" localSheetId="15" hidden="1">#REF!</definedName>
    <definedName name="XRefPaste8" localSheetId="14" hidden="1">#REF!</definedName>
    <definedName name="XRefPaste8" localSheetId="17" hidden="1">#REF!</definedName>
    <definedName name="XRefPaste8" localSheetId="18" hidden="1">#REF!</definedName>
    <definedName name="XRefPaste8" localSheetId="21" hidden="1">#REF!</definedName>
    <definedName name="XRefPaste8" localSheetId="24" hidden="1">#REF!</definedName>
    <definedName name="XRefPaste8" localSheetId="22" hidden="1">#REF!</definedName>
    <definedName name="XRefPaste8" localSheetId="20" hidden="1">#REF!</definedName>
    <definedName name="XRefPaste8" hidden="1">#REF!</definedName>
    <definedName name="XRefPaste85Row" localSheetId="19" hidden="1">#REF!</definedName>
    <definedName name="XRefPaste85Row" localSheetId="16" hidden="1">#REF!</definedName>
    <definedName name="XRefPaste85Row" localSheetId="15" hidden="1">#REF!</definedName>
    <definedName name="XRefPaste85Row" localSheetId="14" hidden="1">#REF!</definedName>
    <definedName name="XRefPaste85Row" localSheetId="17" hidden="1">#REF!</definedName>
    <definedName name="XRefPaste85Row" localSheetId="18" hidden="1">#REF!</definedName>
    <definedName name="XRefPaste85Row" localSheetId="21" hidden="1">#REF!</definedName>
    <definedName name="XRefPaste85Row" localSheetId="24" hidden="1">#REF!</definedName>
    <definedName name="XRefPaste85Row" localSheetId="22" hidden="1">#REF!</definedName>
    <definedName name="XRefPaste85Row" localSheetId="20" hidden="1">#REF!</definedName>
    <definedName name="XRefPaste85Row" hidden="1">#REF!</definedName>
    <definedName name="XRefPaste88" localSheetId="19" hidden="1">#REF!</definedName>
    <definedName name="XRefPaste88" localSheetId="16" hidden="1">#REF!</definedName>
    <definedName name="XRefPaste88" localSheetId="15" hidden="1">#REF!</definedName>
    <definedName name="XRefPaste88" localSheetId="14" hidden="1">#REF!</definedName>
    <definedName name="XRefPaste88" localSheetId="17" hidden="1">#REF!</definedName>
    <definedName name="XRefPaste88" localSheetId="18" hidden="1">#REF!</definedName>
    <definedName name="XRefPaste88" localSheetId="21" hidden="1">#REF!</definedName>
    <definedName name="XRefPaste88" localSheetId="24" hidden="1">#REF!</definedName>
    <definedName name="XRefPaste88" localSheetId="22" hidden="1">#REF!</definedName>
    <definedName name="XRefPaste88" localSheetId="20" hidden="1">#REF!</definedName>
    <definedName name="XRefPaste88" hidden="1">#REF!</definedName>
    <definedName name="XRefPaste89" localSheetId="19" hidden="1">#REF!</definedName>
    <definedName name="XRefPaste89" localSheetId="16" hidden="1">#REF!</definedName>
    <definedName name="XRefPaste89" localSheetId="15" hidden="1">#REF!</definedName>
    <definedName name="XRefPaste89" localSheetId="14" hidden="1">#REF!</definedName>
    <definedName name="XRefPaste89" localSheetId="17" hidden="1">#REF!</definedName>
    <definedName name="XRefPaste89" localSheetId="18" hidden="1">#REF!</definedName>
    <definedName name="XRefPaste89" localSheetId="21" hidden="1">#REF!</definedName>
    <definedName name="XRefPaste89" localSheetId="24" hidden="1">#REF!</definedName>
    <definedName name="XRefPaste89" localSheetId="22" hidden="1">#REF!</definedName>
    <definedName name="XRefPaste89" localSheetId="20" hidden="1">#REF!</definedName>
    <definedName name="XRefPaste89" hidden="1">#REF!</definedName>
    <definedName name="XRefPaste89Row" localSheetId="19" hidden="1">#REF!</definedName>
    <definedName name="XRefPaste89Row" localSheetId="16" hidden="1">#REF!</definedName>
    <definedName name="XRefPaste89Row" localSheetId="15" hidden="1">#REF!</definedName>
    <definedName name="XRefPaste89Row" localSheetId="14" hidden="1">#REF!</definedName>
    <definedName name="XRefPaste89Row" localSheetId="17" hidden="1">#REF!</definedName>
    <definedName name="XRefPaste89Row" localSheetId="18" hidden="1">#REF!</definedName>
    <definedName name="XRefPaste89Row" localSheetId="21" hidden="1">#REF!</definedName>
    <definedName name="XRefPaste89Row" localSheetId="24" hidden="1">#REF!</definedName>
    <definedName name="XRefPaste89Row" localSheetId="22" hidden="1">#REF!</definedName>
    <definedName name="XRefPaste89Row" localSheetId="20" hidden="1">#REF!</definedName>
    <definedName name="XRefPaste89Row" hidden="1">#REF!</definedName>
    <definedName name="XRefPaste8Row" localSheetId="19" hidden="1">#REF!</definedName>
    <definedName name="XRefPaste8Row" localSheetId="16" hidden="1">#REF!</definedName>
    <definedName name="XRefPaste8Row" localSheetId="15" hidden="1">#REF!</definedName>
    <definedName name="XRefPaste8Row" localSheetId="14" hidden="1">#REF!</definedName>
    <definedName name="XRefPaste8Row" localSheetId="17" hidden="1">#REF!</definedName>
    <definedName name="XRefPaste8Row" localSheetId="18" hidden="1">#REF!</definedName>
    <definedName name="XRefPaste8Row" localSheetId="21" hidden="1">#REF!</definedName>
    <definedName name="XRefPaste8Row" localSheetId="24" hidden="1">#REF!</definedName>
    <definedName name="XRefPaste8Row" localSheetId="22" hidden="1">#REF!</definedName>
    <definedName name="XRefPaste8Row" localSheetId="20" hidden="1">#REF!</definedName>
    <definedName name="XRefPaste8Row" hidden="1">#REF!</definedName>
    <definedName name="XRefPaste9" localSheetId="19" hidden="1">#REF!</definedName>
    <definedName name="XRefPaste9" localSheetId="16" hidden="1">#REF!</definedName>
    <definedName name="XRefPaste9" localSheetId="15" hidden="1">#REF!</definedName>
    <definedName name="XRefPaste9" localSheetId="14" hidden="1">#REF!</definedName>
    <definedName name="XRefPaste9" localSheetId="17" hidden="1">#REF!</definedName>
    <definedName name="XRefPaste9" localSheetId="18" hidden="1">#REF!</definedName>
    <definedName name="XRefPaste9" localSheetId="21" hidden="1">#REF!</definedName>
    <definedName name="XRefPaste9" localSheetId="24" hidden="1">#REF!</definedName>
    <definedName name="XRefPaste9" localSheetId="22" hidden="1">#REF!</definedName>
    <definedName name="XRefPaste9" localSheetId="20" hidden="1">#REF!</definedName>
    <definedName name="XRefPaste9" hidden="1">#REF!</definedName>
    <definedName name="XRefPaste90" localSheetId="19" hidden="1">#REF!</definedName>
    <definedName name="XRefPaste90" localSheetId="16" hidden="1">#REF!</definedName>
    <definedName name="XRefPaste90" localSheetId="15" hidden="1">#REF!</definedName>
    <definedName name="XRefPaste90" localSheetId="14" hidden="1">#REF!</definedName>
    <definedName name="XRefPaste90" localSheetId="17" hidden="1">#REF!</definedName>
    <definedName name="XRefPaste90" localSheetId="18" hidden="1">#REF!</definedName>
    <definedName name="XRefPaste90" localSheetId="21" hidden="1">#REF!</definedName>
    <definedName name="XRefPaste90" localSheetId="24" hidden="1">#REF!</definedName>
    <definedName name="XRefPaste90" localSheetId="22" hidden="1">#REF!</definedName>
    <definedName name="XRefPaste90" localSheetId="20" hidden="1">#REF!</definedName>
    <definedName name="XRefPaste90" hidden="1">#REF!</definedName>
    <definedName name="XRefPaste90Row" localSheetId="19" hidden="1">#REF!</definedName>
    <definedName name="XRefPaste90Row" localSheetId="16" hidden="1">#REF!</definedName>
    <definedName name="XRefPaste90Row" localSheetId="15" hidden="1">#REF!</definedName>
    <definedName name="XRefPaste90Row" localSheetId="14" hidden="1">#REF!</definedName>
    <definedName name="XRefPaste90Row" localSheetId="17" hidden="1">#REF!</definedName>
    <definedName name="XRefPaste90Row" localSheetId="18" hidden="1">#REF!</definedName>
    <definedName name="XRefPaste90Row" localSheetId="21" hidden="1">#REF!</definedName>
    <definedName name="XRefPaste90Row" localSheetId="24" hidden="1">#REF!</definedName>
    <definedName name="XRefPaste90Row" localSheetId="22" hidden="1">#REF!</definedName>
    <definedName name="XRefPaste90Row" localSheetId="20" hidden="1">#REF!</definedName>
    <definedName name="XRefPaste90Row" hidden="1">#REF!</definedName>
    <definedName name="XRefPaste91" localSheetId="19" hidden="1">#REF!</definedName>
    <definedName name="XRefPaste91" localSheetId="16" hidden="1">#REF!</definedName>
    <definedName name="XRefPaste91" localSheetId="15" hidden="1">#REF!</definedName>
    <definedName name="XRefPaste91" localSheetId="14" hidden="1">#REF!</definedName>
    <definedName name="XRefPaste91" localSheetId="17" hidden="1">#REF!</definedName>
    <definedName name="XRefPaste91" localSheetId="18" hidden="1">#REF!</definedName>
    <definedName name="XRefPaste91" localSheetId="21" hidden="1">#REF!</definedName>
    <definedName name="XRefPaste91" localSheetId="24" hidden="1">#REF!</definedName>
    <definedName name="XRefPaste91" localSheetId="22" hidden="1">#REF!</definedName>
    <definedName name="XRefPaste91" localSheetId="20" hidden="1">#REF!</definedName>
    <definedName name="XRefPaste91" hidden="1">#REF!</definedName>
    <definedName name="XRefPaste91Row" localSheetId="19" hidden="1">#REF!</definedName>
    <definedName name="XRefPaste91Row" localSheetId="16" hidden="1">#REF!</definedName>
    <definedName name="XRefPaste91Row" localSheetId="15" hidden="1">#REF!</definedName>
    <definedName name="XRefPaste91Row" localSheetId="14" hidden="1">#REF!</definedName>
    <definedName name="XRefPaste91Row" localSheetId="17" hidden="1">#REF!</definedName>
    <definedName name="XRefPaste91Row" localSheetId="18" hidden="1">#REF!</definedName>
    <definedName name="XRefPaste91Row" localSheetId="21" hidden="1">#REF!</definedName>
    <definedName name="XRefPaste91Row" localSheetId="24" hidden="1">#REF!</definedName>
    <definedName name="XRefPaste91Row" localSheetId="22" hidden="1">#REF!</definedName>
    <definedName name="XRefPaste91Row" localSheetId="20" hidden="1">#REF!</definedName>
    <definedName name="XRefPaste91Row" hidden="1">#REF!</definedName>
    <definedName name="XRefPaste92" localSheetId="19" hidden="1">#REF!</definedName>
    <definedName name="XRefPaste92" localSheetId="16" hidden="1">#REF!</definedName>
    <definedName name="XRefPaste92" localSheetId="15" hidden="1">#REF!</definedName>
    <definedName name="XRefPaste92" localSheetId="14" hidden="1">#REF!</definedName>
    <definedName name="XRefPaste92" localSheetId="17" hidden="1">#REF!</definedName>
    <definedName name="XRefPaste92" localSheetId="18" hidden="1">#REF!</definedName>
    <definedName name="XRefPaste92" localSheetId="21" hidden="1">#REF!</definedName>
    <definedName name="XRefPaste92" localSheetId="24" hidden="1">#REF!</definedName>
    <definedName name="XRefPaste92" localSheetId="22" hidden="1">#REF!</definedName>
    <definedName name="XRefPaste92" localSheetId="20" hidden="1">#REF!</definedName>
    <definedName name="XRefPaste92" hidden="1">#REF!</definedName>
    <definedName name="XRefPaste92Row" localSheetId="19" hidden="1">#REF!</definedName>
    <definedName name="XRefPaste92Row" localSheetId="16" hidden="1">#REF!</definedName>
    <definedName name="XRefPaste92Row" localSheetId="15" hidden="1">#REF!</definedName>
    <definedName name="XRefPaste92Row" localSheetId="14" hidden="1">#REF!</definedName>
    <definedName name="XRefPaste92Row" localSheetId="17" hidden="1">#REF!</definedName>
    <definedName name="XRefPaste92Row" localSheetId="18" hidden="1">#REF!</definedName>
    <definedName name="XRefPaste92Row" localSheetId="21" hidden="1">#REF!</definedName>
    <definedName name="XRefPaste92Row" localSheetId="24" hidden="1">#REF!</definedName>
    <definedName name="XRefPaste92Row" localSheetId="22" hidden="1">#REF!</definedName>
    <definedName name="XRefPaste92Row" localSheetId="20" hidden="1">#REF!</definedName>
    <definedName name="XRefPaste92Row" hidden="1">#REF!</definedName>
    <definedName name="XRefPaste93" localSheetId="19" hidden="1">#REF!</definedName>
    <definedName name="XRefPaste93" localSheetId="16" hidden="1">#REF!</definedName>
    <definedName name="XRefPaste93" localSheetId="15" hidden="1">#REF!</definedName>
    <definedName name="XRefPaste93" localSheetId="14" hidden="1">#REF!</definedName>
    <definedName name="XRefPaste93" localSheetId="17" hidden="1">#REF!</definedName>
    <definedName name="XRefPaste93" localSheetId="18" hidden="1">#REF!</definedName>
    <definedName name="XRefPaste93" localSheetId="21" hidden="1">#REF!</definedName>
    <definedName name="XRefPaste93" localSheetId="24" hidden="1">#REF!</definedName>
    <definedName name="XRefPaste93" localSheetId="22" hidden="1">#REF!</definedName>
    <definedName name="XRefPaste93" localSheetId="20" hidden="1">#REF!</definedName>
    <definedName name="XRefPaste93" hidden="1">#REF!</definedName>
    <definedName name="XRefPaste93Row" localSheetId="19" hidden="1">#REF!</definedName>
    <definedName name="XRefPaste93Row" localSheetId="16" hidden="1">#REF!</definedName>
    <definedName name="XRefPaste93Row" localSheetId="15" hidden="1">#REF!</definedName>
    <definedName name="XRefPaste93Row" localSheetId="14" hidden="1">#REF!</definedName>
    <definedName name="XRefPaste93Row" localSheetId="17" hidden="1">#REF!</definedName>
    <definedName name="XRefPaste93Row" localSheetId="18" hidden="1">#REF!</definedName>
    <definedName name="XRefPaste93Row" localSheetId="21" hidden="1">#REF!</definedName>
    <definedName name="XRefPaste93Row" localSheetId="24" hidden="1">#REF!</definedName>
    <definedName name="XRefPaste93Row" localSheetId="22" hidden="1">#REF!</definedName>
    <definedName name="XRefPaste93Row" localSheetId="20" hidden="1">#REF!</definedName>
    <definedName name="XRefPaste93Row" hidden="1">#REF!</definedName>
    <definedName name="XRefPaste94" localSheetId="19" hidden="1">#REF!</definedName>
    <definedName name="XRefPaste94" localSheetId="16" hidden="1">#REF!</definedName>
    <definedName name="XRefPaste94" localSheetId="15" hidden="1">#REF!</definedName>
    <definedName name="XRefPaste94" localSheetId="14" hidden="1">#REF!</definedName>
    <definedName name="XRefPaste94" localSheetId="17" hidden="1">#REF!</definedName>
    <definedName name="XRefPaste94" localSheetId="18" hidden="1">#REF!</definedName>
    <definedName name="XRefPaste94" localSheetId="21" hidden="1">#REF!</definedName>
    <definedName name="XRefPaste94" localSheetId="24" hidden="1">#REF!</definedName>
    <definedName name="XRefPaste94" localSheetId="22" hidden="1">#REF!</definedName>
    <definedName name="XRefPaste94" localSheetId="20" hidden="1">#REF!</definedName>
    <definedName name="XRefPaste94" hidden="1">#REF!</definedName>
    <definedName name="XRefPaste94Row" localSheetId="19" hidden="1">#REF!</definedName>
    <definedName name="XRefPaste94Row" localSheetId="16" hidden="1">#REF!</definedName>
    <definedName name="XRefPaste94Row" localSheetId="15" hidden="1">#REF!</definedName>
    <definedName name="XRefPaste94Row" localSheetId="14" hidden="1">#REF!</definedName>
    <definedName name="XRefPaste94Row" localSheetId="17" hidden="1">#REF!</definedName>
    <definedName name="XRefPaste94Row" localSheetId="18" hidden="1">#REF!</definedName>
    <definedName name="XRefPaste94Row" localSheetId="21" hidden="1">#REF!</definedName>
    <definedName name="XRefPaste94Row" localSheetId="24" hidden="1">#REF!</definedName>
    <definedName name="XRefPaste94Row" localSheetId="22" hidden="1">#REF!</definedName>
    <definedName name="XRefPaste94Row" localSheetId="20" hidden="1">#REF!</definedName>
    <definedName name="XRefPaste94Row" hidden="1">#REF!</definedName>
    <definedName name="XRefPaste95" localSheetId="19" hidden="1">#REF!</definedName>
    <definedName name="XRefPaste95" localSheetId="16" hidden="1">#REF!</definedName>
    <definedName name="XRefPaste95" localSheetId="15" hidden="1">#REF!</definedName>
    <definedName name="XRefPaste95" localSheetId="14" hidden="1">#REF!</definedName>
    <definedName name="XRefPaste95" localSheetId="17" hidden="1">#REF!</definedName>
    <definedName name="XRefPaste95" localSheetId="18" hidden="1">#REF!</definedName>
    <definedName name="XRefPaste95" localSheetId="21" hidden="1">#REF!</definedName>
    <definedName name="XRefPaste95" localSheetId="24" hidden="1">#REF!</definedName>
    <definedName name="XRefPaste95" localSheetId="22" hidden="1">#REF!</definedName>
    <definedName name="XRefPaste95" localSheetId="20" hidden="1">#REF!</definedName>
    <definedName name="XRefPaste95" hidden="1">#REF!</definedName>
    <definedName name="XRefPaste95Row" localSheetId="19" hidden="1">#REF!</definedName>
    <definedName name="XRefPaste95Row" localSheetId="16" hidden="1">#REF!</definedName>
    <definedName name="XRefPaste95Row" localSheetId="15" hidden="1">#REF!</definedName>
    <definedName name="XRefPaste95Row" localSheetId="14" hidden="1">#REF!</definedName>
    <definedName name="XRefPaste95Row" localSheetId="17" hidden="1">#REF!</definedName>
    <definedName name="XRefPaste95Row" localSheetId="18" hidden="1">#REF!</definedName>
    <definedName name="XRefPaste95Row" localSheetId="21" hidden="1">#REF!</definedName>
    <definedName name="XRefPaste95Row" localSheetId="24" hidden="1">#REF!</definedName>
    <definedName name="XRefPaste95Row" localSheetId="22" hidden="1">#REF!</definedName>
    <definedName name="XRefPaste95Row" localSheetId="20" hidden="1">#REF!</definedName>
    <definedName name="XRefPaste95Row" hidden="1">#REF!</definedName>
    <definedName name="XRefPaste98" localSheetId="19" hidden="1">#REF!</definedName>
    <definedName name="XRefPaste98" localSheetId="16" hidden="1">#REF!</definedName>
    <definedName name="XRefPaste98" localSheetId="15" hidden="1">#REF!</definedName>
    <definedName name="XRefPaste98" localSheetId="14" hidden="1">#REF!</definedName>
    <definedName name="XRefPaste98" localSheetId="17" hidden="1">#REF!</definedName>
    <definedName name="XRefPaste98" localSheetId="18" hidden="1">#REF!</definedName>
    <definedName name="XRefPaste98" localSheetId="21" hidden="1">#REF!</definedName>
    <definedName name="XRefPaste98" localSheetId="24" hidden="1">#REF!</definedName>
    <definedName name="XRefPaste98" localSheetId="22" hidden="1">#REF!</definedName>
    <definedName name="XRefPaste98" localSheetId="20" hidden="1">#REF!</definedName>
    <definedName name="XRefPaste98" hidden="1">#REF!</definedName>
    <definedName name="XRefPaste98Row" localSheetId="19" hidden="1">#REF!</definedName>
    <definedName name="XRefPaste98Row" localSheetId="16" hidden="1">#REF!</definedName>
    <definedName name="XRefPaste98Row" localSheetId="15" hidden="1">#REF!</definedName>
    <definedName name="XRefPaste98Row" localSheetId="14" hidden="1">#REF!</definedName>
    <definedName name="XRefPaste98Row" localSheetId="17" hidden="1">#REF!</definedName>
    <definedName name="XRefPaste98Row" localSheetId="18" hidden="1">#REF!</definedName>
    <definedName name="XRefPaste98Row" localSheetId="21" hidden="1">#REF!</definedName>
    <definedName name="XRefPaste98Row" localSheetId="24" hidden="1">#REF!</definedName>
    <definedName name="XRefPaste98Row" localSheetId="22" hidden="1">#REF!</definedName>
    <definedName name="XRefPaste98Row" localSheetId="20" hidden="1">#REF!</definedName>
    <definedName name="XRefPaste98Row" hidden="1">#REF!</definedName>
    <definedName name="XRefPaste99" localSheetId="19" hidden="1">#REF!</definedName>
    <definedName name="XRefPaste99" localSheetId="16" hidden="1">#REF!</definedName>
    <definedName name="XRefPaste99" localSheetId="15" hidden="1">#REF!</definedName>
    <definedName name="XRefPaste99" localSheetId="14" hidden="1">#REF!</definedName>
    <definedName name="XRefPaste99" localSheetId="17" hidden="1">#REF!</definedName>
    <definedName name="XRefPaste99" localSheetId="18" hidden="1">#REF!</definedName>
    <definedName name="XRefPaste99" localSheetId="21" hidden="1">#REF!</definedName>
    <definedName name="XRefPaste99" localSheetId="24" hidden="1">#REF!</definedName>
    <definedName name="XRefPaste99" localSheetId="22" hidden="1">#REF!</definedName>
    <definedName name="XRefPaste99" localSheetId="20" hidden="1">#REF!</definedName>
    <definedName name="XRefPaste99" hidden="1">#REF!</definedName>
    <definedName name="XRefPaste99Row" localSheetId="19" hidden="1">#REF!</definedName>
    <definedName name="XRefPaste99Row" localSheetId="16" hidden="1">#REF!</definedName>
    <definedName name="XRefPaste99Row" localSheetId="15" hidden="1">#REF!</definedName>
    <definedName name="XRefPaste99Row" localSheetId="14" hidden="1">#REF!</definedName>
    <definedName name="XRefPaste99Row" localSheetId="17" hidden="1">#REF!</definedName>
    <definedName name="XRefPaste99Row" localSheetId="18" hidden="1">#REF!</definedName>
    <definedName name="XRefPaste99Row" localSheetId="21" hidden="1">#REF!</definedName>
    <definedName name="XRefPaste99Row" localSheetId="24" hidden="1">#REF!</definedName>
    <definedName name="XRefPaste99Row" localSheetId="22" hidden="1">#REF!</definedName>
    <definedName name="XRefPaste99Row" localSheetId="20" hidden="1">#REF!</definedName>
    <definedName name="XRefPaste99Row" hidden="1">#REF!</definedName>
    <definedName name="XRefPaste9Row" localSheetId="19" hidden="1">#REF!</definedName>
    <definedName name="XRefPaste9Row" localSheetId="16" hidden="1">#REF!</definedName>
    <definedName name="XRefPaste9Row" localSheetId="15" hidden="1">#REF!</definedName>
    <definedName name="XRefPaste9Row" localSheetId="14" hidden="1">#REF!</definedName>
    <definedName name="XRefPaste9Row" localSheetId="17" hidden="1">#REF!</definedName>
    <definedName name="XRefPaste9Row" localSheetId="18" hidden="1">#REF!</definedName>
    <definedName name="XRefPaste9Row" localSheetId="21" hidden="1">#REF!</definedName>
    <definedName name="XRefPaste9Row" localSheetId="24" hidden="1">#REF!</definedName>
    <definedName name="XRefPaste9Row" localSheetId="22" hidden="1">#REF!</definedName>
    <definedName name="XRefPaste9Row" localSheetId="20" hidden="1">#REF!</definedName>
    <definedName name="XRefPaste9Row" hidden="1">#REF!</definedName>
    <definedName name="XRefPasteRangeCount" hidden="1">3</definedName>
    <definedName name="xvc" hidden="1">{#N/A,#N/A,FALSE,"Graficos";#N/A,#N/A,FALSE,"P.Ingresos";#N/A,#N/A,FALSE,"P.Gastos";#N/A,#N/A,FALSE,"I.Trafico";#N/A,#N/A,FALSE,"I.Peajes";#N/A,#N/A,FALSE,"G.Operativos";#N/A,#N/A,FALSE,"Cf Proyecto";#N/A,#N/A,FALSE,"C.PYG";#N/A,#N/A,FALSE,"Balance";#N/A,#N/A,FALSE,"TIR AC";#N/A,#N/A,FALSE,"TIR E"}</definedName>
    <definedName name="xxx" hidden="1">{#N/A,#N/A,FALSE,"Graficos";#N/A,#N/A,FALSE,"P.Ingresos";#N/A,#N/A,FALSE,"P.Gastos";#N/A,#N/A,FALSE,"I.Trafico";#N/A,#N/A,FALSE,"I.Peajes";#N/A,#N/A,FALSE,"G.Operativos";#N/A,#N/A,FALSE,"Cf Proyecto";#N/A,#N/A,FALSE,"C.PYG";#N/A,#N/A,FALSE,"Balance";#N/A,#N/A,FALSE,"TIR AC";#N/A,#N/A,FALSE,"TIR E"}</definedName>
    <definedName name="xxxx" localSheetId="19" hidden="1">#REF!</definedName>
    <definedName name="xxxx" localSheetId="16" hidden="1">#REF!</definedName>
    <definedName name="xxxx" localSheetId="15" hidden="1">#REF!</definedName>
    <definedName name="xxxx" localSheetId="14" hidden="1">#REF!</definedName>
    <definedName name="xxxx" localSheetId="17" hidden="1">#REF!</definedName>
    <definedName name="xxxx" localSheetId="18" hidden="1">#REF!</definedName>
    <definedName name="xxxx" localSheetId="21" hidden="1">#REF!</definedName>
    <definedName name="xxxx" localSheetId="24" hidden="1">#REF!</definedName>
    <definedName name="xxxx" localSheetId="22" hidden="1">#REF!</definedName>
    <definedName name="xxxx" localSheetId="20" hidden="1">#REF!</definedName>
    <definedName name="xxxx" hidden="1">#REF!</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JJYJ"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tukyu" hidden="1">{#N/A,#N/A,FALSE,"Graficos";#N/A,#N/A,FALSE,"P.Ingresos";#N/A,#N/A,FALSE,"P.Gastos";#N/A,#N/A,FALSE,"I.Trafico";#N/A,#N/A,FALSE,"I.Peajes";#N/A,#N/A,FALSE,"G.Operativos";#N/A,#N/A,FALSE,"Cf Proyecto";#N/A,#N/A,FALSE,"C.PYG";#N/A,#N/A,FALSE,"Balance";#N/A,#N/A,FALSE,"TIR AC";#N/A,#N/A,FALSE,"TIR E"}</definedName>
    <definedName name="yujryuj" hidden="1">{#N/A,#N/A,FALSE,"Graficos";#N/A,#N/A,FALSE,"P.Ingresos";#N/A,#N/A,FALSE,"P.Gastos";#N/A,#N/A,FALSE,"I.Trafico";#N/A,#N/A,FALSE,"I.Peajes";#N/A,#N/A,FALSE,"G.Operativos";#N/A,#N/A,FALSE,"Cf Proyecto";#N/A,#N/A,FALSE,"C.PYG";#N/A,#N/A,FALSE,"Balance";#N/A,#N/A,FALSE,"TIR AC";#N/A,#N/A,FALSE,"TIR E"}</definedName>
    <definedName name="yy" localSheetId="19" hidden="1">#REF!</definedName>
    <definedName name="yy" localSheetId="16" hidden="1">#REF!</definedName>
    <definedName name="yy" localSheetId="15" hidden="1">#REF!</definedName>
    <definedName name="yy" localSheetId="14" hidden="1">#REF!</definedName>
    <definedName name="yy" localSheetId="17" hidden="1">#REF!</definedName>
    <definedName name="yy" localSheetId="18" hidden="1">#REF!</definedName>
    <definedName name="yy" localSheetId="21" hidden="1">#REF!</definedName>
    <definedName name="yy" localSheetId="24" hidden="1">#REF!</definedName>
    <definedName name="yy" localSheetId="22" hidden="1">#REF!</definedName>
    <definedName name="yy" localSheetId="20" hidden="1">#REF!</definedName>
    <definedName name="yy" hidden="1">#REF!</definedName>
    <definedName name="z\" localSheetId="19" hidden="1">#REF!</definedName>
    <definedName name="z\" localSheetId="16" hidden="1">#REF!</definedName>
    <definedName name="z\" localSheetId="7" hidden="1">#REF!</definedName>
    <definedName name="z\" localSheetId="15" hidden="1">#REF!</definedName>
    <definedName name="z\" localSheetId="14" hidden="1">#REF!</definedName>
    <definedName name="z\" localSheetId="17" hidden="1">#REF!</definedName>
    <definedName name="z\" localSheetId="18" hidden="1">#REF!</definedName>
    <definedName name="z\" localSheetId="21" hidden="1">#REF!</definedName>
    <definedName name="z\" localSheetId="24" hidden="1">#REF!</definedName>
    <definedName name="z\" localSheetId="22" hidden="1">#REF!</definedName>
    <definedName name="z\" localSheetId="20" hidden="1">#REF!</definedName>
    <definedName name="z\" hidden="1">#REF!</definedName>
    <definedName name="zaza" hidden="1">{#N/A,#N/A,FALSE,"MO (2)"}</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FLHDSZLGKJ" localSheetId="19" hidden="1">#REF!</definedName>
    <definedName name="ZFLHDSZLGKJ" localSheetId="16" hidden="1">#REF!</definedName>
    <definedName name="ZFLHDSZLGKJ" localSheetId="15" hidden="1">#REF!</definedName>
    <definedName name="ZFLHDSZLGKJ" localSheetId="14" hidden="1">#REF!</definedName>
    <definedName name="ZFLHDSZLGKJ" localSheetId="17" hidden="1">#REF!</definedName>
    <definedName name="ZFLHDSZLGKJ" localSheetId="18" hidden="1">#REF!</definedName>
    <definedName name="ZFLHDSZLGKJ" localSheetId="21" hidden="1">#REF!</definedName>
    <definedName name="ZFLHDSZLGKJ" localSheetId="24" hidden="1">#REF!</definedName>
    <definedName name="ZFLHDSZLGKJ" localSheetId="22" hidden="1">#REF!</definedName>
    <definedName name="ZFLHDSZLGKJ" localSheetId="20" hidden="1">#REF!</definedName>
    <definedName name="ZFLHDSZLGKJ" hidden="1">#REF!</definedName>
    <definedName name="zg" hidden="1">#REF!</definedName>
    <definedName name="zk" hidden="1">#REF!</definedName>
    <definedName name="zo" hidden="1">#REF!</definedName>
    <definedName name="ZS" localSheetId="19" hidden="1">#REF!</definedName>
    <definedName name="ZS" localSheetId="16" hidden="1">#REF!</definedName>
    <definedName name="ZS" localSheetId="15" hidden="1">#REF!</definedName>
    <definedName name="ZS" localSheetId="14" hidden="1">#REF!</definedName>
    <definedName name="ZS" localSheetId="17" hidden="1">#REF!</definedName>
    <definedName name="ZS" localSheetId="18" hidden="1">#REF!</definedName>
    <definedName name="ZS" localSheetId="21" hidden="1">#REF!</definedName>
    <definedName name="ZS" localSheetId="24" hidden="1">#REF!</definedName>
    <definedName name="ZS" localSheetId="22" hidden="1">#REF!</definedName>
    <definedName name="ZS" localSheetId="20" hidden="1">#REF!</definedName>
    <definedName name="ZS" hidden="1">#REF!</definedName>
    <definedName name="zx" hidden="1">{"Pèrdues i Guanys analític.Català",#N/A,FALSE,"Català";"Pèrdues i G. analític.castellà",#N/A,FALSE,"Castellà"}</definedName>
    <definedName name="zz" hidden="1">{"Pèrdues i Guanys analític.Català",#N/A,FALSE,"Català";"Pèrdues i G. analític.castellà",#N/A,FALSE,"Castellà"}</definedName>
    <definedName name="zzz" hidden="1">#REF!</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95" l="1"/>
  <c r="C24" i="96"/>
  <c r="P48" i="22"/>
  <c r="Q48" i="22"/>
  <c r="R48" i="22"/>
  <c r="S48" i="22"/>
  <c r="P34" i="22"/>
  <c r="Q34" i="22"/>
  <c r="R34" i="22"/>
  <c r="S34" i="22"/>
  <c r="S58" i="22"/>
  <c r="R58" i="22"/>
  <c r="Q58" i="22"/>
  <c r="P58" i="22"/>
  <c r="O58" i="22"/>
  <c r="M58" i="22"/>
  <c r="W58" i="22" s="1"/>
  <c r="S57" i="22"/>
  <c r="R57" i="22"/>
  <c r="Q57" i="22"/>
  <c r="P57" i="22"/>
  <c r="O57" i="22"/>
  <c r="M57" i="22"/>
  <c r="W57" i="22" s="1"/>
  <c r="S56" i="22"/>
  <c r="R56" i="22"/>
  <c r="Q56" i="22"/>
  <c r="P56" i="22"/>
  <c r="O56" i="22"/>
  <c r="M56" i="22"/>
  <c r="W56" i="22" s="1"/>
  <c r="S55" i="22"/>
  <c r="R55" i="22"/>
  <c r="Q55" i="22"/>
  <c r="P55" i="22"/>
  <c r="O55" i="22"/>
  <c r="M55" i="22"/>
  <c r="W55" i="22" s="1"/>
  <c r="S54" i="22"/>
  <c r="R54" i="22"/>
  <c r="Q54" i="22"/>
  <c r="P54" i="22"/>
  <c r="O54" i="22"/>
  <c r="M54" i="22"/>
  <c r="W54" i="22" s="1"/>
  <c r="S53" i="22"/>
  <c r="R53" i="22"/>
  <c r="Q53" i="22"/>
  <c r="P53" i="22"/>
  <c r="O53" i="22"/>
  <c r="M53" i="22"/>
  <c r="W53" i="22" s="1"/>
  <c r="S52" i="22"/>
  <c r="R52" i="22"/>
  <c r="Q52" i="22"/>
  <c r="P52" i="22"/>
  <c r="O52" i="22"/>
  <c r="M52" i="22"/>
  <c r="W52" i="22" s="1"/>
  <c r="S51" i="22"/>
  <c r="R51" i="22"/>
  <c r="Q51" i="22"/>
  <c r="P51" i="22"/>
  <c r="O51" i="22"/>
  <c r="M51" i="22"/>
  <c r="W51" i="22" s="1"/>
  <c r="S50" i="22"/>
  <c r="R50" i="22"/>
  <c r="Q50" i="22"/>
  <c r="P50" i="22"/>
  <c r="O50" i="22"/>
  <c r="M50" i="22"/>
  <c r="W50" i="22" s="1"/>
  <c r="W48" i="22" s="1"/>
  <c r="S49" i="22"/>
  <c r="R49" i="22"/>
  <c r="Q49" i="22"/>
  <c r="P49" i="22"/>
  <c r="O49" i="22"/>
  <c r="M49" i="22"/>
  <c r="W49" i="22" s="1"/>
  <c r="S43" i="22"/>
  <c r="R43" i="22"/>
  <c r="Q43" i="22"/>
  <c r="P43" i="22"/>
  <c r="O43" i="22"/>
  <c r="S32" i="22"/>
  <c r="Q32" i="22"/>
  <c r="P32" i="22"/>
  <c r="O32" i="22"/>
  <c r="Q31" i="22"/>
  <c r="P31" i="22"/>
  <c r="Q30" i="22"/>
  <c r="P30" i="22"/>
  <c r="R30" i="22"/>
  <c r="S29" i="22"/>
  <c r="R29" i="22"/>
  <c r="Q29" i="22"/>
  <c r="P29" i="22"/>
  <c r="O29" i="22"/>
  <c r="S28" i="22"/>
  <c r="R28" i="22"/>
  <c r="Q28" i="22"/>
  <c r="P28" i="22"/>
  <c r="O28" i="22"/>
  <c r="I27" i="22"/>
  <c r="S27" i="22" s="1"/>
  <c r="R27" i="22"/>
  <c r="Q27" i="22"/>
  <c r="P27" i="22"/>
  <c r="S26" i="22"/>
  <c r="R26" i="22"/>
  <c r="Q26" i="22"/>
  <c r="P26" i="22"/>
  <c r="O26" i="22"/>
  <c r="R25" i="22"/>
  <c r="Q25" i="22"/>
  <c r="P25" i="22"/>
  <c r="O25" i="22"/>
  <c r="I21" i="22"/>
  <c r="R21" i="22"/>
  <c r="Q21" i="22"/>
  <c r="P21" i="22"/>
  <c r="S20" i="22"/>
  <c r="R20" i="22"/>
  <c r="Q20" i="22"/>
  <c r="P20" i="22"/>
  <c r="O20" i="22"/>
  <c r="S19" i="22"/>
  <c r="R19" i="22"/>
  <c r="Q19" i="22"/>
  <c r="P19" i="22"/>
  <c r="O19" i="22"/>
  <c r="R18" i="22"/>
  <c r="Q18" i="22"/>
  <c r="P18" i="22"/>
  <c r="S18" i="22"/>
  <c r="S16" i="22"/>
  <c r="R16" i="22"/>
  <c r="Q16" i="22"/>
  <c r="P16" i="22"/>
  <c r="O16" i="22"/>
  <c r="S15" i="22"/>
  <c r="R15" i="22"/>
  <c r="Q15" i="22"/>
  <c r="P15" i="22"/>
  <c r="O15" i="22"/>
  <c r="R14" i="22"/>
  <c r="Q14" i="22"/>
  <c r="P14" i="22"/>
  <c r="S14" i="22"/>
  <c r="R32" i="22" l="1"/>
  <c r="O31" i="22"/>
  <c r="R31" i="22"/>
  <c r="S31" i="22"/>
  <c r="O27" i="22"/>
  <c r="S25" i="22"/>
  <c r="S21" i="22"/>
  <c r="O21" i="22"/>
  <c r="O18" i="22"/>
  <c r="O14" i="22"/>
  <c r="O10" i="135" l="1"/>
  <c r="Y8" i="135"/>
  <c r="X8" i="135"/>
  <c r="W70" i="135"/>
  <c r="Y70" i="135" s="1"/>
  <c r="O72" i="135" s="1"/>
  <c r="Y44" i="135"/>
  <c r="O46" i="135" s="1"/>
  <c r="U72" i="135" l="1"/>
  <c r="H9" i="141" l="1"/>
  <c r="K32" i="141" l="1"/>
  <c r="H45" i="141"/>
  <c r="Y7" i="155"/>
  <c r="Z7" i="155" s="1"/>
  <c r="AD39" i="101"/>
  <c r="AJ39" i="101"/>
  <c r="AD38" i="101"/>
  <c r="D38" i="166"/>
  <c r="B2244" i="190"/>
  <c r="B2243" i="190"/>
  <c r="B2186" i="190"/>
  <c r="B2185" i="190"/>
  <c r="B2131" i="190"/>
  <c r="B2130" i="190"/>
  <c r="B2075" i="190"/>
  <c r="B2074" i="190"/>
  <c r="B2020" i="190"/>
  <c r="B2019" i="190"/>
  <c r="B1855" i="190"/>
  <c r="B1854" i="190"/>
  <c r="B1912" i="190"/>
  <c r="B1911" i="190"/>
  <c r="B1965" i="190"/>
  <c r="B1964" i="190"/>
  <c r="B1799" i="190"/>
  <c r="B1798" i="190"/>
  <c r="H1758" i="190"/>
  <c r="I1758" i="190" s="1"/>
  <c r="H1706" i="190"/>
  <c r="I1706" i="190" s="1"/>
  <c r="J1790" i="190"/>
  <c r="J1791" i="190" s="1"/>
  <c r="J1785" i="190"/>
  <c r="J1777" i="190"/>
  <c r="B1771" i="190"/>
  <c r="I1771" i="190" s="1"/>
  <c r="J1771" i="190" s="1"/>
  <c r="J1765" i="190"/>
  <c r="J1760" i="190"/>
  <c r="G1758" i="190"/>
  <c r="J1754" i="190"/>
  <c r="B1747" i="190"/>
  <c r="B1746" i="190"/>
  <c r="J1738" i="190"/>
  <c r="J1739" i="190" s="1"/>
  <c r="J1733" i="190"/>
  <c r="J1725" i="190"/>
  <c r="B1719" i="190"/>
  <c r="I1719" i="190" s="1"/>
  <c r="J1713" i="190"/>
  <c r="J1708" i="190"/>
  <c r="G1706" i="190"/>
  <c r="J1702" i="190"/>
  <c r="B1695" i="190"/>
  <c r="B1694" i="190"/>
  <c r="B1640" i="190"/>
  <c r="B1639" i="190"/>
  <c r="B1585" i="190"/>
  <c r="B1584" i="190"/>
  <c r="B1530" i="190"/>
  <c r="B1529" i="190"/>
  <c r="B1475" i="190"/>
  <c r="B1474" i="190"/>
  <c r="B1420" i="190"/>
  <c r="B1419" i="190"/>
  <c r="J1686" i="190"/>
  <c r="J1687" i="190" s="1"/>
  <c r="J1681" i="190"/>
  <c r="J1680" i="190"/>
  <c r="J1679" i="190"/>
  <c r="J1678" i="190"/>
  <c r="J1673" i="190"/>
  <c r="B1667" i="190"/>
  <c r="I1667" i="190" s="1"/>
  <c r="B1666" i="190"/>
  <c r="I1666" i="190" s="1"/>
  <c r="I1660" i="190"/>
  <c r="H1660" i="190"/>
  <c r="I1659" i="190"/>
  <c r="J1659" i="190" s="1"/>
  <c r="I1658" i="190"/>
  <c r="H1658" i="190"/>
  <c r="J1654" i="190"/>
  <c r="H1652" i="190"/>
  <c r="I1652" i="190" s="1"/>
  <c r="G1652" i="190"/>
  <c r="H1651" i="190"/>
  <c r="G1651" i="190"/>
  <c r="J1647" i="190"/>
  <c r="J1631" i="190"/>
  <c r="J1632" i="190" s="1"/>
  <c r="J1626" i="190"/>
  <c r="J1625" i="190"/>
  <c r="J1624" i="190"/>
  <c r="J1623" i="190"/>
  <c r="J1618" i="190"/>
  <c r="B1612" i="190"/>
  <c r="I1612" i="190" s="1"/>
  <c r="B1611" i="190"/>
  <c r="H1611" i="190" s="1"/>
  <c r="I1605" i="190"/>
  <c r="H1605" i="190"/>
  <c r="I1604" i="190"/>
  <c r="J1604" i="190" s="1"/>
  <c r="I1603" i="190"/>
  <c r="H1603" i="190"/>
  <c r="J1599" i="190"/>
  <c r="H1597" i="190"/>
  <c r="G1597" i="190"/>
  <c r="H1596" i="190"/>
  <c r="G1596" i="190"/>
  <c r="J1592" i="190"/>
  <c r="J1576" i="190"/>
  <c r="J1577" i="190" s="1"/>
  <c r="J1571" i="190"/>
  <c r="J1570" i="190"/>
  <c r="J1569" i="190"/>
  <c r="J1568" i="190"/>
  <c r="J1563" i="190"/>
  <c r="B1557" i="190"/>
  <c r="I1557" i="190" s="1"/>
  <c r="B1556" i="190"/>
  <c r="I1556" i="190" s="1"/>
  <c r="I1550" i="190"/>
  <c r="H1550" i="190"/>
  <c r="I1549" i="190"/>
  <c r="J1549" i="190" s="1"/>
  <c r="I1548" i="190"/>
  <c r="H1548" i="190"/>
  <c r="J1544" i="190"/>
  <c r="H1542" i="190"/>
  <c r="G1542" i="190"/>
  <c r="H1541" i="190"/>
  <c r="G1541" i="190"/>
  <c r="J1537" i="190"/>
  <c r="J1521" i="190"/>
  <c r="J1522" i="190" s="1"/>
  <c r="J1516" i="190"/>
  <c r="J1515" i="190"/>
  <c r="J1514" i="190"/>
  <c r="J1513" i="190"/>
  <c r="J1508" i="190"/>
  <c r="B1502" i="190"/>
  <c r="I1502" i="190" s="1"/>
  <c r="B1501" i="190"/>
  <c r="H1501" i="190" s="1"/>
  <c r="I1495" i="190"/>
  <c r="H1495" i="190"/>
  <c r="I1494" i="190"/>
  <c r="J1494" i="190" s="1"/>
  <c r="I1493" i="190"/>
  <c r="H1493" i="190"/>
  <c r="J1489" i="190"/>
  <c r="H1487" i="190"/>
  <c r="I1487" i="190" s="1"/>
  <c r="G1487" i="190"/>
  <c r="H1486" i="190"/>
  <c r="G1486" i="190"/>
  <c r="J1482" i="190"/>
  <c r="J1466" i="190"/>
  <c r="J1467" i="190" s="1"/>
  <c r="J1461" i="190"/>
  <c r="J1460" i="190"/>
  <c r="J1459" i="190"/>
  <c r="J1458" i="190"/>
  <c r="J1453" i="190"/>
  <c r="B1447" i="190"/>
  <c r="I1447" i="190" s="1"/>
  <c r="B1446" i="190"/>
  <c r="H1446" i="190" s="1"/>
  <c r="I1440" i="190"/>
  <c r="H1440" i="190"/>
  <c r="I1439" i="190"/>
  <c r="J1439" i="190" s="1"/>
  <c r="I1438" i="190"/>
  <c r="H1438" i="190"/>
  <c r="J1434" i="190"/>
  <c r="H1432" i="190"/>
  <c r="G1432" i="190"/>
  <c r="H1431" i="190"/>
  <c r="I1431" i="190" s="1"/>
  <c r="G1431" i="190"/>
  <c r="J1427" i="190"/>
  <c r="J1411" i="190"/>
  <c r="J1412" i="190" s="1"/>
  <c r="J1406" i="190"/>
  <c r="J1405" i="190"/>
  <c r="J1404" i="190"/>
  <c r="J1403" i="190"/>
  <c r="J1398" i="190"/>
  <c r="B1392" i="190"/>
  <c r="I1392" i="190" s="1"/>
  <c r="B1391" i="190"/>
  <c r="I1391" i="190" s="1"/>
  <c r="I1385" i="190"/>
  <c r="H1385" i="190"/>
  <c r="I1384" i="190"/>
  <c r="J1384" i="190" s="1"/>
  <c r="I1383" i="190"/>
  <c r="H1383" i="190"/>
  <c r="J1379" i="190"/>
  <c r="H1377" i="190"/>
  <c r="I1377" i="190" s="1"/>
  <c r="G1377" i="190"/>
  <c r="H1376" i="190"/>
  <c r="G1376" i="190"/>
  <c r="J1372" i="190"/>
  <c r="B1365" i="190"/>
  <c r="B1364" i="190"/>
  <c r="J1097" i="190"/>
  <c r="J1152" i="190"/>
  <c r="J1207" i="190"/>
  <c r="J1262" i="190"/>
  <c r="J1317" i="190"/>
  <c r="J1356" i="190"/>
  <c r="J1357" i="190" s="1"/>
  <c r="J1351" i="190"/>
  <c r="J1350" i="190"/>
  <c r="J1349" i="190"/>
  <c r="J1348" i="190"/>
  <c r="J1343" i="190"/>
  <c r="L1339" i="190"/>
  <c r="B1337" i="190"/>
  <c r="I1337" i="190" s="1"/>
  <c r="B1336" i="190"/>
  <c r="F1336" i="190" s="1"/>
  <c r="I1330" i="190"/>
  <c r="H1330" i="190"/>
  <c r="I1329" i="190"/>
  <c r="J1329" i="190" s="1"/>
  <c r="I1328" i="190"/>
  <c r="H1328" i="190"/>
  <c r="J1324" i="190"/>
  <c r="H1322" i="190"/>
  <c r="I1322" i="190" s="1"/>
  <c r="G1322" i="190"/>
  <c r="H1321" i="190"/>
  <c r="I1321" i="190" s="1"/>
  <c r="G1321" i="190"/>
  <c r="J1042" i="190"/>
  <c r="B1035" i="190"/>
  <c r="B1034" i="190"/>
  <c r="B977" i="190"/>
  <c r="B976" i="190"/>
  <c r="B919" i="190"/>
  <c r="B918" i="190"/>
  <c r="J1026" i="190"/>
  <c r="J1027" i="190" s="1"/>
  <c r="J1021" i="190"/>
  <c r="J1020" i="190"/>
  <c r="J1019" i="190"/>
  <c r="J1018" i="190"/>
  <c r="J1013" i="190"/>
  <c r="B1007" i="190"/>
  <c r="I1007" i="190" s="1"/>
  <c r="B1006" i="190"/>
  <c r="I1006" i="190" s="1"/>
  <c r="B1005" i="190"/>
  <c r="H1005" i="190" s="1"/>
  <c r="I999" i="190"/>
  <c r="H999" i="190"/>
  <c r="I998" i="190"/>
  <c r="J998" i="190" s="1"/>
  <c r="I997" i="190"/>
  <c r="H997" i="190"/>
  <c r="I996" i="190"/>
  <c r="H996" i="190"/>
  <c r="J992" i="190"/>
  <c r="H990" i="190"/>
  <c r="I990" i="190" s="1"/>
  <c r="G990" i="190"/>
  <c r="H989" i="190"/>
  <c r="I989" i="190" s="1"/>
  <c r="G989" i="190"/>
  <c r="H988" i="190"/>
  <c r="G988" i="190"/>
  <c r="J984" i="190"/>
  <c r="J968" i="190"/>
  <c r="J969" i="190" s="1"/>
  <c r="J963" i="190"/>
  <c r="J962" i="190"/>
  <c r="J961" i="190"/>
  <c r="J960" i="190"/>
  <c r="J955" i="190"/>
  <c r="B949" i="190"/>
  <c r="I949" i="190" s="1"/>
  <c r="B948" i="190"/>
  <c r="H948" i="190" s="1"/>
  <c r="B947" i="190"/>
  <c r="I947" i="190" s="1"/>
  <c r="B946" i="190"/>
  <c r="H946" i="190" s="1"/>
  <c r="I940" i="190"/>
  <c r="H940" i="190"/>
  <c r="I939" i="190"/>
  <c r="J939" i="190" s="1"/>
  <c r="I938" i="190"/>
  <c r="H938" i="190"/>
  <c r="I937" i="190"/>
  <c r="H937" i="190"/>
  <c r="H932" i="190"/>
  <c r="I932" i="190" s="1"/>
  <c r="G932" i="190"/>
  <c r="H931" i="190"/>
  <c r="G931" i="190"/>
  <c r="H930" i="190"/>
  <c r="G930" i="190"/>
  <c r="J926" i="190"/>
  <c r="J910" i="190"/>
  <c r="J911" i="190" s="1"/>
  <c r="J905" i="190"/>
  <c r="J904" i="190"/>
  <c r="J903" i="190"/>
  <c r="J902" i="190"/>
  <c r="J897" i="190"/>
  <c r="B891" i="190"/>
  <c r="I891" i="190" s="1"/>
  <c r="B890" i="190"/>
  <c r="F890" i="190" s="1"/>
  <c r="B889" i="190"/>
  <c r="I889" i="190" s="1"/>
  <c r="I883" i="190"/>
  <c r="H883" i="190"/>
  <c r="I882" i="190"/>
  <c r="J882" i="190" s="1"/>
  <c r="I881" i="190"/>
  <c r="H881" i="190"/>
  <c r="I880" i="190"/>
  <c r="H880" i="190"/>
  <c r="J876" i="190"/>
  <c r="H874" i="190"/>
  <c r="I874" i="190" s="1"/>
  <c r="G874" i="190"/>
  <c r="H873" i="190"/>
  <c r="I873" i="190" s="1"/>
  <c r="G873" i="190"/>
  <c r="H872" i="190"/>
  <c r="I872" i="190" s="1"/>
  <c r="G872" i="190"/>
  <c r="J868" i="190"/>
  <c r="B861" i="190"/>
  <c r="B860" i="190"/>
  <c r="B803" i="190"/>
  <c r="B802" i="190"/>
  <c r="J810" i="190"/>
  <c r="J752" i="190"/>
  <c r="J694" i="190"/>
  <c r="J636" i="190"/>
  <c r="B687" i="190"/>
  <c r="B686" i="190"/>
  <c r="J578" i="190"/>
  <c r="J678" i="190"/>
  <c r="J679" i="190" s="1"/>
  <c r="J673" i="190"/>
  <c r="J672" i="190"/>
  <c r="J671" i="190"/>
  <c r="J670" i="190"/>
  <c r="J665" i="190"/>
  <c r="B659" i="190"/>
  <c r="I659" i="190" s="1"/>
  <c r="B658" i="190"/>
  <c r="I658" i="190" s="1"/>
  <c r="B657" i="190"/>
  <c r="H657" i="190" s="1"/>
  <c r="B656" i="190"/>
  <c r="H656" i="190" s="1"/>
  <c r="I650" i="190"/>
  <c r="H650" i="190"/>
  <c r="I649" i="190"/>
  <c r="J649" i="190" s="1"/>
  <c r="I648" i="190"/>
  <c r="H648" i="190"/>
  <c r="I647" i="190"/>
  <c r="H647" i="190"/>
  <c r="H642" i="190"/>
  <c r="I642" i="190" s="1"/>
  <c r="G642" i="190"/>
  <c r="H641" i="190"/>
  <c r="G641" i="190"/>
  <c r="H640" i="190"/>
  <c r="G640" i="190"/>
  <c r="J852" i="190"/>
  <c r="J853" i="190" s="1"/>
  <c r="J847" i="190"/>
  <c r="J846" i="190"/>
  <c r="J845" i="190"/>
  <c r="J844" i="190"/>
  <c r="J839" i="190"/>
  <c r="B833" i="190"/>
  <c r="F833" i="190" s="1"/>
  <c r="B832" i="190"/>
  <c r="I832" i="190" s="1"/>
  <c r="B831" i="190"/>
  <c r="I831" i="190" s="1"/>
  <c r="I825" i="190"/>
  <c r="H825" i="190"/>
  <c r="I824" i="190"/>
  <c r="J824" i="190" s="1"/>
  <c r="I823" i="190"/>
  <c r="H823" i="190"/>
  <c r="I822" i="190"/>
  <c r="H822" i="190"/>
  <c r="J818" i="190"/>
  <c r="H816" i="190"/>
  <c r="G816" i="190"/>
  <c r="H815" i="190"/>
  <c r="G815" i="190"/>
  <c r="H814" i="190"/>
  <c r="G814" i="190"/>
  <c r="J794" i="190"/>
  <c r="J795" i="190" s="1"/>
  <c r="J789" i="190"/>
  <c r="J788" i="190"/>
  <c r="J787" i="190"/>
  <c r="J786" i="190"/>
  <c r="J781" i="190"/>
  <c r="B775" i="190"/>
  <c r="I775" i="190" s="1"/>
  <c r="B774" i="190"/>
  <c r="I774" i="190" s="1"/>
  <c r="B773" i="190"/>
  <c r="I773" i="190" s="1"/>
  <c r="B772" i="190"/>
  <c r="H772" i="190" s="1"/>
  <c r="I766" i="190"/>
  <c r="H766" i="190"/>
  <c r="I765" i="190"/>
  <c r="J765" i="190" s="1"/>
  <c r="I764" i="190"/>
  <c r="H764" i="190"/>
  <c r="I763" i="190"/>
  <c r="H763" i="190"/>
  <c r="H758" i="190"/>
  <c r="G758" i="190"/>
  <c r="H757" i="190"/>
  <c r="G757" i="190"/>
  <c r="H756" i="190"/>
  <c r="I756" i="190" s="1"/>
  <c r="G756" i="190"/>
  <c r="J562" i="190"/>
  <c r="J561" i="190"/>
  <c r="J557" i="190"/>
  <c r="J556" i="190"/>
  <c r="J551" i="190"/>
  <c r="J542" i="190"/>
  <c r="B541" i="190"/>
  <c r="I541" i="190" s="1"/>
  <c r="J535" i="190"/>
  <c r="I534" i="190"/>
  <c r="J534" i="190" s="1"/>
  <c r="I533" i="190"/>
  <c r="H533" i="190"/>
  <c r="J529" i="190"/>
  <c r="J526" i="190"/>
  <c r="H525" i="190"/>
  <c r="G525" i="190"/>
  <c r="J521" i="190"/>
  <c r="J448" i="190"/>
  <c r="J447" i="190"/>
  <c r="J443" i="190"/>
  <c r="J442" i="190"/>
  <c r="J437" i="190"/>
  <c r="J428" i="190"/>
  <c r="B427" i="190"/>
  <c r="I427" i="190" s="1"/>
  <c r="J421" i="190"/>
  <c r="I420" i="190"/>
  <c r="J420" i="190" s="1"/>
  <c r="I419" i="190"/>
  <c r="H419" i="190"/>
  <c r="J415" i="190"/>
  <c r="J412" i="190"/>
  <c r="H411" i="190"/>
  <c r="G411" i="190"/>
  <c r="J407" i="190"/>
  <c r="J334" i="190"/>
  <c r="J333" i="190"/>
  <c r="J329" i="190"/>
  <c r="J328" i="190"/>
  <c r="J323" i="190"/>
  <c r="J314" i="190"/>
  <c r="B313" i="190"/>
  <c r="I313" i="190" s="1"/>
  <c r="I306" i="190"/>
  <c r="J306" i="190" s="1"/>
  <c r="N306" i="190" s="1"/>
  <c r="I305" i="190"/>
  <c r="H305" i="190"/>
  <c r="J301" i="190"/>
  <c r="J298" i="190"/>
  <c r="H297" i="190"/>
  <c r="G297" i="190"/>
  <c r="J293" i="190"/>
  <c r="J277" i="190"/>
  <c r="J276" i="190"/>
  <c r="J272" i="190"/>
  <c r="J271" i="190"/>
  <c r="J266" i="190"/>
  <c r="J257" i="190"/>
  <c r="B256" i="190"/>
  <c r="F256" i="190" s="1"/>
  <c r="I249" i="190"/>
  <c r="J249" i="190" s="1"/>
  <c r="N249" i="190" s="1"/>
  <c r="I248" i="190"/>
  <c r="H248" i="190"/>
  <c r="J244" i="190"/>
  <c r="J241" i="190"/>
  <c r="H240" i="190"/>
  <c r="I240" i="190" s="1"/>
  <c r="G240" i="190"/>
  <c r="J236" i="190"/>
  <c r="E21" i="94"/>
  <c r="B56" i="190"/>
  <c r="B55" i="190"/>
  <c r="B114" i="190"/>
  <c r="B113" i="190"/>
  <c r="J220" i="190"/>
  <c r="J219" i="190"/>
  <c r="J215" i="190"/>
  <c r="J214" i="190"/>
  <c r="J209" i="190"/>
  <c r="J200" i="190"/>
  <c r="B199" i="190"/>
  <c r="I199" i="190" s="1"/>
  <c r="I192" i="190"/>
  <c r="J192" i="190" s="1"/>
  <c r="N192" i="190" s="1"/>
  <c r="I191" i="190"/>
  <c r="H191" i="190"/>
  <c r="J187" i="190"/>
  <c r="J184" i="190"/>
  <c r="H183" i="190"/>
  <c r="I183" i="190" s="1"/>
  <c r="G183" i="190"/>
  <c r="J179" i="190"/>
  <c r="J1772" i="190" l="1"/>
  <c r="J1764" i="190"/>
  <c r="J1766" i="190" s="1"/>
  <c r="J1758" i="190"/>
  <c r="J1761" i="190" s="1"/>
  <c r="F1771" i="190"/>
  <c r="J1712" i="190"/>
  <c r="J1714" i="190" s="1"/>
  <c r="J1706" i="190"/>
  <c r="J1709" i="190" s="1"/>
  <c r="F1719" i="190"/>
  <c r="J1719" i="190"/>
  <c r="F1612" i="190"/>
  <c r="J1658" i="190"/>
  <c r="J1627" i="190"/>
  <c r="F1556" i="190"/>
  <c r="J1682" i="190"/>
  <c r="H1556" i="190"/>
  <c r="J1556" i="190" s="1"/>
  <c r="J1487" i="190"/>
  <c r="J1517" i="190"/>
  <c r="J1652" i="190"/>
  <c r="J1438" i="190"/>
  <c r="J1462" i="190"/>
  <c r="J1572" i="190"/>
  <c r="F1391" i="190"/>
  <c r="F1446" i="190"/>
  <c r="J1605" i="190"/>
  <c r="J1493" i="190"/>
  <c r="I1651" i="190"/>
  <c r="J1651" i="190" s="1"/>
  <c r="J1383" i="190"/>
  <c r="H1391" i="190"/>
  <c r="J1391" i="190" s="1"/>
  <c r="I1446" i="190"/>
  <c r="J1446" i="190" s="1"/>
  <c r="J1550" i="190"/>
  <c r="H1392" i="190"/>
  <c r="J1392" i="190" s="1"/>
  <c r="F1447" i="190"/>
  <c r="J1495" i="190"/>
  <c r="J1407" i="190"/>
  <c r="I1542" i="190"/>
  <c r="J1542" i="190" s="1"/>
  <c r="J1603" i="190"/>
  <c r="F1611" i="190"/>
  <c r="I1486" i="190"/>
  <c r="J1486" i="190" s="1"/>
  <c r="I1611" i="190"/>
  <c r="J1611" i="190" s="1"/>
  <c r="J1385" i="190"/>
  <c r="J1431" i="190"/>
  <c r="J1440" i="190"/>
  <c r="J1548" i="190"/>
  <c r="J1660" i="190"/>
  <c r="I1501" i="190"/>
  <c r="J1501" i="190" s="1"/>
  <c r="J1377" i="190"/>
  <c r="H1447" i="190"/>
  <c r="J1447" i="190" s="1"/>
  <c r="H1612" i="190"/>
  <c r="J1612" i="190" s="1"/>
  <c r="F1501" i="190"/>
  <c r="F1666" i="190"/>
  <c r="F1392" i="190"/>
  <c r="F1557" i="190"/>
  <c r="I1596" i="190"/>
  <c r="J1596" i="190" s="1"/>
  <c r="H1666" i="190"/>
  <c r="J1666" i="190" s="1"/>
  <c r="H1557" i="190"/>
  <c r="J1557" i="190" s="1"/>
  <c r="I1376" i="190"/>
  <c r="J1376" i="190" s="1"/>
  <c r="I1432" i="190"/>
  <c r="J1432" i="190" s="1"/>
  <c r="F1502" i="190"/>
  <c r="I1541" i="190"/>
  <c r="J1541" i="190" s="1"/>
  <c r="I1597" i="190"/>
  <c r="J1597" i="190" s="1"/>
  <c r="F1667" i="190"/>
  <c r="H1502" i="190"/>
  <c r="J1502" i="190" s="1"/>
  <c r="H1667" i="190"/>
  <c r="J1667" i="190" s="1"/>
  <c r="F947" i="190"/>
  <c r="H947" i="190"/>
  <c r="J947" i="190" s="1"/>
  <c r="J1352" i="190"/>
  <c r="J932" i="190"/>
  <c r="J880" i="190"/>
  <c r="J996" i="190"/>
  <c r="J873" i="190"/>
  <c r="J937" i="190"/>
  <c r="J881" i="190"/>
  <c r="J990" i="190"/>
  <c r="J1322" i="190"/>
  <c r="J999" i="190"/>
  <c r="J874" i="190"/>
  <c r="F891" i="190"/>
  <c r="J1330" i="190"/>
  <c r="J906" i="190"/>
  <c r="H1336" i="190"/>
  <c r="J1321" i="190"/>
  <c r="J938" i="190"/>
  <c r="I1005" i="190"/>
  <c r="J1005" i="190" s="1"/>
  <c r="I1336" i="190"/>
  <c r="H1006" i="190"/>
  <c r="J1006" i="190" s="1"/>
  <c r="J1328" i="190"/>
  <c r="H890" i="190"/>
  <c r="J997" i="190"/>
  <c r="J1022" i="190"/>
  <c r="I890" i="190"/>
  <c r="J872" i="190"/>
  <c r="F948" i="190"/>
  <c r="F1337" i="190"/>
  <c r="I948" i="190"/>
  <c r="J948" i="190" s="1"/>
  <c r="H1337" i="190"/>
  <c r="J1337" i="190" s="1"/>
  <c r="J883" i="190"/>
  <c r="I931" i="190"/>
  <c r="J931" i="190" s="1"/>
  <c r="J989" i="190"/>
  <c r="J940" i="190"/>
  <c r="F949" i="190"/>
  <c r="F889" i="190"/>
  <c r="F946" i="190"/>
  <c r="J964" i="190"/>
  <c r="H889" i="190"/>
  <c r="J889" i="190" s="1"/>
  <c r="I946" i="190"/>
  <c r="J946" i="190" s="1"/>
  <c r="H891" i="190"/>
  <c r="J891" i="190" s="1"/>
  <c r="H949" i="190"/>
  <c r="J949" i="190" s="1"/>
  <c r="F1006" i="190"/>
  <c r="I930" i="190"/>
  <c r="J930" i="190" s="1"/>
  <c r="I988" i="190"/>
  <c r="J988" i="190" s="1"/>
  <c r="F1007" i="190"/>
  <c r="H1007" i="190"/>
  <c r="J1007" i="190" s="1"/>
  <c r="F1005" i="190"/>
  <c r="I772" i="190"/>
  <c r="J772" i="190" s="1"/>
  <c r="J647" i="190"/>
  <c r="J674" i="190"/>
  <c r="I833" i="190"/>
  <c r="J533" i="190"/>
  <c r="J536" i="190" s="1"/>
  <c r="J648" i="190"/>
  <c r="J449" i="190"/>
  <c r="J650" i="190"/>
  <c r="J766" i="190"/>
  <c r="J763" i="190"/>
  <c r="J790" i="190"/>
  <c r="H833" i="190"/>
  <c r="F658" i="190"/>
  <c r="J764" i="190"/>
  <c r="F832" i="190"/>
  <c r="H832" i="190"/>
  <c r="J832" i="190" s="1"/>
  <c r="I656" i="190"/>
  <c r="J656" i="190" s="1"/>
  <c r="J825" i="190"/>
  <c r="J642" i="190"/>
  <c r="I657" i="190"/>
  <c r="J657" i="190" s="1"/>
  <c r="J823" i="190"/>
  <c r="I640" i="190"/>
  <c r="J640" i="190" s="1"/>
  <c r="H658" i="190"/>
  <c r="J658" i="190" s="1"/>
  <c r="J756" i="190"/>
  <c r="I814" i="190"/>
  <c r="J814" i="190" s="1"/>
  <c r="F656" i="190"/>
  <c r="J848" i="190"/>
  <c r="I641" i="190"/>
  <c r="J641" i="190" s="1"/>
  <c r="F659" i="190"/>
  <c r="I815" i="190"/>
  <c r="J815" i="190" s="1"/>
  <c r="H659" i="190"/>
  <c r="J659" i="190" s="1"/>
  <c r="I758" i="190"/>
  <c r="J758" i="190" s="1"/>
  <c r="F772" i="190"/>
  <c r="F657" i="190"/>
  <c r="J419" i="190"/>
  <c r="J422" i="190" s="1"/>
  <c r="J822" i="190"/>
  <c r="I816" i="190"/>
  <c r="J816" i="190" s="1"/>
  <c r="F774" i="190"/>
  <c r="H774" i="190"/>
  <c r="J774" i="190" s="1"/>
  <c r="I757" i="190"/>
  <c r="J757" i="190" s="1"/>
  <c r="F775" i="190"/>
  <c r="F831" i="190"/>
  <c r="H775" i="190"/>
  <c r="J775" i="190" s="1"/>
  <c r="H831" i="190"/>
  <c r="J831" i="190" s="1"/>
  <c r="J558" i="190"/>
  <c r="F773" i="190"/>
  <c r="J563" i="190"/>
  <c r="H773" i="190"/>
  <c r="J773" i="190" s="1"/>
  <c r="J330" i="190"/>
  <c r="I525" i="190"/>
  <c r="J525" i="190" s="1"/>
  <c r="J530" i="190" s="1"/>
  <c r="F541" i="190"/>
  <c r="H541" i="190"/>
  <c r="J541" i="190" s="1"/>
  <c r="J546" i="190" s="1"/>
  <c r="F427" i="190"/>
  <c r="H427" i="190"/>
  <c r="J427" i="190" s="1"/>
  <c r="J432" i="190" s="1"/>
  <c r="J305" i="190"/>
  <c r="J444" i="190"/>
  <c r="I411" i="190"/>
  <c r="J411" i="190" s="1"/>
  <c r="J416" i="190" s="1"/>
  <c r="J273" i="190"/>
  <c r="J307" i="190"/>
  <c r="J221" i="190"/>
  <c r="J278" i="190"/>
  <c r="J335" i="190"/>
  <c r="J191" i="190"/>
  <c r="J250" i="190"/>
  <c r="F313" i="190"/>
  <c r="J248" i="190"/>
  <c r="H313" i="190"/>
  <c r="J313" i="190" s="1"/>
  <c r="J318" i="190" s="1"/>
  <c r="L318" i="190" s="1"/>
  <c r="H256" i="190"/>
  <c r="I256" i="190"/>
  <c r="J216" i="190"/>
  <c r="I297" i="190"/>
  <c r="J297" i="190" s="1"/>
  <c r="J302" i="190" s="1"/>
  <c r="J240" i="190"/>
  <c r="J245" i="190" s="1"/>
  <c r="J193" i="190"/>
  <c r="J183" i="190"/>
  <c r="J188" i="190" s="1"/>
  <c r="F199" i="190"/>
  <c r="J2235" i="190"/>
  <c r="J2236" i="190" s="1"/>
  <c r="J2230" i="190"/>
  <c r="J2222" i="190"/>
  <c r="B2214" i="190"/>
  <c r="F2214" i="190" s="1"/>
  <c r="G2197" i="190"/>
  <c r="J2193" i="190"/>
  <c r="C2193" i="190"/>
  <c r="J2177" i="190"/>
  <c r="J2178" i="190" s="1"/>
  <c r="J2172" i="190"/>
  <c r="J2164" i="190"/>
  <c r="B2157" i="190"/>
  <c r="H2142" i="190"/>
  <c r="G2142" i="190"/>
  <c r="J2138" i="190"/>
  <c r="C2138" i="190"/>
  <c r="J2122" i="190"/>
  <c r="J2123" i="190" s="1"/>
  <c r="J2117" i="190"/>
  <c r="J2109" i="190"/>
  <c r="B2102" i="190"/>
  <c r="F2102" i="190" s="1"/>
  <c r="H2086" i="190"/>
  <c r="G2086" i="190"/>
  <c r="J2082" i="190"/>
  <c r="C2082" i="190"/>
  <c r="J2066" i="190"/>
  <c r="J2067" i="190" s="1"/>
  <c r="J2061" i="190"/>
  <c r="J2053" i="190"/>
  <c r="B2045" i="190"/>
  <c r="I2045" i="190" s="1"/>
  <c r="H2031" i="190"/>
  <c r="I2031" i="190" s="1"/>
  <c r="G2031" i="190"/>
  <c r="J2027" i="190"/>
  <c r="C2027" i="190"/>
  <c r="J2011" i="190"/>
  <c r="J2012" i="190" s="1"/>
  <c r="J2006" i="190"/>
  <c r="J1998" i="190"/>
  <c r="B1990" i="190"/>
  <c r="F1990" i="190" s="1"/>
  <c r="H1976" i="190"/>
  <c r="G1976" i="190"/>
  <c r="J1972" i="190"/>
  <c r="C1972" i="190"/>
  <c r="J1956" i="190"/>
  <c r="J1957" i="190" s="1"/>
  <c r="J1951" i="190"/>
  <c r="J1943" i="190"/>
  <c r="B1936" i="190"/>
  <c r="H1923" i="190"/>
  <c r="G1923" i="190"/>
  <c r="J1919" i="190"/>
  <c r="C1919" i="190"/>
  <c r="J1903" i="190"/>
  <c r="J1902" i="190"/>
  <c r="J1901" i="190"/>
  <c r="J1889" i="190"/>
  <c r="J1883" i="190"/>
  <c r="B1881" i="190"/>
  <c r="J1869" i="190"/>
  <c r="J1868" i="190"/>
  <c r="J1867" i="190"/>
  <c r="H1866" i="190"/>
  <c r="I1866" i="190" s="1"/>
  <c r="G1866" i="190"/>
  <c r="J1862" i="190"/>
  <c r="C1862" i="190"/>
  <c r="J1846" i="190"/>
  <c r="J1845" i="190"/>
  <c r="J1844" i="190"/>
  <c r="J1832" i="190"/>
  <c r="J1826" i="190"/>
  <c r="B1825" i="190"/>
  <c r="I1825" i="190" s="1"/>
  <c r="J1813" i="190"/>
  <c r="J1812" i="190"/>
  <c r="H1810" i="190"/>
  <c r="I1810" i="190" s="1"/>
  <c r="G1810" i="190"/>
  <c r="J1806" i="190"/>
  <c r="C1806" i="190"/>
  <c r="B1310" i="190"/>
  <c r="B1309" i="190"/>
  <c r="J1301" i="190"/>
  <c r="J1302" i="190" s="1"/>
  <c r="J1296" i="190"/>
  <c r="J1295" i="190"/>
  <c r="J1294" i="190"/>
  <c r="J1293" i="190"/>
  <c r="J1288" i="190"/>
  <c r="L1284" i="190"/>
  <c r="B1282" i="190"/>
  <c r="F1282" i="190" s="1"/>
  <c r="B1281" i="190"/>
  <c r="H1275" i="190"/>
  <c r="H1273" i="190"/>
  <c r="J1269" i="190"/>
  <c r="H1267" i="190"/>
  <c r="I1267" i="190" s="1"/>
  <c r="G1267" i="190"/>
  <c r="H1266" i="190"/>
  <c r="G1266" i="190"/>
  <c r="B1255" i="190"/>
  <c r="B1254" i="190"/>
  <c r="J1246" i="190"/>
  <c r="J1247" i="190" s="1"/>
  <c r="J1241" i="190"/>
  <c r="J1240" i="190"/>
  <c r="J1239" i="190"/>
  <c r="J1238" i="190"/>
  <c r="J1233" i="190"/>
  <c r="B1227" i="190"/>
  <c r="F1227" i="190" s="1"/>
  <c r="B1226" i="190"/>
  <c r="H1220" i="190"/>
  <c r="H1218" i="190"/>
  <c r="J1214" i="190"/>
  <c r="H1212" i="190"/>
  <c r="I1212" i="190" s="1"/>
  <c r="G1212" i="190"/>
  <c r="H1211" i="190"/>
  <c r="G1211" i="190"/>
  <c r="B1200" i="190"/>
  <c r="B1199" i="190"/>
  <c r="J1191" i="190"/>
  <c r="J1192" i="190" s="1"/>
  <c r="J1186" i="190"/>
  <c r="J1185" i="190"/>
  <c r="J1184" i="190"/>
  <c r="J1183" i="190"/>
  <c r="J1178" i="190"/>
  <c r="L1174" i="190"/>
  <c r="B1172" i="190"/>
  <c r="I1172" i="190" s="1"/>
  <c r="B1171" i="190"/>
  <c r="F1171" i="190" s="1"/>
  <c r="H1165" i="190"/>
  <c r="H1163" i="190"/>
  <c r="J1159" i="190"/>
  <c r="H1157" i="190"/>
  <c r="I1157" i="190" s="1"/>
  <c r="G1157" i="190"/>
  <c r="H1156" i="190"/>
  <c r="G1156" i="190"/>
  <c r="B1145" i="190"/>
  <c r="B1144" i="190"/>
  <c r="J1136" i="190"/>
  <c r="J1137" i="190" s="1"/>
  <c r="J1131" i="190"/>
  <c r="J1130" i="190"/>
  <c r="J1129" i="190"/>
  <c r="J1128" i="190"/>
  <c r="J1123" i="190"/>
  <c r="B1117" i="190"/>
  <c r="B1116" i="190"/>
  <c r="F1116" i="190" s="1"/>
  <c r="H1110" i="190"/>
  <c r="H1108" i="190"/>
  <c r="J1104" i="190"/>
  <c r="H1102" i="190"/>
  <c r="G1102" i="190"/>
  <c r="H1101" i="190"/>
  <c r="I1101" i="190" s="1"/>
  <c r="G1101" i="190"/>
  <c r="B1090" i="190"/>
  <c r="B1089" i="190"/>
  <c r="J1081" i="190"/>
  <c r="J1082" i="190" s="1"/>
  <c r="J1076" i="190"/>
  <c r="J1075" i="190"/>
  <c r="J1074" i="190"/>
  <c r="J1073" i="190"/>
  <c r="J1068" i="190"/>
  <c r="B1062" i="190"/>
  <c r="B1061" i="190"/>
  <c r="H1055" i="190"/>
  <c r="H1053" i="190"/>
  <c r="J1049" i="190"/>
  <c r="H1047" i="190"/>
  <c r="I1047" i="190" s="1"/>
  <c r="G1047" i="190"/>
  <c r="H1046" i="190"/>
  <c r="G1046" i="190"/>
  <c r="B745" i="190"/>
  <c r="B744" i="190"/>
  <c r="J736" i="190"/>
  <c r="J737" i="190" s="1"/>
  <c r="J731" i="190"/>
  <c r="J730" i="190"/>
  <c r="J729" i="190"/>
  <c r="J728" i="190"/>
  <c r="J723" i="190"/>
  <c r="B717" i="190"/>
  <c r="F717" i="190" s="1"/>
  <c r="B716" i="190"/>
  <c r="F716" i="190" s="1"/>
  <c r="B715" i="190"/>
  <c r="H709" i="190"/>
  <c r="H707" i="190"/>
  <c r="H706" i="190"/>
  <c r="J702" i="190"/>
  <c r="H700" i="190"/>
  <c r="G700" i="190"/>
  <c r="H699" i="190"/>
  <c r="I699" i="190" s="1"/>
  <c r="G699" i="190"/>
  <c r="H698" i="190"/>
  <c r="G698" i="190"/>
  <c r="B629" i="190"/>
  <c r="B628" i="190"/>
  <c r="J620" i="190"/>
  <c r="J621" i="190" s="1"/>
  <c r="J615" i="190"/>
  <c r="J614" i="190"/>
  <c r="J613" i="190"/>
  <c r="J612" i="190"/>
  <c r="J607" i="190"/>
  <c r="B601" i="190"/>
  <c r="B600" i="190"/>
  <c r="B599" i="190"/>
  <c r="I599" i="190" s="1"/>
  <c r="B598" i="190"/>
  <c r="I598" i="190" s="1"/>
  <c r="H592" i="190"/>
  <c r="H590" i="190"/>
  <c r="H589" i="190"/>
  <c r="H584" i="190"/>
  <c r="G584" i="190"/>
  <c r="H583" i="190"/>
  <c r="G583" i="190"/>
  <c r="H582" i="190"/>
  <c r="I582" i="190" s="1"/>
  <c r="G582" i="190"/>
  <c r="J505" i="190"/>
  <c r="J504" i="190"/>
  <c r="J500" i="190"/>
  <c r="J499" i="190"/>
  <c r="J494" i="190"/>
  <c r="J485" i="190"/>
  <c r="B484" i="190"/>
  <c r="F484" i="190" s="1"/>
  <c r="J478" i="190"/>
  <c r="H476" i="190"/>
  <c r="J472" i="190"/>
  <c r="J469" i="190"/>
  <c r="H468" i="190"/>
  <c r="I468" i="190" s="1"/>
  <c r="G468" i="190"/>
  <c r="J464" i="190"/>
  <c r="J391" i="190"/>
  <c r="J390" i="190"/>
  <c r="J386" i="190"/>
  <c r="J385" i="190"/>
  <c r="J380" i="190"/>
  <c r="J371" i="190"/>
  <c r="B370" i="190"/>
  <c r="H362" i="190"/>
  <c r="J358" i="190"/>
  <c r="J355" i="190"/>
  <c r="H354" i="190"/>
  <c r="I354" i="190" s="1"/>
  <c r="G354" i="190"/>
  <c r="J350" i="190"/>
  <c r="B172" i="190"/>
  <c r="B457" i="190" s="1"/>
  <c r="B571" i="190" s="1"/>
  <c r="B171" i="190"/>
  <c r="B456" i="190" s="1"/>
  <c r="B570" i="190" s="1"/>
  <c r="J163" i="190"/>
  <c r="J164" i="190" s="1"/>
  <c r="J158" i="190"/>
  <c r="J157" i="190"/>
  <c r="J156" i="190"/>
  <c r="J155" i="190"/>
  <c r="J150" i="190"/>
  <c r="B144" i="190"/>
  <c r="F144" i="190" s="1"/>
  <c r="B143" i="190"/>
  <c r="F143" i="190" s="1"/>
  <c r="B142" i="190"/>
  <c r="H136" i="190"/>
  <c r="H134" i="190"/>
  <c r="H133" i="190"/>
  <c r="J129" i="190"/>
  <c r="H127" i="190"/>
  <c r="I127" i="190" s="1"/>
  <c r="G127" i="190"/>
  <c r="H126" i="190"/>
  <c r="G126" i="190"/>
  <c r="H125" i="190"/>
  <c r="I125" i="190" s="1"/>
  <c r="G125" i="190"/>
  <c r="J105" i="190"/>
  <c r="J106" i="190" s="1"/>
  <c r="J100" i="190"/>
  <c r="J99" i="190"/>
  <c r="J98" i="190"/>
  <c r="J97" i="190"/>
  <c r="J92" i="190"/>
  <c r="B83" i="190"/>
  <c r="I83" i="190" s="1"/>
  <c r="H75" i="190"/>
  <c r="J71" i="190"/>
  <c r="H67" i="190"/>
  <c r="G67" i="190"/>
  <c r="J63" i="190"/>
  <c r="C63" i="190"/>
  <c r="J47" i="190"/>
  <c r="J48" i="190" s="1"/>
  <c r="J42" i="190"/>
  <c r="J41" i="190"/>
  <c r="J40" i="190"/>
  <c r="J39" i="190"/>
  <c r="J34" i="190"/>
  <c r="B25" i="190"/>
  <c r="H17" i="190"/>
  <c r="J13" i="190"/>
  <c r="H9" i="190"/>
  <c r="G9" i="190"/>
  <c r="J5" i="190"/>
  <c r="C5" i="190"/>
  <c r="I1782" i="190" l="1"/>
  <c r="J1782" i="190" s="1"/>
  <c r="I1784" i="190"/>
  <c r="J1784" i="190" s="1"/>
  <c r="J1783" i="190"/>
  <c r="J1768" i="190"/>
  <c r="J1779" i="190" s="1"/>
  <c r="J1716" i="190"/>
  <c r="J1720" i="190"/>
  <c r="J1380" i="190"/>
  <c r="J1496" i="190"/>
  <c r="J1606" i="190"/>
  <c r="J1393" i="190"/>
  <c r="J1551" i="190"/>
  <c r="J1441" i="190"/>
  <c r="J1435" i="190"/>
  <c r="J1503" i="190"/>
  <c r="J1386" i="190"/>
  <c r="J1661" i="190"/>
  <c r="J1490" i="190"/>
  <c r="J1448" i="190"/>
  <c r="J1613" i="190"/>
  <c r="J884" i="190"/>
  <c r="J1558" i="190"/>
  <c r="J1668" i="190"/>
  <c r="J1600" i="190"/>
  <c r="J1655" i="190"/>
  <c r="J1545" i="190"/>
  <c r="J941" i="190"/>
  <c r="J1000" i="190"/>
  <c r="J877" i="190"/>
  <c r="J1336" i="190"/>
  <c r="J1338" i="190" s="1"/>
  <c r="J993" i="190"/>
  <c r="J1325" i="190"/>
  <c r="J1331" i="190"/>
  <c r="J950" i="190"/>
  <c r="J890" i="190"/>
  <c r="J892" i="190" s="1"/>
  <c r="J1008" i="190"/>
  <c r="J934" i="190"/>
  <c r="J833" i="190"/>
  <c r="J834" i="190" s="1"/>
  <c r="J767" i="190"/>
  <c r="J651" i="190"/>
  <c r="J776" i="190"/>
  <c r="J826" i="190"/>
  <c r="J660" i="190"/>
  <c r="J644" i="190"/>
  <c r="J760" i="190"/>
  <c r="J819" i="190"/>
  <c r="J424" i="190"/>
  <c r="J439" i="190" s="1"/>
  <c r="J538" i="190"/>
  <c r="J553" i="190" s="1"/>
  <c r="J308" i="190"/>
  <c r="J310" i="190" s="1"/>
  <c r="J325" i="190" s="1"/>
  <c r="J2143" i="190"/>
  <c r="J251" i="190"/>
  <c r="J253" i="190" s="1"/>
  <c r="B285" i="190"/>
  <c r="B342" i="190"/>
  <c r="B286" i="190"/>
  <c r="B343" i="190"/>
  <c r="J194" i="190"/>
  <c r="J196" i="190" s="1"/>
  <c r="L302" i="190"/>
  <c r="J256" i="190"/>
  <c r="J261" i="190" s="1"/>
  <c r="L261" i="190" s="1"/>
  <c r="J1810" i="190"/>
  <c r="J1814" i="190" s="1"/>
  <c r="J1866" i="190"/>
  <c r="J1870" i="190" s="1"/>
  <c r="B399" i="190"/>
  <c r="B513" i="190" s="1"/>
  <c r="B228" i="190"/>
  <c r="I717" i="190"/>
  <c r="B400" i="190"/>
  <c r="B514" i="190" s="1"/>
  <c r="B229" i="190"/>
  <c r="L245" i="190"/>
  <c r="J127" i="190"/>
  <c r="L127" i="190" s="1"/>
  <c r="J699" i="190"/>
  <c r="I1990" i="190"/>
  <c r="F1226" i="190"/>
  <c r="I1116" i="190"/>
  <c r="F1172" i="190"/>
  <c r="L188" i="190"/>
  <c r="I484" i="190"/>
  <c r="J125" i="190"/>
  <c r="L125" i="190" s="1"/>
  <c r="I143" i="190"/>
  <c r="J101" i="190"/>
  <c r="J1101" i="190"/>
  <c r="J1242" i="190"/>
  <c r="J468" i="190"/>
  <c r="J473" i="190" s="1"/>
  <c r="J1157" i="190"/>
  <c r="J387" i="190"/>
  <c r="J2087" i="190"/>
  <c r="J732" i="190"/>
  <c r="J1047" i="190"/>
  <c r="J43" i="190"/>
  <c r="F598" i="190"/>
  <c r="I1282" i="190"/>
  <c r="J392" i="190"/>
  <c r="F2045" i="190"/>
  <c r="I716" i="190"/>
  <c r="J1267" i="190"/>
  <c r="J1297" i="190"/>
  <c r="I1211" i="190"/>
  <c r="J1211" i="190" s="1"/>
  <c r="I1226" i="190"/>
  <c r="I144" i="190"/>
  <c r="J1187" i="190"/>
  <c r="J1847" i="190"/>
  <c r="I2102" i="190"/>
  <c r="F599" i="190"/>
  <c r="I1227" i="190"/>
  <c r="F1281" i="190"/>
  <c r="F1825" i="190"/>
  <c r="I1281" i="190"/>
  <c r="J159" i="190"/>
  <c r="I584" i="190"/>
  <c r="J584" i="190" s="1"/>
  <c r="I1117" i="190"/>
  <c r="I2086" i="190"/>
  <c r="J2086" i="190" s="1"/>
  <c r="J506" i="190"/>
  <c r="J1132" i="190"/>
  <c r="J2198" i="190"/>
  <c r="J2031" i="190"/>
  <c r="J2034" i="190" s="1"/>
  <c r="I126" i="190"/>
  <c r="J126" i="190" s="1"/>
  <c r="F25" i="190"/>
  <c r="I25" i="190"/>
  <c r="F370" i="190"/>
  <c r="I370" i="190"/>
  <c r="I142" i="190"/>
  <c r="I600" i="190"/>
  <c r="F600" i="190"/>
  <c r="F142" i="190"/>
  <c r="J354" i="190"/>
  <c r="J359" i="190" s="1"/>
  <c r="I698" i="190"/>
  <c r="J698" i="190" s="1"/>
  <c r="I1061" i="190"/>
  <c r="F1061" i="190"/>
  <c r="F1062" i="190"/>
  <c r="I1062" i="190"/>
  <c r="I2157" i="190"/>
  <c r="F2157" i="190"/>
  <c r="J616" i="190"/>
  <c r="I715" i="190"/>
  <c r="F715" i="190"/>
  <c r="I1923" i="190"/>
  <c r="J1923" i="190" s="1"/>
  <c r="J1926" i="190" s="1"/>
  <c r="I1976" i="190"/>
  <c r="J1976" i="190" s="1"/>
  <c r="J1979" i="190" s="1"/>
  <c r="I1102" i="190"/>
  <c r="J1102" i="190" s="1"/>
  <c r="I1171" i="190"/>
  <c r="F601" i="190"/>
  <c r="F83" i="190"/>
  <c r="I67" i="190"/>
  <c r="J67" i="190" s="1"/>
  <c r="J72" i="190" s="1"/>
  <c r="J501" i="190"/>
  <c r="J582" i="190"/>
  <c r="I601" i="190"/>
  <c r="F1117" i="190"/>
  <c r="I1156" i="190"/>
  <c r="J1156" i="190" s="1"/>
  <c r="I2214" i="190"/>
  <c r="F1936" i="190"/>
  <c r="F1881" i="190"/>
  <c r="I1936" i="190"/>
  <c r="I700" i="190"/>
  <c r="J700" i="190" s="1"/>
  <c r="I1881" i="190"/>
  <c r="I2142" i="190"/>
  <c r="J2142" i="190" s="1"/>
  <c r="J1077" i="190"/>
  <c r="I583" i="190"/>
  <c r="J583" i="190" s="1"/>
  <c r="I1046" i="190"/>
  <c r="J1046" i="190" s="1"/>
  <c r="I1266" i="190"/>
  <c r="J1266" i="190" s="1"/>
  <c r="I9" i="190"/>
  <c r="J9" i="190" s="1"/>
  <c r="J14" i="190" s="1"/>
  <c r="J1212" i="190"/>
  <c r="J1904" i="190"/>
  <c r="I1730" i="190" l="1"/>
  <c r="J1730" i="190" s="1"/>
  <c r="I1732" i="190"/>
  <c r="J1732" i="190" s="1"/>
  <c r="I1731" i="190"/>
  <c r="J1731" i="190"/>
  <c r="J1388" i="190"/>
  <c r="J1400" i="190" s="1"/>
  <c r="J1786" i="190"/>
  <c r="J1793" i="190" s="1"/>
  <c r="J1727" i="190"/>
  <c r="J1553" i="190"/>
  <c r="J1565" i="190" s="1"/>
  <c r="J1498" i="190"/>
  <c r="J1510" i="190" s="1"/>
  <c r="J1443" i="190"/>
  <c r="J1455" i="190" s="1"/>
  <c r="J1608" i="190"/>
  <c r="J1620" i="190" s="1"/>
  <c r="J1663" i="190"/>
  <c r="J1675" i="190" s="1"/>
  <c r="J886" i="190"/>
  <c r="J899" i="190" s="1"/>
  <c r="J1002" i="190"/>
  <c r="J1015" i="190" s="1"/>
  <c r="J943" i="190"/>
  <c r="J957" i="190" s="1"/>
  <c r="J1333" i="190"/>
  <c r="J1345" i="190" s="1"/>
  <c r="J769" i="190"/>
  <c r="J783" i="190" s="1"/>
  <c r="J653" i="190"/>
  <c r="J667" i="190" s="1"/>
  <c r="J2146" i="190"/>
  <c r="L2146" i="190" s="1"/>
  <c r="J828" i="190"/>
  <c r="J841" i="190" s="1"/>
  <c r="J268" i="190"/>
  <c r="J1105" i="190"/>
  <c r="J2090" i="190"/>
  <c r="L2090" i="190" s="1"/>
  <c r="J1050" i="190"/>
  <c r="J586" i="190"/>
  <c r="J1215" i="190"/>
  <c r="J1270" i="190"/>
  <c r="L1979" i="190"/>
  <c r="L14" i="190"/>
  <c r="J703" i="190"/>
  <c r="L126" i="190"/>
  <c r="J130" i="190"/>
  <c r="L72" i="190"/>
  <c r="J1160" i="190"/>
  <c r="L359" i="190"/>
  <c r="L1926" i="190"/>
  <c r="J1734" i="190" l="1"/>
  <c r="J1741" i="190" s="1"/>
  <c r="M30" i="159"/>
  <c r="M33" i="156"/>
  <c r="M41" i="155"/>
  <c r="H14" i="141"/>
  <c r="X70" i="135"/>
  <c r="BR116" i="26" l="1"/>
  <c r="BP116" i="26"/>
  <c r="BH116" i="26"/>
  <c r="AZ116" i="26"/>
  <c r="AR116" i="26"/>
  <c r="AZ107" i="26"/>
  <c r="AR107" i="26"/>
  <c r="BT98" i="26"/>
  <c r="CB98" i="26"/>
  <c r="CD98" i="26"/>
  <c r="CF98" i="26"/>
  <c r="CH98" i="26"/>
  <c r="BX98" i="26"/>
  <c r="BZ98" i="26"/>
  <c r="BJ98" i="26"/>
  <c r="BL98" i="26"/>
  <c r="BN98" i="26"/>
  <c r="BP98" i="26"/>
  <c r="BR98" i="26"/>
  <c r="BB98" i="26"/>
  <c r="BD98" i="26"/>
  <c r="BF98" i="26"/>
  <c r="BH98" i="26"/>
  <c r="AT98" i="26"/>
  <c r="AV98" i="26"/>
  <c r="AX98" i="26"/>
  <c r="AZ98" i="26"/>
  <c r="AT89" i="26"/>
  <c r="AV89" i="26"/>
  <c r="AX89" i="26"/>
  <c r="AZ89" i="26"/>
  <c r="BJ89" i="26"/>
  <c r="BN89" i="26"/>
  <c r="BP89" i="26"/>
  <c r="BR89" i="26"/>
  <c r="BT89" i="26"/>
  <c r="BV89" i="26"/>
  <c r="BX89" i="26"/>
  <c r="BZ89" i="26"/>
  <c r="AR80" i="26"/>
  <c r="AR98" i="26"/>
  <c r="BF89" i="26"/>
  <c r="BD89" i="26"/>
  <c r="BB89" i="26"/>
  <c r="D10" i="166"/>
  <c r="H21" i="141"/>
  <c r="F87" i="26"/>
  <c r="F78" i="26"/>
  <c r="F114" i="26"/>
  <c r="F105" i="26"/>
  <c r="F96" i="26"/>
  <c r="O9" i="155"/>
  <c r="X7" i="155"/>
  <c r="W7" i="155"/>
  <c r="B740" i="164"/>
  <c r="B739" i="164"/>
  <c r="J728" i="164"/>
  <c r="J727" i="164"/>
  <c r="J722" i="164"/>
  <c r="J721" i="164"/>
  <c r="J720" i="164"/>
  <c r="J719" i="164"/>
  <c r="J723" i="164" s="1"/>
  <c r="J714" i="164"/>
  <c r="I708" i="164"/>
  <c r="B708" i="164"/>
  <c r="F708" i="164" s="1"/>
  <c r="B707" i="164"/>
  <c r="I707" i="164" s="1"/>
  <c r="B706" i="164"/>
  <c r="I706" i="164" s="1"/>
  <c r="H700" i="164"/>
  <c r="H698" i="164"/>
  <c r="H697" i="164"/>
  <c r="J693" i="164"/>
  <c r="H691" i="164"/>
  <c r="G691" i="164"/>
  <c r="G690" i="164"/>
  <c r="H689" i="164"/>
  <c r="I689" i="164" s="1"/>
  <c r="J689" i="164" s="1"/>
  <c r="G689" i="164"/>
  <c r="B678" i="164"/>
  <c r="B677" i="164"/>
  <c r="J665" i="164"/>
  <c r="J666" i="164" s="1"/>
  <c r="J660" i="164"/>
  <c r="J659" i="164"/>
  <c r="J658" i="164"/>
  <c r="J657" i="164"/>
  <c r="J652" i="164"/>
  <c r="B646" i="164"/>
  <c r="F646" i="164" s="1"/>
  <c r="B645" i="164"/>
  <c r="B644" i="164"/>
  <c r="I644" i="164" s="1"/>
  <c r="H638" i="164"/>
  <c r="H636" i="164"/>
  <c r="H635" i="164"/>
  <c r="J631" i="164"/>
  <c r="H629" i="164"/>
  <c r="G629" i="164"/>
  <c r="G628" i="164"/>
  <c r="H627" i="164"/>
  <c r="I627" i="164" s="1"/>
  <c r="J627" i="164" s="1"/>
  <c r="G627" i="164"/>
  <c r="B616" i="164"/>
  <c r="B615" i="164"/>
  <c r="J603" i="164"/>
  <c r="J604" i="164" s="1"/>
  <c r="J598" i="164"/>
  <c r="J597" i="164"/>
  <c r="J596" i="164"/>
  <c r="J595" i="164"/>
  <c r="J590" i="164"/>
  <c r="B584" i="164"/>
  <c r="I584" i="164" s="1"/>
  <c r="B583" i="164"/>
  <c r="F583" i="164" s="1"/>
  <c r="B582" i="164"/>
  <c r="I582" i="164" s="1"/>
  <c r="H576" i="164"/>
  <c r="H574" i="164"/>
  <c r="H573" i="164"/>
  <c r="J569" i="164"/>
  <c r="H567" i="164"/>
  <c r="G567" i="164"/>
  <c r="G566" i="164"/>
  <c r="H565" i="164"/>
  <c r="G565" i="164"/>
  <c r="B554" i="164"/>
  <c r="B553" i="164"/>
  <c r="J541" i="164"/>
  <c r="J542" i="164" s="1"/>
  <c r="J536" i="164"/>
  <c r="J535" i="164"/>
  <c r="J534" i="164"/>
  <c r="J533" i="164"/>
  <c r="J528" i="164"/>
  <c r="B522" i="164"/>
  <c r="I522" i="164" s="1"/>
  <c r="B521" i="164"/>
  <c r="B520" i="164"/>
  <c r="I520" i="164" s="1"/>
  <c r="H514" i="164"/>
  <c r="H512" i="164"/>
  <c r="H511" i="164"/>
  <c r="J507" i="164"/>
  <c r="H505" i="164"/>
  <c r="G505" i="164"/>
  <c r="G504" i="164"/>
  <c r="H503" i="164"/>
  <c r="G503" i="164"/>
  <c r="F707" i="164" l="1"/>
  <c r="I691" i="164"/>
  <c r="J691" i="164" s="1"/>
  <c r="F706" i="164"/>
  <c r="I645" i="164"/>
  <c r="I646" i="164"/>
  <c r="J661" i="164"/>
  <c r="I629" i="164"/>
  <c r="J629" i="164" s="1"/>
  <c r="F645" i="164"/>
  <c r="F644" i="164"/>
  <c r="J599" i="164"/>
  <c r="I567" i="164"/>
  <c r="J567" i="164" s="1"/>
  <c r="I583" i="164"/>
  <c r="I565" i="164"/>
  <c r="J565" i="164" s="1"/>
  <c r="F584" i="164"/>
  <c r="F582" i="164"/>
  <c r="F521" i="164"/>
  <c r="I521" i="164"/>
  <c r="J537" i="164"/>
  <c r="I505" i="164"/>
  <c r="J505" i="164" s="1"/>
  <c r="I503" i="164"/>
  <c r="J503" i="164" s="1"/>
  <c r="F522" i="164"/>
  <c r="F520" i="164"/>
  <c r="B492" i="164" l="1"/>
  <c r="B491" i="164"/>
  <c r="J479" i="164"/>
  <c r="J480" i="164" s="1"/>
  <c r="J474" i="164"/>
  <c r="J473" i="164"/>
  <c r="J472" i="164"/>
  <c r="J471" i="164"/>
  <c r="J466" i="164"/>
  <c r="B460" i="164"/>
  <c r="I460" i="164" s="1"/>
  <c r="B459" i="164"/>
  <c r="I459" i="164" s="1"/>
  <c r="B458" i="164"/>
  <c r="I458" i="164" s="1"/>
  <c r="H452" i="164"/>
  <c r="H450" i="164"/>
  <c r="H449" i="164"/>
  <c r="J445" i="164"/>
  <c r="H443" i="164"/>
  <c r="G443" i="164"/>
  <c r="G442" i="164"/>
  <c r="H441" i="164"/>
  <c r="G441" i="164"/>
  <c r="H390" i="164"/>
  <c r="H388" i="164"/>
  <c r="H387" i="164"/>
  <c r="B430" i="164"/>
  <c r="B429" i="164"/>
  <c r="J417" i="164"/>
  <c r="J418" i="164" s="1"/>
  <c r="J412" i="164"/>
  <c r="J411" i="164"/>
  <c r="J410" i="164"/>
  <c r="J409" i="164"/>
  <c r="J404" i="164"/>
  <c r="B398" i="164"/>
  <c r="F398" i="164" s="1"/>
  <c r="B397" i="164"/>
  <c r="I397" i="164" s="1"/>
  <c r="B396" i="164"/>
  <c r="F396" i="164" s="1"/>
  <c r="J383" i="164"/>
  <c r="H381" i="164"/>
  <c r="G381" i="164"/>
  <c r="H380" i="164"/>
  <c r="G380" i="164"/>
  <c r="H379" i="164"/>
  <c r="G379" i="164"/>
  <c r="B368" i="164"/>
  <c r="B367" i="164"/>
  <c r="B335" i="164"/>
  <c r="I335" i="164" s="1"/>
  <c r="B336" i="164"/>
  <c r="I336" i="164" s="1"/>
  <c r="B334" i="164"/>
  <c r="I334" i="164" s="1"/>
  <c r="J355" i="164"/>
  <c r="J356" i="164" s="1"/>
  <c r="J350" i="164"/>
  <c r="J349" i="164"/>
  <c r="J348" i="164"/>
  <c r="J347" i="164"/>
  <c r="J342" i="164"/>
  <c r="B333" i="164"/>
  <c r="H327" i="164"/>
  <c r="H325" i="164"/>
  <c r="H324" i="164"/>
  <c r="H319" i="164"/>
  <c r="I319" i="164" s="1"/>
  <c r="G319" i="164"/>
  <c r="H318" i="164"/>
  <c r="I318" i="164" s="1"/>
  <c r="G318" i="164"/>
  <c r="H317" i="164"/>
  <c r="I317" i="164" s="1"/>
  <c r="G317" i="164"/>
  <c r="J293" i="164"/>
  <c r="J292" i="164"/>
  <c r="J288" i="164"/>
  <c r="J287" i="164"/>
  <c r="J282" i="164"/>
  <c r="J273" i="164"/>
  <c r="B272" i="164"/>
  <c r="I272" i="164" s="1"/>
  <c r="J266" i="164"/>
  <c r="H264" i="164"/>
  <c r="J260" i="164"/>
  <c r="J257" i="164"/>
  <c r="H256" i="164"/>
  <c r="G256" i="164"/>
  <c r="J252" i="164"/>
  <c r="H203" i="164"/>
  <c r="H7" i="141"/>
  <c r="H13" i="141"/>
  <c r="L101" i="135"/>
  <c r="L100" i="135"/>
  <c r="H19" i="135"/>
  <c r="H18" i="135"/>
  <c r="J294" i="164" l="1"/>
  <c r="J475" i="164"/>
  <c r="F459" i="164"/>
  <c r="I443" i="164"/>
  <c r="J443" i="164" s="1"/>
  <c r="I441" i="164"/>
  <c r="J441" i="164" s="1"/>
  <c r="F460" i="164"/>
  <c r="F458" i="164"/>
  <c r="J319" i="164"/>
  <c r="J317" i="164"/>
  <c r="I398" i="164"/>
  <c r="J413" i="164"/>
  <c r="I379" i="164"/>
  <c r="J379" i="164" s="1"/>
  <c r="F397" i="164"/>
  <c r="I396" i="164"/>
  <c r="I380" i="164"/>
  <c r="J380" i="164" s="1"/>
  <c r="I381" i="164"/>
  <c r="J381" i="164" s="1"/>
  <c r="F335" i="164"/>
  <c r="F336" i="164"/>
  <c r="J351" i="164"/>
  <c r="J289" i="164"/>
  <c r="F333" i="164"/>
  <c r="I333" i="164"/>
  <c r="J318" i="164"/>
  <c r="F334" i="164"/>
  <c r="I256" i="164"/>
  <c r="J256" i="164" s="1"/>
  <c r="J261" i="164" s="1"/>
  <c r="F272" i="164"/>
  <c r="J321" i="164" l="1"/>
  <c r="J384" i="164"/>
  <c r="J109" i="164" l="1"/>
  <c r="J110" i="164" s="1"/>
  <c r="J104" i="164"/>
  <c r="J103" i="164"/>
  <c r="J102" i="164"/>
  <c r="J101" i="164"/>
  <c r="J96" i="164"/>
  <c r="B87" i="164"/>
  <c r="I87" i="164" s="1"/>
  <c r="H79" i="164"/>
  <c r="J75" i="164"/>
  <c r="H71" i="164"/>
  <c r="I71" i="164" s="1"/>
  <c r="G71" i="164"/>
  <c r="J67" i="164"/>
  <c r="C67" i="164"/>
  <c r="H18" i="141"/>
  <c r="M71" i="140"/>
  <c r="M34" i="94"/>
  <c r="M34" i="140"/>
  <c r="M35" i="140"/>
  <c r="J105" i="164" l="1"/>
  <c r="F87" i="164"/>
  <c r="J71" i="164"/>
  <c r="J76" i="164" s="1"/>
  <c r="H28" i="141"/>
  <c r="I34" i="135"/>
  <c r="M92" i="135"/>
  <c r="L76" i="164" l="1"/>
  <c r="X44" i="135"/>
  <c r="W44" i="135"/>
  <c r="M28" i="135" l="1"/>
  <c r="F28" i="135"/>
  <c r="B28" i="135" s="1"/>
  <c r="W8" i="135"/>
  <c r="Q28" i="135" l="1"/>
  <c r="H28" i="135"/>
  <c r="DB44" i="26"/>
  <c r="CZ44" i="26"/>
  <c r="DB41" i="26"/>
  <c r="CZ41" i="26"/>
  <c r="BP44" i="26"/>
  <c r="BP41" i="26"/>
  <c r="BN44" i="26"/>
  <c r="BN41" i="26"/>
  <c r="F68" i="26"/>
  <c r="F59" i="26"/>
  <c r="C39" i="26"/>
  <c r="F29" i="26"/>
  <c r="Y57" i="135"/>
  <c r="X50" i="135"/>
  <c r="F64" i="135"/>
  <c r="B64" i="135" s="1"/>
  <c r="Q64" i="135" s="1"/>
  <c r="F62" i="135"/>
  <c r="B62" i="135" s="1"/>
  <c r="Q62" i="135" s="1"/>
  <c r="M3" i="140"/>
  <c r="M46" i="140"/>
  <c r="M49" i="140"/>
  <c r="F53" i="135"/>
  <c r="B53" i="135" s="1"/>
  <c r="H64" i="135" l="1"/>
  <c r="H62" i="135"/>
  <c r="Y58" i="135"/>
  <c r="Q33" i="22" l="1"/>
  <c r="P33" i="22" l="1"/>
  <c r="M10" i="140" l="1"/>
  <c r="O9" i="156"/>
  <c r="M13" i="94"/>
  <c r="K10" i="94"/>
  <c r="K33" i="94"/>
  <c r="M33" i="94" s="1"/>
  <c r="M39" i="155"/>
  <c r="M40" i="155"/>
  <c r="M42" i="155"/>
  <c r="M43" i="155"/>
  <c r="M44" i="155"/>
  <c r="H40" i="141"/>
  <c r="F44" i="155" l="1"/>
  <c r="B44" i="155" s="1"/>
  <c r="Q44" i="155" s="1"/>
  <c r="T44" i="155" s="1"/>
  <c r="H44" i="155" l="1"/>
  <c r="G34" i="155" l="1"/>
  <c r="C15" i="95" s="1"/>
  <c r="L87" i="155"/>
  <c r="G32" i="155"/>
  <c r="O16" i="156" l="1"/>
  <c r="O17" i="159"/>
  <c r="O16" i="159"/>
  <c r="H26" i="141" l="1"/>
  <c r="H27" i="141"/>
  <c r="H34" i="141"/>
  <c r="H35" i="141"/>
  <c r="H24" i="141"/>
  <c r="H24" i="189"/>
  <c r="F24" i="189"/>
  <c r="B24" i="189" s="1"/>
  <c r="I24" i="189" s="1"/>
  <c r="K24" i="189" l="1"/>
  <c r="J24" i="189"/>
  <c r="M25" i="140"/>
  <c r="M24" i="140"/>
  <c r="M23" i="140"/>
  <c r="M22" i="140"/>
  <c r="N24" i="189" l="1"/>
  <c r="M11" i="140"/>
  <c r="M8" i="140"/>
  <c r="M9" i="140" l="1"/>
  <c r="M78" i="140"/>
  <c r="A82" i="140"/>
  <c r="D82" i="140"/>
  <c r="E82" i="140"/>
  <c r="N78" i="140"/>
  <c r="O78" i="140"/>
  <c r="M31" i="140"/>
  <c r="M33" i="140"/>
  <c r="M42" i="140"/>
  <c r="M50" i="140"/>
  <c r="M43" i="140"/>
  <c r="M48" i="140"/>
  <c r="M47" i="140"/>
  <c r="M51" i="140"/>
  <c r="M17" i="140"/>
  <c r="M19" i="140"/>
  <c r="M18" i="140"/>
  <c r="M6" i="140"/>
  <c r="M5" i="140"/>
  <c r="M53" i="140"/>
  <c r="M52" i="140"/>
  <c r="M45" i="140"/>
  <c r="M44" i="140"/>
  <c r="M41" i="140"/>
  <c r="H46" i="101"/>
  <c r="G86" i="135"/>
  <c r="H14" i="189"/>
  <c r="H15" i="189"/>
  <c r="H16" i="189"/>
  <c r="H17" i="189"/>
  <c r="H18" i="189"/>
  <c r="H19" i="189"/>
  <c r="H20" i="189"/>
  <c r="H21" i="189"/>
  <c r="H22" i="189"/>
  <c r="H23" i="189"/>
  <c r="H13" i="189"/>
  <c r="H12" i="189"/>
  <c r="F23" i="189"/>
  <c r="B23" i="189" s="1"/>
  <c r="F22" i="189"/>
  <c r="B22" i="189" s="1"/>
  <c r="F21" i="189"/>
  <c r="B21" i="189" s="1"/>
  <c r="F20" i="189"/>
  <c r="B20" i="189" s="1"/>
  <c r="F19" i="189"/>
  <c r="B19" i="189" s="1"/>
  <c r="F18" i="189"/>
  <c r="B18" i="189" s="1"/>
  <c r="F17" i="189"/>
  <c r="B17" i="189" s="1"/>
  <c r="F16" i="189"/>
  <c r="B16" i="189" s="1"/>
  <c r="F15" i="189"/>
  <c r="B15" i="189" s="1"/>
  <c r="F14" i="189"/>
  <c r="B14" i="189" s="1"/>
  <c r="F13" i="189"/>
  <c r="B13" i="189" s="1"/>
  <c r="F12" i="189"/>
  <c r="B12" i="189" s="1"/>
  <c r="O33" i="155" l="1"/>
  <c r="O32" i="155"/>
  <c r="O31" i="155"/>
  <c r="O30" i="155"/>
  <c r="O29" i="155"/>
  <c r="O28" i="155"/>
  <c r="O27" i="155"/>
  <c r="O26" i="155"/>
  <c r="O25" i="155"/>
  <c r="O24" i="155"/>
  <c r="O20" i="155"/>
  <c r="W8" i="155"/>
  <c r="AJ18" i="101" l="1"/>
  <c r="AJ17" i="101"/>
  <c r="AE18" i="101"/>
  <c r="Z18" i="101"/>
  <c r="AJ23" i="101"/>
  <c r="D19" i="94" l="1"/>
  <c r="L70" i="155"/>
  <c r="F94" i="135"/>
  <c r="B94" i="135" s="1"/>
  <c r="Q94" i="135" s="1"/>
  <c r="O84" i="135"/>
  <c r="F84" i="135"/>
  <c r="B84" i="135" s="1"/>
  <c r="L88" i="155"/>
  <c r="Q88" i="155" s="1"/>
  <c r="D101" i="155"/>
  <c r="D100" i="155"/>
  <c r="D99" i="155"/>
  <c r="Q68" i="155"/>
  <c r="O85" i="135"/>
  <c r="F85" i="135"/>
  <c r="B85" i="135" s="1"/>
  <c r="F28" i="155"/>
  <c r="B28" i="155" s="1"/>
  <c r="H28" i="155" s="1"/>
  <c r="Q90" i="155"/>
  <c r="B38" i="159"/>
  <c r="B39" i="159"/>
  <c r="Q39" i="159"/>
  <c r="L38" i="159"/>
  <c r="L13" i="94"/>
  <c r="L37" i="159"/>
  <c r="F18" i="159"/>
  <c r="F20" i="159"/>
  <c r="A81" i="140"/>
  <c r="M77" i="140"/>
  <c r="D81" i="140" s="1"/>
  <c r="E81" i="140" s="1"/>
  <c r="O20" i="159"/>
  <c r="O18" i="159"/>
  <c r="O19" i="159"/>
  <c r="S17" i="159"/>
  <c r="K17" i="159"/>
  <c r="B17" i="159"/>
  <c r="Q87" i="155"/>
  <c r="F27" i="155"/>
  <c r="B27" i="155" s="1"/>
  <c r="F26" i="155"/>
  <c r="B26" i="155" s="1"/>
  <c r="H26" i="155" s="1"/>
  <c r="X89" i="155"/>
  <c r="I86" i="155"/>
  <c r="B86" i="155" s="1"/>
  <c r="L83" i="155"/>
  <c r="Q83" i="155" s="1"/>
  <c r="Q84" i="155"/>
  <c r="Q85" i="155"/>
  <c r="B81" i="155"/>
  <c r="B82" i="155"/>
  <c r="B83" i="155"/>
  <c r="B84" i="155"/>
  <c r="B85" i="155"/>
  <c r="Q80" i="155"/>
  <c r="Q81" i="155"/>
  <c r="Q82" i="155"/>
  <c r="B79" i="155"/>
  <c r="B80" i="155"/>
  <c r="L78" i="155"/>
  <c r="L79" i="155"/>
  <c r="U44" i="155" l="1"/>
  <c r="V44" i="155" s="1"/>
  <c r="T62" i="135"/>
  <c r="U62" i="135" s="1"/>
  <c r="V62" i="135" s="1"/>
  <c r="T28" i="135"/>
  <c r="U28" i="135" s="1"/>
  <c r="V28" i="135" s="1"/>
  <c r="O77" i="140"/>
  <c r="N77" i="140"/>
  <c r="B89" i="155"/>
  <c r="T94" i="135"/>
  <c r="B91" i="155"/>
  <c r="B90" i="155"/>
  <c r="B88" i="155"/>
  <c r="U17" i="159"/>
  <c r="B87" i="155"/>
  <c r="Q89" i="155"/>
  <c r="L76" i="155" l="1"/>
  <c r="F27" i="135" l="1"/>
  <c r="B27" i="135" s="1"/>
  <c r="Q27" i="135" s="1"/>
  <c r="T27" i="135" s="1"/>
  <c r="F20" i="135"/>
  <c r="B20" i="135" s="1"/>
  <c r="O16" i="157"/>
  <c r="O17" i="156"/>
  <c r="O17" i="157"/>
  <c r="B10" i="95"/>
  <c r="F56" i="135"/>
  <c r="B56" i="135" s="1"/>
  <c r="F31" i="155"/>
  <c r="B31" i="155" s="1"/>
  <c r="O79" i="135"/>
  <c r="O80" i="135"/>
  <c r="O81" i="135"/>
  <c r="O82" i="135"/>
  <c r="O83" i="135"/>
  <c r="F41" i="155"/>
  <c r="B41" i="155" s="1"/>
  <c r="Q41" i="155" s="1"/>
  <c r="T41" i="155" s="1"/>
  <c r="AL47" i="135"/>
  <c r="AL48" i="135" s="1"/>
  <c r="AM55" i="135"/>
  <c r="AM54" i="135"/>
  <c r="AL50" i="135"/>
  <c r="AM57" i="135" s="1"/>
  <c r="AM58" i="135" s="1"/>
  <c r="AG47" i="135"/>
  <c r="AG48" i="135" s="1"/>
  <c r="AH55" i="135"/>
  <c r="AH54" i="135"/>
  <c r="AG50" i="135"/>
  <c r="AH57" i="135" s="1"/>
  <c r="AH58" i="135" s="1"/>
  <c r="AB47" i="135"/>
  <c r="AB48" i="135" s="1"/>
  <c r="AC55" i="135"/>
  <c r="AC54" i="135"/>
  <c r="AB50" i="135"/>
  <c r="AC57" i="135" s="1"/>
  <c r="AC58" i="135" s="1"/>
  <c r="X47" i="135"/>
  <c r="Q21" i="152"/>
  <c r="R21" i="152"/>
  <c r="S21" i="152"/>
  <c r="T21" i="152"/>
  <c r="U21" i="152"/>
  <c r="V21" i="152"/>
  <c r="W21" i="152"/>
  <c r="X21" i="152"/>
  <c r="Y21" i="152"/>
  <c r="Z21" i="152"/>
  <c r="AA21" i="152"/>
  <c r="AB21" i="152"/>
  <c r="N21" i="135" l="1"/>
  <c r="H41" i="155"/>
  <c r="AM60" i="135"/>
  <c r="AM61" i="135" s="1"/>
  <c r="AH60" i="135"/>
  <c r="AH61" i="135" s="1"/>
  <c r="AC60" i="135"/>
  <c r="AC61" i="135" s="1"/>
  <c r="C16" i="152"/>
  <c r="R12" i="152"/>
  <c r="R11" i="152"/>
  <c r="S11" i="152"/>
  <c r="S12" i="152" s="1"/>
  <c r="T11" i="152"/>
  <c r="T12" i="152" s="1"/>
  <c r="U11" i="152"/>
  <c r="U12" i="152" s="1"/>
  <c r="V11" i="152"/>
  <c r="V12" i="152" s="1"/>
  <c r="W11" i="152"/>
  <c r="W12" i="152" s="1"/>
  <c r="X11" i="152"/>
  <c r="X12" i="152" s="1"/>
  <c r="Y11" i="152"/>
  <c r="Y12" i="152" s="1"/>
  <c r="Z11" i="152"/>
  <c r="Z12" i="152" s="1"/>
  <c r="AA11" i="152"/>
  <c r="AA12" i="152" s="1"/>
  <c r="AB11" i="152"/>
  <c r="AB12" i="152" s="1"/>
  <c r="Q11" i="152"/>
  <c r="Q12" i="152" s="1"/>
  <c r="F19" i="135"/>
  <c r="B19" i="135" s="1"/>
  <c r="F18" i="135"/>
  <c r="B18" i="135" s="1"/>
  <c r="U41" i="155" l="1"/>
  <c r="V41" i="155" s="1"/>
  <c r="G26" i="135"/>
  <c r="F93" i="135"/>
  <c r="B93" i="135" s="1"/>
  <c r="Q93" i="135" s="1"/>
  <c r="T93" i="135" s="1"/>
  <c r="F91" i="135"/>
  <c r="B91" i="135" s="1"/>
  <c r="F92" i="135"/>
  <c r="B92" i="135" s="1"/>
  <c r="H92" i="135" s="1"/>
  <c r="F83" i="135"/>
  <c r="B83" i="135" s="1"/>
  <c r="F82" i="135"/>
  <c r="B82" i="135" s="1"/>
  <c r="F81" i="135"/>
  <c r="B81" i="135" s="1"/>
  <c r="F80" i="135"/>
  <c r="B80" i="135" s="1"/>
  <c r="F79" i="135"/>
  <c r="B79" i="135" s="1"/>
  <c r="Z8" i="135" l="1"/>
  <c r="J99" i="155"/>
  <c r="Q92" i="135"/>
  <c r="T92" i="135" s="1"/>
  <c r="Q91" i="135"/>
  <c r="T91" i="135" s="1"/>
  <c r="G29" i="135"/>
  <c r="Q99" i="155" l="1"/>
  <c r="T95" i="135"/>
  <c r="G95" i="135"/>
  <c r="I100" i="135" s="1"/>
  <c r="M30" i="94" l="1"/>
  <c r="K6" i="94"/>
  <c r="M6" i="94" s="1"/>
  <c r="L8" i="94"/>
  <c r="M8" i="94"/>
  <c r="M23" i="94"/>
  <c r="M24" i="94"/>
  <c r="M25" i="94"/>
  <c r="AB25" i="94" s="1"/>
  <c r="M26" i="94"/>
  <c r="M27" i="94"/>
  <c r="M28" i="94"/>
  <c r="M29" i="94"/>
  <c r="M31" i="94"/>
  <c r="AB32" i="94"/>
  <c r="AB26" i="94" l="1"/>
  <c r="Q54" i="155" l="1"/>
  <c r="Q53" i="155"/>
  <c r="Q52" i="155"/>
  <c r="M18" i="94" l="1"/>
  <c r="M17" i="94"/>
  <c r="M9" i="94"/>
  <c r="M16" i="94"/>
  <c r="H45" i="101" l="1"/>
  <c r="BD45" i="101" s="1"/>
  <c r="L64" i="155"/>
  <c r="Q86" i="155"/>
  <c r="G14" i="136"/>
  <c r="G10" i="136"/>
  <c r="G8" i="136"/>
  <c r="G13" i="136" s="1"/>
  <c r="G7" i="136"/>
  <c r="G6" i="136"/>
  <c r="G5" i="136"/>
  <c r="G4" i="136"/>
  <c r="Q36" i="135"/>
  <c r="Q34" i="135"/>
  <c r="Q35" i="135"/>
  <c r="D12" i="152"/>
  <c r="E12" i="152"/>
  <c r="F12" i="152"/>
  <c r="G12" i="152"/>
  <c r="H12" i="152"/>
  <c r="I12" i="152"/>
  <c r="J12" i="152"/>
  <c r="K12" i="152"/>
  <c r="L12" i="152"/>
  <c r="M12" i="152"/>
  <c r="N12" i="152"/>
  <c r="C12" i="152"/>
  <c r="I321" i="173" l="1"/>
  <c r="I256" i="173"/>
  <c r="I190" i="173"/>
  <c r="I120" i="173"/>
  <c r="I48" i="173"/>
  <c r="K4" i="136" l="1"/>
  <c r="K14" i="136"/>
  <c r="O14" i="136" s="1"/>
  <c r="B1797" i="164"/>
  <c r="I1797" i="164" s="1"/>
  <c r="B1732" i="164"/>
  <c r="F1732" i="164" s="1"/>
  <c r="H1780" i="164"/>
  <c r="G1780" i="164"/>
  <c r="H1715" i="164"/>
  <c r="I1715" i="164" s="1"/>
  <c r="G1715" i="164"/>
  <c r="B1667" i="164"/>
  <c r="F1667" i="164" s="1"/>
  <c r="H1650" i="164"/>
  <c r="G1650" i="164"/>
  <c r="B1602" i="164"/>
  <c r="F1602" i="164" s="1"/>
  <c r="G1585" i="164"/>
  <c r="H1585" i="164"/>
  <c r="I1585" i="164" s="1"/>
  <c r="B1833" i="164"/>
  <c r="B1832" i="164"/>
  <c r="J1820" i="164"/>
  <c r="J1821" i="164" s="1"/>
  <c r="J1815" i="164"/>
  <c r="J1814" i="164"/>
  <c r="J1813" i="164"/>
  <c r="J1812" i="164"/>
  <c r="J1811" i="164"/>
  <c r="J1810" i="164"/>
  <c r="J1809" i="164"/>
  <c r="J1804" i="164"/>
  <c r="B1796" i="164"/>
  <c r="I1796" i="164" s="1"/>
  <c r="H1786" i="164"/>
  <c r="G1779" i="164"/>
  <c r="J1775" i="164"/>
  <c r="C1775" i="164"/>
  <c r="B1768" i="164"/>
  <c r="B1767" i="164"/>
  <c r="J1755" i="164"/>
  <c r="J1756" i="164" s="1"/>
  <c r="J1750" i="164"/>
  <c r="J1749" i="164"/>
  <c r="J1748" i="164"/>
  <c r="J1747" i="164"/>
  <c r="J1746" i="164"/>
  <c r="J1745" i="164"/>
  <c r="J1744" i="164"/>
  <c r="J1739" i="164"/>
  <c r="B1731" i="164"/>
  <c r="I1731" i="164" s="1"/>
  <c r="H1721" i="164"/>
  <c r="G1714" i="164"/>
  <c r="J1710" i="164"/>
  <c r="C1710" i="164"/>
  <c r="B1703" i="164"/>
  <c r="B1702" i="164"/>
  <c r="J1690" i="164"/>
  <c r="J1691" i="164" s="1"/>
  <c r="J1685" i="164"/>
  <c r="J1684" i="164"/>
  <c r="J1683" i="164"/>
  <c r="J1682" i="164"/>
  <c r="J1681" i="164"/>
  <c r="J1680" i="164"/>
  <c r="J1679" i="164"/>
  <c r="J1674" i="164"/>
  <c r="B1666" i="164"/>
  <c r="H1656" i="164"/>
  <c r="G1649" i="164"/>
  <c r="J1645" i="164"/>
  <c r="C1645" i="164"/>
  <c r="J1619" i="164"/>
  <c r="B1638" i="164"/>
  <c r="B1637" i="164"/>
  <c r="J1625" i="164"/>
  <c r="J1626" i="164" s="1"/>
  <c r="J1620" i="164"/>
  <c r="J1618" i="164"/>
  <c r="J1617" i="164"/>
  <c r="J1616" i="164"/>
  <c r="J1615" i="164"/>
  <c r="J1614" i="164"/>
  <c r="J1609" i="164"/>
  <c r="B1601" i="164"/>
  <c r="I1601" i="164" s="1"/>
  <c r="H1591" i="164"/>
  <c r="G1584" i="164"/>
  <c r="J1580" i="164"/>
  <c r="C1580" i="164"/>
  <c r="I1553" i="164"/>
  <c r="J1553" i="164" s="1"/>
  <c r="B1573" i="164"/>
  <c r="B1572" i="164"/>
  <c r="J1560" i="164"/>
  <c r="J1561" i="164" s="1"/>
  <c r="J1555" i="164"/>
  <c r="I1554" i="164"/>
  <c r="J1554" i="164" s="1"/>
  <c r="J1552" i="164"/>
  <c r="J1551" i="164"/>
  <c r="I1550" i="164"/>
  <c r="J1550" i="164" s="1"/>
  <c r="I1549" i="164"/>
  <c r="J1549" i="164" s="1"/>
  <c r="J1544" i="164"/>
  <c r="B1536" i="164"/>
  <c r="H1526" i="164"/>
  <c r="G1519" i="164"/>
  <c r="J1515" i="164"/>
  <c r="C1515" i="164"/>
  <c r="J1487" i="164"/>
  <c r="J1488" i="164"/>
  <c r="I1489" i="164"/>
  <c r="J1489" i="164" s="1"/>
  <c r="I1485" i="164"/>
  <c r="J1485" i="164" s="1"/>
  <c r="I1484" i="164"/>
  <c r="J1484" i="164" s="1"/>
  <c r="B1508" i="164"/>
  <c r="B1507" i="164"/>
  <c r="J1495" i="164"/>
  <c r="J1496" i="164" s="1"/>
  <c r="J1490" i="164"/>
  <c r="J1486" i="164"/>
  <c r="J1479" i="164"/>
  <c r="B1471" i="164"/>
  <c r="F1471" i="164" s="1"/>
  <c r="H1461" i="164"/>
  <c r="G1454" i="164"/>
  <c r="J1450" i="164"/>
  <c r="C1450" i="164"/>
  <c r="E1468" i="164"/>
  <c r="J1585" i="164" l="1"/>
  <c r="F1797" i="164"/>
  <c r="I1732" i="164"/>
  <c r="J1621" i="164"/>
  <c r="I1667" i="164"/>
  <c r="F1731" i="164"/>
  <c r="I1780" i="164"/>
  <c r="J1780" i="164" s="1"/>
  <c r="J1715" i="164"/>
  <c r="F1601" i="164"/>
  <c r="I1602" i="164"/>
  <c r="I1471" i="164"/>
  <c r="I1650" i="164"/>
  <c r="J1650" i="164" s="1"/>
  <c r="J1816" i="164"/>
  <c r="F1796" i="164"/>
  <c r="J1751" i="164"/>
  <c r="J1686" i="164"/>
  <c r="I1666" i="164"/>
  <c r="F1666" i="164"/>
  <c r="I1536" i="164"/>
  <c r="J1556" i="164"/>
  <c r="F1536" i="164"/>
  <c r="J1491" i="164"/>
  <c r="H39" i="141"/>
  <c r="S14" i="136" l="1"/>
  <c r="O5" i="136"/>
  <c r="I1409" i="164"/>
  <c r="E1406" i="164"/>
  <c r="Y54" i="135"/>
  <c r="G1124" i="164"/>
  <c r="J1124" i="164" s="1"/>
  <c r="H1101" i="164"/>
  <c r="B1148" i="164"/>
  <c r="B1147" i="164"/>
  <c r="J1135" i="164"/>
  <c r="J1134" i="164"/>
  <c r="J1133" i="164"/>
  <c r="J1132" i="164"/>
  <c r="J1126" i="164"/>
  <c r="J1125" i="164"/>
  <c r="I1123" i="164"/>
  <c r="J1123" i="164" s="1"/>
  <c r="J1118" i="164"/>
  <c r="J1112" i="164"/>
  <c r="B1109" i="164"/>
  <c r="I1109" i="164" s="1"/>
  <c r="J1096" i="164"/>
  <c r="J1095" i="164"/>
  <c r="J1094" i="164"/>
  <c r="G1092" i="164"/>
  <c r="J1088" i="164"/>
  <c r="C1088" i="164"/>
  <c r="B1081" i="164"/>
  <c r="B1080" i="164"/>
  <c r="J1068" i="164"/>
  <c r="J1067" i="164"/>
  <c r="J1066" i="164"/>
  <c r="J1065" i="164"/>
  <c r="J1060" i="164"/>
  <c r="J1059" i="164"/>
  <c r="J1058" i="164"/>
  <c r="J1057" i="164"/>
  <c r="J1056" i="164"/>
  <c r="J1055" i="164"/>
  <c r="J1054" i="164"/>
  <c r="J1053" i="164"/>
  <c r="I1052" i="164"/>
  <c r="J1052" i="164" s="1"/>
  <c r="J1047" i="164"/>
  <c r="J1041" i="164"/>
  <c r="B1038" i="164"/>
  <c r="I1038" i="164" s="1"/>
  <c r="J1025" i="164"/>
  <c r="J1024" i="164"/>
  <c r="J1023" i="164"/>
  <c r="G1021" i="164"/>
  <c r="J1017" i="164"/>
  <c r="C1017" i="164"/>
  <c r="I981" i="164"/>
  <c r="M1293" i="164"/>
  <c r="M1295" i="164" s="1"/>
  <c r="J1290" i="164"/>
  <c r="J1291" i="164"/>
  <c r="I1289" i="164"/>
  <c r="N1295" i="164"/>
  <c r="J1390" i="164"/>
  <c r="C1390" i="164"/>
  <c r="J1359" i="164"/>
  <c r="J1358" i="164"/>
  <c r="N1363" i="164"/>
  <c r="M1361" i="164"/>
  <c r="M1363" i="164" s="1"/>
  <c r="B1383" i="164"/>
  <c r="B1382" i="164"/>
  <c r="J1370" i="164"/>
  <c r="J1369" i="164"/>
  <c r="J1368" i="164"/>
  <c r="J1367" i="164"/>
  <c r="I1357" i="164"/>
  <c r="J1352" i="164"/>
  <c r="J1346" i="164"/>
  <c r="B1343" i="164"/>
  <c r="J1330" i="164"/>
  <c r="J1329" i="164"/>
  <c r="J1328" i="164"/>
  <c r="H1326" i="164"/>
  <c r="I1326" i="164" s="1"/>
  <c r="G1326" i="164"/>
  <c r="J1322" i="164"/>
  <c r="C1322" i="164"/>
  <c r="A80" i="140"/>
  <c r="M75" i="140"/>
  <c r="M13" i="140"/>
  <c r="M12" i="140"/>
  <c r="M16" i="140"/>
  <c r="M63" i="140"/>
  <c r="M76" i="140"/>
  <c r="D80" i="140" s="1"/>
  <c r="E80" i="140" s="1"/>
  <c r="M4" i="140"/>
  <c r="N3" i="140"/>
  <c r="M54" i="140"/>
  <c r="M7" i="140"/>
  <c r="B308" i="173"/>
  <c r="I308" i="173" s="1"/>
  <c r="B307" i="173"/>
  <c r="F307" i="173" s="1"/>
  <c r="B306" i="173"/>
  <c r="I306" i="173" s="1"/>
  <c r="J321" i="173"/>
  <c r="I320" i="173"/>
  <c r="H294" i="173"/>
  <c r="H293" i="173"/>
  <c r="G288" i="173"/>
  <c r="G287" i="173"/>
  <c r="H286" i="173"/>
  <c r="G286" i="173"/>
  <c r="I255" i="173"/>
  <c r="I189" i="173"/>
  <c r="I119" i="173"/>
  <c r="I47" i="173"/>
  <c r="J47" i="173" s="1"/>
  <c r="B242" i="173"/>
  <c r="F242" i="173" s="1"/>
  <c r="B243" i="173"/>
  <c r="H231" i="173"/>
  <c r="H230" i="173"/>
  <c r="J223" i="173"/>
  <c r="G222" i="173"/>
  <c r="G221" i="173"/>
  <c r="H220" i="173"/>
  <c r="G220" i="173"/>
  <c r="B173" i="173"/>
  <c r="B174" i="173"/>
  <c r="I174" i="173" s="1"/>
  <c r="H163" i="173"/>
  <c r="H162" i="173"/>
  <c r="G154" i="173"/>
  <c r="G153" i="173"/>
  <c r="H152" i="173"/>
  <c r="G152" i="173"/>
  <c r="H91" i="173"/>
  <c r="H90" i="173"/>
  <c r="J46" i="173"/>
  <c r="J48" i="173"/>
  <c r="J49" i="173"/>
  <c r="J50" i="173"/>
  <c r="H19" i="173"/>
  <c r="H18" i="173"/>
  <c r="G11" i="173"/>
  <c r="H11" i="173"/>
  <c r="I11" i="173" s="1"/>
  <c r="B94" i="181"/>
  <c r="F94" i="181" s="1"/>
  <c r="H85" i="181"/>
  <c r="G75" i="181"/>
  <c r="I29" i="181"/>
  <c r="B29" i="181"/>
  <c r="F29" i="181" s="1"/>
  <c r="H20" i="181"/>
  <c r="G10" i="181"/>
  <c r="B224" i="178"/>
  <c r="F224" i="178"/>
  <c r="I224" i="178"/>
  <c r="H215" i="178"/>
  <c r="G205" i="178"/>
  <c r="I173" i="178"/>
  <c r="B159" i="178"/>
  <c r="F159" i="178" s="1"/>
  <c r="E155" i="178"/>
  <c r="H150" i="178"/>
  <c r="G140" i="178"/>
  <c r="B94" i="178"/>
  <c r="F94" i="178" s="1"/>
  <c r="H85" i="178"/>
  <c r="G75" i="178"/>
  <c r="F29" i="178"/>
  <c r="I29" i="178"/>
  <c r="B29" i="178"/>
  <c r="H20" i="178"/>
  <c r="G10" i="178"/>
  <c r="O76" i="140" l="1"/>
  <c r="N76" i="140"/>
  <c r="J1069" i="164"/>
  <c r="J1061" i="164"/>
  <c r="F1109" i="164"/>
  <c r="J1136" i="164"/>
  <c r="O1363" i="164"/>
  <c r="J1128" i="164"/>
  <c r="F1038" i="164"/>
  <c r="O1295" i="164"/>
  <c r="G1289" i="164" s="1"/>
  <c r="J1357" i="164"/>
  <c r="J1363" i="164" s="1"/>
  <c r="J1371" i="164"/>
  <c r="J1326" i="164"/>
  <c r="J1331" i="164" s="1"/>
  <c r="I1343" i="164"/>
  <c r="F1343" i="164"/>
  <c r="I243" i="173"/>
  <c r="I307" i="173"/>
  <c r="F306" i="173"/>
  <c r="F308" i="173"/>
  <c r="I286" i="173"/>
  <c r="J286" i="173" s="1"/>
  <c r="I242" i="173"/>
  <c r="F243" i="173"/>
  <c r="F174" i="173"/>
  <c r="J11" i="173"/>
  <c r="I94" i="181"/>
  <c r="I159" i="178"/>
  <c r="I94" i="178"/>
  <c r="E1272" i="164" l="1"/>
  <c r="E1340" i="164"/>
  <c r="X48" i="135"/>
  <c r="AZ161" i="26" l="1"/>
  <c r="AX143" i="26"/>
  <c r="AX152" i="26"/>
  <c r="AV125" i="26"/>
  <c r="E31" i="166" l="1"/>
  <c r="D31" i="166"/>
  <c r="E303" i="173" l="1"/>
  <c r="E1793" i="164"/>
  <c r="E1728" i="164" l="1"/>
  <c r="E1598" i="164"/>
  <c r="E1035" i="164"/>
  <c r="F161" i="26"/>
  <c r="F152" i="26"/>
  <c r="F143" i="26"/>
  <c r="G143" i="26" s="1"/>
  <c r="B142" i="26"/>
  <c r="F134" i="26"/>
  <c r="B124" i="26"/>
  <c r="B123" i="26"/>
  <c r="B77" i="26"/>
  <c r="B57" i="26"/>
  <c r="D39" i="26"/>
  <c r="E1533" i="164" l="1"/>
  <c r="E99" i="173"/>
  <c r="E238" i="173"/>
  <c r="E170" i="173"/>
  <c r="E964" i="164"/>
  <c r="E1663" i="164"/>
  <c r="E27" i="173"/>
  <c r="S61" i="22"/>
  <c r="R61" i="22"/>
  <c r="Q61" i="22"/>
  <c r="P61" i="22"/>
  <c r="O61" i="22"/>
  <c r="Q42" i="22"/>
  <c r="P42" i="22"/>
  <c r="Q41" i="22"/>
  <c r="P41" i="22"/>
  <c r="Q39" i="22"/>
  <c r="Q35" i="22"/>
  <c r="Q24" i="22"/>
  <c r="Q23" i="22" s="1"/>
  <c r="P24" i="22"/>
  <c r="P23" i="22" s="1"/>
  <c r="Q22" i="22"/>
  <c r="P22" i="22"/>
  <c r="Q17" i="22"/>
  <c r="P17" i="22"/>
  <c r="D22" i="166" l="1"/>
  <c r="Q40" i="22" l="1"/>
  <c r="P40" i="22"/>
  <c r="Q44" i="22"/>
  <c r="P44" i="22"/>
  <c r="Q36" i="22"/>
  <c r="Q37" i="22" l="1"/>
  <c r="P45" i="22"/>
  <c r="Q45" i="22"/>
  <c r="Q46" i="22"/>
  <c r="P46" i="22"/>
  <c r="Q38" i="22"/>
  <c r="B1443" i="164" l="1"/>
  <c r="B1442" i="164"/>
  <c r="J1430" i="164"/>
  <c r="J1431" i="164" s="1"/>
  <c r="J1425" i="164"/>
  <c r="J1424" i="164"/>
  <c r="J1423" i="164"/>
  <c r="J1422" i="164"/>
  <c r="J1417" i="164"/>
  <c r="B1410" i="164"/>
  <c r="F1410" i="164" s="1"/>
  <c r="B1409" i="164"/>
  <c r="H1402" i="164"/>
  <c r="H1401" i="164"/>
  <c r="G1395" i="164"/>
  <c r="H1394" i="164"/>
  <c r="G1394" i="164"/>
  <c r="J1426" i="164" l="1"/>
  <c r="I1410" i="164"/>
  <c r="I1394" i="164"/>
  <c r="J1394" i="164" s="1"/>
  <c r="F1409" i="164"/>
  <c r="J1398" i="164" l="1"/>
  <c r="L1398" i="164" l="1"/>
  <c r="E897" i="164" l="1"/>
  <c r="J1289" i="164" l="1"/>
  <c r="B1315" i="164"/>
  <c r="B1314" i="164"/>
  <c r="J1302" i="164"/>
  <c r="J1301" i="164"/>
  <c r="J1300" i="164"/>
  <c r="J1299" i="164"/>
  <c r="J1284" i="164"/>
  <c r="J1278" i="164"/>
  <c r="B1275" i="164"/>
  <c r="I1275" i="164" s="1"/>
  <c r="J1262" i="164"/>
  <c r="J1261" i="164"/>
  <c r="J1260" i="164"/>
  <c r="H1258" i="164"/>
  <c r="I1258" i="164" s="1"/>
  <c r="G1258" i="164"/>
  <c r="J1254" i="164"/>
  <c r="C1254" i="164"/>
  <c r="J1258" i="164" l="1"/>
  <c r="J1263" i="164" s="1"/>
  <c r="J1303" i="164"/>
  <c r="F1275" i="164"/>
  <c r="J1295" i="164"/>
  <c r="B9" i="95" l="1"/>
  <c r="B8" i="95"/>
  <c r="AV17" i="101"/>
  <c r="J989" i="164"/>
  <c r="I918" i="164"/>
  <c r="J918" i="164" s="1"/>
  <c r="J914" i="164"/>
  <c r="J915" i="164"/>
  <c r="J916" i="164"/>
  <c r="J917" i="164"/>
  <c r="B967" i="164"/>
  <c r="I967" i="164" s="1"/>
  <c r="B900" i="164"/>
  <c r="I900" i="164" s="1"/>
  <c r="G950" i="164"/>
  <c r="J986" i="164"/>
  <c r="J987" i="164"/>
  <c r="J988" i="164"/>
  <c r="J985" i="164"/>
  <c r="J984" i="164"/>
  <c r="J983" i="164"/>
  <c r="G982" i="164"/>
  <c r="J919" i="164" l="1"/>
  <c r="F967" i="164"/>
  <c r="F900" i="164"/>
  <c r="G883" i="164" l="1"/>
  <c r="B1010" i="164"/>
  <c r="B1009" i="164"/>
  <c r="J997" i="164"/>
  <c r="J996" i="164"/>
  <c r="J995" i="164"/>
  <c r="J994" i="164"/>
  <c r="J982" i="164"/>
  <c r="J981" i="164"/>
  <c r="J976" i="164"/>
  <c r="J970" i="164"/>
  <c r="J954" i="164"/>
  <c r="J953" i="164"/>
  <c r="J952" i="164"/>
  <c r="J946" i="164"/>
  <c r="C946" i="164"/>
  <c r="B939" i="164"/>
  <c r="B938" i="164"/>
  <c r="J926" i="164"/>
  <c r="J925" i="164"/>
  <c r="J924" i="164"/>
  <c r="J923" i="164"/>
  <c r="J909" i="164"/>
  <c r="J903" i="164"/>
  <c r="J887" i="164"/>
  <c r="J886" i="164"/>
  <c r="J885" i="164"/>
  <c r="J879" i="164"/>
  <c r="C879" i="164"/>
  <c r="J990" i="164" l="1"/>
  <c r="J998" i="164"/>
  <c r="J927" i="164"/>
  <c r="F125" i="26" l="1"/>
  <c r="S62" i="22" l="1"/>
  <c r="R62" i="22"/>
  <c r="Q62" i="22"/>
  <c r="P62" i="22"/>
  <c r="O62" i="22"/>
  <c r="S60" i="22"/>
  <c r="R60" i="22"/>
  <c r="Q60" i="22"/>
  <c r="P60" i="22"/>
  <c r="O60" i="22"/>
  <c r="G19" i="26" l="1"/>
  <c r="G29" i="26"/>
  <c r="G48" i="26"/>
  <c r="B872" i="164"/>
  <c r="B871" i="164"/>
  <c r="J859" i="164"/>
  <c r="J858" i="164"/>
  <c r="J857" i="164"/>
  <c r="J856" i="164"/>
  <c r="I851" i="164"/>
  <c r="J851" i="164" s="1"/>
  <c r="J850" i="164"/>
  <c r="J849" i="164"/>
  <c r="J848" i="164"/>
  <c r="J843" i="164"/>
  <c r="J837" i="164"/>
  <c r="J838" i="164" s="1"/>
  <c r="E831" i="164"/>
  <c r="J821" i="164"/>
  <c r="J820" i="164"/>
  <c r="J819" i="164"/>
  <c r="J813" i="164"/>
  <c r="C813" i="164"/>
  <c r="I785" i="164"/>
  <c r="E765" i="164"/>
  <c r="J860" i="164" l="1"/>
  <c r="J822" i="164"/>
  <c r="J852" i="164"/>
  <c r="O10" i="136" l="1"/>
  <c r="O8" i="136"/>
  <c r="J5" i="164" l="1"/>
  <c r="H144" i="164"/>
  <c r="H142" i="164"/>
  <c r="M15" i="94" l="1"/>
  <c r="M14" i="94"/>
  <c r="M12" i="94"/>
  <c r="M7" i="94"/>
  <c r="M33" i="157" l="1"/>
  <c r="M130" i="135"/>
  <c r="M37" i="141" l="1"/>
  <c r="M36" i="141"/>
  <c r="M32" i="141"/>
  <c r="M33" i="141"/>
  <c r="M38" i="141"/>
  <c r="M39" i="141"/>
  <c r="M10" i="141"/>
  <c r="M17" i="141"/>
  <c r="M18" i="141"/>
  <c r="M22" i="141"/>
  <c r="M24" i="141"/>
  <c r="M25" i="141"/>
  <c r="M30" i="141"/>
  <c r="M31" i="141"/>
  <c r="M3" i="141"/>
  <c r="H143" i="190" l="1"/>
  <c r="J143" i="190" s="1"/>
  <c r="H600" i="190"/>
  <c r="J600" i="190" s="1"/>
  <c r="H716" i="190"/>
  <c r="J716" i="190" s="1"/>
  <c r="H87" i="164"/>
  <c r="J87" i="164" s="1"/>
  <c r="J91" i="164" s="1"/>
  <c r="L91" i="164" s="1"/>
  <c r="H25" i="190"/>
  <c r="J25" i="190" s="1"/>
  <c r="J29" i="190" s="1"/>
  <c r="H83" i="190"/>
  <c r="J83" i="190" s="1"/>
  <c r="J87" i="190" s="1"/>
  <c r="L87" i="190" s="1"/>
  <c r="J1825" i="190"/>
  <c r="J1827" i="190" s="1"/>
  <c r="J1881" i="190"/>
  <c r="J1884" i="190" s="1"/>
  <c r="J2215" i="190"/>
  <c r="H335" i="164"/>
  <c r="J335" i="164" s="1"/>
  <c r="H397" i="164"/>
  <c r="J397" i="164" s="1"/>
  <c r="M64" i="135"/>
  <c r="T64" i="135" s="1"/>
  <c r="U64" i="135" s="1"/>
  <c r="V64" i="135" s="1"/>
  <c r="Y60" i="135"/>
  <c r="Y61" i="135" s="1"/>
  <c r="Y62" i="135" s="1"/>
  <c r="H1343" i="164"/>
  <c r="J1343" i="164" s="1"/>
  <c r="J1347" i="164" s="1"/>
  <c r="H1275" i="164"/>
  <c r="J1275" i="164" s="1"/>
  <c r="J1279" i="164" s="1"/>
  <c r="L1279" i="164" s="1"/>
  <c r="H1732" i="164"/>
  <c r="J1732" i="164" s="1"/>
  <c r="H1797" i="164"/>
  <c r="J1797" i="164" s="1"/>
  <c r="H1667" i="164"/>
  <c r="J1667" i="164" s="1"/>
  <c r="H1602" i="164"/>
  <c r="J1602" i="164" s="1"/>
  <c r="H306" i="173"/>
  <c r="J306" i="173" s="1"/>
  <c r="M9" i="141"/>
  <c r="M44" i="141"/>
  <c r="M19" i="141"/>
  <c r="M35" i="141"/>
  <c r="M34" i="141"/>
  <c r="M43" i="141"/>
  <c r="M42" i="141"/>
  <c r="M16" i="141"/>
  <c r="M27" i="141"/>
  <c r="M26" i="141"/>
  <c r="M14" i="141"/>
  <c r="M11" i="141"/>
  <c r="M8" i="141"/>
  <c r="M41" i="141"/>
  <c r="M23" i="141"/>
  <c r="M15" i="141"/>
  <c r="M7" i="141"/>
  <c r="M40" i="141"/>
  <c r="M29" i="141"/>
  <c r="M5" i="141"/>
  <c r="H1409" i="164" s="1"/>
  <c r="J1409" i="164" s="1"/>
  <c r="J1412" i="164" s="1"/>
  <c r="L1412" i="164" s="1"/>
  <c r="M6" i="141"/>
  <c r="M21" i="141"/>
  <c r="M13" i="141"/>
  <c r="M28" i="141"/>
  <c r="M20" i="141"/>
  <c r="M12" i="141"/>
  <c r="M4" i="141"/>
  <c r="I1896" i="190" l="1"/>
  <c r="J1896" i="190" s="1"/>
  <c r="J1895" i="190"/>
  <c r="I1894" i="190"/>
  <c r="J1894" i="190" s="1"/>
  <c r="I1839" i="190"/>
  <c r="J1839" i="190" s="1"/>
  <c r="J1838" i="190"/>
  <c r="I1837" i="190"/>
  <c r="J1837" i="190" s="1"/>
  <c r="L1827" i="190"/>
  <c r="H1116" i="190"/>
  <c r="J1116" i="190" s="1"/>
  <c r="J1936" i="190"/>
  <c r="J1938" i="190" s="1"/>
  <c r="H1281" i="190"/>
  <c r="J1281" i="190" s="1"/>
  <c r="H1061" i="190"/>
  <c r="J1061" i="190" s="1"/>
  <c r="J2157" i="190"/>
  <c r="J2159" i="190" s="1"/>
  <c r="H1226" i="190"/>
  <c r="J1226" i="190" s="1"/>
  <c r="H1171" i="190"/>
  <c r="J1171" i="190" s="1"/>
  <c r="J2102" i="190"/>
  <c r="J2104" i="190" s="1"/>
  <c r="J2214" i="190"/>
  <c r="J2217" i="190" s="1"/>
  <c r="L1557" i="190"/>
  <c r="L1502" i="190"/>
  <c r="J2045" i="190"/>
  <c r="J2048" i="190" s="1"/>
  <c r="J1990" i="190"/>
  <c r="J1993" i="190" s="1"/>
  <c r="H272" i="164"/>
  <c r="J272" i="164" s="1"/>
  <c r="J277" i="164" s="1"/>
  <c r="H199" i="190"/>
  <c r="J199" i="190" s="1"/>
  <c r="J204" i="190" s="1"/>
  <c r="H370" i="190"/>
  <c r="J370" i="190" s="1"/>
  <c r="J375" i="190" s="1"/>
  <c r="L375" i="190" s="1"/>
  <c r="H484" i="190"/>
  <c r="J484" i="190" s="1"/>
  <c r="J489" i="190" s="1"/>
  <c r="H142" i="190"/>
  <c r="J142" i="190" s="1"/>
  <c r="H715" i="190"/>
  <c r="J715" i="190" s="1"/>
  <c r="H598" i="190"/>
  <c r="J598" i="190" s="1"/>
  <c r="H599" i="190"/>
  <c r="J599" i="190" s="1"/>
  <c r="H717" i="190"/>
  <c r="J717" i="190" s="1"/>
  <c r="H1062" i="190"/>
  <c r="J1062" i="190" s="1"/>
  <c r="H144" i="190"/>
  <c r="J144" i="190" s="1"/>
  <c r="H1117" i="190"/>
  <c r="J1117" i="190" s="1"/>
  <c r="H1172" i="190"/>
  <c r="J1172" i="190" s="1"/>
  <c r="H1227" i="190"/>
  <c r="J1227" i="190" s="1"/>
  <c r="H601" i="190"/>
  <c r="J601" i="190" s="1"/>
  <c r="H1282" i="190"/>
  <c r="J1282" i="190" s="1"/>
  <c r="H645" i="164"/>
  <c r="J645" i="164" s="1"/>
  <c r="H583" i="164"/>
  <c r="J583" i="164" s="1"/>
  <c r="H521" i="164"/>
  <c r="J521" i="164" s="1"/>
  <c r="H707" i="164"/>
  <c r="J707" i="164" s="1"/>
  <c r="H459" i="164"/>
  <c r="J459" i="164" s="1"/>
  <c r="H520" i="164"/>
  <c r="J520" i="164" s="1"/>
  <c r="H644" i="164"/>
  <c r="J644" i="164" s="1"/>
  <c r="H582" i="164"/>
  <c r="J582" i="164" s="1"/>
  <c r="H706" i="164"/>
  <c r="J706" i="164" s="1"/>
  <c r="H333" i="164"/>
  <c r="J333" i="164" s="1"/>
  <c r="H458" i="164"/>
  <c r="J458" i="164" s="1"/>
  <c r="H396" i="164"/>
  <c r="J396" i="164" s="1"/>
  <c r="H334" i="164"/>
  <c r="J334" i="164" s="1"/>
  <c r="H708" i="164"/>
  <c r="J708" i="164" s="1"/>
  <c r="H522" i="164"/>
  <c r="J522" i="164" s="1"/>
  <c r="H584" i="164"/>
  <c r="J584" i="164" s="1"/>
  <c r="H646" i="164"/>
  <c r="J646" i="164" s="1"/>
  <c r="H398" i="164"/>
  <c r="J398" i="164" s="1"/>
  <c r="H460" i="164"/>
  <c r="J460" i="164" s="1"/>
  <c r="H336" i="164"/>
  <c r="J336" i="164" s="1"/>
  <c r="H1536" i="164"/>
  <c r="J1536" i="164" s="1"/>
  <c r="J1539" i="164" s="1"/>
  <c r="H1471" i="164"/>
  <c r="J1471" i="164" s="1"/>
  <c r="J1474" i="164" s="1"/>
  <c r="H29" i="178"/>
  <c r="J29" i="178" s="1"/>
  <c r="H29" i="181"/>
  <c r="J29" i="181" s="1"/>
  <c r="H224" i="178"/>
  <c r="J224" i="178" s="1"/>
  <c r="H1038" i="164"/>
  <c r="J1038" i="164" s="1"/>
  <c r="J1042" i="164" s="1"/>
  <c r="H159" i="178"/>
  <c r="J159" i="178" s="1"/>
  <c r="H1109" i="164"/>
  <c r="J1109" i="164" s="1"/>
  <c r="J1113" i="164" s="1"/>
  <c r="H94" i="178"/>
  <c r="J94" i="178" s="1"/>
  <c r="H94" i="181"/>
  <c r="J94" i="181" s="1"/>
  <c r="H308" i="173"/>
  <c r="J308" i="173" s="1"/>
  <c r="H243" i="173"/>
  <c r="J243" i="173" s="1"/>
  <c r="L1347" i="164"/>
  <c r="H1666" i="164"/>
  <c r="J1666" i="164" s="1"/>
  <c r="J1669" i="164" s="1"/>
  <c r="H1601" i="164"/>
  <c r="H1796" i="164"/>
  <c r="J1796" i="164" s="1"/>
  <c r="J1799" i="164" s="1"/>
  <c r="H1731" i="164"/>
  <c r="J1731" i="164" s="1"/>
  <c r="J1734" i="164" s="1"/>
  <c r="H174" i="173"/>
  <c r="J174" i="173" s="1"/>
  <c r="H307" i="173"/>
  <c r="J307" i="173" s="1"/>
  <c r="H242" i="173"/>
  <c r="J242" i="173" s="1"/>
  <c r="H1410" i="164"/>
  <c r="J1410" i="164" s="1"/>
  <c r="H967" i="164"/>
  <c r="J967" i="164" s="1"/>
  <c r="J971" i="164" s="1"/>
  <c r="H900" i="164"/>
  <c r="J900" i="164" s="1"/>
  <c r="J904" i="164" s="1"/>
  <c r="J1841" i="190" l="1"/>
  <c r="I2229" i="190"/>
  <c r="J2229" i="190" s="1"/>
  <c r="I2227" i="190"/>
  <c r="J2228" i="190"/>
  <c r="I2171" i="190"/>
  <c r="J2171" i="190" s="1"/>
  <c r="J2170" i="190"/>
  <c r="I2169" i="190"/>
  <c r="J2169" i="190" s="1"/>
  <c r="I2116" i="190"/>
  <c r="J2116" i="190" s="1"/>
  <c r="J2115" i="190"/>
  <c r="I2114" i="190"/>
  <c r="J2114" i="190" s="1"/>
  <c r="J1898" i="190"/>
  <c r="I2060" i="190"/>
  <c r="J2060" i="190" s="1"/>
  <c r="J2059" i="190"/>
  <c r="I2058" i="190"/>
  <c r="J2058" i="190" s="1"/>
  <c r="I2005" i="190"/>
  <c r="J2005" i="190" s="1"/>
  <c r="J2004" i="190"/>
  <c r="I2003" i="190"/>
  <c r="J2003" i="190" s="1"/>
  <c r="I1950" i="190"/>
  <c r="J1950" i="190" s="1"/>
  <c r="J1949" i="190"/>
  <c r="I1948" i="190"/>
  <c r="J1948" i="190" s="1"/>
  <c r="L2217" i="190"/>
  <c r="J2227" i="190"/>
  <c r="L2159" i="190"/>
  <c r="L2104" i="190"/>
  <c r="L2048" i="190"/>
  <c r="L1993" i="190"/>
  <c r="J602" i="190"/>
  <c r="J718" i="190"/>
  <c r="J709" i="164"/>
  <c r="J523" i="164"/>
  <c r="J1283" i="190"/>
  <c r="J145" i="190"/>
  <c r="L204" i="190"/>
  <c r="J211" i="190"/>
  <c r="J1173" i="190"/>
  <c r="J1063" i="190"/>
  <c r="J1228" i="190"/>
  <c r="J461" i="164"/>
  <c r="J1118" i="190"/>
  <c r="J399" i="164"/>
  <c r="J337" i="164"/>
  <c r="J585" i="164"/>
  <c r="J647" i="164"/>
  <c r="J309" i="173"/>
  <c r="L1113" i="164"/>
  <c r="L1799" i="164"/>
  <c r="J1601" i="164"/>
  <c r="J1604" i="164" s="1"/>
  <c r="L1669" i="164"/>
  <c r="L1734" i="164"/>
  <c r="L1474" i="164"/>
  <c r="L1539" i="164"/>
  <c r="L904" i="164"/>
  <c r="L971" i="164"/>
  <c r="H23" i="141"/>
  <c r="H15" i="141"/>
  <c r="H5" i="141"/>
  <c r="J2118" i="190" l="1"/>
  <c r="J2173" i="190"/>
  <c r="J2231" i="190"/>
  <c r="J2062" i="190"/>
  <c r="J2007" i="190"/>
  <c r="J1952" i="190"/>
  <c r="L1604" i="164"/>
  <c r="S23" i="101"/>
  <c r="S24" i="101" s="1"/>
  <c r="H16" i="152"/>
  <c r="F16" i="152"/>
  <c r="E16" i="152"/>
  <c r="D16" i="152"/>
  <c r="J16" i="152" l="1"/>
  <c r="L16" i="152"/>
  <c r="M16" i="152"/>
  <c r="N16" i="152"/>
  <c r="C5" i="164" l="1"/>
  <c r="J47" i="164"/>
  <c r="J48" i="164" s="1"/>
  <c r="J42" i="164"/>
  <c r="J41" i="164"/>
  <c r="J40" i="164"/>
  <c r="J39" i="164"/>
  <c r="J34" i="164"/>
  <c r="B25" i="164"/>
  <c r="I25" i="164" s="1"/>
  <c r="H17" i="164"/>
  <c r="J13" i="164"/>
  <c r="G9" i="164"/>
  <c r="B10" i="26"/>
  <c r="C10" i="26"/>
  <c r="D10" i="26"/>
  <c r="G10" i="26"/>
  <c r="L15" i="26"/>
  <c r="N15" i="26" s="1"/>
  <c r="P15" i="26" s="1"/>
  <c r="R15" i="26" s="1"/>
  <c r="T15" i="26" s="1"/>
  <c r="V15" i="26" s="1"/>
  <c r="I16" i="152"/>
  <c r="D29" i="26"/>
  <c r="E10" i="26" l="1"/>
  <c r="AP10" i="26"/>
  <c r="J43" i="164"/>
  <c r="F25" i="164"/>
  <c r="X15" i="26"/>
  <c r="G57" i="135" l="1"/>
  <c r="C9" i="95" s="1"/>
  <c r="Z15" i="26"/>
  <c r="AB15" i="26" l="1"/>
  <c r="AB17" i="26" s="1"/>
  <c r="AD15" i="26" l="1"/>
  <c r="AD17" i="26" s="1"/>
  <c r="AF15" i="26" l="1"/>
  <c r="AF17" i="26" s="1"/>
  <c r="AH15" i="26" l="1"/>
  <c r="AH17" i="26" s="1"/>
  <c r="G63" i="188"/>
  <c r="I71" i="188" s="1"/>
  <c r="F63" i="188"/>
  <c r="B63" i="188" s="1"/>
  <c r="F56" i="188"/>
  <c r="B56" i="188" s="1"/>
  <c r="F55" i="188"/>
  <c r="B55" i="188" s="1"/>
  <c r="AJ15" i="26" l="1"/>
  <c r="AJ17" i="26" s="1"/>
  <c r="H63" i="188"/>
  <c r="H65" i="188" s="1"/>
  <c r="Q63" i="188"/>
  <c r="G65" i="188"/>
  <c r="G58" i="188"/>
  <c r="E177" i="169"/>
  <c r="E250" i="169"/>
  <c r="E104" i="169"/>
  <c r="E31" i="169"/>
  <c r="HB8" i="26"/>
  <c r="HJ8" i="26"/>
  <c r="B352" i="169"/>
  <c r="B351" i="169"/>
  <c r="J339" i="169"/>
  <c r="J338" i="169"/>
  <c r="J340" i="169" s="1"/>
  <c r="J334" i="169"/>
  <c r="J333" i="169"/>
  <c r="J332" i="169"/>
  <c r="J335" i="169"/>
  <c r="J326" i="169"/>
  <c r="J320" i="169"/>
  <c r="J319" i="169"/>
  <c r="B318" i="169"/>
  <c r="I318" i="169" s="1"/>
  <c r="J312" i="169"/>
  <c r="J304" i="169"/>
  <c r="J303" i="169"/>
  <c r="J302" i="169"/>
  <c r="H301" i="169"/>
  <c r="G301" i="169"/>
  <c r="J297" i="169"/>
  <c r="C297" i="169"/>
  <c r="AL15" i="26" l="1"/>
  <c r="AL17" i="26" s="1"/>
  <c r="E315" i="169"/>
  <c r="I70" i="188"/>
  <c r="I72" i="188"/>
  <c r="S56" i="188"/>
  <c r="U56" i="188" s="1"/>
  <c r="S55" i="188"/>
  <c r="U55" i="188" s="1"/>
  <c r="I301" i="169"/>
  <c r="J301" i="169" s="1"/>
  <c r="J305" i="169" s="1"/>
  <c r="F318" i="169"/>
  <c r="G105" i="26"/>
  <c r="F32" i="188"/>
  <c r="B32" i="188" s="1"/>
  <c r="Q32" i="188" s="1"/>
  <c r="M31" i="188"/>
  <c r="F31" i="188"/>
  <c r="B31" i="188" s="1"/>
  <c r="F30" i="188"/>
  <c r="B30" i="188" s="1"/>
  <c r="F29" i="188"/>
  <c r="B29" i="188" s="1"/>
  <c r="F22" i="188"/>
  <c r="B22" i="188" s="1"/>
  <c r="F21" i="188"/>
  <c r="B21" i="188" s="1"/>
  <c r="G32" i="188"/>
  <c r="F20" i="188"/>
  <c r="B20" i="188" s="1"/>
  <c r="F19" i="188"/>
  <c r="B19" i="188" s="1"/>
  <c r="F18" i="188"/>
  <c r="B18" i="188" s="1"/>
  <c r="F17" i="188"/>
  <c r="B17" i="188" s="1"/>
  <c r="G134" i="26"/>
  <c r="G125" i="26"/>
  <c r="AN15" i="26" l="1"/>
  <c r="AN17" i="26" s="1"/>
  <c r="HH127" i="26"/>
  <c r="HB127" i="26"/>
  <c r="HJ127" i="26"/>
  <c r="GV127" i="26"/>
  <c r="GX127" i="26"/>
  <c r="GZ127" i="26"/>
  <c r="HF127" i="26"/>
  <c r="HD127" i="26"/>
  <c r="U58" i="188"/>
  <c r="J47" i="188" s="1"/>
  <c r="S58" i="188"/>
  <c r="Q29" i="188"/>
  <c r="Q30" i="188"/>
  <c r="Q31" i="188"/>
  <c r="H31" i="188"/>
  <c r="S21" i="188"/>
  <c r="U21" i="188" s="1"/>
  <c r="G29" i="188"/>
  <c r="G30" i="188"/>
  <c r="G31" i="188"/>
  <c r="G24" i="188"/>
  <c r="S19" i="188"/>
  <c r="U19" i="188" s="1"/>
  <c r="S18" i="188"/>
  <c r="U18" i="188" s="1"/>
  <c r="AP15" i="26" l="1"/>
  <c r="AP17" i="26" s="1"/>
  <c r="F14" i="122"/>
  <c r="S20" i="188"/>
  <c r="U20" i="188" s="1"/>
  <c r="I39" i="188"/>
  <c r="I41" i="188"/>
  <c r="G34" i="188"/>
  <c r="I40" i="188"/>
  <c r="I42" i="188"/>
  <c r="AR15" i="26" l="1"/>
  <c r="AR17" i="26" s="1"/>
  <c r="AT15" i="26" l="1"/>
  <c r="AT17" i="26" s="1"/>
  <c r="G114" i="26"/>
  <c r="G96" i="26"/>
  <c r="G87" i="26"/>
  <c r="G78" i="26"/>
  <c r="BH89" i="26" l="1"/>
  <c r="AV15" i="26"/>
  <c r="AV17" i="26" s="1"/>
  <c r="AX15" i="26" l="1"/>
  <c r="AZ15" i="26" l="1"/>
  <c r="AZ17" i="26" s="1"/>
  <c r="AX17" i="26"/>
  <c r="BB15" i="26"/>
  <c r="BB17" i="26" s="1"/>
  <c r="E12" i="94"/>
  <c r="BD15" i="26" l="1"/>
  <c r="BD17" i="26" s="1"/>
  <c r="L70" i="188"/>
  <c r="L39" i="188"/>
  <c r="BF15" i="26" l="1"/>
  <c r="BF17" i="26" s="1"/>
  <c r="H16" i="141"/>
  <c r="BH15" i="26" l="1"/>
  <c r="BH17" i="26" s="1"/>
  <c r="H36" i="141"/>
  <c r="BJ15" i="26" l="1"/>
  <c r="BJ17" i="26" s="1"/>
  <c r="O23" i="155"/>
  <c r="K23" i="155"/>
  <c r="F23" i="155"/>
  <c r="B23" i="155" s="1"/>
  <c r="H23" i="155" s="1"/>
  <c r="H12" i="141"/>
  <c r="J39" i="141"/>
  <c r="I269" i="169"/>
  <c r="I50" i="169"/>
  <c r="BL15" i="26" l="1"/>
  <c r="BL17" i="26" s="1"/>
  <c r="S23" i="155"/>
  <c r="BN15" i="26" l="1"/>
  <c r="BN17" i="26" s="1"/>
  <c r="BP15" i="26" l="1"/>
  <c r="BP17" i="26" s="1"/>
  <c r="J269" i="169"/>
  <c r="B290" i="169"/>
  <c r="B289" i="169"/>
  <c r="J277" i="169"/>
  <c r="J276" i="169"/>
  <c r="J272" i="169"/>
  <c r="J271" i="169"/>
  <c r="J270" i="169"/>
  <c r="J264" i="169"/>
  <c r="J258" i="169"/>
  <c r="J257" i="169"/>
  <c r="B256" i="169"/>
  <c r="I256" i="169" s="1"/>
  <c r="B255" i="169"/>
  <c r="I255" i="169" s="1"/>
  <c r="B254" i="169"/>
  <c r="F254" i="169" s="1"/>
  <c r="B253" i="169"/>
  <c r="I253" i="169" s="1"/>
  <c r="J247" i="169"/>
  <c r="H242" i="169"/>
  <c r="H241" i="169"/>
  <c r="H240" i="169"/>
  <c r="H239" i="169"/>
  <c r="J234" i="169"/>
  <c r="J233" i="169"/>
  <c r="J232" i="169"/>
  <c r="H231" i="169"/>
  <c r="G231" i="169"/>
  <c r="G230" i="169"/>
  <c r="G229" i="169"/>
  <c r="G228" i="169"/>
  <c r="J224" i="169"/>
  <c r="C224" i="169"/>
  <c r="I196" i="169"/>
  <c r="J196" i="169" s="1"/>
  <c r="D151" i="169"/>
  <c r="B217" i="169"/>
  <c r="B216" i="169"/>
  <c r="J204" i="169"/>
  <c r="J203" i="169"/>
  <c r="J199" i="169"/>
  <c r="J198" i="169"/>
  <c r="J197" i="169"/>
  <c r="J191" i="169"/>
  <c r="J185" i="169"/>
  <c r="J184" i="169"/>
  <c r="B183" i="169"/>
  <c r="I183" i="169" s="1"/>
  <c r="B182" i="169"/>
  <c r="B181" i="169"/>
  <c r="I181" i="169" s="1"/>
  <c r="B180" i="169"/>
  <c r="I180" i="169" s="1"/>
  <c r="J174" i="169"/>
  <c r="H169" i="169"/>
  <c r="H168" i="169"/>
  <c r="H167" i="169"/>
  <c r="H166" i="169"/>
  <c r="J161" i="169"/>
  <c r="J160" i="169"/>
  <c r="J159" i="169"/>
  <c r="H158" i="169"/>
  <c r="I158" i="169" s="1"/>
  <c r="G158" i="169"/>
  <c r="G157" i="169"/>
  <c r="G156" i="169"/>
  <c r="G155" i="169"/>
  <c r="J151" i="169"/>
  <c r="C151" i="169"/>
  <c r="C78" i="169"/>
  <c r="B144" i="169"/>
  <c r="B143" i="169"/>
  <c r="J131" i="169"/>
  <c r="J130" i="169"/>
  <c r="J126" i="169"/>
  <c r="J125" i="169"/>
  <c r="J124" i="169"/>
  <c r="J118" i="169"/>
  <c r="J112" i="169"/>
  <c r="J111" i="169"/>
  <c r="B110" i="169"/>
  <c r="B109" i="169"/>
  <c r="I109" i="169" s="1"/>
  <c r="B108" i="169"/>
  <c r="F108" i="169" s="1"/>
  <c r="B107" i="169"/>
  <c r="I107" i="169" s="1"/>
  <c r="J101" i="169"/>
  <c r="H96" i="169"/>
  <c r="H95" i="169"/>
  <c r="H94" i="169"/>
  <c r="H93" i="169"/>
  <c r="J88" i="169"/>
  <c r="J87" i="169"/>
  <c r="J86" i="169"/>
  <c r="H85" i="169"/>
  <c r="G85" i="169"/>
  <c r="G84" i="169"/>
  <c r="G83" i="169"/>
  <c r="G82" i="169"/>
  <c r="J78" i="169"/>
  <c r="BR15" i="26" l="1"/>
  <c r="BR17" i="26" s="1"/>
  <c r="F107" i="169"/>
  <c r="I254" i="169"/>
  <c r="J127" i="169"/>
  <c r="J132" i="169"/>
  <c r="I182" i="169"/>
  <c r="J205" i="169"/>
  <c r="J278" i="169"/>
  <c r="I108" i="169"/>
  <c r="J273" i="169"/>
  <c r="F256" i="169"/>
  <c r="F253" i="169"/>
  <c r="F255" i="169"/>
  <c r="I231" i="169"/>
  <c r="J231" i="169" s="1"/>
  <c r="J200" i="169"/>
  <c r="F181" i="169"/>
  <c r="F183" i="169"/>
  <c r="F180" i="169"/>
  <c r="J158" i="169"/>
  <c r="F182" i="169"/>
  <c r="F110" i="169"/>
  <c r="I110" i="169"/>
  <c r="F109" i="169"/>
  <c r="I85" i="169"/>
  <c r="J85" i="169" s="1"/>
  <c r="BT15" i="26" l="1"/>
  <c r="BT17" i="26" s="1"/>
  <c r="Y55" i="135"/>
  <c r="BV15" i="26" l="1"/>
  <c r="BV17" i="26" s="1"/>
  <c r="BX15" i="26" l="1"/>
  <c r="BX17" i="26" s="1"/>
  <c r="O17" i="155"/>
  <c r="O19" i="155"/>
  <c r="K19" i="155"/>
  <c r="K22" i="155"/>
  <c r="BZ15" i="26" l="1"/>
  <c r="BZ17" i="26" s="1"/>
  <c r="CB15" i="26" l="1"/>
  <c r="CB17" i="26" s="1"/>
  <c r="CD15" i="26" l="1"/>
  <c r="CD17" i="26" s="1"/>
  <c r="H44" i="101"/>
  <c r="BD44" i="101" s="1"/>
  <c r="CF15" i="26" l="1"/>
  <c r="CF17" i="26" s="1"/>
  <c r="H141" i="164"/>
  <c r="CH15" i="26" l="1"/>
  <c r="CH17" i="26" s="1"/>
  <c r="CJ15" i="26" l="1"/>
  <c r="CJ17" i="26" s="1"/>
  <c r="S19" i="101"/>
  <c r="F30" i="159"/>
  <c r="B30" i="159" s="1"/>
  <c r="F33" i="157"/>
  <c r="S19" i="155"/>
  <c r="D68" i="140"/>
  <c r="F19" i="155"/>
  <c r="B19" i="155" s="1"/>
  <c r="H19" i="155" s="1"/>
  <c r="BD46" i="101"/>
  <c r="F33" i="156"/>
  <c r="Q30" i="159" l="1"/>
  <c r="CL15" i="26"/>
  <c r="CL17" i="26" s="1"/>
  <c r="U19" i="155"/>
  <c r="W19" i="155" s="1"/>
  <c r="CN15" i="26" l="1"/>
  <c r="CN17" i="26" s="1"/>
  <c r="C10" i="136"/>
  <c r="K10" i="136"/>
  <c r="K8" i="136"/>
  <c r="D79" i="140"/>
  <c r="E79" i="140" s="1"/>
  <c r="A79" i="140"/>
  <c r="O75" i="140"/>
  <c r="N75" i="140"/>
  <c r="CP15" i="26" l="1"/>
  <c r="CP17" i="26" s="1"/>
  <c r="A78" i="140"/>
  <c r="D78" i="140"/>
  <c r="E78" i="140" s="1"/>
  <c r="CR15" i="26" l="1"/>
  <c r="CR17" i="26" s="1"/>
  <c r="A77" i="140"/>
  <c r="D77" i="140"/>
  <c r="E77" i="140"/>
  <c r="A76" i="140"/>
  <c r="D76" i="140"/>
  <c r="E76" i="140"/>
  <c r="O72" i="140"/>
  <c r="N72" i="140"/>
  <c r="CT15" i="26" l="1"/>
  <c r="CT17" i="26" s="1"/>
  <c r="B152" i="164"/>
  <c r="I152" i="164" s="1"/>
  <c r="G135" i="164"/>
  <c r="CV15" i="26" l="1"/>
  <c r="CV17" i="26" s="1"/>
  <c r="F152" i="164"/>
  <c r="CX15" i="26" l="1"/>
  <c r="CX17" i="26" s="1"/>
  <c r="G131" i="135"/>
  <c r="G130" i="135"/>
  <c r="G129" i="135"/>
  <c r="G128" i="135"/>
  <c r="F129" i="135"/>
  <c r="B129" i="135" s="1"/>
  <c r="F130" i="135"/>
  <c r="B130" i="135" s="1"/>
  <c r="F131" i="135"/>
  <c r="B131" i="135" s="1"/>
  <c r="F117" i="135"/>
  <c r="B117" i="135" s="1"/>
  <c r="F118" i="135"/>
  <c r="B118" i="135" s="1"/>
  <c r="F119" i="135"/>
  <c r="B119" i="135" s="1"/>
  <c r="F120" i="135"/>
  <c r="B120" i="135" s="1"/>
  <c r="F121" i="135"/>
  <c r="B121" i="135" s="1"/>
  <c r="F128" i="135"/>
  <c r="B128" i="135" s="1"/>
  <c r="F116" i="135"/>
  <c r="B116" i="135" s="1"/>
  <c r="I100" i="155"/>
  <c r="F63" i="135"/>
  <c r="B63" i="135" s="1"/>
  <c r="H63" i="135" s="1"/>
  <c r="J16" i="141"/>
  <c r="K16" i="141"/>
  <c r="H6" i="141"/>
  <c r="J6" i="141" s="1"/>
  <c r="J36" i="141"/>
  <c r="K36" i="141"/>
  <c r="A75" i="140"/>
  <c r="A74" i="140"/>
  <c r="A73" i="140"/>
  <c r="A72" i="140"/>
  <c r="D69" i="140"/>
  <c r="D66" i="140"/>
  <c r="D59" i="140"/>
  <c r="D58" i="140"/>
  <c r="D32" i="140"/>
  <c r="D30" i="140"/>
  <c r="D29" i="140"/>
  <c r="D28" i="140"/>
  <c r="D27" i="140"/>
  <c r="D26" i="140"/>
  <c r="H21" i="155" s="1"/>
  <c r="D21" i="140"/>
  <c r="D20" i="140"/>
  <c r="D15" i="140"/>
  <c r="D8" i="140"/>
  <c r="O71" i="140"/>
  <c r="M70" i="140"/>
  <c r="O70" i="140" s="1"/>
  <c r="M69" i="140"/>
  <c r="N69" i="140" s="1"/>
  <c r="M68" i="140"/>
  <c r="N68" i="140" s="1"/>
  <c r="M67" i="140"/>
  <c r="D71" i="140" s="1"/>
  <c r="M66" i="140"/>
  <c r="N66" i="140" s="1"/>
  <c r="M65" i="140"/>
  <c r="O65" i="140" s="1"/>
  <c r="M64" i="140"/>
  <c r="O64" i="140" s="1"/>
  <c r="O63" i="140"/>
  <c r="N63" i="140"/>
  <c r="M62" i="140"/>
  <c r="M61" i="140"/>
  <c r="N61" i="140" s="1"/>
  <c r="O60" i="140"/>
  <c r="N60" i="140"/>
  <c r="M59" i="140"/>
  <c r="N59" i="140" s="1"/>
  <c r="M58" i="140"/>
  <c r="D60" i="140" s="1"/>
  <c r="M55" i="140"/>
  <c r="N55" i="140" s="1"/>
  <c r="O54" i="140"/>
  <c r="O53" i="140"/>
  <c r="O52" i="140"/>
  <c r="O51" i="140"/>
  <c r="O50" i="140"/>
  <c r="N49" i="140"/>
  <c r="O48" i="140"/>
  <c r="N47" i="140"/>
  <c r="O46" i="140"/>
  <c r="O45" i="140"/>
  <c r="O44" i="140"/>
  <c r="N43" i="140"/>
  <c r="D43" i="140"/>
  <c r="N41" i="140"/>
  <c r="M40" i="140"/>
  <c r="O40" i="140" s="1"/>
  <c r="M39" i="140"/>
  <c r="N39" i="140" s="1"/>
  <c r="M38" i="140"/>
  <c r="O38" i="140" s="1"/>
  <c r="M37" i="140"/>
  <c r="O37" i="140" s="1"/>
  <c r="M36" i="140"/>
  <c r="O36" i="140" s="1"/>
  <c r="O35" i="140"/>
  <c r="O34" i="140"/>
  <c r="N33" i="140"/>
  <c r="O31" i="140"/>
  <c r="N25" i="140"/>
  <c r="O24" i="140"/>
  <c r="O23" i="140"/>
  <c r="O22" i="140"/>
  <c r="M21" i="140"/>
  <c r="O19" i="140"/>
  <c r="N18" i="140"/>
  <c r="O17" i="140"/>
  <c r="O16" i="140"/>
  <c r="M15" i="140"/>
  <c r="D6" i="140" s="1"/>
  <c r="O13" i="140"/>
  <c r="N12" i="140"/>
  <c r="O11" i="140"/>
  <c r="O10" i="140"/>
  <c r="O9" i="140"/>
  <c r="O8" i="140"/>
  <c r="O7" i="140"/>
  <c r="N7" i="140"/>
  <c r="N6" i="140"/>
  <c r="O5" i="140"/>
  <c r="N4" i="140"/>
  <c r="O3" i="140"/>
  <c r="K308" i="141"/>
  <c r="K307" i="141"/>
  <c r="K306" i="141"/>
  <c r="K305" i="141"/>
  <c r="K304" i="141"/>
  <c r="K303" i="141"/>
  <c r="K302" i="141"/>
  <c r="K301" i="141"/>
  <c r="K300" i="141"/>
  <c r="K299" i="141"/>
  <c r="K298" i="141"/>
  <c r="K297" i="141"/>
  <c r="K296" i="141"/>
  <c r="K295" i="141"/>
  <c r="K294" i="141"/>
  <c r="K293" i="141"/>
  <c r="K292" i="141"/>
  <c r="K291" i="141"/>
  <c r="K290" i="141"/>
  <c r="K289" i="141"/>
  <c r="K288" i="141"/>
  <c r="K287" i="141"/>
  <c r="K286" i="141"/>
  <c r="K285" i="141"/>
  <c r="K284" i="141"/>
  <c r="K283" i="141"/>
  <c r="K282" i="141"/>
  <c r="K281" i="141"/>
  <c r="K280" i="141"/>
  <c r="K279" i="141"/>
  <c r="K278" i="141"/>
  <c r="K277" i="141"/>
  <c r="K276" i="141"/>
  <c r="K275" i="141"/>
  <c r="K274" i="141"/>
  <c r="K273" i="141"/>
  <c r="K272" i="141"/>
  <c r="K271" i="141"/>
  <c r="K270" i="141"/>
  <c r="K269" i="141"/>
  <c r="K268" i="141"/>
  <c r="K267" i="141"/>
  <c r="K266" i="141"/>
  <c r="K265" i="141"/>
  <c r="K264" i="141"/>
  <c r="K263" i="141"/>
  <c r="K262" i="141"/>
  <c r="K261" i="141"/>
  <c r="K260" i="141"/>
  <c r="K259" i="141"/>
  <c r="K258" i="141"/>
  <c r="K257" i="141"/>
  <c r="K256" i="141"/>
  <c r="K255" i="141"/>
  <c r="K254" i="141"/>
  <c r="K253" i="141"/>
  <c r="K252" i="141"/>
  <c r="K251" i="141"/>
  <c r="K250" i="141"/>
  <c r="K249" i="141"/>
  <c r="K248" i="141"/>
  <c r="K247" i="141"/>
  <c r="K246" i="141"/>
  <c r="K245" i="141"/>
  <c r="K244" i="141"/>
  <c r="K243" i="141"/>
  <c r="K242" i="141"/>
  <c r="K241" i="141"/>
  <c r="K240" i="141"/>
  <c r="K239" i="141"/>
  <c r="K238" i="141"/>
  <c r="K237" i="141"/>
  <c r="K236" i="141"/>
  <c r="K235" i="141"/>
  <c r="K234" i="141"/>
  <c r="K233" i="141"/>
  <c r="K232" i="141"/>
  <c r="K231" i="141"/>
  <c r="K230" i="141"/>
  <c r="K229" i="141"/>
  <c r="K228" i="141"/>
  <c r="K227" i="141"/>
  <c r="K226" i="141"/>
  <c r="K225" i="141"/>
  <c r="K224" i="141"/>
  <c r="K223" i="141"/>
  <c r="K222" i="141"/>
  <c r="K221" i="141"/>
  <c r="K220" i="141"/>
  <c r="K219" i="141"/>
  <c r="K218" i="141"/>
  <c r="K217" i="141"/>
  <c r="K216" i="141"/>
  <c r="K215" i="141"/>
  <c r="K214" i="141"/>
  <c r="K213" i="141"/>
  <c r="K212" i="141"/>
  <c r="K211" i="141"/>
  <c r="K210" i="141"/>
  <c r="K209" i="141"/>
  <c r="K208" i="141"/>
  <c r="K207" i="141"/>
  <c r="K206" i="141"/>
  <c r="K205" i="141"/>
  <c r="K204" i="141"/>
  <c r="K203" i="141"/>
  <c r="K202" i="141"/>
  <c r="K201" i="141"/>
  <c r="K200" i="141"/>
  <c r="K199" i="141"/>
  <c r="K198" i="141"/>
  <c r="K197" i="141"/>
  <c r="K196" i="141"/>
  <c r="K195" i="141"/>
  <c r="K194" i="141"/>
  <c r="K193" i="141"/>
  <c r="K192" i="141"/>
  <c r="K191" i="141"/>
  <c r="K190" i="141"/>
  <c r="K189" i="141"/>
  <c r="K188" i="141"/>
  <c r="K187" i="141"/>
  <c r="K186" i="141"/>
  <c r="K185" i="141"/>
  <c r="K184" i="141"/>
  <c r="K183" i="141"/>
  <c r="K182" i="141"/>
  <c r="K181" i="141"/>
  <c r="K180" i="141"/>
  <c r="K179" i="141"/>
  <c r="K178" i="141"/>
  <c r="K177" i="141"/>
  <c r="K176" i="141"/>
  <c r="K175" i="141"/>
  <c r="K174" i="141"/>
  <c r="K173" i="141"/>
  <c r="K172" i="141"/>
  <c r="K171" i="141"/>
  <c r="K170" i="141"/>
  <c r="K169" i="141"/>
  <c r="K168" i="141"/>
  <c r="K167" i="141"/>
  <c r="K166" i="141"/>
  <c r="K165" i="141"/>
  <c r="K164" i="141"/>
  <c r="K163" i="141"/>
  <c r="K162" i="141"/>
  <c r="K161" i="141"/>
  <c r="K160" i="141"/>
  <c r="K159" i="141"/>
  <c r="K158" i="141"/>
  <c r="K157" i="141"/>
  <c r="K156" i="141"/>
  <c r="K155" i="141"/>
  <c r="K154" i="141"/>
  <c r="K153" i="141"/>
  <c r="K152" i="141"/>
  <c r="K151" i="141"/>
  <c r="K150" i="141"/>
  <c r="K149" i="141"/>
  <c r="K148" i="141"/>
  <c r="K147" i="141"/>
  <c r="K146" i="141"/>
  <c r="K145" i="141"/>
  <c r="K144" i="141"/>
  <c r="K143" i="141"/>
  <c r="K142" i="141"/>
  <c r="K141" i="141"/>
  <c r="K140" i="141"/>
  <c r="K139" i="141"/>
  <c r="K138" i="141"/>
  <c r="K137" i="141"/>
  <c r="K136" i="141"/>
  <c r="K135" i="141"/>
  <c r="K134" i="141"/>
  <c r="K133" i="141"/>
  <c r="K132" i="141"/>
  <c r="K131" i="141"/>
  <c r="K130" i="141"/>
  <c r="K129" i="141"/>
  <c r="K128" i="141"/>
  <c r="K127" i="141"/>
  <c r="K126" i="141"/>
  <c r="K125" i="141"/>
  <c r="K124" i="141"/>
  <c r="K123" i="141"/>
  <c r="K122" i="141"/>
  <c r="K121" i="141"/>
  <c r="K120" i="141"/>
  <c r="K119" i="141"/>
  <c r="K118" i="141"/>
  <c r="K117" i="141"/>
  <c r="K116" i="141"/>
  <c r="K115" i="141"/>
  <c r="K114" i="141"/>
  <c r="K113" i="141"/>
  <c r="K112" i="141"/>
  <c r="K111" i="141"/>
  <c r="K110" i="141"/>
  <c r="K109" i="141"/>
  <c r="K108" i="141"/>
  <c r="K107" i="141"/>
  <c r="K106" i="141"/>
  <c r="K105" i="141"/>
  <c r="K104" i="141"/>
  <c r="K103" i="141"/>
  <c r="K102" i="141"/>
  <c r="K101" i="141"/>
  <c r="K100" i="141"/>
  <c r="K99" i="141"/>
  <c r="K98" i="141"/>
  <c r="K97" i="141"/>
  <c r="K96" i="141"/>
  <c r="K95" i="141"/>
  <c r="K94" i="141"/>
  <c r="K93" i="141"/>
  <c r="K92" i="141"/>
  <c r="K91" i="141"/>
  <c r="K90" i="141"/>
  <c r="K89" i="141"/>
  <c r="K88" i="141"/>
  <c r="K87" i="141"/>
  <c r="K86" i="141"/>
  <c r="K85" i="141"/>
  <c r="K84" i="141"/>
  <c r="K83" i="141"/>
  <c r="K82" i="141"/>
  <c r="K81" i="141"/>
  <c r="K80" i="141"/>
  <c r="K79" i="141"/>
  <c r="K78" i="141"/>
  <c r="K77" i="141"/>
  <c r="K76" i="141"/>
  <c r="K75" i="141"/>
  <c r="K74" i="141"/>
  <c r="K73" i="141"/>
  <c r="K72" i="141"/>
  <c r="K71" i="141"/>
  <c r="K70" i="141"/>
  <c r="K69" i="141"/>
  <c r="K68" i="141"/>
  <c r="K67" i="141"/>
  <c r="K66" i="141"/>
  <c r="K65" i="141"/>
  <c r="K64" i="141"/>
  <c r="K63" i="141"/>
  <c r="K62" i="141"/>
  <c r="K61" i="141"/>
  <c r="K60" i="141"/>
  <c r="K59" i="141"/>
  <c r="K58" i="141"/>
  <c r="K57" i="141"/>
  <c r="K56" i="141"/>
  <c r="K55" i="141"/>
  <c r="K54" i="141"/>
  <c r="K53" i="141"/>
  <c r="K52" i="141"/>
  <c r="K51" i="141"/>
  <c r="K50" i="141"/>
  <c r="K49" i="141"/>
  <c r="K48" i="141"/>
  <c r="K47" i="141"/>
  <c r="K46" i="141"/>
  <c r="K45" i="141"/>
  <c r="J45" i="141"/>
  <c r="K44" i="141"/>
  <c r="H44" i="141"/>
  <c r="J44" i="141" s="1"/>
  <c r="K43" i="141"/>
  <c r="J43" i="141"/>
  <c r="H43" i="141"/>
  <c r="N42" i="141"/>
  <c r="K42" i="141"/>
  <c r="J42" i="141"/>
  <c r="N41" i="141"/>
  <c r="K41" i="141"/>
  <c r="J41" i="141"/>
  <c r="K40" i="141"/>
  <c r="J40" i="141"/>
  <c r="K39" i="141"/>
  <c r="K38" i="141"/>
  <c r="H38" i="141"/>
  <c r="J38" i="141" s="1"/>
  <c r="K37" i="141"/>
  <c r="H37" i="141"/>
  <c r="J37" i="141" s="1"/>
  <c r="K35" i="141"/>
  <c r="J35" i="141"/>
  <c r="H91" i="135" s="1"/>
  <c r="K34" i="141"/>
  <c r="J34" i="141"/>
  <c r="K33" i="141"/>
  <c r="J33" i="141"/>
  <c r="H33" i="141"/>
  <c r="H32" i="141"/>
  <c r="J32" i="141" s="1"/>
  <c r="K31" i="141"/>
  <c r="H31" i="141"/>
  <c r="J31" i="141" s="1"/>
  <c r="K30" i="141"/>
  <c r="H30" i="141"/>
  <c r="J30" i="141" s="1"/>
  <c r="K29" i="141"/>
  <c r="J29" i="141"/>
  <c r="H29" i="141"/>
  <c r="K28" i="141"/>
  <c r="J28" i="141"/>
  <c r="K27" i="141"/>
  <c r="J27" i="141"/>
  <c r="K26" i="141"/>
  <c r="J26" i="141"/>
  <c r="H318" i="169"/>
  <c r="J318" i="169" s="1"/>
  <c r="J321" i="169" s="1"/>
  <c r="K25" i="141"/>
  <c r="J25" i="141"/>
  <c r="H25" i="141"/>
  <c r="K24" i="141"/>
  <c r="J24" i="141"/>
  <c r="K23" i="141"/>
  <c r="J23" i="141"/>
  <c r="K22" i="141"/>
  <c r="H22" i="141"/>
  <c r="J22" i="141" s="1"/>
  <c r="K21" i="141"/>
  <c r="J21" i="141"/>
  <c r="K20" i="141"/>
  <c r="H20" i="141"/>
  <c r="J20" i="141" s="1"/>
  <c r="K19" i="141"/>
  <c r="H19" i="141"/>
  <c r="J19" i="141" s="1"/>
  <c r="K18" i="141"/>
  <c r="J18" i="141"/>
  <c r="K17" i="141"/>
  <c r="J17" i="141"/>
  <c r="H17" i="141"/>
  <c r="K15" i="141"/>
  <c r="J15" i="141"/>
  <c r="K14" i="141"/>
  <c r="J14" i="141"/>
  <c r="K13" i="141"/>
  <c r="J13" i="141"/>
  <c r="K12" i="141"/>
  <c r="J12" i="141"/>
  <c r="K11" i="141"/>
  <c r="H11" i="141"/>
  <c r="J11" i="141" s="1"/>
  <c r="K10" i="141"/>
  <c r="H10" i="141"/>
  <c r="J10" i="141" s="1"/>
  <c r="K9" i="141"/>
  <c r="J9" i="141"/>
  <c r="H2197" i="190" s="1"/>
  <c r="I2197" i="190" s="1"/>
  <c r="J2197" i="190" s="1"/>
  <c r="J2201" i="190" s="1"/>
  <c r="L2201" i="190" s="1"/>
  <c r="K8" i="141"/>
  <c r="H8" i="141"/>
  <c r="J8" i="141" s="1"/>
  <c r="K7" i="141"/>
  <c r="J7" i="141"/>
  <c r="K6" i="141"/>
  <c r="K5" i="141"/>
  <c r="K4" i="141"/>
  <c r="H4" i="141"/>
  <c r="J4" i="141" s="1"/>
  <c r="K3" i="141"/>
  <c r="J3" i="141"/>
  <c r="H94" i="135" l="1"/>
  <c r="H566" i="164"/>
  <c r="I566" i="164" s="1"/>
  <c r="J566" i="164" s="1"/>
  <c r="J570" i="164" s="1"/>
  <c r="H690" i="164"/>
  <c r="I690" i="164" s="1"/>
  <c r="J690" i="164" s="1"/>
  <c r="J694" i="164" s="1"/>
  <c r="H628" i="164"/>
  <c r="I628" i="164" s="1"/>
  <c r="J628" i="164" s="1"/>
  <c r="J632" i="164" s="1"/>
  <c r="H504" i="164"/>
  <c r="I504" i="164" s="1"/>
  <c r="J504" i="164" s="1"/>
  <c r="J508" i="164" s="1"/>
  <c r="H442" i="164"/>
  <c r="I442" i="164" s="1"/>
  <c r="J442" i="164" s="1"/>
  <c r="J446" i="164" s="1"/>
  <c r="H154" i="173"/>
  <c r="I154" i="173" s="1"/>
  <c r="H288" i="173"/>
  <c r="I288" i="173" s="1"/>
  <c r="H222" i="173"/>
  <c r="I222" i="173" s="1"/>
  <c r="J222" i="173" s="1"/>
  <c r="H32" i="188"/>
  <c r="W63" i="135"/>
  <c r="W91" i="135"/>
  <c r="X91" i="135" s="1"/>
  <c r="H30" i="159"/>
  <c r="H1584" i="164"/>
  <c r="I1584" i="164" s="1"/>
  <c r="J1584" i="164" s="1"/>
  <c r="J1588" i="164" s="1"/>
  <c r="L1588" i="164" s="1"/>
  <c r="H1779" i="164"/>
  <c r="I1779" i="164" s="1"/>
  <c r="J1779" i="164" s="1"/>
  <c r="J1783" i="164" s="1"/>
  <c r="H1714" i="164"/>
  <c r="H1649" i="164"/>
  <c r="I1649" i="164" s="1"/>
  <c r="J1649" i="164" s="1"/>
  <c r="J1653" i="164" s="1"/>
  <c r="L1653" i="164" s="1"/>
  <c r="H287" i="173"/>
  <c r="I287" i="173" s="1"/>
  <c r="J287" i="173" s="1"/>
  <c r="H221" i="173"/>
  <c r="I221" i="173" s="1"/>
  <c r="J221" i="173" s="1"/>
  <c r="H153" i="173"/>
  <c r="I153" i="173" s="1"/>
  <c r="J153" i="173" s="1"/>
  <c r="H1395" i="164"/>
  <c r="I1395" i="164" s="1"/>
  <c r="J1395" i="164" s="1"/>
  <c r="H93" i="135"/>
  <c r="H1519" i="164"/>
  <c r="I1519" i="164" s="1"/>
  <c r="J1519" i="164" s="1"/>
  <c r="J1523" i="164" s="1"/>
  <c r="H1454" i="164"/>
  <c r="I1454" i="164" s="1"/>
  <c r="J1454" i="164" s="1"/>
  <c r="J1458" i="164" s="1"/>
  <c r="L1458" i="164" s="1"/>
  <c r="H140" i="178"/>
  <c r="I140" i="178" s="1"/>
  <c r="J140" i="178" s="1"/>
  <c r="H75" i="181"/>
  <c r="H1021" i="164"/>
  <c r="I1021" i="164" s="1"/>
  <c r="J1021" i="164" s="1"/>
  <c r="J1026" i="164" s="1"/>
  <c r="H10" i="178"/>
  <c r="I10" i="178" s="1"/>
  <c r="J10" i="178" s="1"/>
  <c r="H205" i="178"/>
  <c r="H75" i="178"/>
  <c r="H1092" i="164"/>
  <c r="H10" i="181"/>
  <c r="H950" i="164"/>
  <c r="I950" i="164" s="1"/>
  <c r="J950" i="164" s="1"/>
  <c r="J955" i="164" s="1"/>
  <c r="H883" i="164"/>
  <c r="H30" i="188"/>
  <c r="U91" i="135"/>
  <c r="V91" i="135" s="1"/>
  <c r="H27" i="135"/>
  <c r="U27" i="135" s="1"/>
  <c r="V27" i="135" s="1"/>
  <c r="AH62" i="135"/>
  <c r="AM62" i="135"/>
  <c r="AC62" i="135"/>
  <c r="O42" i="140"/>
  <c r="U23" i="155"/>
  <c r="W23" i="155" s="1"/>
  <c r="O15" i="140"/>
  <c r="N44" i="140"/>
  <c r="O66" i="140"/>
  <c r="O41" i="140"/>
  <c r="D73" i="140"/>
  <c r="N67" i="140"/>
  <c r="D41" i="140"/>
  <c r="O49" i="140"/>
  <c r="N36" i="140"/>
  <c r="N42" i="140"/>
  <c r="O47" i="140"/>
  <c r="O67" i="140"/>
  <c r="CZ15" i="26"/>
  <c r="CZ17" i="26" s="1"/>
  <c r="D23" i="140"/>
  <c r="N15" i="140"/>
  <c r="N22" i="140"/>
  <c r="D7" i="140"/>
  <c r="D25" i="140"/>
  <c r="D39" i="140"/>
  <c r="D9" i="140"/>
  <c r="D49" i="140"/>
  <c r="D56" i="140"/>
  <c r="D17" i="140"/>
  <c r="D74" i="140"/>
  <c r="O59" i="140"/>
  <c r="O69" i="140"/>
  <c r="D31" i="140"/>
  <c r="N9" i="140"/>
  <c r="O33" i="140"/>
  <c r="N50" i="140"/>
  <c r="O55" i="140"/>
  <c r="D16" i="140"/>
  <c r="D24" i="140"/>
  <c r="D40" i="140"/>
  <c r="D48" i="140"/>
  <c r="D57" i="140"/>
  <c r="D67" i="140"/>
  <c r="N34" i="140"/>
  <c r="O39" i="140"/>
  <c r="N58" i="140"/>
  <c r="N71" i="140"/>
  <c r="D10" i="140"/>
  <c r="D18" i="140"/>
  <c r="D34" i="140"/>
  <c r="D42" i="140"/>
  <c r="D50" i="140"/>
  <c r="H53" i="135" s="1"/>
  <c r="D70" i="140"/>
  <c r="D47" i="140"/>
  <c r="K19" i="135" s="1"/>
  <c r="O6" i="140"/>
  <c r="O25" i="140"/>
  <c r="N48" i="140"/>
  <c r="O58" i="140"/>
  <c r="D3" i="140"/>
  <c r="H85" i="135" s="1"/>
  <c r="D11" i="140"/>
  <c r="D19" i="140"/>
  <c r="D35" i="140"/>
  <c r="D51" i="140"/>
  <c r="D75" i="140"/>
  <c r="N40" i="140"/>
  <c r="N52" i="140"/>
  <c r="O68" i="140"/>
  <c r="D4" i="140"/>
  <c r="D12" i="140"/>
  <c r="D36" i="140"/>
  <c r="D44" i="140"/>
  <c r="D52" i="140"/>
  <c r="D61" i="140"/>
  <c r="N31" i="140"/>
  <c r="D5" i="140"/>
  <c r="D13" i="140"/>
  <c r="D37" i="140"/>
  <c r="D45" i="140"/>
  <c r="D54" i="140"/>
  <c r="D72" i="140"/>
  <c r="D33" i="140"/>
  <c r="D14" i="140"/>
  <c r="D22" i="140"/>
  <c r="D38" i="140"/>
  <c r="D46" i="140"/>
  <c r="D55" i="140"/>
  <c r="D65" i="140"/>
  <c r="G133" i="135"/>
  <c r="H29" i="188"/>
  <c r="H228" i="169"/>
  <c r="H82" i="169"/>
  <c r="I82" i="169" s="1"/>
  <c r="J82" i="169" s="1"/>
  <c r="H155" i="169"/>
  <c r="I155" i="169" s="1"/>
  <c r="J155" i="169" s="1"/>
  <c r="H9" i="164"/>
  <c r="H152" i="164"/>
  <c r="J152" i="164" s="1"/>
  <c r="H25" i="164"/>
  <c r="J25" i="164" s="1"/>
  <c r="L321" i="169"/>
  <c r="H182" i="169"/>
  <c r="J182" i="169" s="1"/>
  <c r="H255" i="169"/>
  <c r="J255" i="169" s="1"/>
  <c r="H109" i="169"/>
  <c r="J109" i="169" s="1"/>
  <c r="H107" i="169"/>
  <c r="J107" i="169" s="1"/>
  <c r="H253" i="169"/>
  <c r="J253" i="169" s="1"/>
  <c r="H180" i="169"/>
  <c r="J180" i="169" s="1"/>
  <c r="H108" i="169"/>
  <c r="J108" i="169" s="1"/>
  <c r="H181" i="169"/>
  <c r="J181" i="169" s="1"/>
  <c r="H254" i="169"/>
  <c r="J254" i="169" s="1"/>
  <c r="H110" i="169"/>
  <c r="J110" i="169" s="1"/>
  <c r="H256" i="169"/>
  <c r="J256" i="169" s="1"/>
  <c r="H183" i="169"/>
  <c r="J183" i="169" s="1"/>
  <c r="H229" i="169"/>
  <c r="I229" i="169" s="1"/>
  <c r="J229" i="169" s="1"/>
  <c r="H156" i="169"/>
  <c r="H83" i="169"/>
  <c r="I83" i="169" s="1"/>
  <c r="J83" i="169" s="1"/>
  <c r="H157" i="169"/>
  <c r="I157" i="169" s="1"/>
  <c r="J157" i="169" s="1"/>
  <c r="H230" i="169"/>
  <c r="H84" i="169"/>
  <c r="I84" i="169" s="1"/>
  <c r="J84" i="169" s="1"/>
  <c r="H129" i="135"/>
  <c r="Q129" i="135"/>
  <c r="Q130" i="135"/>
  <c r="H130" i="135"/>
  <c r="Q63" i="135"/>
  <c r="T63" i="135" s="1"/>
  <c r="T65" i="135" s="1"/>
  <c r="Q128" i="135"/>
  <c r="H128" i="135"/>
  <c r="Q131" i="135"/>
  <c r="H131" i="135"/>
  <c r="J5" i="141"/>
  <c r="N23" i="140"/>
  <c r="N37" i="140"/>
  <c r="N45" i="140"/>
  <c r="N53" i="140"/>
  <c r="N64" i="140"/>
  <c r="N10" i="140"/>
  <c r="N16" i="140"/>
  <c r="N5" i="140"/>
  <c r="N13" i="140"/>
  <c r="N19" i="140"/>
  <c r="N8" i="140"/>
  <c r="N35" i="140"/>
  <c r="N51" i="140"/>
  <c r="N70" i="140"/>
  <c r="N11" i="140"/>
  <c r="N17" i="140"/>
  <c r="N24" i="140"/>
  <c r="N38" i="140"/>
  <c r="O43" i="140"/>
  <c r="N46" i="140"/>
  <c r="N54" i="140"/>
  <c r="O61" i="140"/>
  <c r="N65" i="140"/>
  <c r="O4" i="140"/>
  <c r="O12" i="140"/>
  <c r="O18" i="140"/>
  <c r="H27" i="155" l="1"/>
  <c r="K27" i="155" s="1"/>
  <c r="S27" i="155" s="1"/>
  <c r="H31" i="155"/>
  <c r="K31" i="155" s="1"/>
  <c r="S31" i="155" s="1"/>
  <c r="U31" i="155" s="1"/>
  <c r="H65" i="135"/>
  <c r="K53" i="135"/>
  <c r="S53" i="135" s="1"/>
  <c r="U53" i="135" s="1"/>
  <c r="H95" i="135"/>
  <c r="Y63" i="135"/>
  <c r="I1714" i="164"/>
  <c r="J1714" i="164" s="1"/>
  <c r="J1718" i="164" s="1"/>
  <c r="L1718" i="164" s="1"/>
  <c r="W94" i="135"/>
  <c r="U94" i="135"/>
  <c r="V94" i="135" s="1"/>
  <c r="I205" i="178"/>
  <c r="J205" i="178" s="1"/>
  <c r="I883" i="164"/>
  <c r="J883" i="164" s="1"/>
  <c r="J888" i="164" s="1"/>
  <c r="I75" i="181"/>
  <c r="J75" i="181" s="1"/>
  <c r="I10" i="181"/>
  <c r="J10" i="181" s="1"/>
  <c r="I1092" i="164"/>
  <c r="J1092" i="164" s="1"/>
  <c r="J1097" i="164" s="1"/>
  <c r="I75" i="178"/>
  <c r="J75" i="178" s="1"/>
  <c r="W93" i="135"/>
  <c r="U93" i="135"/>
  <c r="V93" i="135" s="1"/>
  <c r="W92" i="135"/>
  <c r="U92" i="135"/>
  <c r="V92" i="135" s="1"/>
  <c r="H82" i="135"/>
  <c r="K82" i="135" s="1"/>
  <c r="S82" i="135" s="1"/>
  <c r="I19" i="189"/>
  <c r="I23" i="189"/>
  <c r="I14" i="189"/>
  <c r="H80" i="135"/>
  <c r="K80" i="135" s="1"/>
  <c r="S80" i="135" s="1"/>
  <c r="I17" i="189"/>
  <c r="I22" i="189"/>
  <c r="I12" i="189"/>
  <c r="H79" i="135"/>
  <c r="I16" i="189"/>
  <c r="H83" i="135"/>
  <c r="K83" i="135" s="1"/>
  <c r="S83" i="135" s="1"/>
  <c r="I20" i="189"/>
  <c r="K85" i="135"/>
  <c r="S85" i="135" s="1"/>
  <c r="U85" i="135" s="1"/>
  <c r="H56" i="135"/>
  <c r="I15" i="189"/>
  <c r="H84" i="135"/>
  <c r="K84" i="135" s="1"/>
  <c r="S84" i="135" s="1"/>
  <c r="I21" i="189"/>
  <c r="H81" i="135"/>
  <c r="K81" i="135" s="1"/>
  <c r="S81" i="135" s="1"/>
  <c r="I18" i="189"/>
  <c r="I13" i="189"/>
  <c r="D63" i="140"/>
  <c r="H20" i="135"/>
  <c r="K28" i="155"/>
  <c r="S28" i="155" s="1"/>
  <c r="K26" i="155"/>
  <c r="S26" i="155" s="1"/>
  <c r="U26" i="155" s="1"/>
  <c r="W26" i="155" s="1"/>
  <c r="S19" i="135"/>
  <c r="AC63" i="135"/>
  <c r="AM63" i="135"/>
  <c r="AH63" i="135"/>
  <c r="H120" i="135"/>
  <c r="K120" i="135" s="1"/>
  <c r="H22" i="188"/>
  <c r="K22" i="188" s="1"/>
  <c r="S22" i="188" s="1"/>
  <c r="U22" i="188" s="1"/>
  <c r="H55" i="188"/>
  <c r="K55" i="188" s="1"/>
  <c r="H18" i="188"/>
  <c r="K18" i="188" s="1"/>
  <c r="H17" i="188"/>
  <c r="K17" i="188" s="1"/>
  <c r="H19" i="188"/>
  <c r="K19" i="188" s="1"/>
  <c r="H20" i="188"/>
  <c r="K20" i="188" s="1"/>
  <c r="D53" i="140"/>
  <c r="R37" i="22"/>
  <c r="DB15" i="26"/>
  <c r="DB17" i="26" s="1"/>
  <c r="H133" i="135"/>
  <c r="H121" i="135"/>
  <c r="K121" i="135" s="1"/>
  <c r="H116" i="135"/>
  <c r="K116" i="135" s="1"/>
  <c r="H117" i="135"/>
  <c r="K117" i="135" s="1"/>
  <c r="S117" i="135" s="1"/>
  <c r="U117" i="135" s="1"/>
  <c r="H118" i="135"/>
  <c r="K118" i="135" s="1"/>
  <c r="S118" i="135" s="1"/>
  <c r="U118" i="135" s="1"/>
  <c r="H119" i="135"/>
  <c r="K119" i="135" s="1"/>
  <c r="H56" i="188"/>
  <c r="K56" i="188" s="1"/>
  <c r="H21" i="188"/>
  <c r="K21" i="188" s="1"/>
  <c r="J29" i="164"/>
  <c r="I228" i="169"/>
  <c r="J228" i="169" s="1"/>
  <c r="H34" i="188"/>
  <c r="J89" i="169"/>
  <c r="I9" i="164"/>
  <c r="J9" i="164" s="1"/>
  <c r="J186" i="169"/>
  <c r="L186" i="169" s="1"/>
  <c r="J259" i="169"/>
  <c r="L259" i="169" s="1"/>
  <c r="J113" i="169"/>
  <c r="L113" i="169" s="1"/>
  <c r="I156" i="169"/>
  <c r="J156" i="169" s="1"/>
  <c r="J162" i="169" s="1"/>
  <c r="I230" i="169"/>
  <c r="J230" i="169" s="1"/>
  <c r="H135" i="164"/>
  <c r="G39" i="26"/>
  <c r="E10" i="166"/>
  <c r="E17" i="166"/>
  <c r="E15" i="166"/>
  <c r="E16" i="166"/>
  <c r="V95" i="135" l="1"/>
  <c r="X93" i="135"/>
  <c r="X92" i="135"/>
  <c r="X94" i="135"/>
  <c r="H86" i="135"/>
  <c r="K15" i="189"/>
  <c r="J15" i="189"/>
  <c r="J18" i="189"/>
  <c r="K18" i="189"/>
  <c r="J12" i="189"/>
  <c r="L12" i="189"/>
  <c r="K12" i="189"/>
  <c r="K23" i="189"/>
  <c r="J23" i="189"/>
  <c r="J17" i="189"/>
  <c r="K17" i="189"/>
  <c r="K79" i="135"/>
  <c r="K20" i="189"/>
  <c r="J20" i="189"/>
  <c r="K21" i="189"/>
  <c r="J21" i="189"/>
  <c r="J19" i="189"/>
  <c r="K19" i="189"/>
  <c r="J22" i="189"/>
  <c r="K22" i="189"/>
  <c r="J14" i="189"/>
  <c r="K14" i="189"/>
  <c r="J13" i="189"/>
  <c r="K13" i="189"/>
  <c r="J16" i="189"/>
  <c r="K16" i="189"/>
  <c r="K20" i="135"/>
  <c r="S20" i="135" s="1"/>
  <c r="U20" i="135" s="1"/>
  <c r="U19" i="135"/>
  <c r="U84" i="135"/>
  <c r="K56" i="135"/>
  <c r="S56" i="135" s="1"/>
  <c r="U56" i="135" s="1"/>
  <c r="U80" i="135"/>
  <c r="K18" i="135"/>
  <c r="S120" i="135"/>
  <c r="U120" i="135" s="1"/>
  <c r="H24" i="188"/>
  <c r="DD15" i="26"/>
  <c r="DD17" i="26" s="1"/>
  <c r="S121" i="135"/>
  <c r="U121" i="135" s="1"/>
  <c r="J235" i="169"/>
  <c r="S119" i="135"/>
  <c r="U119" i="135" s="1"/>
  <c r="J123" i="135"/>
  <c r="S17" i="188"/>
  <c r="J24" i="188"/>
  <c r="H58" i="188"/>
  <c r="J58" i="188"/>
  <c r="H123" i="135"/>
  <c r="J14" i="164"/>
  <c r="HB41" i="26"/>
  <c r="GV41" i="26"/>
  <c r="HH41" i="26"/>
  <c r="GX41" i="26"/>
  <c r="HD41" i="26"/>
  <c r="HF41" i="26"/>
  <c r="HJ41" i="26"/>
  <c r="GZ41" i="26"/>
  <c r="I135" i="164"/>
  <c r="J135" i="164" s="1"/>
  <c r="L135" i="164" s="1"/>
  <c r="B39" i="26"/>
  <c r="P35" i="22" l="1"/>
  <c r="J86" i="135"/>
  <c r="S18" i="135"/>
  <c r="U18" i="135" s="1"/>
  <c r="N21" i="189"/>
  <c r="N15" i="189"/>
  <c r="N13" i="189"/>
  <c r="N14" i="189"/>
  <c r="N19" i="189"/>
  <c r="S79" i="135"/>
  <c r="S86" i="135" s="1"/>
  <c r="M12" i="189"/>
  <c r="N12" i="189" s="1"/>
  <c r="N22" i="189"/>
  <c r="N17" i="189"/>
  <c r="N18" i="189"/>
  <c r="N16" i="189"/>
  <c r="N20" i="189"/>
  <c r="N23" i="189"/>
  <c r="R46" i="22"/>
  <c r="R38" i="22"/>
  <c r="DF15" i="26"/>
  <c r="DF17" i="26" s="1"/>
  <c r="U17" i="188"/>
  <c r="U24" i="188" s="1"/>
  <c r="J9" i="188" s="1"/>
  <c r="S24" i="188"/>
  <c r="L14" i="164"/>
  <c r="J137" i="164"/>
  <c r="U79" i="135" l="1"/>
  <c r="DH15" i="26"/>
  <c r="DH17" i="26" s="1"/>
  <c r="H205" i="164"/>
  <c r="DJ15" i="26" l="1"/>
  <c r="DJ17" i="26" s="1"/>
  <c r="J196" i="164"/>
  <c r="D39" i="166"/>
  <c r="D37" i="166"/>
  <c r="D41" i="166"/>
  <c r="D42" i="166"/>
  <c r="DL15" i="26" l="1"/>
  <c r="DL17" i="26" s="1"/>
  <c r="DN15" i="26" l="1"/>
  <c r="DN17" i="26" s="1"/>
  <c r="H41" i="166"/>
  <c r="H39" i="166"/>
  <c r="H49" i="166"/>
  <c r="H46" i="166"/>
  <c r="H42" i="166"/>
  <c r="H40" i="166"/>
  <c r="L5" i="166"/>
  <c r="L4" i="166"/>
  <c r="J38" i="166"/>
  <c r="J39" i="166" s="1"/>
  <c r="DP15" i="26" l="1"/>
  <c r="DP17" i="26" s="1"/>
  <c r="C65" i="166"/>
  <c r="DR15" i="26" l="1"/>
  <c r="DR17" i="26" s="1"/>
  <c r="C67" i="166"/>
  <c r="C66" i="166"/>
  <c r="DT15" i="26" l="1"/>
  <c r="DT17" i="26" s="1"/>
  <c r="B66" i="166"/>
  <c r="B67" i="166"/>
  <c r="H47" i="166"/>
  <c r="DV15" i="26" l="1"/>
  <c r="DV17" i="26" s="1"/>
  <c r="I45" i="166"/>
  <c r="I46" i="166" s="1"/>
  <c r="H48" i="166"/>
  <c r="DX15" i="26" l="1"/>
  <c r="DX17" i="26" s="1"/>
  <c r="CU3" i="26"/>
  <c r="DZ15" i="26" l="1"/>
  <c r="DZ17" i="26" s="1"/>
  <c r="EB15" i="26" l="1"/>
  <c r="EB17" i="26" s="1"/>
  <c r="Q67" i="155"/>
  <c r="F55" i="135"/>
  <c r="B55" i="135" s="1"/>
  <c r="H55" i="135" s="1"/>
  <c r="F54" i="135"/>
  <c r="B54" i="135" s="1"/>
  <c r="H54" i="135" s="1"/>
  <c r="H57" i="135" s="1"/>
  <c r="C10" i="95" l="1"/>
  <c r="ED15" i="26"/>
  <c r="ED17" i="26" s="1"/>
  <c r="EF15" i="26" l="1"/>
  <c r="EF17" i="26" s="1"/>
  <c r="G65" i="135"/>
  <c r="B76" i="155"/>
  <c r="Q76" i="155"/>
  <c r="AE24" i="101"/>
  <c r="Z24" i="101"/>
  <c r="Q65" i="155"/>
  <c r="EH15" i="26" l="1"/>
  <c r="EH17" i="26" s="1"/>
  <c r="Q94" i="155"/>
  <c r="W94" i="155" s="1"/>
  <c r="EJ15" i="26" l="1"/>
  <c r="EJ17" i="26" s="1"/>
  <c r="EL15" i="26" l="1"/>
  <c r="EL17" i="26" s="1"/>
  <c r="S20" i="101"/>
  <c r="EN15" i="26" l="1"/>
  <c r="EN17" i="26" s="1"/>
  <c r="D45" i="166"/>
  <c r="J753" i="164"/>
  <c r="EP15" i="26" l="1"/>
  <c r="EP17" i="26" s="1"/>
  <c r="E45" i="166"/>
  <c r="ER15" i="26" l="1"/>
  <c r="ER17" i="26" s="1"/>
  <c r="ET15" i="26" l="1"/>
  <c r="ET17" i="26" s="1"/>
  <c r="EV15" i="26" l="1"/>
  <c r="EV17" i="26" s="1"/>
  <c r="EX15" i="26" l="1"/>
  <c r="EX17" i="26" s="1"/>
  <c r="EZ15" i="26" l="1"/>
  <c r="EZ17" i="26" s="1"/>
  <c r="FB15" i="26" l="1"/>
  <c r="FB17" i="26" s="1"/>
  <c r="D19" i="26"/>
  <c r="B29" i="26"/>
  <c r="B19" i="26"/>
  <c r="FD15" i="26" l="1"/>
  <c r="FD17" i="26" s="1"/>
  <c r="Q69" i="155"/>
  <c r="F39" i="155"/>
  <c r="Q79" i="155"/>
  <c r="FF15" i="26" l="1"/>
  <c r="FF17" i="26" s="1"/>
  <c r="F25" i="155"/>
  <c r="B25" i="155" s="1"/>
  <c r="H25" i="155" s="1"/>
  <c r="E75" i="140"/>
  <c r="F24" i="155"/>
  <c r="B24" i="155" s="1"/>
  <c r="H24" i="155" s="1"/>
  <c r="E74" i="140"/>
  <c r="FH15" i="26" l="1"/>
  <c r="FH17" i="26" s="1"/>
  <c r="I172" i="169"/>
  <c r="J172" i="169" s="1"/>
  <c r="I99" i="169"/>
  <c r="J99" i="169" s="1"/>
  <c r="I245" i="169"/>
  <c r="J245" i="169" s="1"/>
  <c r="K24" i="155"/>
  <c r="FJ15" i="26" l="1"/>
  <c r="FJ17" i="26" s="1"/>
  <c r="M10" i="94"/>
  <c r="FL15" i="26" l="1"/>
  <c r="FL17" i="26" s="1"/>
  <c r="FN15" i="26" l="1"/>
  <c r="FN17" i="26" s="1"/>
  <c r="AP22" i="101"/>
  <c r="S21" i="101"/>
  <c r="FP15" i="26" l="1"/>
  <c r="FP17" i="26" s="1"/>
  <c r="S22" i="101"/>
  <c r="AV22" i="101" s="1"/>
  <c r="AV21" i="101"/>
  <c r="FR15" i="26" l="1"/>
  <c r="FR17" i="26" s="1"/>
  <c r="B52" i="155"/>
  <c r="B53" i="155"/>
  <c r="FT15" i="26" l="1"/>
  <c r="FT17" i="26" s="1"/>
  <c r="AV19" i="101"/>
  <c r="AP20" i="101"/>
  <c r="AV20" i="101" s="1"/>
  <c r="FV15" i="26" l="1"/>
  <c r="FV17" i="26" s="1"/>
  <c r="FX15" i="26" l="1"/>
  <c r="FX17" i="26" s="1"/>
  <c r="B50" i="155"/>
  <c r="B51" i="155"/>
  <c r="B77" i="155"/>
  <c r="B78" i="155"/>
  <c r="F22" i="155"/>
  <c r="B22" i="155" s="1"/>
  <c r="H22" i="155" s="1"/>
  <c r="B20" i="159"/>
  <c r="H20" i="159" s="1"/>
  <c r="E73" i="140"/>
  <c r="E72" i="140"/>
  <c r="E71" i="140"/>
  <c r="E70" i="140"/>
  <c r="E69" i="140"/>
  <c r="E67" i="140"/>
  <c r="FZ15" i="26" l="1"/>
  <c r="FZ17" i="26" s="1"/>
  <c r="B58" i="155"/>
  <c r="E68" i="140"/>
  <c r="GB15" i="26" l="1"/>
  <c r="GB17" i="26" s="1"/>
  <c r="D44" i="166"/>
  <c r="D43" i="166"/>
  <c r="GD15" i="26" l="1"/>
  <c r="GD17" i="26" s="1"/>
  <c r="F33" i="155"/>
  <c r="B33" i="155" s="1"/>
  <c r="H33" i="155" s="1"/>
  <c r="G25" i="159"/>
  <c r="B33" i="156"/>
  <c r="H33" i="156" s="1"/>
  <c r="O21" i="155"/>
  <c r="G46" i="155"/>
  <c r="GF15" i="26" l="1"/>
  <c r="GF17" i="26" s="1"/>
  <c r="Q33" i="156"/>
  <c r="GH15" i="26" l="1"/>
  <c r="GH17" i="26" s="1"/>
  <c r="GJ15" i="26" l="1"/>
  <c r="GJ17" i="26" s="1"/>
  <c r="J42" i="166"/>
  <c r="J41" i="166"/>
  <c r="J40" i="166"/>
  <c r="E44" i="166"/>
  <c r="E43" i="166"/>
  <c r="E42" i="166"/>
  <c r="C60" i="166" s="1"/>
  <c r="E41" i="166"/>
  <c r="C62" i="166" s="1"/>
  <c r="E40" i="166"/>
  <c r="E39" i="166"/>
  <c r="E38" i="166"/>
  <c r="R14" i="166" s="1"/>
  <c r="S14" i="166" s="1"/>
  <c r="E37" i="166"/>
  <c r="AJ24" i="101"/>
  <c r="GL15" i="26" l="1"/>
  <c r="GL17" i="26" s="1"/>
  <c r="I47" i="166"/>
  <c r="GN15" i="26" l="1"/>
  <c r="GN17" i="26" s="1"/>
  <c r="I48" i="166"/>
  <c r="I49" i="166"/>
  <c r="G28" i="158"/>
  <c r="H28" i="158"/>
  <c r="O22" i="155"/>
  <c r="S22" i="155"/>
  <c r="B19" i="159"/>
  <c r="GP15" i="26" l="1"/>
  <c r="GP17" i="26" s="1"/>
  <c r="U22" i="155"/>
  <c r="W22" i="155" s="1"/>
  <c r="J191" i="164"/>
  <c r="G195" i="164"/>
  <c r="J199" i="164"/>
  <c r="B211" i="164"/>
  <c r="J221" i="164"/>
  <c r="J226" i="164"/>
  <c r="J227" i="164"/>
  <c r="J231" i="164"/>
  <c r="J232" i="164"/>
  <c r="B151" i="164"/>
  <c r="B150" i="164"/>
  <c r="D11" i="166"/>
  <c r="GR15" i="26" l="1"/>
  <c r="GR17" i="26" s="1"/>
  <c r="F211" i="164"/>
  <c r="H211" i="164"/>
  <c r="I211" i="164"/>
  <c r="J233" i="164"/>
  <c r="J228" i="164"/>
  <c r="GT15" i="26" l="1"/>
  <c r="GT17" i="26" s="1"/>
  <c r="F29" i="155"/>
  <c r="B29" i="155" s="1"/>
  <c r="H29" i="155" s="1"/>
  <c r="F42" i="155"/>
  <c r="B42" i="155" s="1"/>
  <c r="H42" i="155" s="1"/>
  <c r="F30" i="155"/>
  <c r="B30" i="155" s="1"/>
  <c r="H30" i="155" s="1"/>
  <c r="GV15" i="26" l="1"/>
  <c r="GV17" i="26" s="1"/>
  <c r="Q42" i="155"/>
  <c r="T42" i="155" s="1"/>
  <c r="O16" i="155"/>
  <c r="GX15" i="26" l="1"/>
  <c r="GX17" i="26" s="1"/>
  <c r="E245" i="95"/>
  <c r="GZ15" i="26" l="1"/>
  <c r="GZ17" i="26" s="1"/>
  <c r="AB33" i="101"/>
  <c r="H10" i="142"/>
  <c r="M11" i="94"/>
  <c r="M19" i="94" s="1"/>
  <c r="AB19" i="94" l="1"/>
  <c r="L72" i="188"/>
  <c r="L41" i="188"/>
  <c r="HB15" i="26"/>
  <c r="HB17" i="26" s="1"/>
  <c r="B19" i="101"/>
  <c r="B20" i="101"/>
  <c r="B21" i="101"/>
  <c r="B22" i="101"/>
  <c r="AP18" i="101"/>
  <c r="V33" i="101"/>
  <c r="P33" i="101"/>
  <c r="HD15" i="26" l="1"/>
  <c r="HD17" i="26" s="1"/>
  <c r="C747" i="164"/>
  <c r="J747" i="164"/>
  <c r="J754" i="164"/>
  <c r="J755" i="164"/>
  <c r="J771" i="164"/>
  <c r="J777" i="164"/>
  <c r="J782" i="164"/>
  <c r="J783" i="164"/>
  <c r="J784" i="164"/>
  <c r="J785" i="164"/>
  <c r="J790" i="164"/>
  <c r="J791" i="164"/>
  <c r="J792" i="164"/>
  <c r="J793" i="164"/>
  <c r="B805" i="164"/>
  <c r="B806" i="164"/>
  <c r="HF15" i="26" l="1"/>
  <c r="HF17" i="26" s="1"/>
  <c r="J786" i="164"/>
  <c r="J794" i="164"/>
  <c r="HH15" i="26" l="1"/>
  <c r="HH17" i="26" s="1"/>
  <c r="HJ15" i="26" l="1"/>
  <c r="HJ17" i="26" s="1"/>
  <c r="B8" i="26"/>
  <c r="J11" i="177" l="1"/>
  <c r="I11" i="185"/>
  <c r="J11" i="185" s="1"/>
  <c r="J42" i="185"/>
  <c r="J10" i="185"/>
  <c r="B62" i="185"/>
  <c r="B61" i="185"/>
  <c r="J50" i="185"/>
  <c r="J44" i="185"/>
  <c r="J43" i="185"/>
  <c r="J41" i="185"/>
  <c r="J40" i="185"/>
  <c r="J35" i="185"/>
  <c r="J29" i="185"/>
  <c r="J28" i="185"/>
  <c r="J13" i="185"/>
  <c r="J12" i="185"/>
  <c r="G9" i="185"/>
  <c r="B9" i="185"/>
  <c r="B26" i="185" s="1"/>
  <c r="J5" i="185"/>
  <c r="J266" i="167"/>
  <c r="G270" i="167"/>
  <c r="J271" i="167"/>
  <c r="J272" i="167"/>
  <c r="J273" i="167"/>
  <c r="B285" i="167"/>
  <c r="F285" i="167" s="1"/>
  <c r="J294" i="167"/>
  <c r="J299" i="167"/>
  <c r="J300" i="167"/>
  <c r="J301" i="167"/>
  <c r="J302" i="167"/>
  <c r="J303" i="167"/>
  <c r="J306" i="167"/>
  <c r="J308" i="167" s="1"/>
  <c r="J307" i="167"/>
  <c r="J45" i="185" l="1"/>
  <c r="I26" i="185"/>
  <c r="F26" i="185"/>
  <c r="I285" i="167"/>
  <c r="F35" i="184"/>
  <c r="I35" i="184"/>
  <c r="B35" i="184"/>
  <c r="H23" i="184"/>
  <c r="G13" i="184"/>
  <c r="B12" i="184"/>
  <c r="B34" i="184" s="1"/>
  <c r="F34" i="184" s="1"/>
  <c r="F130" i="184"/>
  <c r="F129" i="184"/>
  <c r="I128" i="184"/>
  <c r="J128" i="184" s="1"/>
  <c r="J124" i="184"/>
  <c r="I123" i="184"/>
  <c r="G123" i="184"/>
  <c r="J123" i="184" s="1"/>
  <c r="I122" i="184"/>
  <c r="J122" i="184" s="1"/>
  <c r="I121" i="184"/>
  <c r="J121" i="184" s="1"/>
  <c r="J116" i="184"/>
  <c r="J110" i="184"/>
  <c r="J109" i="184"/>
  <c r="B108" i="184"/>
  <c r="F108" i="184" s="1"/>
  <c r="B107" i="184"/>
  <c r="I107" i="184" s="1"/>
  <c r="I106" i="184"/>
  <c r="B106" i="184"/>
  <c r="F106" i="184" s="1"/>
  <c r="B105" i="184"/>
  <c r="F105" i="184" s="1"/>
  <c r="J99" i="184"/>
  <c r="H94" i="184"/>
  <c r="H93" i="184"/>
  <c r="H92" i="184"/>
  <c r="H91" i="184"/>
  <c r="J86" i="184"/>
  <c r="J85" i="184"/>
  <c r="J84" i="184"/>
  <c r="G83" i="184"/>
  <c r="G82" i="184"/>
  <c r="G81" i="184"/>
  <c r="G80" i="184"/>
  <c r="J76" i="184"/>
  <c r="B69" i="184"/>
  <c r="B68" i="184"/>
  <c r="H130" i="184"/>
  <c r="H129" i="184"/>
  <c r="J129" i="184" s="1"/>
  <c r="J50" i="184"/>
  <c r="J42" i="184"/>
  <c r="J36" i="184"/>
  <c r="I33" i="184"/>
  <c r="B33" i="184"/>
  <c r="B32" i="184"/>
  <c r="I32" i="184" s="1"/>
  <c r="B31" i="184"/>
  <c r="I31" i="184" s="1"/>
  <c r="J25" i="184"/>
  <c r="H20" i="184"/>
  <c r="J15" i="184"/>
  <c r="J14" i="184"/>
  <c r="G12" i="184"/>
  <c r="G11" i="184"/>
  <c r="G10" i="184"/>
  <c r="G9" i="184"/>
  <c r="J5" i="184"/>
  <c r="F133" i="183"/>
  <c r="F132" i="183"/>
  <c r="I131" i="183"/>
  <c r="J131" i="183" s="1"/>
  <c r="J127" i="183"/>
  <c r="J126" i="183"/>
  <c r="I126" i="183"/>
  <c r="G126" i="183"/>
  <c r="I125" i="183"/>
  <c r="J125" i="183" s="1"/>
  <c r="I124" i="183"/>
  <c r="J124" i="183" s="1"/>
  <c r="J119" i="183"/>
  <c r="J113" i="183"/>
  <c r="J112" i="183"/>
  <c r="B111" i="183"/>
  <c r="I111" i="183" s="1"/>
  <c r="B110" i="183"/>
  <c r="B109" i="183"/>
  <c r="F109" i="183" s="1"/>
  <c r="B108" i="183"/>
  <c r="J102" i="183"/>
  <c r="H97" i="183"/>
  <c r="H96" i="183"/>
  <c r="H95" i="183"/>
  <c r="H94" i="183"/>
  <c r="J89" i="183"/>
  <c r="J88" i="183"/>
  <c r="J87" i="183"/>
  <c r="G86" i="183"/>
  <c r="G85" i="183"/>
  <c r="G84" i="183"/>
  <c r="G83" i="183"/>
  <c r="J79" i="183"/>
  <c r="B72" i="183"/>
  <c r="B71" i="183"/>
  <c r="I59" i="183"/>
  <c r="I133" i="183" s="1"/>
  <c r="H59" i="183"/>
  <c r="H133" i="183" s="1"/>
  <c r="F59" i="183"/>
  <c r="F58" i="183"/>
  <c r="J57" i="183"/>
  <c r="J53" i="183"/>
  <c r="J52" i="183"/>
  <c r="I52" i="183"/>
  <c r="J51" i="183"/>
  <c r="I51" i="183"/>
  <c r="I50" i="183"/>
  <c r="J50" i="183" s="1"/>
  <c r="J54" i="183" s="1"/>
  <c r="J45" i="183"/>
  <c r="J39" i="183"/>
  <c r="J38" i="183"/>
  <c r="B37" i="183"/>
  <c r="I36" i="183"/>
  <c r="B36" i="183"/>
  <c r="F36" i="183" s="1"/>
  <c r="I35" i="183"/>
  <c r="F35" i="183"/>
  <c r="B35" i="183"/>
  <c r="B34" i="183"/>
  <c r="I34" i="183" s="1"/>
  <c r="E31" i="183"/>
  <c r="J28" i="183"/>
  <c r="H23" i="183"/>
  <c r="H22" i="183"/>
  <c r="H21" i="183"/>
  <c r="H20" i="183"/>
  <c r="J15" i="183"/>
  <c r="J14" i="183"/>
  <c r="J13" i="183"/>
  <c r="G12" i="183"/>
  <c r="G11" i="183"/>
  <c r="G10" i="183"/>
  <c r="G9" i="183"/>
  <c r="J5" i="183"/>
  <c r="I131" i="170"/>
  <c r="J131" i="170" s="1"/>
  <c r="G126" i="170"/>
  <c r="J126" i="170" s="1"/>
  <c r="J79" i="170"/>
  <c r="G83" i="170"/>
  <c r="G84" i="170"/>
  <c r="G85" i="170"/>
  <c r="G86" i="170"/>
  <c r="J87" i="170"/>
  <c r="J88" i="170"/>
  <c r="J89" i="170"/>
  <c r="H94" i="170"/>
  <c r="H95" i="170"/>
  <c r="H96" i="170"/>
  <c r="H97" i="170"/>
  <c r="J102" i="170"/>
  <c r="B108" i="170"/>
  <c r="F108" i="170" s="1"/>
  <c r="I108" i="170"/>
  <c r="B109" i="170"/>
  <c r="F109" i="170"/>
  <c r="I109" i="170"/>
  <c r="B110" i="170"/>
  <c r="I110" i="170" s="1"/>
  <c r="F110" i="170"/>
  <c r="B111" i="170"/>
  <c r="F111" i="170" s="1"/>
  <c r="J112" i="170"/>
  <c r="J113" i="170"/>
  <c r="J119" i="170"/>
  <c r="I124" i="170"/>
  <c r="J124" i="170" s="1"/>
  <c r="I125" i="170"/>
  <c r="J125" i="170" s="1"/>
  <c r="I126" i="170"/>
  <c r="J127" i="170"/>
  <c r="F132" i="170"/>
  <c r="F133" i="170"/>
  <c r="B15" i="172"/>
  <c r="J125" i="184" l="1"/>
  <c r="F32" i="184"/>
  <c r="J51" i="184"/>
  <c r="F31" i="184"/>
  <c r="I108" i="184"/>
  <c r="I130" i="184"/>
  <c r="J130" i="184" s="1"/>
  <c r="J131" i="184" s="1"/>
  <c r="I34" i="184"/>
  <c r="I105" i="184"/>
  <c r="F107" i="184"/>
  <c r="F33" i="184"/>
  <c r="J57" i="184"/>
  <c r="I110" i="183"/>
  <c r="J128" i="183"/>
  <c r="J133" i="183"/>
  <c r="I109" i="183"/>
  <c r="F111" i="183"/>
  <c r="F37" i="183"/>
  <c r="J59" i="183"/>
  <c r="F108" i="183"/>
  <c r="I37" i="183"/>
  <c r="I108" i="183"/>
  <c r="F110" i="183"/>
  <c r="F34" i="183"/>
  <c r="J128" i="170"/>
  <c r="I111" i="170"/>
  <c r="J205" i="167"/>
  <c r="G209" i="167"/>
  <c r="J210" i="167"/>
  <c r="J211" i="167"/>
  <c r="J212" i="167"/>
  <c r="B224" i="167"/>
  <c r="F224" i="167" s="1"/>
  <c r="J233" i="167"/>
  <c r="J238" i="167"/>
  <c r="J242" i="167" s="1"/>
  <c r="J239" i="167"/>
  <c r="J240" i="167"/>
  <c r="J241" i="167"/>
  <c r="J245" i="167"/>
  <c r="J246" i="167"/>
  <c r="J247" i="167"/>
  <c r="J144" i="167"/>
  <c r="G148" i="167"/>
  <c r="J149" i="167"/>
  <c r="J150" i="167"/>
  <c r="J151" i="167"/>
  <c r="B163" i="167"/>
  <c r="J172" i="167"/>
  <c r="J177" i="167"/>
  <c r="J178" i="167"/>
  <c r="J179" i="167"/>
  <c r="J180" i="167"/>
  <c r="J184" i="167"/>
  <c r="J185" i="167"/>
  <c r="B197" i="167"/>
  <c r="B198" i="167"/>
  <c r="J340" i="165"/>
  <c r="G344" i="165"/>
  <c r="G345" i="165"/>
  <c r="J346" i="165"/>
  <c r="J347" i="165"/>
  <c r="J348" i="165"/>
  <c r="H352" i="165"/>
  <c r="H353" i="165"/>
  <c r="J356" i="165"/>
  <c r="B362" i="165"/>
  <c r="F362" i="165"/>
  <c r="I362" i="165"/>
  <c r="B363" i="165"/>
  <c r="I363" i="165" s="1"/>
  <c r="J364" i="165"/>
  <c r="J365" i="165"/>
  <c r="J366" i="165"/>
  <c r="J372" i="165"/>
  <c r="J377" i="165"/>
  <c r="J378" i="165"/>
  <c r="J379" i="165"/>
  <c r="J380" i="165"/>
  <c r="J385" i="165"/>
  <c r="J386" i="165"/>
  <c r="J387" i="165"/>
  <c r="J406" i="165"/>
  <c r="G410" i="165"/>
  <c r="G411" i="165"/>
  <c r="J412" i="165"/>
  <c r="J413" i="165"/>
  <c r="J414" i="165"/>
  <c r="H418" i="165"/>
  <c r="H419" i="165"/>
  <c r="J422" i="165"/>
  <c r="B428" i="165"/>
  <c r="F428" i="165"/>
  <c r="B429" i="165"/>
  <c r="F429" i="165" s="1"/>
  <c r="J430" i="165"/>
  <c r="J431" i="165"/>
  <c r="J432" i="165"/>
  <c r="J438" i="165"/>
  <c r="J443" i="165"/>
  <c r="J447" i="165" s="1"/>
  <c r="J444" i="165"/>
  <c r="J445" i="165"/>
  <c r="J446" i="165"/>
  <c r="J451" i="165"/>
  <c r="J452" i="165"/>
  <c r="J453" i="165" s="1"/>
  <c r="J472" i="165"/>
  <c r="G476" i="165"/>
  <c r="G477" i="165"/>
  <c r="J478" i="165"/>
  <c r="J479" i="165"/>
  <c r="J480" i="165"/>
  <c r="H484" i="165"/>
  <c r="H485" i="165"/>
  <c r="J488" i="165"/>
  <c r="B494" i="165"/>
  <c r="F494" i="165"/>
  <c r="B495" i="165"/>
  <c r="F495" i="165"/>
  <c r="I495" i="165"/>
  <c r="J496" i="165"/>
  <c r="J497" i="165"/>
  <c r="J498" i="165"/>
  <c r="J504" i="165"/>
  <c r="J509" i="165"/>
  <c r="J510" i="165"/>
  <c r="J511" i="165"/>
  <c r="J512" i="165"/>
  <c r="J517" i="165"/>
  <c r="J519" i="165" s="1"/>
  <c r="J518" i="165"/>
  <c r="J538" i="165"/>
  <c r="G542" i="165"/>
  <c r="G543" i="165"/>
  <c r="J544" i="165"/>
  <c r="J545" i="165"/>
  <c r="J546" i="165"/>
  <c r="H550" i="165"/>
  <c r="H551" i="165"/>
  <c r="J554" i="165"/>
  <c r="B560" i="165"/>
  <c r="F560" i="165" s="1"/>
  <c r="B561" i="165"/>
  <c r="J562" i="165"/>
  <c r="J563" i="165"/>
  <c r="J564" i="165"/>
  <c r="J570" i="165"/>
  <c r="J575" i="165"/>
  <c r="J576" i="165"/>
  <c r="J577" i="165"/>
  <c r="J578" i="165"/>
  <c r="J579" i="165"/>
  <c r="J583" i="165"/>
  <c r="J585" i="165" s="1"/>
  <c r="J584" i="165"/>
  <c r="J604" i="165"/>
  <c r="G608" i="165"/>
  <c r="G609" i="165"/>
  <c r="J610" i="165"/>
  <c r="J611" i="165"/>
  <c r="J612" i="165"/>
  <c r="H616" i="165"/>
  <c r="H617" i="165"/>
  <c r="J620" i="165"/>
  <c r="B626" i="165"/>
  <c r="I626" i="165" s="1"/>
  <c r="F626" i="165"/>
  <c r="B627" i="165"/>
  <c r="F627" i="165" s="1"/>
  <c r="J628" i="165"/>
  <c r="J629" i="165"/>
  <c r="J630" i="165"/>
  <c r="J636" i="165"/>
  <c r="J641" i="165"/>
  <c r="J642" i="165"/>
  <c r="J643" i="165"/>
  <c r="J644" i="165"/>
  <c r="J649" i="165"/>
  <c r="J651" i="165" s="1"/>
  <c r="J650" i="165"/>
  <c r="J274" i="165"/>
  <c r="G278" i="165"/>
  <c r="G279" i="165"/>
  <c r="J280" i="165"/>
  <c r="J281" i="165"/>
  <c r="J282" i="165"/>
  <c r="H286" i="165"/>
  <c r="H287" i="165"/>
  <c r="J290" i="165"/>
  <c r="B296" i="165"/>
  <c r="B297" i="165"/>
  <c r="I297" i="165" s="1"/>
  <c r="F297" i="165"/>
  <c r="J298" i="165"/>
  <c r="J299" i="165"/>
  <c r="J300" i="165"/>
  <c r="J306" i="165"/>
  <c r="J311" i="165"/>
  <c r="J312" i="165"/>
  <c r="J313" i="165"/>
  <c r="J314" i="165"/>
  <c r="J319" i="165"/>
  <c r="J320" i="165"/>
  <c r="J321" i="165"/>
  <c r="H220" i="165"/>
  <c r="J208" i="165"/>
  <c r="G212" i="165"/>
  <c r="G213" i="165"/>
  <c r="J214" i="165"/>
  <c r="J215" i="165"/>
  <c r="J216" i="165"/>
  <c r="H221" i="165"/>
  <c r="J224" i="165"/>
  <c r="B230" i="165"/>
  <c r="F230" i="165" s="1"/>
  <c r="B231" i="165"/>
  <c r="J232" i="165"/>
  <c r="J233" i="165"/>
  <c r="J234" i="165"/>
  <c r="J240" i="165"/>
  <c r="J245" i="165"/>
  <c r="J249" i="165" s="1"/>
  <c r="J246" i="165"/>
  <c r="J247" i="165"/>
  <c r="J248" i="165"/>
  <c r="J253" i="165"/>
  <c r="J254" i="165"/>
  <c r="J513" i="165" l="1"/>
  <c r="I428" i="165"/>
  <c r="J315" i="165"/>
  <c r="F296" i="165"/>
  <c r="J645" i="165"/>
  <c r="J381" i="165"/>
  <c r="J255" i="165"/>
  <c r="I224" i="167"/>
  <c r="J181" i="167"/>
  <c r="J186" i="167"/>
  <c r="F163" i="167"/>
  <c r="I163" i="167"/>
  <c r="F561" i="165"/>
  <c r="I429" i="165"/>
  <c r="F363" i="165"/>
  <c r="I560" i="165"/>
  <c r="I627" i="165"/>
  <c r="I561" i="165"/>
  <c r="I494" i="165"/>
  <c r="I296" i="165"/>
  <c r="F231" i="165"/>
  <c r="I230" i="165"/>
  <c r="I231" i="165"/>
  <c r="B165" i="165"/>
  <c r="I165" i="165" s="1"/>
  <c r="H155" i="165"/>
  <c r="G147" i="165"/>
  <c r="B10" i="165"/>
  <c r="B79" i="165"/>
  <c r="H94" i="167"/>
  <c r="B85" i="167"/>
  <c r="B12" i="167"/>
  <c r="I32" i="168"/>
  <c r="I33" i="168"/>
  <c r="I34" i="168"/>
  <c r="F32" i="168"/>
  <c r="F33" i="168"/>
  <c r="F34" i="168"/>
  <c r="B32" i="168"/>
  <c r="B33" i="168"/>
  <c r="B34" i="168"/>
  <c r="H24" i="168"/>
  <c r="H23" i="168"/>
  <c r="H22" i="168"/>
  <c r="D33" i="166"/>
  <c r="B161" i="26"/>
  <c r="B59" i="26"/>
  <c r="E11" i="166"/>
  <c r="Q12" i="22"/>
  <c r="E99" i="167" l="1"/>
  <c r="E25" i="165"/>
  <c r="F165" i="165"/>
  <c r="P67" i="22"/>
  <c r="Q67" i="22"/>
  <c r="P68" i="22"/>
  <c r="Q68" i="22"/>
  <c r="P69" i="22"/>
  <c r="Q69" i="22"/>
  <c r="Q557" i="173" l="1"/>
  <c r="E552" i="173"/>
  <c r="G22" i="162" l="1"/>
  <c r="Q66" i="22"/>
  <c r="Q65" i="22" s="1"/>
  <c r="P66" i="22"/>
  <c r="P65" i="22" s="1"/>
  <c r="Q51" i="155" l="1"/>
  <c r="E491" i="173" l="1"/>
  <c r="H100" i="162" l="1"/>
  <c r="E429" i="173"/>
  <c r="E366" i="173" l="1"/>
  <c r="J567" i="173" l="1"/>
  <c r="J568" i="173"/>
  <c r="J569" i="173"/>
  <c r="T545" i="173"/>
  <c r="Q545" i="173"/>
  <c r="D534" i="173"/>
  <c r="J534" i="173"/>
  <c r="J539" i="173"/>
  <c r="J540" i="173"/>
  <c r="J549" i="173"/>
  <c r="J556" i="173"/>
  <c r="J562" i="173"/>
  <c r="J570" i="173"/>
  <c r="J576" i="173"/>
  <c r="B587" i="173"/>
  <c r="B588" i="173"/>
  <c r="Q547" i="173" l="1"/>
  <c r="J571" i="173"/>
  <c r="J541" i="173"/>
  <c r="J557" i="173"/>
  <c r="P484" i="173" l="1"/>
  <c r="P481" i="173"/>
  <c r="P491" i="173"/>
  <c r="R490" i="173" s="1"/>
  <c r="P488" i="173"/>
  <c r="R487" i="173" s="1"/>
  <c r="D473" i="173"/>
  <c r="J473" i="173"/>
  <c r="J478" i="173"/>
  <c r="J479" i="173"/>
  <c r="J488" i="173"/>
  <c r="J495" i="173"/>
  <c r="J501" i="173"/>
  <c r="J509" i="173"/>
  <c r="J510" i="173" s="1"/>
  <c r="J515" i="173"/>
  <c r="B526" i="173"/>
  <c r="B527" i="173"/>
  <c r="R480" i="173" l="1"/>
  <c r="T99" i="162" l="1"/>
  <c r="U99" i="162" s="1"/>
  <c r="T98" i="162"/>
  <c r="U98" i="162" s="1"/>
  <c r="B96" i="162"/>
  <c r="G100" i="162"/>
  <c r="B95" i="162"/>
  <c r="N90" i="162"/>
  <c r="U89" i="162"/>
  <c r="S89" i="162"/>
  <c r="F89" i="162"/>
  <c r="B89" i="162" s="1"/>
  <c r="F88" i="162"/>
  <c r="B88" i="162" s="1"/>
  <c r="F87" i="162"/>
  <c r="B87" i="162" s="1"/>
  <c r="F86" i="162"/>
  <c r="B86" i="162" s="1"/>
  <c r="F85" i="162"/>
  <c r="B85" i="162" s="1"/>
  <c r="F84" i="162"/>
  <c r="B84" i="162" s="1"/>
  <c r="J78" i="162"/>
  <c r="T70" i="162"/>
  <c r="U70" i="162" s="1"/>
  <c r="T69" i="162"/>
  <c r="U69" i="162" s="1"/>
  <c r="G71" i="162"/>
  <c r="G61" i="162"/>
  <c r="F58" i="162"/>
  <c r="B58" i="162" s="1"/>
  <c r="J52" i="162"/>
  <c r="D410" i="173"/>
  <c r="J410" i="173"/>
  <c r="J416" i="173"/>
  <c r="J417" i="173"/>
  <c r="J426" i="173"/>
  <c r="B433" i="173"/>
  <c r="F433" i="173" s="1"/>
  <c r="J434" i="173"/>
  <c r="J440" i="173"/>
  <c r="J445" i="173"/>
  <c r="J448" i="173"/>
  <c r="J454" i="173"/>
  <c r="B465" i="173"/>
  <c r="B466" i="173"/>
  <c r="B370" i="173"/>
  <c r="F370" i="173" s="1"/>
  <c r="H361" i="173"/>
  <c r="I382" i="173"/>
  <c r="H360" i="173"/>
  <c r="B351" i="173"/>
  <c r="B369" i="173" s="1"/>
  <c r="I370" i="173" l="1"/>
  <c r="F369" i="173"/>
  <c r="I369" i="173"/>
  <c r="J449" i="173"/>
  <c r="U95" i="162"/>
  <c r="V95" i="162" s="1"/>
  <c r="I433" i="173"/>
  <c r="V71" i="162" l="1"/>
  <c r="J51" i="162" s="1"/>
  <c r="D347" i="173" l="1"/>
  <c r="J347" i="173"/>
  <c r="J353" i="173"/>
  <c r="J354" i="173"/>
  <c r="J363" i="173"/>
  <c r="J371" i="173"/>
  <c r="J377" i="173"/>
  <c r="J382" i="173"/>
  <c r="J385" i="173"/>
  <c r="J391" i="173"/>
  <c r="B402" i="173"/>
  <c r="B403" i="173"/>
  <c r="E27" i="162"/>
  <c r="J282" i="173"/>
  <c r="J288" i="173"/>
  <c r="J289" i="173"/>
  <c r="J300" i="173"/>
  <c r="J314" i="173"/>
  <c r="J319" i="173"/>
  <c r="J320" i="173"/>
  <c r="J322" i="173"/>
  <c r="J328" i="173"/>
  <c r="B339" i="173"/>
  <c r="B340" i="173"/>
  <c r="J254" i="173"/>
  <c r="J256" i="173"/>
  <c r="J216" i="173"/>
  <c r="J224" i="173"/>
  <c r="J225" i="173"/>
  <c r="J226" i="173"/>
  <c r="J235" i="173"/>
  <c r="J249" i="173"/>
  <c r="J255" i="173"/>
  <c r="J257" i="173"/>
  <c r="J263" i="173"/>
  <c r="B274" i="173"/>
  <c r="B275" i="173"/>
  <c r="B241" i="173" l="1"/>
  <c r="F241" i="173" s="1"/>
  <c r="B477" i="173"/>
  <c r="J386" i="173"/>
  <c r="J323" i="173"/>
  <c r="J258" i="173"/>
  <c r="L309" i="173"/>
  <c r="J290" i="173"/>
  <c r="I241" i="173" l="1"/>
  <c r="B494" i="173"/>
  <c r="F494" i="173" l="1"/>
  <c r="I494" i="173"/>
  <c r="J123" i="173" l="1"/>
  <c r="J118" i="173"/>
  <c r="J119" i="173"/>
  <c r="J120" i="173"/>
  <c r="J121" i="173"/>
  <c r="J142" i="165" l="1"/>
  <c r="G146" i="165"/>
  <c r="J148" i="165"/>
  <c r="J149" i="165"/>
  <c r="J150" i="165"/>
  <c r="J158" i="165"/>
  <c r="B164" i="165"/>
  <c r="F164" i="165" s="1"/>
  <c r="J166" i="165"/>
  <c r="J167" i="165"/>
  <c r="J168" i="165"/>
  <c r="J174" i="165"/>
  <c r="J179" i="165"/>
  <c r="J180" i="165"/>
  <c r="J181" i="165"/>
  <c r="J182" i="165"/>
  <c r="J189" i="165"/>
  <c r="J187" i="165"/>
  <c r="J188" i="165"/>
  <c r="G79" i="165"/>
  <c r="J74" i="165"/>
  <c r="G78" i="165"/>
  <c r="B97" i="165"/>
  <c r="J80" i="165"/>
  <c r="J81" i="165"/>
  <c r="J82" i="165"/>
  <c r="H86" i="165"/>
  <c r="J90" i="165"/>
  <c r="B96" i="165"/>
  <c r="F96" i="165" s="1"/>
  <c r="J98" i="165"/>
  <c r="J99" i="165"/>
  <c r="J100" i="165"/>
  <c r="J106" i="165"/>
  <c r="J111" i="165"/>
  <c r="J112" i="165"/>
  <c r="J113" i="165"/>
  <c r="J114" i="165"/>
  <c r="J119" i="165"/>
  <c r="J120" i="165"/>
  <c r="J121" i="165"/>
  <c r="J122" i="165"/>
  <c r="J183" i="165" l="1"/>
  <c r="J123" i="165"/>
  <c r="J115" i="165"/>
  <c r="I164" i="165"/>
  <c r="F97" i="165"/>
  <c r="I97" i="165"/>
  <c r="I96" i="165"/>
  <c r="B104" i="167" l="1"/>
  <c r="F104" i="167" s="1"/>
  <c r="B105" i="167"/>
  <c r="I105" i="167" s="1"/>
  <c r="B103" i="167"/>
  <c r="I103" i="167" s="1"/>
  <c r="H96" i="167"/>
  <c r="H92" i="167"/>
  <c r="H95" i="167"/>
  <c r="G84" i="167"/>
  <c r="G85" i="167"/>
  <c r="G83" i="167"/>
  <c r="F103" i="167" l="1"/>
  <c r="I104" i="167"/>
  <c r="F105" i="167"/>
  <c r="L8" i="26" l="1"/>
  <c r="DL8" i="26"/>
  <c r="CJ8" i="26"/>
  <c r="GL8" i="26"/>
  <c r="DN145" i="26" l="1"/>
  <c r="DP145" i="26"/>
  <c r="DL145" i="26"/>
  <c r="CN80" i="26"/>
  <c r="CR116" i="26"/>
  <c r="CP80" i="26"/>
  <c r="CP116" i="26"/>
  <c r="CJ80" i="26"/>
  <c r="CL89" i="26"/>
  <c r="CN116" i="26"/>
  <c r="CR89" i="26"/>
  <c r="CJ116" i="26"/>
  <c r="CN89" i="26"/>
  <c r="CR80" i="26"/>
  <c r="CL80" i="26"/>
  <c r="CN50" i="26"/>
  <c r="CL50" i="26"/>
  <c r="CP50" i="26"/>
  <c r="CJ50" i="26"/>
  <c r="CL31" i="26"/>
  <c r="CJ31" i="26"/>
  <c r="CN31" i="26"/>
  <c r="CP31" i="26"/>
  <c r="CR31" i="26"/>
  <c r="DP89" i="26"/>
  <c r="DN80" i="26"/>
  <c r="DR89" i="26"/>
  <c r="DN89" i="26"/>
  <c r="DL116" i="26"/>
  <c r="DR98" i="26"/>
  <c r="DR80" i="26"/>
  <c r="DP98" i="26"/>
  <c r="DP80" i="26"/>
  <c r="L12" i="26"/>
  <c r="L13" i="26" s="1"/>
  <c r="R12" i="26"/>
  <c r="N12" i="26"/>
  <c r="P12" i="26"/>
  <c r="GL127" i="26"/>
  <c r="GR127" i="26"/>
  <c r="GN136" i="26"/>
  <c r="GN127" i="26"/>
  <c r="GL136" i="26"/>
  <c r="GP136" i="26"/>
  <c r="GR136" i="26"/>
  <c r="GP127" i="26"/>
  <c r="GL116" i="26"/>
  <c r="CR50" i="26"/>
  <c r="DN116" i="26"/>
  <c r="DR116" i="26"/>
  <c r="DL80" i="26"/>
  <c r="DP116" i="26"/>
  <c r="DP41" i="26"/>
  <c r="DR50" i="26"/>
  <c r="DP50" i="26"/>
  <c r="DR31" i="26"/>
  <c r="DL31" i="26"/>
  <c r="CR41" i="26"/>
  <c r="DN50" i="26"/>
  <c r="DL50" i="26"/>
  <c r="DL41" i="26"/>
  <c r="CP21" i="26"/>
  <c r="CJ21" i="26"/>
  <c r="CL21" i="26"/>
  <c r="CN21" i="26"/>
  <c r="CR21" i="26"/>
  <c r="CN98" i="26"/>
  <c r="CP98" i="26"/>
  <c r="CR98" i="26"/>
  <c r="CR107" i="26"/>
  <c r="CJ107" i="26"/>
  <c r="CL107" i="26"/>
  <c r="CP89" i="26"/>
  <c r="N80" i="26"/>
  <c r="DR41" i="26"/>
  <c r="DN41" i="26"/>
  <c r="CN107" i="26"/>
  <c r="CL98" i="26"/>
  <c r="DP31" i="26"/>
  <c r="DN21" i="26"/>
  <c r="DP21" i="26"/>
  <c r="DL21" i="26"/>
  <c r="N13" i="26" l="1"/>
  <c r="P13" i="26" s="1"/>
  <c r="R13" i="26" s="1"/>
  <c r="F20" i="162" l="1"/>
  <c r="B20" i="162" s="1"/>
  <c r="J188" i="173"/>
  <c r="J189" i="173"/>
  <c r="J190" i="173"/>
  <c r="J148" i="173"/>
  <c r="J156" i="173"/>
  <c r="J157" i="173"/>
  <c r="J158" i="173"/>
  <c r="J167" i="173"/>
  <c r="I173" i="173"/>
  <c r="B175" i="173"/>
  <c r="J176" i="173"/>
  <c r="J177" i="173"/>
  <c r="J183" i="173"/>
  <c r="J191" i="173"/>
  <c r="J197" i="173"/>
  <c r="B208" i="173"/>
  <c r="B209" i="173"/>
  <c r="J192" i="173" l="1"/>
  <c r="F175" i="173"/>
  <c r="I175" i="173"/>
  <c r="F173" i="173"/>
  <c r="S20" i="162" l="1"/>
  <c r="U20" i="162" s="1"/>
  <c r="C59" i="26" l="1"/>
  <c r="F17" i="162"/>
  <c r="F18" i="162"/>
  <c r="B102" i="173"/>
  <c r="O18" i="156" l="1"/>
  <c r="O19" i="156"/>
  <c r="O20" i="156"/>
  <c r="O21" i="156"/>
  <c r="O22" i="156"/>
  <c r="O23" i="156"/>
  <c r="O24" i="156"/>
  <c r="O25" i="156"/>
  <c r="O26" i="156"/>
  <c r="O18" i="155"/>
  <c r="N34" i="155" s="1"/>
  <c r="F43" i="155"/>
  <c r="B43" i="155" s="1"/>
  <c r="Q43" i="155" l="1"/>
  <c r="T43" i="155" s="1"/>
  <c r="H43" i="155"/>
  <c r="F16" i="156"/>
  <c r="B16" i="156" s="1"/>
  <c r="K16" i="156"/>
  <c r="S16" i="156"/>
  <c r="G59" i="26" l="1"/>
  <c r="F21" i="162"/>
  <c r="B21" i="162" s="1"/>
  <c r="HH61" i="26" l="1"/>
  <c r="GZ61" i="26"/>
  <c r="HJ61" i="26"/>
  <c r="HB61" i="26"/>
  <c r="HD61" i="26"/>
  <c r="HF61" i="26"/>
  <c r="GX61" i="26"/>
  <c r="GV61" i="26"/>
  <c r="J78" i="167"/>
  <c r="G82" i="167"/>
  <c r="J86" i="167"/>
  <c r="J87" i="167"/>
  <c r="J88" i="167"/>
  <c r="B102" i="167"/>
  <c r="I102" i="167" s="1"/>
  <c r="J111" i="167"/>
  <c r="J116" i="167"/>
  <c r="J117" i="167"/>
  <c r="J118" i="167"/>
  <c r="J119" i="167"/>
  <c r="J123" i="167"/>
  <c r="J125" i="167" s="1"/>
  <c r="J124" i="167"/>
  <c r="B136" i="167"/>
  <c r="B137" i="167"/>
  <c r="H16" i="156"/>
  <c r="U16" i="156" s="1"/>
  <c r="H58" i="162" l="1"/>
  <c r="H61" i="162" s="1"/>
  <c r="H87" i="162"/>
  <c r="G68" i="26"/>
  <c r="J120" i="167"/>
  <c r="F102" i="167"/>
  <c r="K54" i="135" l="1"/>
  <c r="S54" i="135" s="1"/>
  <c r="U54" i="135" s="1"/>
  <c r="CJ70" i="26"/>
  <c r="CL70" i="26"/>
  <c r="CN70" i="26"/>
  <c r="CP70" i="26"/>
  <c r="DL70" i="26"/>
  <c r="CR70" i="26"/>
  <c r="DN70" i="26"/>
  <c r="DR70" i="26"/>
  <c r="DP70" i="26"/>
  <c r="K55" i="135"/>
  <c r="S55" i="135" s="1"/>
  <c r="U55" i="135" s="1"/>
  <c r="K30" i="155"/>
  <c r="S30" i="155" s="1"/>
  <c r="U30" i="155" s="1"/>
  <c r="K19" i="159"/>
  <c r="S19" i="159" s="1"/>
  <c r="K29" i="155"/>
  <c r="S29" i="155" s="1"/>
  <c r="K33" i="155"/>
  <c r="S33" i="155" s="1"/>
  <c r="H89" i="162"/>
  <c r="H20" i="162"/>
  <c r="H21" i="162"/>
  <c r="H88" i="162"/>
  <c r="H84" i="162"/>
  <c r="H86" i="162"/>
  <c r="H85" i="162"/>
  <c r="B31" i="173"/>
  <c r="B32" i="173"/>
  <c r="B78" i="26"/>
  <c r="D59" i="26"/>
  <c r="U57" i="135" l="1"/>
  <c r="J57" i="135"/>
  <c r="S57" i="135"/>
  <c r="U29" i="155"/>
  <c r="W29" i="155" s="1"/>
  <c r="U33" i="155"/>
  <c r="W33" i="155" s="1"/>
  <c r="K25" i="155"/>
  <c r="S25" i="155" s="1"/>
  <c r="U25" i="155" s="1"/>
  <c r="W25" i="155" s="1"/>
  <c r="DN31" i="26"/>
  <c r="H90" i="162"/>
  <c r="DB8" i="26" l="1"/>
  <c r="G16" i="152"/>
  <c r="K16" i="152"/>
  <c r="I151" i="164"/>
  <c r="I150" i="164"/>
  <c r="J45" i="135" l="1"/>
  <c r="DD145" i="26"/>
  <c r="DB145" i="26"/>
  <c r="DF145" i="26"/>
  <c r="DH145" i="26"/>
  <c r="DD116" i="26"/>
  <c r="DD80" i="26"/>
  <c r="DB31" i="26"/>
  <c r="DB50" i="26"/>
  <c r="DF50" i="26"/>
  <c r="DF31" i="26"/>
  <c r="GZ136" i="26"/>
  <c r="HB136" i="26"/>
  <c r="HD136" i="26"/>
  <c r="HF136" i="26"/>
  <c r="HJ136" i="26"/>
  <c r="HH107" i="26"/>
  <c r="HH136" i="26"/>
  <c r="GV136" i="26"/>
  <c r="HJ107" i="26"/>
  <c r="GX136" i="26"/>
  <c r="HF107" i="26"/>
  <c r="GX80" i="26"/>
  <c r="HD80" i="26"/>
  <c r="HB116" i="26"/>
  <c r="HJ98" i="26"/>
  <c r="HJ80" i="26"/>
  <c r="HH80" i="26"/>
  <c r="HD89" i="26"/>
  <c r="GZ98" i="26"/>
  <c r="GX98" i="26"/>
  <c r="HF80" i="26"/>
  <c r="HB80" i="26"/>
  <c r="HB89" i="26"/>
  <c r="HF89" i="26"/>
  <c r="HD116" i="26"/>
  <c r="HD98" i="26"/>
  <c r="HB98" i="26"/>
  <c r="GZ80" i="26"/>
  <c r="GZ116" i="26"/>
  <c r="HF98" i="26"/>
  <c r="GX89" i="26"/>
  <c r="GV98" i="26"/>
  <c r="HH89" i="26"/>
  <c r="GV116" i="26"/>
  <c r="HH116" i="26"/>
  <c r="HJ116" i="26"/>
  <c r="HJ89" i="26"/>
  <c r="GX116" i="26"/>
  <c r="HF116" i="26"/>
  <c r="HH98" i="26"/>
  <c r="GV89" i="26"/>
  <c r="GV80" i="26"/>
  <c r="GZ89" i="26"/>
  <c r="GX50" i="26"/>
  <c r="DD41" i="26"/>
  <c r="HH50" i="26"/>
  <c r="GV50" i="26"/>
  <c r="DF41" i="26"/>
  <c r="GZ50" i="26"/>
  <c r="DH50" i="26"/>
  <c r="HD50" i="26"/>
  <c r="HB50" i="26"/>
  <c r="HJ50" i="26"/>
  <c r="HF50" i="26"/>
  <c r="HJ145" i="26"/>
  <c r="GV145" i="26"/>
  <c r="HF145" i="26"/>
  <c r="GX145" i="26"/>
  <c r="HB145" i="26"/>
  <c r="GZ145" i="26"/>
  <c r="HD145" i="26"/>
  <c r="HH145" i="26"/>
  <c r="GV70" i="26"/>
  <c r="HD70" i="26"/>
  <c r="GZ70" i="26"/>
  <c r="HB70" i="26"/>
  <c r="DH70" i="26"/>
  <c r="HH70" i="26"/>
  <c r="GX70" i="26"/>
  <c r="DD70" i="26"/>
  <c r="HF70" i="26"/>
  <c r="HJ70" i="26"/>
  <c r="DF70" i="26"/>
  <c r="DB70" i="26"/>
  <c r="DD50" i="26"/>
  <c r="DH41" i="26"/>
  <c r="DH80" i="26"/>
  <c r="DF80" i="26"/>
  <c r="DB80" i="26"/>
  <c r="DD31" i="26"/>
  <c r="DH31" i="26"/>
  <c r="DF21" i="26"/>
  <c r="DB21" i="26"/>
  <c r="DD21" i="26"/>
  <c r="DH21" i="26"/>
  <c r="BJ8" i="26"/>
  <c r="FL8" i="26"/>
  <c r="BB8" i="26"/>
  <c r="FB8" i="26"/>
  <c r="ET8" i="26"/>
  <c r="AT8" i="26"/>
  <c r="EJ8" i="26"/>
  <c r="EJ41" i="26" s="1"/>
  <c r="AJ8" i="26"/>
  <c r="BT8" i="26"/>
  <c r="FT8" i="26"/>
  <c r="EB8" i="26"/>
  <c r="AB8" i="26"/>
  <c r="CT8" i="26"/>
  <c r="GT8" i="26"/>
  <c r="CB8" i="26"/>
  <c r="GD8" i="26"/>
  <c r="DT8" i="26"/>
  <c r="T8" i="26"/>
  <c r="FB143" i="26"/>
  <c r="AX145" i="26" l="1"/>
  <c r="AZ145" i="26"/>
  <c r="AZ136" i="26"/>
  <c r="AV107" i="26"/>
  <c r="AX127" i="26"/>
  <c r="AV127" i="26"/>
  <c r="AX107" i="26"/>
  <c r="AV80" i="26"/>
  <c r="AV116" i="26"/>
  <c r="AX116" i="26"/>
  <c r="AX41" i="26"/>
  <c r="AV41" i="26"/>
  <c r="AT61" i="26"/>
  <c r="AV61" i="26"/>
  <c r="AV70" i="26"/>
  <c r="AT70" i="26" s="1"/>
  <c r="AH21" i="26"/>
  <c r="AF21" i="26"/>
  <c r="BB145" i="26"/>
  <c r="AJ50" i="26"/>
  <c r="AN31" i="26"/>
  <c r="AL50" i="26"/>
  <c r="AJ31" i="26"/>
  <c r="AJ21" i="26"/>
  <c r="AL31" i="26"/>
  <c r="AL21" i="26"/>
  <c r="AL61" i="26"/>
  <c r="AP61" i="26"/>
  <c r="AN61" i="26"/>
  <c r="AL70" i="26"/>
  <c r="AF12" i="26"/>
  <c r="AH12" i="26"/>
  <c r="AD12" i="26"/>
  <c r="AJ12" i="26"/>
  <c r="AB12" i="26"/>
  <c r="BL50" i="26"/>
  <c r="BP31" i="26"/>
  <c r="BP61" i="26"/>
  <c r="BN61" i="26"/>
  <c r="BR61" i="26"/>
  <c r="BN50" i="26"/>
  <c r="BN31" i="26"/>
  <c r="CX145" i="26"/>
  <c r="CV145" i="26"/>
  <c r="CZ145" i="26"/>
  <c r="CT145" i="26"/>
  <c r="BF31" i="26"/>
  <c r="BH21" i="26"/>
  <c r="BH31" i="26"/>
  <c r="BD21" i="26"/>
  <c r="BH61" i="26"/>
  <c r="BF61" i="26"/>
  <c r="CB107" i="26"/>
  <c r="CH89" i="26"/>
  <c r="CB80" i="26"/>
  <c r="BV31" i="26"/>
  <c r="BV107" i="26"/>
  <c r="BX136" i="26"/>
  <c r="BX127" i="26"/>
  <c r="BZ107" i="26"/>
  <c r="BZ136" i="26"/>
  <c r="BX107" i="26"/>
  <c r="BV80" i="26"/>
  <c r="BZ116" i="26"/>
  <c r="BZ80" i="26"/>
  <c r="BX80" i="26"/>
  <c r="BX116" i="26"/>
  <c r="BJ21" i="26"/>
  <c r="BL31" i="26"/>
  <c r="BJ31" i="26"/>
  <c r="BJ61" i="26"/>
  <c r="BL61" i="26"/>
  <c r="BL70" i="26"/>
  <c r="BN70" i="26"/>
  <c r="BP70" i="26"/>
  <c r="CV80" i="26"/>
  <c r="CZ89" i="26"/>
  <c r="CT89" i="26"/>
  <c r="CX89" i="26"/>
  <c r="CV89" i="26"/>
  <c r="CX80" i="26"/>
  <c r="CF116" i="26"/>
  <c r="CD80" i="26"/>
  <c r="CH70" i="26"/>
  <c r="CD107" i="26"/>
  <c r="CF80" i="26"/>
  <c r="CD70" i="26"/>
  <c r="CF107" i="26"/>
  <c r="CH116" i="26"/>
  <c r="CB116" i="26"/>
  <c r="CH80" i="26"/>
  <c r="CD116" i="26"/>
  <c r="CD50" i="26"/>
  <c r="CB50" i="26"/>
  <c r="CF50" i="26"/>
  <c r="CH50" i="26"/>
  <c r="CB31" i="26"/>
  <c r="CH31" i="26"/>
  <c r="CD31" i="26"/>
  <c r="CF31" i="26"/>
  <c r="BV50" i="26"/>
  <c r="BX50" i="26"/>
  <c r="BZ50" i="26"/>
  <c r="BT50" i="26"/>
  <c r="BZ31" i="26"/>
  <c r="BT31" i="26"/>
  <c r="BX31" i="26"/>
  <c r="BP50" i="26"/>
  <c r="BJ50" i="26"/>
  <c r="BR50" i="26"/>
  <c r="BR31" i="26"/>
  <c r="BB31" i="26"/>
  <c r="BB21" i="26"/>
  <c r="BF21" i="26"/>
  <c r="BD12" i="26"/>
  <c r="BF12" i="26"/>
  <c r="BH12" i="26"/>
  <c r="BB50" i="26"/>
  <c r="AV21" i="26"/>
  <c r="AX21" i="26"/>
  <c r="AZ21" i="26"/>
  <c r="AV12" i="26"/>
  <c r="AT12" i="26"/>
  <c r="AZ12" i="26"/>
  <c r="AX12" i="26"/>
  <c r="AZ50" i="26"/>
  <c r="BD50" i="26"/>
  <c r="BF50" i="26"/>
  <c r="BB12" i="26"/>
  <c r="AR12" i="26"/>
  <c r="BD31" i="26"/>
  <c r="BH50" i="26"/>
  <c r="X12" i="26"/>
  <c r="Z12" i="26"/>
  <c r="V12" i="26"/>
  <c r="T12" i="26"/>
  <c r="T13" i="26" s="1"/>
  <c r="DX70" i="26"/>
  <c r="DT89" i="26"/>
  <c r="DV98" i="26"/>
  <c r="DV136" i="26"/>
  <c r="DX98" i="26"/>
  <c r="DX136" i="26"/>
  <c r="DZ98" i="26"/>
  <c r="DZ136" i="26"/>
  <c r="DT98" i="26"/>
  <c r="DV80" i="26"/>
  <c r="DZ127" i="26"/>
  <c r="DT80" i="26"/>
  <c r="DZ70" i="26"/>
  <c r="DV89" i="26"/>
  <c r="BL21" i="26"/>
  <c r="BL12" i="26"/>
  <c r="BJ12" i="26"/>
  <c r="BN12" i="26"/>
  <c r="BR12" i="26"/>
  <c r="BN21" i="26"/>
  <c r="BP12" i="26"/>
  <c r="AN12" i="26"/>
  <c r="AP12" i="26"/>
  <c r="AL12" i="26"/>
  <c r="AX31" i="26"/>
  <c r="AZ31" i="26"/>
  <c r="CZ12" i="26"/>
  <c r="GP12" i="26"/>
  <c r="DN12" i="26"/>
  <c r="GR12" i="26"/>
  <c r="ED12" i="26"/>
  <c r="HF12" i="26"/>
  <c r="CX12" i="26"/>
  <c r="EF12" i="26"/>
  <c r="FJ12" i="26"/>
  <c r="FL12" i="26"/>
  <c r="FZ12" i="26"/>
  <c r="ET12" i="26"/>
  <c r="BV12" i="26"/>
  <c r="HD12" i="26"/>
  <c r="DD12" i="26"/>
  <c r="DT12" i="26"/>
  <c r="HB12" i="26"/>
  <c r="CD12" i="26"/>
  <c r="CR12" i="26"/>
  <c r="DF12" i="26"/>
  <c r="EX12" i="26"/>
  <c r="CN12" i="26"/>
  <c r="GZ12" i="26"/>
  <c r="CP12" i="26"/>
  <c r="CV12" i="26"/>
  <c r="FX12" i="26"/>
  <c r="BT12" i="26"/>
  <c r="GL12" i="26"/>
  <c r="CB12" i="26"/>
  <c r="EH12" i="26"/>
  <c r="EN12" i="26"/>
  <c r="ER12" i="26"/>
  <c r="GN12" i="26"/>
  <c r="HH12" i="26"/>
  <c r="FV12" i="26"/>
  <c r="GJ12" i="26"/>
  <c r="GX12" i="26"/>
  <c r="BZ12" i="26"/>
  <c r="DR12" i="26"/>
  <c r="EB12" i="26"/>
  <c r="FD12" i="26"/>
  <c r="HJ12" i="26"/>
  <c r="DZ12" i="26"/>
  <c r="DL12" i="26"/>
  <c r="FH12" i="26"/>
  <c r="GB12" i="26"/>
  <c r="FF12" i="26"/>
  <c r="FT12" i="26"/>
  <c r="GH12" i="26"/>
  <c r="BX12" i="26"/>
  <c r="DB12" i="26"/>
  <c r="CF12" i="26"/>
  <c r="EV12" i="26"/>
  <c r="EP12" i="26"/>
  <c r="FR12" i="26"/>
  <c r="CL12" i="26"/>
  <c r="GV12" i="26"/>
  <c r="DP12" i="26"/>
  <c r="FB12" i="26"/>
  <c r="FP12" i="26"/>
  <c r="GF12" i="26"/>
  <c r="CJ12" i="26"/>
  <c r="DJ12" i="26"/>
  <c r="DX12" i="26"/>
  <c r="EL12" i="26"/>
  <c r="GD12" i="26"/>
  <c r="EJ12" i="26"/>
  <c r="EZ12" i="26"/>
  <c r="CH12" i="26"/>
  <c r="CT12" i="26"/>
  <c r="DH12" i="26"/>
  <c r="DV12" i="26"/>
  <c r="FN12" i="26"/>
  <c r="GT12" i="26"/>
  <c r="CV70" i="26"/>
  <c r="CT70" i="26"/>
  <c r="CX31" i="26"/>
  <c r="CZ50" i="26"/>
  <c r="CZ31" i="26"/>
  <c r="CV31" i="26"/>
  <c r="CT31" i="26"/>
  <c r="AB50" i="26"/>
  <c r="ED136" i="26"/>
  <c r="ED127" i="26"/>
  <c r="EB89" i="26"/>
  <c r="EB98" i="26"/>
  <c r="EB41" i="26"/>
  <c r="EF50" i="26"/>
  <c r="DZ107" i="26"/>
  <c r="EX107" i="26"/>
  <c r="ET107" i="26"/>
  <c r="EJ107" i="26"/>
  <c r="DT107" i="26"/>
  <c r="GJ107" i="26"/>
  <c r="HB107" i="26"/>
  <c r="EH107" i="26"/>
  <c r="FJ107" i="26"/>
  <c r="FD107" i="26"/>
  <c r="ER107" i="26"/>
  <c r="GL107" i="26"/>
  <c r="EP107" i="26"/>
  <c r="FN107" i="26"/>
  <c r="GV107" i="26"/>
  <c r="GB107" i="26"/>
  <c r="GZ107" i="26"/>
  <c r="GH107" i="26"/>
  <c r="FB107" i="26"/>
  <c r="FZ107" i="26"/>
  <c r="FT107" i="26"/>
  <c r="FX107" i="26"/>
  <c r="GN107" i="26"/>
  <c r="DV107" i="26"/>
  <c r="FV107" i="26"/>
  <c r="EF107" i="26"/>
  <c r="FR107" i="26"/>
  <c r="EB107" i="26"/>
  <c r="DR107" i="26"/>
  <c r="GP107" i="26"/>
  <c r="GR107" i="26"/>
  <c r="EZ107" i="26"/>
  <c r="DX107" i="26"/>
  <c r="FL107" i="26"/>
  <c r="EL107" i="26"/>
  <c r="GD107" i="26"/>
  <c r="HD107" i="26"/>
  <c r="FP107" i="26"/>
  <c r="FH107" i="26"/>
  <c r="ED107" i="26"/>
  <c r="GF107" i="26"/>
  <c r="GT107" i="26"/>
  <c r="EV107" i="26"/>
  <c r="FF107" i="26"/>
  <c r="GX107" i="26"/>
  <c r="EN107" i="26"/>
  <c r="FT89" i="26"/>
  <c r="GB89" i="26"/>
  <c r="FV89" i="26"/>
  <c r="FZ80" i="26"/>
  <c r="FZ89" i="26"/>
  <c r="FX89" i="26"/>
  <c r="FX116" i="26"/>
  <c r="FT116" i="26"/>
  <c r="FV116" i="26"/>
  <c r="FZ116" i="26"/>
  <c r="FX80" i="26"/>
  <c r="FV80" i="26"/>
  <c r="GB80" i="26"/>
  <c r="GD80" i="26"/>
  <c r="GF80" i="26"/>
  <c r="GH80" i="26"/>
  <c r="FT70" i="26"/>
  <c r="FX70" i="26"/>
  <c r="FZ70" i="26"/>
  <c r="GB70" i="26"/>
  <c r="FV70" i="26"/>
  <c r="DV127" i="26"/>
  <c r="DT136" i="26"/>
  <c r="EB127" i="26"/>
  <c r="DT127" i="26"/>
  <c r="DX127" i="26"/>
  <c r="DT116" i="26"/>
  <c r="DX80" i="26"/>
  <c r="DZ89" i="26"/>
  <c r="DX89" i="26"/>
  <c r="DZ41" i="26"/>
  <c r="DX41" i="26"/>
  <c r="DT41" i="26"/>
  <c r="DT31" i="26"/>
  <c r="DT70" i="26"/>
  <c r="DV70" i="26"/>
  <c r="CT50" i="26"/>
  <c r="CX50" i="26"/>
  <c r="CV50" i="26"/>
  <c r="CZ70" i="26"/>
  <c r="CX70" i="26"/>
  <c r="GD127" i="26"/>
  <c r="GF127" i="26"/>
  <c r="GH127" i="26"/>
  <c r="GJ127" i="26"/>
  <c r="GJ136" i="26"/>
  <c r="GH116" i="26"/>
  <c r="GF89" i="26"/>
  <c r="GD116" i="26"/>
  <c r="GF116" i="26"/>
  <c r="GH98" i="26"/>
  <c r="GH89" i="26"/>
  <c r="GF98" i="26"/>
  <c r="GD98" i="26"/>
  <c r="GJ116" i="26"/>
  <c r="GL98" i="26"/>
  <c r="GD89" i="26"/>
  <c r="GJ98" i="26"/>
  <c r="HJ21" i="26"/>
  <c r="HF31" i="26"/>
  <c r="GZ21" i="26"/>
  <c r="HB21" i="26"/>
  <c r="GX31" i="26"/>
  <c r="HD31" i="26"/>
  <c r="GV21" i="26"/>
  <c r="HH31" i="26"/>
  <c r="GX21" i="26"/>
  <c r="GV31" i="26"/>
  <c r="HJ31" i="26"/>
  <c r="HD21" i="26"/>
  <c r="GZ31" i="26"/>
  <c r="HF21" i="26"/>
  <c r="HH21" i="26"/>
  <c r="HB31" i="26"/>
  <c r="FR31" i="26"/>
  <c r="FN50" i="26"/>
  <c r="FP41" i="26"/>
  <c r="FR50" i="26"/>
  <c r="FR41" i="26"/>
  <c r="FL50" i="26"/>
  <c r="FP50" i="26"/>
  <c r="FL31" i="26"/>
  <c r="FN41" i="26"/>
  <c r="FP31" i="26"/>
  <c r="FN31" i="26"/>
  <c r="FL41" i="26"/>
  <c r="FD50" i="26"/>
  <c r="FF50" i="26"/>
  <c r="FB50" i="26"/>
  <c r="FJ50" i="26"/>
  <c r="FH50" i="26"/>
  <c r="FJ31" i="26"/>
  <c r="FH31" i="26"/>
  <c r="FJ41" i="26"/>
  <c r="FH41" i="26"/>
  <c r="FF31" i="26"/>
  <c r="FF41" i="26"/>
  <c r="FD41" i="26"/>
  <c r="FB41" i="26"/>
  <c r="FB31" i="26"/>
  <c r="FX50" i="26"/>
  <c r="FT50" i="26"/>
  <c r="FZ50" i="26"/>
  <c r="FX41" i="26"/>
  <c r="FV41" i="26"/>
  <c r="FT41" i="26"/>
  <c r="FX31" i="26"/>
  <c r="FV31" i="26"/>
  <c r="FT31" i="26"/>
  <c r="FV50" i="26"/>
  <c r="FZ31" i="26"/>
  <c r="EN50" i="26"/>
  <c r="EP50" i="26"/>
  <c r="ER50" i="26"/>
  <c r="EL50" i="26"/>
  <c r="EJ50" i="26"/>
  <c r="EN41" i="26"/>
  <c r="EL41" i="26"/>
  <c r="EP41" i="26"/>
  <c r="ER41" i="26"/>
  <c r="ER31" i="26"/>
  <c r="AX50" i="26"/>
  <c r="AT21" i="26"/>
  <c r="EH50" i="26"/>
  <c r="ED50" i="26"/>
  <c r="EB50" i="26"/>
  <c r="EF41" i="26"/>
  <c r="EH41" i="26"/>
  <c r="ED31" i="26"/>
  <c r="EF31" i="26"/>
  <c r="EB31" i="26"/>
  <c r="EH31" i="26"/>
  <c r="DT50" i="26"/>
  <c r="DZ50" i="26"/>
  <c r="DV50" i="26"/>
  <c r="DX50" i="26"/>
  <c r="DZ31" i="26"/>
  <c r="CX41" i="26"/>
  <c r="CT41" i="26"/>
  <c r="CV41" i="26"/>
  <c r="EX50" i="26"/>
  <c r="EZ50" i="26"/>
  <c r="EV50" i="26"/>
  <c r="EZ41" i="26"/>
  <c r="ET50" i="26"/>
  <c r="EV41" i="26"/>
  <c r="EX41" i="26"/>
  <c r="ET41" i="26"/>
  <c r="ET31" i="26"/>
  <c r="EX31" i="26"/>
  <c r="BJ41" i="26"/>
  <c r="BV41" i="26"/>
  <c r="BZ21" i="26"/>
  <c r="BB41" i="26"/>
  <c r="BD41" i="26"/>
  <c r="BF41" i="26"/>
  <c r="CF21" i="26"/>
  <c r="CH21" i="26"/>
  <c r="CB89" i="26"/>
  <c r="T136" i="26"/>
  <c r="Z21" i="26"/>
  <c r="CT80" i="26"/>
  <c r="AJ136" i="26"/>
  <c r="AN21" i="26"/>
  <c r="AR21" i="26"/>
  <c r="AB136" i="26"/>
  <c r="AD21" i="26"/>
  <c r="AB21" i="26"/>
  <c r="AR145" i="26"/>
  <c r="AR136" i="26"/>
  <c r="AD80" i="26"/>
  <c r="AB80" i="26"/>
  <c r="AF80" i="26"/>
  <c r="AH80" i="26"/>
  <c r="T80" i="26"/>
  <c r="V80" i="26"/>
  <c r="BT80" i="26"/>
  <c r="BP107" i="26"/>
  <c r="CH107" i="26"/>
  <c r="AN80" i="26"/>
  <c r="AJ80" i="26"/>
  <c r="AP80" i="26"/>
  <c r="AL80" i="26"/>
  <c r="AT31" i="26"/>
  <c r="AH98" i="26"/>
  <c r="AH41" i="26"/>
  <c r="AF31" i="26"/>
  <c r="AB31" i="26"/>
  <c r="AD89" i="26"/>
  <c r="BL80" i="26"/>
  <c r="BL41" i="26"/>
  <c r="BR41" i="26"/>
  <c r="BN80" i="26"/>
  <c r="BR80" i="26"/>
  <c r="BP80" i="26"/>
  <c r="V31" i="26"/>
  <c r="Z80" i="26"/>
  <c r="X80" i="26"/>
  <c r="DV41" i="26"/>
  <c r="DZ80" i="26"/>
  <c r="BH41" i="26"/>
  <c r="BH80" i="26"/>
  <c r="BT41" i="26"/>
  <c r="CD89" i="26"/>
  <c r="CF89" i="26"/>
  <c r="CJ89" i="26"/>
  <c r="EJ80" i="26"/>
  <c r="EN80" i="26"/>
  <c r="EL80" i="26"/>
  <c r="ED41" i="26"/>
  <c r="ED80" i="26"/>
  <c r="EF80" i="26"/>
  <c r="EH80" i="26"/>
  <c r="EB80" i="26"/>
  <c r="AZ80" i="26"/>
  <c r="AX80" i="26"/>
  <c r="CZ80" i="26"/>
  <c r="AF89" i="26"/>
  <c r="BR107" i="26"/>
  <c r="BN107" i="26"/>
  <c r="BL107" i="26"/>
  <c r="AN50" i="26"/>
  <c r="AN107" i="26"/>
  <c r="AH50" i="26"/>
  <c r="AD50" i="26"/>
  <c r="AP107" i="26"/>
  <c r="AR31" i="26"/>
  <c r="AL107" i="26"/>
  <c r="AF50" i="26"/>
  <c r="AP50" i="26"/>
  <c r="AD107" i="26"/>
  <c r="AH107" i="26"/>
  <c r="AF107" i="26"/>
  <c r="AV50" i="26"/>
  <c r="AT50" i="26"/>
  <c r="AV31" i="26"/>
  <c r="BH107" i="26"/>
  <c r="BD107" i="26"/>
  <c r="V21" i="26"/>
  <c r="X21" i="26"/>
  <c r="X31" i="26"/>
  <c r="CZ21" i="26"/>
  <c r="CT21" i="26"/>
  <c r="CV21" i="26"/>
  <c r="CX21" i="26"/>
  <c r="BT21" i="26"/>
  <c r="BV21" i="26"/>
  <c r="BX21" i="26"/>
  <c r="V13" i="26" l="1"/>
  <c r="X13" i="26" s="1"/>
  <c r="Z13" i="26" s="1"/>
  <c r="AB13" i="26" l="1"/>
  <c r="AB16" i="26" s="1"/>
  <c r="E42" i="107"/>
  <c r="F42" i="107"/>
  <c r="E43" i="107"/>
  <c r="F43" i="107"/>
  <c r="B42" i="107"/>
  <c r="B43" i="107"/>
  <c r="F71" i="107"/>
  <c r="E71" i="107"/>
  <c r="B68" i="107"/>
  <c r="B69" i="107"/>
  <c r="B70" i="107"/>
  <c r="B71" i="107"/>
  <c r="E68" i="107"/>
  <c r="F68" i="107"/>
  <c r="E69" i="107"/>
  <c r="F69" i="107"/>
  <c r="E70" i="107"/>
  <c r="F70" i="107"/>
  <c r="AD13" i="26" l="1"/>
  <c r="I45" i="158"/>
  <c r="Q45" i="158" s="1"/>
  <c r="AF13" i="26" l="1"/>
  <c r="AD16" i="26"/>
  <c r="AF16" i="26" l="1"/>
  <c r="AH13" i="26"/>
  <c r="D87" i="26"/>
  <c r="AJ13" i="26" l="1"/>
  <c r="AH16" i="26"/>
  <c r="Q37" i="159"/>
  <c r="E57" i="140"/>
  <c r="AJ16" i="26" l="1"/>
  <c r="AL13" i="26"/>
  <c r="AN13" i="26" l="1"/>
  <c r="AL16" i="26"/>
  <c r="E13" i="107"/>
  <c r="AN16" i="26" l="1"/>
  <c r="AP13" i="26"/>
  <c r="H17" i="165"/>
  <c r="AR13" i="26" l="1"/>
  <c r="AP16" i="26"/>
  <c r="B29" i="165"/>
  <c r="Q42" i="158"/>
  <c r="B38" i="101"/>
  <c r="B39" i="101"/>
  <c r="S16" i="136"/>
  <c r="E41" i="107"/>
  <c r="T63" i="188" l="1"/>
  <c r="T32" i="188"/>
  <c r="U32" i="188" s="1"/>
  <c r="V32" i="188" s="1"/>
  <c r="T31" i="188"/>
  <c r="U31" i="188" s="1"/>
  <c r="V31" i="188" s="1"/>
  <c r="T30" i="188"/>
  <c r="U30" i="188" s="1"/>
  <c r="V30" i="188" s="1"/>
  <c r="T29" i="188"/>
  <c r="U63" i="135"/>
  <c r="T129" i="135"/>
  <c r="U129" i="135" s="1"/>
  <c r="V129" i="135" s="1"/>
  <c r="T131" i="135"/>
  <c r="U131" i="135" s="1"/>
  <c r="V131" i="135" s="1"/>
  <c r="T130" i="135"/>
  <c r="U130" i="135" s="1"/>
  <c r="V130" i="135" s="1"/>
  <c r="T128" i="135"/>
  <c r="AR16" i="26"/>
  <c r="AT13" i="26"/>
  <c r="G82" i="22"/>
  <c r="G80" i="22"/>
  <c r="T30" i="159"/>
  <c r="G77" i="22"/>
  <c r="K86" i="162"/>
  <c r="S86" i="162" s="1"/>
  <c r="U86" i="162" s="1"/>
  <c r="K58" i="162"/>
  <c r="K85" i="162"/>
  <c r="S85" i="162" s="1"/>
  <c r="U85" i="162" s="1"/>
  <c r="K84" i="162"/>
  <c r="K87" i="162"/>
  <c r="S87" i="162" s="1"/>
  <c r="U87" i="162" s="1"/>
  <c r="K88" i="162"/>
  <c r="S88" i="162" s="1"/>
  <c r="U88" i="162" s="1"/>
  <c r="K89" i="162"/>
  <c r="U96" i="162"/>
  <c r="V96" i="162" s="1"/>
  <c r="V100" i="162" s="1"/>
  <c r="J77" i="162" s="1"/>
  <c r="K20" i="162"/>
  <c r="I29" i="165"/>
  <c r="F29" i="165"/>
  <c r="G76" i="22"/>
  <c r="M43" i="22" s="1"/>
  <c r="W43" i="22" s="1"/>
  <c r="G75" i="22"/>
  <c r="M21" i="22" s="1"/>
  <c r="W21" i="22" s="1"/>
  <c r="G83" i="22"/>
  <c r="G79" i="22"/>
  <c r="G78" i="22"/>
  <c r="B10" i="167"/>
  <c r="M31" i="22" l="1"/>
  <c r="W31" i="22" s="1"/>
  <c r="M30" i="22"/>
  <c r="W30" i="22" s="1"/>
  <c r="M32" i="22"/>
  <c r="W32" i="22" s="1"/>
  <c r="M28" i="22"/>
  <c r="W28" i="22" s="1"/>
  <c r="M29" i="22"/>
  <c r="W29" i="22" s="1"/>
  <c r="M25" i="22"/>
  <c r="W25" i="22" s="1"/>
  <c r="M26" i="22"/>
  <c r="W26" i="22" s="1"/>
  <c r="M27" i="22"/>
  <c r="W27" i="22" s="1"/>
  <c r="M18" i="22"/>
  <c r="W18" i="22" s="1"/>
  <c r="M19" i="22"/>
  <c r="W19" i="22" s="1"/>
  <c r="M20" i="22"/>
  <c r="W20" i="22" s="1"/>
  <c r="M14" i="22"/>
  <c r="W14" i="22" s="1"/>
  <c r="M15" i="22"/>
  <c r="W15" i="22" s="1"/>
  <c r="M16" i="22"/>
  <c r="W16" i="22" s="1"/>
  <c r="V63" i="135"/>
  <c r="P36" i="22"/>
  <c r="T133" i="135"/>
  <c r="T34" i="188"/>
  <c r="U29" i="188"/>
  <c r="V29" i="188" s="1"/>
  <c r="V34" i="188" s="1"/>
  <c r="J10" i="188" s="1"/>
  <c r="E10" i="188" s="1"/>
  <c r="T65" i="188"/>
  <c r="U63" i="188"/>
  <c r="V63" i="188" s="1"/>
  <c r="V65" i="188" s="1"/>
  <c r="J48" i="188" s="1"/>
  <c r="E48" i="188" s="1"/>
  <c r="AV13" i="26"/>
  <c r="AT16" i="26"/>
  <c r="M46" i="22"/>
  <c r="W46" i="22" s="1"/>
  <c r="M37" i="22"/>
  <c r="W37" i="22" s="1"/>
  <c r="M38" i="22"/>
  <c r="W38" i="22" s="1"/>
  <c r="M61" i="22"/>
  <c r="W61" i="22" s="1"/>
  <c r="M62" i="22"/>
  <c r="W62" i="22" s="1"/>
  <c r="M60" i="22"/>
  <c r="W60" i="22" s="1"/>
  <c r="J72" i="135"/>
  <c r="U128" i="135"/>
  <c r="J90" i="162"/>
  <c r="S84" i="162"/>
  <c r="S90" i="162" s="1"/>
  <c r="J61" i="162"/>
  <c r="S58" i="162"/>
  <c r="S61" i="162" s="1"/>
  <c r="F61" i="107"/>
  <c r="B61" i="107"/>
  <c r="B96" i="26"/>
  <c r="AV16" i="26" l="1"/>
  <c r="AX13" i="26"/>
  <c r="U84" i="162"/>
  <c r="U90" i="162" s="1"/>
  <c r="J76" i="162" s="1"/>
  <c r="U58" i="162"/>
  <c r="E61" i="107"/>
  <c r="AX16" i="26" l="1"/>
  <c r="AZ13" i="26"/>
  <c r="E77" i="162"/>
  <c r="U77" i="162" s="1"/>
  <c r="U61" i="162"/>
  <c r="Q75" i="155"/>
  <c r="B75" i="155"/>
  <c r="Q63" i="155"/>
  <c r="Q62" i="155"/>
  <c r="Q61" i="155"/>
  <c r="Q60" i="155"/>
  <c r="Q58" i="155"/>
  <c r="F18" i="156"/>
  <c r="B43" i="158"/>
  <c r="B44" i="158"/>
  <c r="F26" i="107"/>
  <c r="B26" i="107"/>
  <c r="B27" i="107"/>
  <c r="H33" i="159"/>
  <c r="E26" i="107"/>
  <c r="F32" i="155"/>
  <c r="B32" i="155" s="1"/>
  <c r="H32" i="155" s="1"/>
  <c r="W60" i="155" l="1"/>
  <c r="AZ16" i="26"/>
  <c r="BB13" i="26"/>
  <c r="J50" i="162"/>
  <c r="E51" i="162" s="1"/>
  <c r="U51" i="162" s="1"/>
  <c r="U30" i="159"/>
  <c r="Q78" i="155"/>
  <c r="BB16" i="26" l="1"/>
  <c r="BD13" i="26"/>
  <c r="P12" i="22"/>
  <c r="BD16" i="26" l="1"/>
  <c r="BF13" i="26"/>
  <c r="Q77" i="155"/>
  <c r="BH13" i="26" l="1"/>
  <c r="BF16" i="26"/>
  <c r="BJ13" i="26" l="1"/>
  <c r="BH16" i="26"/>
  <c r="BJ16" i="26" l="1"/>
  <c r="BL13" i="26"/>
  <c r="BL16" i="26" l="1"/>
  <c r="BN13" i="26"/>
  <c r="BN16" i="26" l="1"/>
  <c r="BP13" i="26"/>
  <c r="BP16" i="26" l="1"/>
  <c r="BR13" i="26"/>
  <c r="D143" i="26"/>
  <c r="B11" i="167"/>
  <c r="F7" i="122"/>
  <c r="F8" i="122"/>
  <c r="F9" i="122"/>
  <c r="BR16" i="26" l="1"/>
  <c r="BT13" i="26"/>
  <c r="BT16" i="26" l="1"/>
  <c r="BV13" i="26"/>
  <c r="BV16" i="26" l="1"/>
  <c r="BX13" i="26"/>
  <c r="H10" i="168"/>
  <c r="H83" i="167"/>
  <c r="I83" i="167" s="1"/>
  <c r="J83" i="167" s="1"/>
  <c r="H103" i="167"/>
  <c r="H150" i="164"/>
  <c r="J150" i="164" s="1"/>
  <c r="H32" i="168"/>
  <c r="J32" i="168" s="1"/>
  <c r="H133" i="164"/>
  <c r="H10" i="167"/>
  <c r="E88" i="107"/>
  <c r="F88" i="107"/>
  <c r="B88" i="107"/>
  <c r="B81" i="107"/>
  <c r="E79" i="107"/>
  <c r="F79" i="107"/>
  <c r="B79" i="107"/>
  <c r="B78" i="107"/>
  <c r="F76" i="107"/>
  <c r="F77" i="107"/>
  <c r="F78" i="107"/>
  <c r="E76" i="107"/>
  <c r="E77" i="107"/>
  <c r="E78" i="107"/>
  <c r="B76" i="107"/>
  <c r="B77" i="107"/>
  <c r="E75" i="107"/>
  <c r="F75" i="107"/>
  <c r="B74" i="107"/>
  <c r="B75" i="107"/>
  <c r="E74" i="107"/>
  <c r="F74" i="107"/>
  <c r="B73" i="107"/>
  <c r="B67" i="107"/>
  <c r="E66" i="107"/>
  <c r="F66" i="107"/>
  <c r="E67" i="107"/>
  <c r="F67" i="107"/>
  <c r="B66" i="107"/>
  <c r="B49" i="107"/>
  <c r="B46" i="107"/>
  <c r="B19" i="107"/>
  <c r="E19" i="107"/>
  <c r="F19" i="107"/>
  <c r="B13" i="107"/>
  <c r="F13" i="107"/>
  <c r="B14" i="107"/>
  <c r="E14" i="107"/>
  <c r="F14" i="107"/>
  <c r="M35" i="22" l="1"/>
  <c r="W35" i="22" s="1"/>
  <c r="BX16" i="26"/>
  <c r="BZ13" i="26"/>
  <c r="R35" i="22"/>
  <c r="F20" i="155"/>
  <c r="B20" i="155" s="1"/>
  <c r="H20" i="155" s="1"/>
  <c r="F21" i="155"/>
  <c r="B21" i="155" s="1"/>
  <c r="BZ16" i="26" l="1"/>
  <c r="CB13" i="26"/>
  <c r="CD13" i="26" l="1"/>
  <c r="CB16" i="26"/>
  <c r="CF13" i="26" l="1"/>
  <c r="CD16" i="26"/>
  <c r="CF16" i="26" l="1"/>
  <c r="CH13" i="26"/>
  <c r="O13" i="136"/>
  <c r="O16" i="136" s="1"/>
  <c r="CH16" i="26" l="1"/>
  <c r="CJ13" i="26"/>
  <c r="F81" i="22"/>
  <c r="G81" i="22"/>
  <c r="E81" i="22"/>
  <c r="T48" i="156"/>
  <c r="H81" i="22"/>
  <c r="T116" i="163"/>
  <c r="U116" i="163" s="1"/>
  <c r="T114" i="163"/>
  <c r="T115" i="163"/>
  <c r="T30" i="162"/>
  <c r="T31" i="162"/>
  <c r="T71" i="163"/>
  <c r="T72" i="163"/>
  <c r="T73" i="163"/>
  <c r="T31" i="163"/>
  <c r="T32" i="163"/>
  <c r="M377" i="181"/>
  <c r="M378" i="181"/>
  <c r="F378" i="181" s="1"/>
  <c r="E352" i="181"/>
  <c r="S309" i="181"/>
  <c r="S310" i="181"/>
  <c r="S311" i="181"/>
  <c r="S312" i="181"/>
  <c r="M310" i="181"/>
  <c r="F310" i="181" s="1"/>
  <c r="M309" i="181"/>
  <c r="E285" i="181"/>
  <c r="G245" i="181"/>
  <c r="E220" i="181"/>
  <c r="G180" i="181"/>
  <c r="E155" i="181"/>
  <c r="B393" i="181"/>
  <c r="B392" i="181"/>
  <c r="J373" i="181"/>
  <c r="J372" i="181"/>
  <c r="J359" i="181"/>
  <c r="J358" i="181"/>
  <c r="B355" i="181"/>
  <c r="I355" i="181" s="1"/>
  <c r="J349" i="181"/>
  <c r="J340" i="181"/>
  <c r="J339" i="181"/>
  <c r="J338" i="181"/>
  <c r="G336" i="181"/>
  <c r="J332" i="181"/>
  <c r="B325" i="181"/>
  <c r="B324" i="181"/>
  <c r="J305" i="181"/>
  <c r="J303" i="181"/>
  <c r="J302" i="181"/>
  <c r="J291" i="181"/>
  <c r="J290" i="181"/>
  <c r="B288" i="181"/>
  <c r="I288" i="181" s="1"/>
  <c r="J282" i="181"/>
  <c r="J273" i="181"/>
  <c r="J272" i="181"/>
  <c r="J271" i="181"/>
  <c r="G269" i="181"/>
  <c r="J265" i="181"/>
  <c r="B258" i="181"/>
  <c r="B257" i="181"/>
  <c r="G244" i="181"/>
  <c r="J240" i="181"/>
  <c r="J238" i="181"/>
  <c r="J237" i="181"/>
  <c r="J226" i="181"/>
  <c r="J225" i="181"/>
  <c r="B223" i="181"/>
  <c r="I223" i="181" s="1"/>
  <c r="J217" i="181"/>
  <c r="J208" i="181"/>
  <c r="J207" i="181"/>
  <c r="J206" i="181"/>
  <c r="G204" i="181"/>
  <c r="J200" i="181"/>
  <c r="B193" i="181"/>
  <c r="B192" i="181"/>
  <c r="G179" i="181"/>
  <c r="J175" i="181"/>
  <c r="J174" i="181"/>
  <c r="J173" i="181"/>
  <c r="J172" i="181"/>
  <c r="J161" i="181"/>
  <c r="J160" i="181"/>
  <c r="B158" i="181"/>
  <c r="I158" i="181" s="1"/>
  <c r="J152" i="181"/>
  <c r="J143" i="181"/>
  <c r="J142" i="181"/>
  <c r="J141" i="181"/>
  <c r="G139" i="181"/>
  <c r="J135" i="181"/>
  <c r="B128" i="181"/>
  <c r="B127" i="181"/>
  <c r="J110" i="181"/>
  <c r="G108" i="181"/>
  <c r="J108" i="181" s="1"/>
  <c r="J107" i="181"/>
  <c r="J96" i="181"/>
  <c r="J95" i="181"/>
  <c r="B93" i="181"/>
  <c r="I93" i="181" s="1"/>
  <c r="J87" i="181"/>
  <c r="J78" i="181"/>
  <c r="J77" i="181"/>
  <c r="J76" i="181"/>
  <c r="G74" i="181"/>
  <c r="J70" i="181"/>
  <c r="B63" i="181"/>
  <c r="B62" i="181"/>
  <c r="J45" i="181"/>
  <c r="J44" i="181"/>
  <c r="G43" i="181"/>
  <c r="J43" i="181" s="1"/>
  <c r="J42" i="181"/>
  <c r="J31" i="181"/>
  <c r="J30" i="181"/>
  <c r="B28" i="181"/>
  <c r="I28" i="181" s="1"/>
  <c r="J22" i="181"/>
  <c r="J13" i="181"/>
  <c r="J12" i="181"/>
  <c r="J11" i="181"/>
  <c r="G9" i="181"/>
  <c r="J5" i="181"/>
  <c r="B32" i="180"/>
  <c r="H32" i="180" s="1"/>
  <c r="B32" i="175"/>
  <c r="H32" i="175" s="1"/>
  <c r="H21" i="175"/>
  <c r="H10" i="175"/>
  <c r="H21" i="180"/>
  <c r="H10" i="180"/>
  <c r="I10" i="180" s="1"/>
  <c r="J10" i="180" s="1"/>
  <c r="B71" i="180"/>
  <c r="B70" i="180"/>
  <c r="J58" i="180"/>
  <c r="J57" i="180"/>
  <c r="J59" i="180" s="1"/>
  <c r="J56" i="180"/>
  <c r="J50" i="180"/>
  <c r="J49" i="180"/>
  <c r="J48" i="180"/>
  <c r="J47" i="180"/>
  <c r="J36" i="180"/>
  <c r="J35" i="180"/>
  <c r="J34" i="180"/>
  <c r="J33" i="180"/>
  <c r="B31" i="180"/>
  <c r="I31" i="180" s="1"/>
  <c r="J25" i="180"/>
  <c r="J15" i="180"/>
  <c r="J14" i="180"/>
  <c r="J13" i="180"/>
  <c r="J12" i="180"/>
  <c r="J11" i="180"/>
  <c r="G10" i="180"/>
  <c r="G9" i="180"/>
  <c r="J5" i="180"/>
  <c r="B71" i="179"/>
  <c r="B70" i="179"/>
  <c r="J58" i="179"/>
  <c r="J57" i="179"/>
  <c r="J56" i="179"/>
  <c r="J55" i="179"/>
  <c r="J50" i="179"/>
  <c r="J49" i="179"/>
  <c r="J48" i="179"/>
  <c r="J47" i="179"/>
  <c r="J36" i="179"/>
  <c r="J35" i="179"/>
  <c r="J34" i="179"/>
  <c r="J33" i="179"/>
  <c r="J32" i="179"/>
  <c r="B31" i="179"/>
  <c r="I31" i="179" s="1"/>
  <c r="J25" i="179"/>
  <c r="J15" i="179"/>
  <c r="J14" i="179"/>
  <c r="J13" i="179"/>
  <c r="J12" i="179"/>
  <c r="J11" i="179"/>
  <c r="I10" i="179"/>
  <c r="J10" i="179" s="1"/>
  <c r="G10" i="179"/>
  <c r="G9" i="179"/>
  <c r="J5" i="179"/>
  <c r="E350" i="178"/>
  <c r="G376" i="178"/>
  <c r="G375" i="178"/>
  <c r="G361" i="178"/>
  <c r="G310" i="178"/>
  <c r="G309" i="178"/>
  <c r="G295" i="178"/>
  <c r="G108" i="178"/>
  <c r="J108" i="178" s="1"/>
  <c r="G43" i="178"/>
  <c r="J43" i="178" s="1"/>
  <c r="B389" i="178"/>
  <c r="B388" i="178"/>
  <c r="J371" i="178"/>
  <c r="J370" i="178"/>
  <c r="J357" i="178"/>
  <c r="J356" i="178"/>
  <c r="B353" i="178"/>
  <c r="I353" i="178" s="1"/>
  <c r="J347" i="178"/>
  <c r="J338" i="178"/>
  <c r="J337" i="178"/>
  <c r="J336" i="178"/>
  <c r="G334" i="178"/>
  <c r="J330" i="178"/>
  <c r="B323" i="178"/>
  <c r="B322" i="178"/>
  <c r="J305" i="178"/>
  <c r="J303" i="178"/>
  <c r="J302" i="178"/>
  <c r="J291" i="178"/>
  <c r="J290" i="178"/>
  <c r="B288" i="178"/>
  <c r="I288" i="178" s="1"/>
  <c r="J282" i="178"/>
  <c r="J273" i="178"/>
  <c r="J272" i="178"/>
  <c r="J271" i="178"/>
  <c r="G269" i="178"/>
  <c r="J265" i="178"/>
  <c r="B258" i="178"/>
  <c r="B257" i="178"/>
  <c r="J240" i="178"/>
  <c r="J238" i="178"/>
  <c r="J237" i="178"/>
  <c r="J226" i="178"/>
  <c r="J225" i="178"/>
  <c r="B223" i="178"/>
  <c r="I223" i="178" s="1"/>
  <c r="J217" i="178"/>
  <c r="J208" i="178"/>
  <c r="J207" i="178"/>
  <c r="J206" i="178"/>
  <c r="G204" i="178"/>
  <c r="J200" i="178"/>
  <c r="B193" i="178"/>
  <c r="B192" i="178"/>
  <c r="J175" i="178"/>
  <c r="J174" i="178"/>
  <c r="J173" i="178"/>
  <c r="J172" i="178"/>
  <c r="J161" i="178"/>
  <c r="J160" i="178"/>
  <c r="B158" i="178"/>
  <c r="I158" i="178" s="1"/>
  <c r="J152" i="178"/>
  <c r="J143" i="178"/>
  <c r="J142" i="178"/>
  <c r="J141" i="178"/>
  <c r="G139" i="178"/>
  <c r="J135" i="178"/>
  <c r="B128" i="178"/>
  <c r="B127" i="178"/>
  <c r="J110" i="178"/>
  <c r="J107" i="178"/>
  <c r="J96" i="178"/>
  <c r="J95" i="178"/>
  <c r="B93" i="178"/>
  <c r="I93" i="178" s="1"/>
  <c r="J87" i="178"/>
  <c r="J78" i="178"/>
  <c r="J77" i="178"/>
  <c r="J76" i="178"/>
  <c r="G74" i="178"/>
  <c r="J70" i="178"/>
  <c r="B63" i="178"/>
  <c r="B62" i="178"/>
  <c r="J45" i="178"/>
  <c r="J44" i="178"/>
  <c r="J42" i="178"/>
  <c r="J31" i="178"/>
  <c r="J30" i="178"/>
  <c r="B28" i="178"/>
  <c r="I28" i="178" s="1"/>
  <c r="J22" i="178"/>
  <c r="J13" i="178"/>
  <c r="J12" i="178"/>
  <c r="J11" i="178"/>
  <c r="G9" i="178"/>
  <c r="J5" i="178"/>
  <c r="CL13" i="26" l="1"/>
  <c r="CJ16" i="26"/>
  <c r="E285" i="178"/>
  <c r="K69" i="22"/>
  <c r="U69" i="22" s="1"/>
  <c r="K68" i="22"/>
  <c r="U68" i="22" s="1"/>
  <c r="K67" i="22"/>
  <c r="U67" i="22" s="1"/>
  <c r="L69" i="22"/>
  <c r="V69" i="22" s="1"/>
  <c r="L67" i="22"/>
  <c r="V67" i="22" s="1"/>
  <c r="L68" i="22"/>
  <c r="V68" i="22" s="1"/>
  <c r="K66" i="22"/>
  <c r="U66" i="22" s="1"/>
  <c r="L66" i="22"/>
  <c r="V66" i="22" s="1"/>
  <c r="J46" i="181"/>
  <c r="S313" i="181"/>
  <c r="H311" i="181" s="1"/>
  <c r="F32" i="180"/>
  <c r="J51" i="180"/>
  <c r="I32" i="180"/>
  <c r="J32" i="180" s="1"/>
  <c r="J59" i="179"/>
  <c r="J51" i="179"/>
  <c r="F32" i="175"/>
  <c r="I32" i="175"/>
  <c r="J32" i="175" s="1"/>
  <c r="J176" i="181"/>
  <c r="J111" i="181"/>
  <c r="F28" i="181"/>
  <c r="J306" i="181"/>
  <c r="J241" i="181"/>
  <c r="F93" i="181"/>
  <c r="F158" i="181"/>
  <c r="F223" i="181"/>
  <c r="F288" i="181"/>
  <c r="F355" i="181"/>
  <c r="F31" i="180"/>
  <c r="F31" i="179"/>
  <c r="J176" i="178"/>
  <c r="J111" i="178"/>
  <c r="J46" i="178"/>
  <c r="J306" i="178"/>
  <c r="F353" i="178"/>
  <c r="J241" i="178"/>
  <c r="F93" i="178"/>
  <c r="F223" i="178"/>
  <c r="F28" i="178"/>
  <c r="F158" i="178"/>
  <c r="F288" i="178"/>
  <c r="CL16" i="26" l="1"/>
  <c r="CN13" i="26"/>
  <c r="V65" i="22"/>
  <c r="J311" i="181"/>
  <c r="H379" i="181"/>
  <c r="J379" i="181" s="1"/>
  <c r="G362" i="178"/>
  <c r="G296" i="178"/>
  <c r="CN16" i="26" l="1"/>
  <c r="CP13" i="26"/>
  <c r="U65" i="22"/>
  <c r="H81" i="177"/>
  <c r="B195" i="177"/>
  <c r="B194" i="177"/>
  <c r="J177" i="177"/>
  <c r="J176" i="177"/>
  <c r="J175" i="177"/>
  <c r="J174" i="177"/>
  <c r="J163" i="177"/>
  <c r="J162" i="177"/>
  <c r="B160" i="177"/>
  <c r="J154" i="177"/>
  <c r="H148" i="177"/>
  <c r="J143" i="177"/>
  <c r="J142" i="177"/>
  <c r="J141" i="177"/>
  <c r="G139" i="177"/>
  <c r="J135" i="177"/>
  <c r="B128" i="177"/>
  <c r="B127" i="177"/>
  <c r="J110" i="177"/>
  <c r="J109" i="177"/>
  <c r="J108" i="177"/>
  <c r="J107" i="177"/>
  <c r="J96" i="177"/>
  <c r="J95" i="177"/>
  <c r="B93" i="177"/>
  <c r="J87" i="177"/>
  <c r="J76" i="177"/>
  <c r="J75" i="177"/>
  <c r="J74" i="177"/>
  <c r="G72" i="177"/>
  <c r="J68" i="177"/>
  <c r="B61" i="177"/>
  <c r="B60" i="177"/>
  <c r="J43" i="177"/>
  <c r="J42" i="177"/>
  <c r="J41" i="177"/>
  <c r="J29" i="177"/>
  <c r="J28" i="177"/>
  <c r="J13" i="177"/>
  <c r="J12" i="177"/>
  <c r="J5" i="177"/>
  <c r="B71" i="175"/>
  <c r="B70" i="175"/>
  <c r="J58" i="175"/>
  <c r="J57" i="175"/>
  <c r="J56" i="175"/>
  <c r="J59" i="175" s="1"/>
  <c r="J50" i="175"/>
  <c r="J49" i="175"/>
  <c r="J48" i="175"/>
  <c r="J47" i="175"/>
  <c r="J36" i="175"/>
  <c r="J35" i="175"/>
  <c r="J34" i="175"/>
  <c r="J33" i="175"/>
  <c r="B31" i="175"/>
  <c r="I31" i="175" s="1"/>
  <c r="J25" i="175"/>
  <c r="J15" i="175"/>
  <c r="J14" i="175"/>
  <c r="J13" i="175"/>
  <c r="J12" i="175"/>
  <c r="J11" i="175"/>
  <c r="I10" i="175"/>
  <c r="G10" i="175"/>
  <c r="G9" i="175"/>
  <c r="J5" i="175"/>
  <c r="B71" i="174"/>
  <c r="B70" i="174"/>
  <c r="J58" i="174"/>
  <c r="J57" i="174"/>
  <c r="J56" i="174"/>
  <c r="J55" i="174"/>
  <c r="J59" i="174" s="1"/>
  <c r="J50" i="174"/>
  <c r="J49" i="174"/>
  <c r="J48" i="174"/>
  <c r="J47" i="174"/>
  <c r="J36" i="174"/>
  <c r="J35" i="174"/>
  <c r="J34" i="174"/>
  <c r="J33" i="174"/>
  <c r="J32" i="174"/>
  <c r="B31" i="174"/>
  <c r="I31" i="174" s="1"/>
  <c r="J25" i="174"/>
  <c r="J15" i="174"/>
  <c r="J14" i="174"/>
  <c r="J13" i="174"/>
  <c r="J12" i="174"/>
  <c r="J11" i="174"/>
  <c r="I10" i="174"/>
  <c r="G10" i="174"/>
  <c r="G9" i="174"/>
  <c r="J5" i="174"/>
  <c r="B141" i="173"/>
  <c r="B140" i="173"/>
  <c r="B69" i="173"/>
  <c r="B68" i="173"/>
  <c r="J76" i="173"/>
  <c r="G80" i="173"/>
  <c r="G81" i="173"/>
  <c r="G82" i="173"/>
  <c r="J84" i="173"/>
  <c r="J85" i="173"/>
  <c r="J86" i="173"/>
  <c r="J96" i="173"/>
  <c r="F102" i="173"/>
  <c r="B103" i="173"/>
  <c r="B104" i="173"/>
  <c r="F104" i="173" s="1"/>
  <c r="J106" i="173"/>
  <c r="J107" i="173"/>
  <c r="J122" i="173"/>
  <c r="J124" i="173" s="1"/>
  <c r="F4" i="22"/>
  <c r="J51" i="173"/>
  <c r="J35" i="173"/>
  <c r="J34" i="173"/>
  <c r="I32" i="173"/>
  <c r="I31" i="173"/>
  <c r="B30" i="173"/>
  <c r="I30" i="173" s="1"/>
  <c r="J24" i="173"/>
  <c r="J14" i="173"/>
  <c r="J13" i="173"/>
  <c r="J12" i="173"/>
  <c r="G10" i="173"/>
  <c r="G9" i="173"/>
  <c r="J5" i="173"/>
  <c r="I57" i="172"/>
  <c r="I56" i="172"/>
  <c r="G56" i="172"/>
  <c r="I55" i="172"/>
  <c r="B40" i="172"/>
  <c r="I40" i="172" s="1"/>
  <c r="B39" i="172"/>
  <c r="I39" i="172" s="1"/>
  <c r="B38" i="172"/>
  <c r="B37" i="172"/>
  <c r="E33" i="172"/>
  <c r="E35" i="166"/>
  <c r="H26" i="172"/>
  <c r="H24" i="172"/>
  <c r="H21" i="171"/>
  <c r="H22" i="171"/>
  <c r="H25" i="172"/>
  <c r="H22" i="172"/>
  <c r="H23" i="172"/>
  <c r="H21" i="172"/>
  <c r="G16" i="172"/>
  <c r="G15" i="172"/>
  <c r="G14" i="172"/>
  <c r="G13" i="172"/>
  <c r="B77" i="172"/>
  <c r="B76" i="172"/>
  <c r="J64" i="172"/>
  <c r="J63" i="172"/>
  <c r="J62" i="172"/>
  <c r="J58" i="172"/>
  <c r="J57" i="172"/>
  <c r="J56" i="172"/>
  <c r="J55" i="172"/>
  <c r="J59" i="172" s="1"/>
  <c r="J44" i="172"/>
  <c r="J43" i="172"/>
  <c r="B36" i="172"/>
  <c r="I36" i="172" s="1"/>
  <c r="J30" i="172"/>
  <c r="G12" i="172"/>
  <c r="G11" i="172"/>
  <c r="G10" i="172"/>
  <c r="G9" i="172"/>
  <c r="J5" i="172"/>
  <c r="I47" i="171"/>
  <c r="H20" i="171"/>
  <c r="H12" i="172"/>
  <c r="I12" i="172" s="1"/>
  <c r="H13" i="172"/>
  <c r="I13" i="172" s="1"/>
  <c r="E30" i="171"/>
  <c r="B69" i="171"/>
  <c r="B68" i="171"/>
  <c r="J54" i="171"/>
  <c r="J50" i="171"/>
  <c r="J49" i="171"/>
  <c r="J48" i="171"/>
  <c r="J47" i="171"/>
  <c r="J51" i="171" s="1"/>
  <c r="J36" i="171"/>
  <c r="J35" i="171"/>
  <c r="B34" i="171"/>
  <c r="I34" i="171" s="1"/>
  <c r="B33" i="171"/>
  <c r="I33" i="171" s="1"/>
  <c r="J27" i="171"/>
  <c r="J15" i="171"/>
  <c r="J14" i="171"/>
  <c r="J13" i="171"/>
  <c r="G12" i="171"/>
  <c r="G11" i="171"/>
  <c r="G10" i="171"/>
  <c r="G9" i="171"/>
  <c r="J5" i="171"/>
  <c r="I52" i="170"/>
  <c r="J52" i="170" s="1"/>
  <c r="I51" i="170"/>
  <c r="J51" i="170" s="1"/>
  <c r="I50" i="170"/>
  <c r="I59" i="170"/>
  <c r="I133" i="170" s="1"/>
  <c r="H59" i="170"/>
  <c r="H133" i="170" s="1"/>
  <c r="F59" i="170"/>
  <c r="F58" i="170"/>
  <c r="J38" i="169"/>
  <c r="J39" i="169"/>
  <c r="J36" i="168"/>
  <c r="J35" i="168"/>
  <c r="J38" i="167"/>
  <c r="J39" i="167"/>
  <c r="E31" i="170"/>
  <c r="B72" i="170"/>
  <c r="B71" i="170"/>
  <c r="J57" i="170"/>
  <c r="J53" i="170"/>
  <c r="J50" i="170"/>
  <c r="J39" i="170"/>
  <c r="J38" i="170"/>
  <c r="B37" i="170"/>
  <c r="B36" i="170"/>
  <c r="I36" i="170" s="1"/>
  <c r="B35" i="170"/>
  <c r="I35" i="170" s="1"/>
  <c r="B34" i="170"/>
  <c r="I34" i="170" s="1"/>
  <c r="J28" i="170"/>
  <c r="H23" i="170"/>
  <c r="H22" i="170"/>
  <c r="H21" i="170"/>
  <c r="H20" i="170"/>
  <c r="J15" i="170"/>
  <c r="J14" i="170"/>
  <c r="J13" i="170"/>
  <c r="G12" i="170"/>
  <c r="G11" i="170"/>
  <c r="G10" i="170"/>
  <c r="G9" i="170"/>
  <c r="J5" i="170"/>
  <c r="B71" i="169"/>
  <c r="B70" i="169"/>
  <c r="J58" i="169"/>
  <c r="J57" i="169"/>
  <c r="J53" i="169"/>
  <c r="J52" i="169"/>
  <c r="J51" i="169"/>
  <c r="J50" i="169"/>
  <c r="B37" i="169"/>
  <c r="I37" i="169" s="1"/>
  <c r="B36" i="169"/>
  <c r="I36" i="169" s="1"/>
  <c r="B35" i="169"/>
  <c r="I35" i="169" s="1"/>
  <c r="B34" i="169"/>
  <c r="I34" i="169" s="1"/>
  <c r="J28" i="169"/>
  <c r="H23" i="169"/>
  <c r="H22" i="169"/>
  <c r="H21" i="169"/>
  <c r="H20" i="169"/>
  <c r="J15" i="169"/>
  <c r="J14" i="169"/>
  <c r="J13" i="169"/>
  <c r="G12" i="169"/>
  <c r="G11" i="169"/>
  <c r="G10" i="169"/>
  <c r="G9" i="169"/>
  <c r="J5" i="169"/>
  <c r="B68" i="168"/>
  <c r="B67" i="168"/>
  <c r="J55" i="168"/>
  <c r="J56" i="168" s="1"/>
  <c r="J54" i="168"/>
  <c r="J50" i="168"/>
  <c r="J49" i="168"/>
  <c r="J48" i="168"/>
  <c r="J47" i="168"/>
  <c r="B31" i="168"/>
  <c r="I31" i="168" s="1"/>
  <c r="J25" i="168"/>
  <c r="H20" i="168"/>
  <c r="J15" i="168"/>
  <c r="J14" i="168"/>
  <c r="J13" i="168"/>
  <c r="G12" i="168"/>
  <c r="G11" i="168"/>
  <c r="G10" i="168"/>
  <c r="G9" i="168"/>
  <c r="J5" i="168"/>
  <c r="B36" i="167"/>
  <c r="I36" i="167" s="1"/>
  <c r="B37" i="167"/>
  <c r="B35" i="167"/>
  <c r="I35" i="167" s="1"/>
  <c r="H23" i="167"/>
  <c r="H22" i="167"/>
  <c r="H21" i="167"/>
  <c r="H20" i="167"/>
  <c r="G11" i="167"/>
  <c r="G12" i="167"/>
  <c r="B34" i="167"/>
  <c r="I34" i="167" s="1"/>
  <c r="J5" i="165"/>
  <c r="J5" i="167"/>
  <c r="B71" i="167"/>
  <c r="B70" i="167"/>
  <c r="J58" i="167"/>
  <c r="J57" i="167"/>
  <c r="J53" i="167"/>
  <c r="J52" i="167"/>
  <c r="J51" i="167"/>
  <c r="J50" i="167"/>
  <c r="J28" i="167"/>
  <c r="J15" i="167"/>
  <c r="J14" i="167"/>
  <c r="J13" i="167"/>
  <c r="G10" i="167"/>
  <c r="G9" i="167"/>
  <c r="B28" i="165"/>
  <c r="D34" i="166"/>
  <c r="E34" i="166" s="1"/>
  <c r="E33" i="166"/>
  <c r="D32" i="166"/>
  <c r="D30" i="166"/>
  <c r="E29" i="166"/>
  <c r="E28" i="166"/>
  <c r="E27" i="166"/>
  <c r="E26" i="166"/>
  <c r="E25" i="166"/>
  <c r="E220" i="178"/>
  <c r="E90" i="178"/>
  <c r="E157" i="177"/>
  <c r="D23" i="166"/>
  <c r="E23" i="166" s="1"/>
  <c r="E22" i="166"/>
  <c r="E21" i="166"/>
  <c r="E20" i="166"/>
  <c r="E19" i="166"/>
  <c r="E18" i="166"/>
  <c r="D13" i="166"/>
  <c r="E13" i="166" s="1"/>
  <c r="E12" i="166"/>
  <c r="D9" i="166"/>
  <c r="E9" i="166" s="1"/>
  <c r="B67" i="165"/>
  <c r="B66" i="165"/>
  <c r="J54" i="165"/>
  <c r="J53" i="165"/>
  <c r="J52" i="165"/>
  <c r="J51" i="165"/>
  <c r="J46" i="165"/>
  <c r="J45" i="165"/>
  <c r="J44" i="165"/>
  <c r="J43" i="165"/>
  <c r="J32" i="165"/>
  <c r="J31" i="165"/>
  <c r="J30" i="165"/>
  <c r="J22" i="165"/>
  <c r="J13" i="165"/>
  <c r="J12" i="165"/>
  <c r="J11" i="165"/>
  <c r="G9" i="165"/>
  <c r="C1754" i="190" l="1"/>
  <c r="C1647" i="190"/>
  <c r="C1702" i="190"/>
  <c r="C1537" i="190"/>
  <c r="C1592" i="190"/>
  <c r="C1427" i="190"/>
  <c r="C1482" i="190"/>
  <c r="C1317" i="190"/>
  <c r="C1372" i="190"/>
  <c r="C926" i="190"/>
  <c r="C984" i="190"/>
  <c r="C810" i="190"/>
  <c r="C868" i="190"/>
  <c r="C636" i="190"/>
  <c r="C752" i="190"/>
  <c r="C685" i="164"/>
  <c r="C694" i="190"/>
  <c r="C1097" i="190"/>
  <c r="C578" i="190"/>
  <c r="C1042" i="190"/>
  <c r="C1262" i="190"/>
  <c r="C1207" i="190"/>
  <c r="C1152" i="190"/>
  <c r="C121" i="190"/>
  <c r="C407" i="190" s="1"/>
  <c r="C521" i="190" s="1"/>
  <c r="C561" i="164"/>
  <c r="C623" i="164"/>
  <c r="C437" i="164"/>
  <c r="C499" i="164"/>
  <c r="C313" i="164"/>
  <c r="C375" i="164"/>
  <c r="E30" i="166"/>
  <c r="CR13" i="26"/>
  <c r="CP16" i="26"/>
  <c r="J59" i="169"/>
  <c r="J54" i="169"/>
  <c r="J133" i="170"/>
  <c r="E32" i="166"/>
  <c r="C5" i="184"/>
  <c r="C5" i="185"/>
  <c r="C534" i="173"/>
  <c r="C5" i="183"/>
  <c r="E90" i="181"/>
  <c r="E25" i="181"/>
  <c r="C410" i="173"/>
  <c r="C473" i="173"/>
  <c r="C282" i="173"/>
  <c r="C347" i="173"/>
  <c r="C148" i="173"/>
  <c r="C216" i="173"/>
  <c r="F37" i="167"/>
  <c r="I37" i="167"/>
  <c r="F28" i="165"/>
  <c r="I28" i="165"/>
  <c r="J47" i="165"/>
  <c r="F39" i="172"/>
  <c r="J12" i="172"/>
  <c r="F38" i="172"/>
  <c r="I38" i="172"/>
  <c r="F37" i="172"/>
  <c r="I37" i="172"/>
  <c r="F40" i="172"/>
  <c r="F35" i="170"/>
  <c r="J59" i="170"/>
  <c r="F35" i="169"/>
  <c r="J52" i="173"/>
  <c r="F32" i="173"/>
  <c r="F103" i="173"/>
  <c r="I102" i="173"/>
  <c r="J51" i="175"/>
  <c r="J10" i="174"/>
  <c r="J51" i="174"/>
  <c r="J51" i="168"/>
  <c r="J55" i="165"/>
  <c r="C332" i="181"/>
  <c r="C265" i="181"/>
  <c r="C200" i="181"/>
  <c r="C135" i="181"/>
  <c r="C5" i="181"/>
  <c r="C70" i="181"/>
  <c r="C5" i="179"/>
  <c r="C5" i="180"/>
  <c r="E90" i="177"/>
  <c r="E25" i="178"/>
  <c r="C76" i="173"/>
  <c r="C330" i="178"/>
  <c r="C200" i="178"/>
  <c r="C70" i="178"/>
  <c r="C265" i="178"/>
  <c r="C135" i="178"/>
  <c r="C5" i="178"/>
  <c r="F93" i="177"/>
  <c r="I93" i="177"/>
  <c r="J178" i="177"/>
  <c r="J111" i="177"/>
  <c r="C135" i="177"/>
  <c r="C5" i="177"/>
  <c r="I160" i="177"/>
  <c r="F160" i="177"/>
  <c r="C68" i="177"/>
  <c r="J10" i="175"/>
  <c r="C5" i="175"/>
  <c r="F31" i="175"/>
  <c r="F31" i="174"/>
  <c r="C5" i="174"/>
  <c r="I103" i="173"/>
  <c r="I104" i="173"/>
  <c r="C5" i="168"/>
  <c r="C5" i="172"/>
  <c r="C5" i="165"/>
  <c r="C74" i="165" s="1"/>
  <c r="C142" i="165" s="1"/>
  <c r="C5" i="173"/>
  <c r="C5" i="170"/>
  <c r="C5" i="167"/>
  <c r="C78" i="167" s="1"/>
  <c r="C5" i="169"/>
  <c r="C5" i="171"/>
  <c r="F31" i="173"/>
  <c r="F30" i="173"/>
  <c r="J65" i="172"/>
  <c r="J13" i="172"/>
  <c r="F36" i="172"/>
  <c r="J56" i="171"/>
  <c r="F33" i="171"/>
  <c r="F34" i="171"/>
  <c r="F34" i="170"/>
  <c r="J54" i="170"/>
  <c r="F37" i="170"/>
  <c r="I37" i="170"/>
  <c r="F36" i="170"/>
  <c r="F37" i="169"/>
  <c r="F34" i="169"/>
  <c r="F36" i="169"/>
  <c r="F31" i="168"/>
  <c r="I10" i="168"/>
  <c r="J10" i="168" s="1"/>
  <c r="F36" i="167"/>
  <c r="F35" i="167"/>
  <c r="J59" i="167"/>
  <c r="J54" i="167"/>
  <c r="F34" i="167"/>
  <c r="B184" i="164"/>
  <c r="B245" i="164" s="1"/>
  <c r="B306" i="164" s="1"/>
  <c r="B183" i="164"/>
  <c r="B244" i="164" s="1"/>
  <c r="B305" i="164" s="1"/>
  <c r="C236" i="190" l="1"/>
  <c r="C293" i="190"/>
  <c r="C350" i="190"/>
  <c r="C464" i="190" s="1"/>
  <c r="C179" i="190"/>
  <c r="CR16" i="26"/>
  <c r="CT13" i="26"/>
  <c r="F150" i="164"/>
  <c r="F151" i="164"/>
  <c r="C129" i="164"/>
  <c r="C191" i="164" s="1"/>
  <c r="C252" i="164" s="1"/>
  <c r="J171" i="164"/>
  <c r="J166" i="164"/>
  <c r="J165" i="164"/>
  <c r="J164" i="164"/>
  <c r="J163" i="164"/>
  <c r="G134" i="164"/>
  <c r="G133" i="164"/>
  <c r="Q124" i="163"/>
  <c r="B124" i="163"/>
  <c r="Q123" i="163"/>
  <c r="Q122" i="163"/>
  <c r="Q121" i="163"/>
  <c r="G117" i="163"/>
  <c r="U115" i="163"/>
  <c r="V115" i="163" s="1"/>
  <c r="B115" i="163"/>
  <c r="U114" i="163"/>
  <c r="V114" i="163" s="1"/>
  <c r="B114" i="163"/>
  <c r="F113" i="163"/>
  <c r="B113" i="163" s="1"/>
  <c r="F112" i="163"/>
  <c r="B112" i="163" s="1"/>
  <c r="G107" i="163"/>
  <c r="U106" i="163"/>
  <c r="S106" i="163"/>
  <c r="K106" i="163"/>
  <c r="U105" i="163"/>
  <c r="S105" i="163"/>
  <c r="K105" i="163"/>
  <c r="U104" i="163"/>
  <c r="S104" i="163"/>
  <c r="K104" i="163"/>
  <c r="U103" i="163"/>
  <c r="S103" i="163"/>
  <c r="K103" i="163"/>
  <c r="U102" i="163"/>
  <c r="S102" i="163"/>
  <c r="K102" i="163"/>
  <c r="U101" i="163"/>
  <c r="S101" i="163"/>
  <c r="B101" i="163"/>
  <c r="U100" i="163"/>
  <c r="S100" i="163"/>
  <c r="B100" i="163"/>
  <c r="U99" i="163"/>
  <c r="S99" i="163"/>
  <c r="B99" i="163"/>
  <c r="U98" i="163"/>
  <c r="S98" i="163"/>
  <c r="B98" i="163"/>
  <c r="F97" i="163"/>
  <c r="B97" i="163" s="1"/>
  <c r="F96" i="163"/>
  <c r="B96" i="163" s="1"/>
  <c r="F95" i="163"/>
  <c r="B95" i="163" s="1"/>
  <c r="Q81" i="163"/>
  <c r="B81" i="163"/>
  <c r="Q80" i="163"/>
  <c r="Q79" i="163"/>
  <c r="Q78" i="163"/>
  <c r="B78" i="163"/>
  <c r="U73" i="163"/>
  <c r="U72" i="163"/>
  <c r="V72" i="163" s="1"/>
  <c r="B72" i="163"/>
  <c r="U71" i="163"/>
  <c r="V71" i="163" s="1"/>
  <c r="B71" i="163"/>
  <c r="G70" i="163"/>
  <c r="F70" i="163"/>
  <c r="B70" i="163" s="1"/>
  <c r="G69" i="163"/>
  <c r="F69" i="163"/>
  <c r="B69" i="163" s="1"/>
  <c r="G64" i="163"/>
  <c r="U63" i="163"/>
  <c r="S63" i="163"/>
  <c r="K63" i="163"/>
  <c r="U62" i="163"/>
  <c r="S62" i="163"/>
  <c r="K62" i="163"/>
  <c r="U61" i="163"/>
  <c r="S61" i="163"/>
  <c r="K61" i="163"/>
  <c r="U60" i="163"/>
  <c r="S60" i="163"/>
  <c r="K60" i="163"/>
  <c r="U59" i="163"/>
  <c r="S59" i="163"/>
  <c r="K59" i="163"/>
  <c r="U58" i="163"/>
  <c r="S58" i="163"/>
  <c r="B58" i="163"/>
  <c r="B57" i="163"/>
  <c r="F56" i="163"/>
  <c r="B56" i="163" s="1"/>
  <c r="F55" i="163"/>
  <c r="B55" i="163" s="1"/>
  <c r="F54" i="163"/>
  <c r="B54" i="163" s="1"/>
  <c r="F53" i="163"/>
  <c r="B53" i="163" s="1"/>
  <c r="F52" i="163"/>
  <c r="B52" i="163" s="1"/>
  <c r="Q38" i="163"/>
  <c r="B38" i="163"/>
  <c r="Q37" i="163"/>
  <c r="B37" i="163"/>
  <c r="U32" i="163"/>
  <c r="U31" i="163"/>
  <c r="F30" i="163"/>
  <c r="B30" i="163" s="1"/>
  <c r="F29" i="163"/>
  <c r="B29" i="163" s="1"/>
  <c r="G28" i="163"/>
  <c r="F28" i="163"/>
  <c r="B28" i="163" s="1"/>
  <c r="G23" i="163"/>
  <c r="U22" i="163"/>
  <c r="S22" i="163"/>
  <c r="K22" i="163"/>
  <c r="F21" i="163"/>
  <c r="B21" i="163" s="1"/>
  <c r="F20" i="163"/>
  <c r="B20" i="163" s="1"/>
  <c r="F19" i="163"/>
  <c r="B19" i="163" s="1"/>
  <c r="F18" i="163"/>
  <c r="B18" i="163" s="1"/>
  <c r="F17" i="163"/>
  <c r="B17" i="163" s="1"/>
  <c r="F16" i="163"/>
  <c r="B16" i="163" s="1"/>
  <c r="O26" i="157"/>
  <c r="O20" i="157"/>
  <c r="O18" i="157"/>
  <c r="O19" i="157"/>
  <c r="O21" i="157"/>
  <c r="O22" i="157"/>
  <c r="O23" i="157"/>
  <c r="O24" i="157"/>
  <c r="O25" i="157"/>
  <c r="O27" i="157"/>
  <c r="O16" i="158"/>
  <c r="O26" i="158"/>
  <c r="O17" i="158"/>
  <c r="O18" i="158"/>
  <c r="O19" i="158"/>
  <c r="O20" i="158"/>
  <c r="O21" i="158"/>
  <c r="O22" i="158"/>
  <c r="O23" i="158"/>
  <c r="O24" i="158"/>
  <c r="O25" i="158"/>
  <c r="O27" i="158"/>
  <c r="N25" i="159"/>
  <c r="O27" i="156"/>
  <c r="S16" i="155"/>
  <c r="F29" i="162"/>
  <c r="B29" i="162" s="1"/>
  <c r="F28" i="162"/>
  <c r="CT16" i="26" l="1"/>
  <c r="CV13" i="26"/>
  <c r="N28" i="158"/>
  <c r="Q82" i="163"/>
  <c r="J46" i="163" s="1"/>
  <c r="Q39" i="163"/>
  <c r="J10" i="163" s="1"/>
  <c r="Q125" i="163"/>
  <c r="J89" i="163" s="1"/>
  <c r="I361" i="178"/>
  <c r="J361" i="178" s="1"/>
  <c r="I295" i="178"/>
  <c r="J295" i="178" s="1"/>
  <c r="G74" i="163"/>
  <c r="J172" i="164"/>
  <c r="J167" i="164"/>
  <c r="Q28" i="163"/>
  <c r="Q113" i="163"/>
  <c r="U96" i="163"/>
  <c r="S96" i="163"/>
  <c r="S52" i="163"/>
  <c r="Q29" i="163"/>
  <c r="S18" i="163"/>
  <c r="U18" i="163" s="1"/>
  <c r="Q69" i="163"/>
  <c r="Q30" i="163"/>
  <c r="Q70" i="163"/>
  <c r="Q112" i="163"/>
  <c r="G33" i="163"/>
  <c r="S55" i="163"/>
  <c r="Q29" i="162"/>
  <c r="CV16" i="26" l="1"/>
  <c r="CX13" i="26"/>
  <c r="S95" i="163"/>
  <c r="U56" i="163"/>
  <c r="S53" i="163"/>
  <c r="U53" i="163" s="1"/>
  <c r="S54" i="163"/>
  <c r="U54" i="163" s="1"/>
  <c r="S56" i="163"/>
  <c r="S97" i="163"/>
  <c r="U97" i="163" s="1"/>
  <c r="S17" i="163"/>
  <c r="U17" i="163" s="1"/>
  <c r="U52" i="163"/>
  <c r="CX16" i="26" l="1"/>
  <c r="CZ13" i="26"/>
  <c r="S107" i="163"/>
  <c r="U95" i="163"/>
  <c r="U107" i="163" s="1"/>
  <c r="J87" i="163" s="1"/>
  <c r="CZ16" i="26" l="1"/>
  <c r="DB13" i="26"/>
  <c r="Q42" i="162"/>
  <c r="B42" i="162"/>
  <c r="Q41" i="162"/>
  <c r="Q40" i="162"/>
  <c r="Q39" i="162"/>
  <c r="Q38" i="162"/>
  <c r="Q37" i="162"/>
  <c r="Q36" i="162"/>
  <c r="B36" i="162"/>
  <c r="G32" i="162"/>
  <c r="U31" i="162"/>
  <c r="U30" i="162"/>
  <c r="B28" i="162"/>
  <c r="F27" i="162"/>
  <c r="K21" i="162"/>
  <c r="S21" i="162" s="1"/>
  <c r="U21" i="162" s="1"/>
  <c r="F19" i="162"/>
  <c r="B19" i="162" s="1"/>
  <c r="H19" i="162" s="1"/>
  <c r="B18" i="162"/>
  <c r="H18" i="162" s="1"/>
  <c r="B17" i="162"/>
  <c r="H17" i="162" s="1"/>
  <c r="F16" i="162"/>
  <c r="B16" i="162" s="1"/>
  <c r="H16" i="162" s="1"/>
  <c r="DB16" i="26" l="1"/>
  <c r="DD13" i="26"/>
  <c r="B27" i="162"/>
  <c r="Q43" i="162"/>
  <c r="J10" i="162" s="1"/>
  <c r="Q28" i="162"/>
  <c r="T28" i="162" s="1"/>
  <c r="N22" i="162"/>
  <c r="E4" i="140"/>
  <c r="H14" i="172"/>
  <c r="DD16" i="26" l="1"/>
  <c r="DF13" i="26"/>
  <c r="I14" i="172"/>
  <c r="J14" i="172" s="1"/>
  <c r="Q27" i="162"/>
  <c r="T27" i="162" s="1"/>
  <c r="F16" i="159"/>
  <c r="B16" i="159" s="1"/>
  <c r="Q38" i="159"/>
  <c r="G33" i="159"/>
  <c r="T32" i="159"/>
  <c r="U32" i="159" s="1"/>
  <c r="T31" i="159"/>
  <c r="K20" i="159"/>
  <c r="S20" i="159" s="1"/>
  <c r="U20" i="159" s="1"/>
  <c r="B18" i="159"/>
  <c r="K18" i="159" s="1"/>
  <c r="S18" i="159" s="1"/>
  <c r="U18" i="159" s="1"/>
  <c r="S16" i="159"/>
  <c r="B16" i="158"/>
  <c r="Q60" i="158"/>
  <c r="B60" i="158"/>
  <c r="Q59" i="158"/>
  <c r="Q58" i="158"/>
  <c r="Q57" i="158"/>
  <c r="B42" i="158"/>
  <c r="H38" i="158"/>
  <c r="G38" i="158"/>
  <c r="T37" i="158"/>
  <c r="U37" i="158" s="1"/>
  <c r="T36" i="158"/>
  <c r="U36" i="158" s="1"/>
  <c r="T35" i="158"/>
  <c r="U35" i="158" s="1"/>
  <c r="V35" i="158" s="1"/>
  <c r="B35" i="158"/>
  <c r="T34" i="158"/>
  <c r="U34" i="158" s="1"/>
  <c r="V34" i="158" s="1"/>
  <c r="B34" i="158"/>
  <c r="T33" i="158"/>
  <c r="B33" i="158"/>
  <c r="U27" i="158"/>
  <c r="S27" i="158"/>
  <c r="K27" i="158"/>
  <c r="K26" i="158"/>
  <c r="S26" i="158" s="1"/>
  <c r="U26" i="158" s="1"/>
  <c r="U25" i="158"/>
  <c r="S25" i="158"/>
  <c r="K25" i="158"/>
  <c r="U24" i="158"/>
  <c r="S24" i="158"/>
  <c r="K24" i="158"/>
  <c r="U23" i="158"/>
  <c r="S23" i="158"/>
  <c r="K23" i="158"/>
  <c r="U22" i="158"/>
  <c r="S22" i="158"/>
  <c r="K22" i="158"/>
  <c r="U21" i="158"/>
  <c r="S21" i="158"/>
  <c r="K21" i="158"/>
  <c r="U20" i="158"/>
  <c r="S20" i="158"/>
  <c r="K20" i="158"/>
  <c r="S19" i="158"/>
  <c r="B19" i="158"/>
  <c r="S18" i="158"/>
  <c r="B18" i="158"/>
  <c r="S16" i="158"/>
  <c r="F17" i="157"/>
  <c r="B17" i="157" s="1"/>
  <c r="F16" i="157"/>
  <c r="B16" i="157" s="1"/>
  <c r="Q47" i="157"/>
  <c r="B47" i="157"/>
  <c r="Q46" i="157"/>
  <c r="Q45" i="157"/>
  <c r="Q44" i="157"/>
  <c r="Q43" i="157"/>
  <c r="Q42" i="157"/>
  <c r="B42" i="157"/>
  <c r="G38" i="157"/>
  <c r="T37" i="157"/>
  <c r="U37" i="157" s="1"/>
  <c r="T36" i="157"/>
  <c r="U36" i="157" s="1"/>
  <c r="T35" i="157"/>
  <c r="U35" i="157" s="1"/>
  <c r="V35" i="157" s="1"/>
  <c r="B35" i="157"/>
  <c r="T34" i="157"/>
  <c r="U34" i="157" s="1"/>
  <c r="V34" i="157" s="1"/>
  <c r="B34" i="157"/>
  <c r="B33" i="157"/>
  <c r="H33" i="157" s="1"/>
  <c r="G28" i="157"/>
  <c r="U27" i="157"/>
  <c r="S27" i="157"/>
  <c r="K27" i="157"/>
  <c r="U26" i="157"/>
  <c r="S26" i="157"/>
  <c r="K26" i="157"/>
  <c r="U25" i="157"/>
  <c r="S25" i="157"/>
  <c r="K25" i="157"/>
  <c r="U24" i="157"/>
  <c r="S24" i="157"/>
  <c r="K24" i="157"/>
  <c r="U23" i="157"/>
  <c r="S23" i="157"/>
  <c r="K23" i="157"/>
  <c r="U22" i="157"/>
  <c r="S22" i="157"/>
  <c r="K22" i="157"/>
  <c r="U21" i="157"/>
  <c r="S21" i="157"/>
  <c r="K21" i="157"/>
  <c r="U20" i="157"/>
  <c r="S20" i="157"/>
  <c r="K20" i="157"/>
  <c r="S19" i="157"/>
  <c r="B19" i="157"/>
  <c r="S18" i="157"/>
  <c r="B18" i="157"/>
  <c r="S16" i="157"/>
  <c r="N28" i="157"/>
  <c r="Q44" i="156"/>
  <c r="B44" i="156"/>
  <c r="Q42" i="156"/>
  <c r="B42" i="156"/>
  <c r="G38" i="156"/>
  <c r="T37" i="156"/>
  <c r="U37" i="156" s="1"/>
  <c r="T36" i="156"/>
  <c r="U36" i="156" s="1"/>
  <c r="B35" i="156"/>
  <c r="B34" i="156"/>
  <c r="T34" i="156" s="1"/>
  <c r="G28" i="156"/>
  <c r="U27" i="156"/>
  <c r="S27" i="156"/>
  <c r="K27" i="156"/>
  <c r="U26" i="156"/>
  <c r="S26" i="156"/>
  <c r="K26" i="156"/>
  <c r="U25" i="156"/>
  <c r="S25" i="156"/>
  <c r="K25" i="156"/>
  <c r="U24" i="156"/>
  <c r="S24" i="156"/>
  <c r="K24" i="156"/>
  <c r="U23" i="156"/>
  <c r="S23" i="156"/>
  <c r="K23" i="156"/>
  <c r="U22" i="156"/>
  <c r="S22" i="156"/>
  <c r="K22" i="156"/>
  <c r="U21" i="156"/>
  <c r="S21" i="156"/>
  <c r="K21" i="156"/>
  <c r="U20" i="156"/>
  <c r="S20" i="156"/>
  <c r="N28" i="156"/>
  <c r="K20" i="156"/>
  <c r="S19" i="156"/>
  <c r="B19" i="156"/>
  <c r="S18" i="156"/>
  <c r="B18" i="156"/>
  <c r="H18" i="156" s="1"/>
  <c r="F40" i="155"/>
  <c r="F18" i="155"/>
  <c r="B18" i="155" s="1"/>
  <c r="H18" i="155" s="1"/>
  <c r="F17" i="155"/>
  <c r="B17" i="155" s="1"/>
  <c r="H17" i="155" s="1"/>
  <c r="F16" i="155"/>
  <c r="B16" i="155" s="1"/>
  <c r="Q64" i="155"/>
  <c r="Q50" i="155"/>
  <c r="K21" i="155"/>
  <c r="K20" i="155"/>
  <c r="S20" i="155" s="1"/>
  <c r="U20" i="155" s="1"/>
  <c r="W20" i="155" s="1"/>
  <c r="F26" i="135"/>
  <c r="F17" i="135"/>
  <c r="B17" i="135" s="1"/>
  <c r="H17" i="135" s="1"/>
  <c r="H21" i="135" s="1"/>
  <c r="H39" i="172"/>
  <c r="J39" i="172" s="1"/>
  <c r="H16" i="172"/>
  <c r="U42" i="155"/>
  <c r="V42" i="155" s="1"/>
  <c r="H12" i="168"/>
  <c r="I12" i="168" s="1"/>
  <c r="J12" i="168" s="1"/>
  <c r="H11" i="172"/>
  <c r="E55" i="140"/>
  <c r="E58" i="140"/>
  <c r="E59" i="140"/>
  <c r="E60" i="140"/>
  <c r="E33" i="140"/>
  <c r="E56" i="140"/>
  <c r="E28" i="140"/>
  <c r="T33" i="159" l="1"/>
  <c r="S25" i="159"/>
  <c r="H48" i="101"/>
  <c r="H16" i="155"/>
  <c r="H34" i="155" s="1"/>
  <c r="I92" i="155"/>
  <c r="K17" i="135"/>
  <c r="E28" i="94"/>
  <c r="E29" i="94" s="1"/>
  <c r="U28" i="155" s="1"/>
  <c r="DF16" i="26"/>
  <c r="DH13" i="26"/>
  <c r="Q33" i="157"/>
  <c r="T33" i="157" s="1"/>
  <c r="T38" i="157" s="1"/>
  <c r="H38" i="157"/>
  <c r="H195" i="164"/>
  <c r="H270" i="167"/>
  <c r="H148" i="167"/>
  <c r="H209" i="167"/>
  <c r="I209" i="167" s="1"/>
  <c r="J209" i="167" s="1"/>
  <c r="J213" i="167" s="1"/>
  <c r="H12" i="184"/>
  <c r="H345" i="165"/>
  <c r="H477" i="165"/>
  <c r="I477" i="165" s="1"/>
  <c r="J477" i="165" s="1"/>
  <c r="H609" i="165"/>
  <c r="I609" i="165" s="1"/>
  <c r="J609" i="165" s="1"/>
  <c r="H411" i="165"/>
  <c r="H543" i="165"/>
  <c r="H15" i="172"/>
  <c r="H10" i="183"/>
  <c r="I10" i="183" s="1"/>
  <c r="J10" i="183" s="1"/>
  <c r="H84" i="183"/>
  <c r="I84" i="183" s="1"/>
  <c r="J84" i="183" s="1"/>
  <c r="H10" i="184"/>
  <c r="I10" i="184" s="1"/>
  <c r="J10" i="184" s="1"/>
  <c r="H84" i="170"/>
  <c r="H81" i="184"/>
  <c r="I81" i="184" s="1"/>
  <c r="J81" i="184" s="1"/>
  <c r="S21" i="155"/>
  <c r="U21" i="155" s="1"/>
  <c r="W21" i="155" s="1"/>
  <c r="H285" i="167"/>
  <c r="J285" i="167" s="1"/>
  <c r="J289" i="167" s="1"/>
  <c r="H224" i="167"/>
  <c r="J224" i="167" s="1"/>
  <c r="J228" i="167" s="1"/>
  <c r="L228" i="167" s="1"/>
  <c r="H163" i="167"/>
  <c r="J163" i="167" s="1"/>
  <c r="J167" i="167" s="1"/>
  <c r="L167" i="167" s="1"/>
  <c r="H82" i="184"/>
  <c r="H85" i="170"/>
  <c r="H11" i="183"/>
  <c r="I11" i="183" s="1"/>
  <c r="J11" i="183" s="1"/>
  <c r="H11" i="184"/>
  <c r="H85" i="183"/>
  <c r="I85" i="183" s="1"/>
  <c r="J85" i="183" s="1"/>
  <c r="H11" i="168"/>
  <c r="H84" i="167"/>
  <c r="H86" i="183"/>
  <c r="I86" i="183" s="1"/>
  <c r="J86" i="183" s="1"/>
  <c r="H12" i="183"/>
  <c r="I12" i="183" s="1"/>
  <c r="J12" i="183" s="1"/>
  <c r="H83" i="184"/>
  <c r="I83" i="184" s="1"/>
  <c r="J83" i="184" s="1"/>
  <c r="H86" i="170"/>
  <c r="H85" i="167"/>
  <c r="H58" i="183"/>
  <c r="H13" i="184"/>
  <c r="I13" i="184" s="1"/>
  <c r="J13" i="184" s="1"/>
  <c r="H344" i="165"/>
  <c r="I344" i="165" s="1"/>
  <c r="J344" i="165" s="1"/>
  <c r="H212" i="165"/>
  <c r="I212" i="165" s="1"/>
  <c r="J212" i="165" s="1"/>
  <c r="H608" i="165"/>
  <c r="H278" i="165"/>
  <c r="H410" i="165"/>
  <c r="H476" i="165"/>
  <c r="H542" i="165"/>
  <c r="H351" i="173"/>
  <c r="I351" i="173" s="1"/>
  <c r="J351" i="173" s="1"/>
  <c r="H78" i="165"/>
  <c r="H146" i="165"/>
  <c r="U31" i="159"/>
  <c r="V31" i="159" s="1"/>
  <c r="H213" i="165"/>
  <c r="I213" i="165" s="1"/>
  <c r="J213" i="165" s="1"/>
  <c r="H279" i="165"/>
  <c r="I279" i="165" s="1"/>
  <c r="J279" i="165" s="1"/>
  <c r="H147" i="165"/>
  <c r="I147" i="165" s="1"/>
  <c r="J147" i="165" s="1"/>
  <c r="H79" i="165"/>
  <c r="H28" i="162"/>
  <c r="H12" i="167"/>
  <c r="H10" i="165"/>
  <c r="I10" i="165" s="1"/>
  <c r="J10" i="165" s="1"/>
  <c r="H9" i="165"/>
  <c r="I9" i="165" s="1"/>
  <c r="J9" i="165" s="1"/>
  <c r="Q48" i="157"/>
  <c r="J10" i="157" s="1"/>
  <c r="B26" i="135"/>
  <c r="H26" i="135" s="1"/>
  <c r="B39" i="155"/>
  <c r="B40" i="155"/>
  <c r="H40" i="155" s="1"/>
  <c r="E35" i="140"/>
  <c r="K32" i="155"/>
  <c r="F17" i="156"/>
  <c r="B17" i="156" s="1"/>
  <c r="H17" i="156" s="1"/>
  <c r="H28" i="156" s="1"/>
  <c r="E36" i="140"/>
  <c r="E34" i="140"/>
  <c r="E37" i="140"/>
  <c r="I133" i="164"/>
  <c r="J133" i="164" s="1"/>
  <c r="L133" i="164" s="1"/>
  <c r="J10" i="158"/>
  <c r="I16" i="172"/>
  <c r="J16" i="172" s="1"/>
  <c r="H9" i="172"/>
  <c r="I9" i="172" s="1"/>
  <c r="J9" i="172" s="1"/>
  <c r="H9" i="179"/>
  <c r="H139" i="177"/>
  <c r="H72" i="177"/>
  <c r="H10" i="173"/>
  <c r="H9" i="173"/>
  <c r="H336" i="181"/>
  <c r="H139" i="181"/>
  <c r="H74" i="181"/>
  <c r="H204" i="178"/>
  <c r="I204" i="178" s="1"/>
  <c r="J204" i="178" s="1"/>
  <c r="J209" i="178" s="1"/>
  <c r="H139" i="178"/>
  <c r="I139" i="178" s="1"/>
  <c r="J139" i="178" s="1"/>
  <c r="J144" i="178" s="1"/>
  <c r="H269" i="178"/>
  <c r="I269" i="178" s="1"/>
  <c r="J269" i="178" s="1"/>
  <c r="J274" i="178" s="1"/>
  <c r="H204" i="181"/>
  <c r="H9" i="181"/>
  <c r="H334" i="178"/>
  <c r="I334" i="178" s="1"/>
  <c r="J334" i="178" s="1"/>
  <c r="J339" i="178" s="1"/>
  <c r="H9" i="178"/>
  <c r="I9" i="178" s="1"/>
  <c r="J9" i="178" s="1"/>
  <c r="J14" i="178" s="1"/>
  <c r="H269" i="181"/>
  <c r="H74" i="178"/>
  <c r="I74" i="178" s="1"/>
  <c r="J74" i="178" s="1"/>
  <c r="J79" i="178" s="1"/>
  <c r="H81" i="173"/>
  <c r="I11" i="172"/>
  <c r="J11" i="172" s="1"/>
  <c r="H31" i="179"/>
  <c r="J31" i="179" s="1"/>
  <c r="J37" i="179" s="1"/>
  <c r="H93" i="177"/>
  <c r="J93" i="177" s="1"/>
  <c r="J97" i="177" s="1"/>
  <c r="J30" i="177"/>
  <c r="H160" i="177"/>
  <c r="J160" i="177" s="1"/>
  <c r="J164" i="177" s="1"/>
  <c r="H355" i="181"/>
  <c r="J355" i="181" s="1"/>
  <c r="J360" i="181" s="1"/>
  <c r="H353" i="178"/>
  <c r="J353" i="178" s="1"/>
  <c r="J358" i="178" s="1"/>
  <c r="H223" i="181"/>
  <c r="J223" i="181" s="1"/>
  <c r="J227" i="181" s="1"/>
  <c r="H93" i="178"/>
  <c r="J93" i="178" s="1"/>
  <c r="J97" i="178" s="1"/>
  <c r="L97" i="178" s="1"/>
  <c r="H28" i="178"/>
  <c r="J28" i="178" s="1"/>
  <c r="J32" i="178" s="1"/>
  <c r="L32" i="178" s="1"/>
  <c r="H288" i="178"/>
  <c r="J288" i="178" s="1"/>
  <c r="J292" i="178" s="1"/>
  <c r="H28" i="181"/>
  <c r="J28" i="181" s="1"/>
  <c r="J32" i="181" s="1"/>
  <c r="L32" i="181" s="1"/>
  <c r="H158" i="178"/>
  <c r="J158" i="178" s="1"/>
  <c r="J162" i="178" s="1"/>
  <c r="L162" i="178" s="1"/>
  <c r="H288" i="181"/>
  <c r="J288" i="181" s="1"/>
  <c r="J292" i="181" s="1"/>
  <c r="H223" i="178"/>
  <c r="J223" i="178" s="1"/>
  <c r="J227" i="178" s="1"/>
  <c r="L227" i="178" s="1"/>
  <c r="H158" i="181"/>
  <c r="J158" i="181" s="1"/>
  <c r="J162" i="181" s="1"/>
  <c r="H93" i="181"/>
  <c r="J93" i="181" s="1"/>
  <c r="J97" i="181" s="1"/>
  <c r="L97" i="181" s="1"/>
  <c r="E38" i="140"/>
  <c r="H82" i="173"/>
  <c r="H9" i="174"/>
  <c r="I9" i="174" s="1"/>
  <c r="J9" i="174" s="1"/>
  <c r="E39" i="140"/>
  <c r="H20" i="163"/>
  <c r="H16" i="157"/>
  <c r="E40" i="140"/>
  <c r="H95" i="163"/>
  <c r="H96" i="163"/>
  <c r="H18" i="163"/>
  <c r="H53" i="163"/>
  <c r="H17" i="163"/>
  <c r="H56" i="163"/>
  <c r="H16" i="163"/>
  <c r="H55" i="163"/>
  <c r="H21" i="163"/>
  <c r="H52" i="163"/>
  <c r="E3" i="140"/>
  <c r="H19" i="163"/>
  <c r="H54" i="163"/>
  <c r="H97" i="163"/>
  <c r="H16" i="159"/>
  <c r="H19" i="159" s="1"/>
  <c r="U19" i="159" s="1"/>
  <c r="H11" i="169"/>
  <c r="I11" i="169" s="1"/>
  <c r="J11" i="169" s="1"/>
  <c r="H11" i="171"/>
  <c r="I11" i="171" s="1"/>
  <c r="J11" i="171" s="1"/>
  <c r="H11" i="170"/>
  <c r="H11" i="167"/>
  <c r="H12" i="171"/>
  <c r="I12" i="171" s="1"/>
  <c r="J12" i="171" s="1"/>
  <c r="H12" i="170"/>
  <c r="H12" i="169"/>
  <c r="I12" i="169" s="1"/>
  <c r="J12" i="169" s="1"/>
  <c r="H58" i="170"/>
  <c r="J55" i="171"/>
  <c r="J57" i="171" s="1"/>
  <c r="H28" i="163"/>
  <c r="H10" i="169"/>
  <c r="H10" i="170"/>
  <c r="H10" i="171"/>
  <c r="H69" i="163"/>
  <c r="H113" i="163"/>
  <c r="H70" i="163"/>
  <c r="H30" i="163"/>
  <c r="H29" i="163"/>
  <c r="K16" i="159"/>
  <c r="T38" i="158"/>
  <c r="V30" i="159"/>
  <c r="U19" i="158"/>
  <c r="K16" i="158"/>
  <c r="H17" i="157"/>
  <c r="U33" i="158"/>
  <c r="V33" i="158" s="1"/>
  <c r="V38" i="158" s="1"/>
  <c r="J9" i="158" s="1"/>
  <c r="K16" i="157"/>
  <c r="T35" i="156"/>
  <c r="U34" i="156"/>
  <c r="V34" i="156" s="1"/>
  <c r="K18" i="155"/>
  <c r="S18" i="155" s="1"/>
  <c r="J1817" i="190" l="1"/>
  <c r="J1873" i="190"/>
  <c r="I1109" i="190"/>
  <c r="J1109" i="190" s="1"/>
  <c r="I591" i="190"/>
  <c r="J591" i="190" s="1"/>
  <c r="I1219" i="190"/>
  <c r="J1219" i="190" s="1"/>
  <c r="J1930" i="190"/>
  <c r="I18" i="190"/>
  <c r="J18" i="190" s="1"/>
  <c r="I1054" i="190"/>
  <c r="J1054" i="190" s="1"/>
  <c r="J1819" i="190"/>
  <c r="I1274" i="190"/>
  <c r="J1274" i="190" s="1"/>
  <c r="I477" i="190"/>
  <c r="J477" i="190" s="1"/>
  <c r="I363" i="190"/>
  <c r="J363" i="190" s="1"/>
  <c r="N363" i="190" s="1"/>
  <c r="I135" i="190"/>
  <c r="J135" i="190" s="1"/>
  <c r="L135" i="190" s="1"/>
  <c r="I1164" i="190"/>
  <c r="J1164" i="190" s="1"/>
  <c r="J1875" i="190"/>
  <c r="J2208" i="190"/>
  <c r="I76" i="190"/>
  <c r="J76" i="190" s="1"/>
  <c r="I708" i="190"/>
  <c r="J708" i="190" s="1"/>
  <c r="I513" i="164"/>
  <c r="J513" i="164" s="1"/>
  <c r="I575" i="164"/>
  <c r="J575" i="164" s="1"/>
  <c r="I699" i="164"/>
  <c r="J699" i="164" s="1"/>
  <c r="I637" i="164"/>
  <c r="J637" i="164" s="1"/>
  <c r="I451" i="164"/>
  <c r="J451" i="164" s="1"/>
  <c r="I389" i="164"/>
  <c r="J389" i="164" s="1"/>
  <c r="I326" i="164"/>
  <c r="J326" i="164" s="1"/>
  <c r="I265" i="164"/>
  <c r="J265" i="164" s="1"/>
  <c r="I80" i="164"/>
  <c r="J80" i="164" s="1"/>
  <c r="I476" i="190"/>
  <c r="J476" i="190" s="1"/>
  <c r="I362" i="190"/>
  <c r="J362" i="190" s="1"/>
  <c r="I264" i="164"/>
  <c r="J264" i="164" s="1"/>
  <c r="J267" i="164" s="1"/>
  <c r="J269" i="164" s="1"/>
  <c r="J284" i="164" s="1"/>
  <c r="J296" i="164" s="1"/>
  <c r="J298" i="164" s="1"/>
  <c r="J300" i="164" s="1"/>
  <c r="I1108" i="190"/>
  <c r="J1108" i="190" s="1"/>
  <c r="I589" i="190"/>
  <c r="J589" i="190" s="1"/>
  <c r="J364" i="190"/>
  <c r="I1053" i="190"/>
  <c r="J1053" i="190" s="1"/>
  <c r="I1273" i="190"/>
  <c r="J1273" i="190" s="1"/>
  <c r="I1218" i="190"/>
  <c r="J1218" i="190" s="1"/>
  <c r="I1163" i="190"/>
  <c r="J1163" i="190" s="1"/>
  <c r="I706" i="190"/>
  <c r="J706" i="190" s="1"/>
  <c r="I133" i="190"/>
  <c r="J133" i="190" s="1"/>
  <c r="I635" i="164"/>
  <c r="J635" i="164" s="1"/>
  <c r="I697" i="164"/>
  <c r="J697" i="164" s="1"/>
  <c r="I573" i="164"/>
  <c r="J573" i="164" s="1"/>
  <c r="I511" i="164"/>
  <c r="J511" i="164" s="1"/>
  <c r="I449" i="164"/>
  <c r="J449" i="164" s="1"/>
  <c r="I387" i="164"/>
  <c r="J387" i="164" s="1"/>
  <c r="I324" i="164"/>
  <c r="J324" i="164" s="1"/>
  <c r="Q39" i="155"/>
  <c r="T39" i="155" s="1"/>
  <c r="H39" i="155"/>
  <c r="H46" i="155" s="1"/>
  <c r="X2" i="155" s="1"/>
  <c r="Y2" i="155" s="1"/>
  <c r="H29" i="135"/>
  <c r="Q70" i="155"/>
  <c r="S17" i="135"/>
  <c r="U17" i="135" s="1"/>
  <c r="J21" i="135"/>
  <c r="B92" i="155"/>
  <c r="Q92" i="155"/>
  <c r="W92" i="155" s="1"/>
  <c r="U27" i="155"/>
  <c r="W27" i="155" s="1"/>
  <c r="E30" i="94"/>
  <c r="I1029" i="164"/>
  <c r="J1029" i="164" s="1"/>
  <c r="I1334" i="164"/>
  <c r="J1334" i="164" s="1"/>
  <c r="I1660" i="164"/>
  <c r="J1660" i="164" s="1"/>
  <c r="I1725" i="164"/>
  <c r="J1725" i="164" s="1"/>
  <c r="I1790" i="164"/>
  <c r="J1790" i="164" s="1"/>
  <c r="I1465" i="164"/>
  <c r="J1465" i="164" s="1"/>
  <c r="I1530" i="164"/>
  <c r="J1530" i="164" s="1"/>
  <c r="I1595" i="164"/>
  <c r="J1595" i="164" s="1"/>
  <c r="I1102" i="164"/>
  <c r="J1102" i="164" s="1"/>
  <c r="I1336" i="164"/>
  <c r="J1336" i="164" s="1"/>
  <c r="I1031" i="164"/>
  <c r="J1031" i="164" s="1"/>
  <c r="I94" i="173"/>
  <c r="J94" i="173" s="1"/>
  <c r="I166" i="173"/>
  <c r="I297" i="173"/>
  <c r="J297" i="173" s="1"/>
  <c r="I21" i="173"/>
  <c r="J21" i="173" s="1"/>
  <c r="I93" i="173"/>
  <c r="J93" i="173" s="1"/>
  <c r="I165" i="173"/>
  <c r="J165" i="173" s="1"/>
  <c r="I296" i="173"/>
  <c r="J296" i="173" s="1"/>
  <c r="I1403" i="164"/>
  <c r="J1403" i="164" s="1"/>
  <c r="DH16" i="26"/>
  <c r="DJ13" i="26"/>
  <c r="I1401" i="164"/>
  <c r="J1401" i="164" s="1"/>
  <c r="I1266" i="164"/>
  <c r="J1266" i="164" s="1"/>
  <c r="I958" i="164"/>
  <c r="J958" i="164" s="1"/>
  <c r="I891" i="164"/>
  <c r="J891" i="164" s="1"/>
  <c r="I1268" i="164"/>
  <c r="J1268" i="164" s="1"/>
  <c r="I960" i="164"/>
  <c r="J960" i="164" s="1"/>
  <c r="I893" i="164"/>
  <c r="J893" i="164" s="1"/>
  <c r="I760" i="164"/>
  <c r="J760" i="164" s="1"/>
  <c r="I826" i="164"/>
  <c r="J826" i="164" s="1"/>
  <c r="I141" i="164"/>
  <c r="J141" i="164" s="1"/>
  <c r="L141" i="164" s="1"/>
  <c r="I18" i="164"/>
  <c r="J18" i="164" s="1"/>
  <c r="I310" i="169"/>
  <c r="J310" i="169" s="1"/>
  <c r="BD48" i="101"/>
  <c r="I242" i="169"/>
  <c r="J242" i="169" s="1"/>
  <c r="I169" i="169"/>
  <c r="J169" i="169" s="1"/>
  <c r="I96" i="169"/>
  <c r="J96" i="169" s="1"/>
  <c r="I170" i="169"/>
  <c r="J170" i="169" s="1"/>
  <c r="I97" i="169"/>
  <c r="J97" i="169" s="1"/>
  <c r="I243" i="169"/>
  <c r="J243" i="169" s="1"/>
  <c r="U33" i="157"/>
  <c r="V33" i="157" s="1"/>
  <c r="V38" i="157" s="1"/>
  <c r="J9" i="157" s="1"/>
  <c r="Q40" i="155"/>
  <c r="T40" i="155" s="1"/>
  <c r="I15" i="172"/>
  <c r="J15" i="172" s="1"/>
  <c r="I148" i="167"/>
  <c r="J148" i="167" s="1"/>
  <c r="J152" i="167" s="1"/>
  <c r="I543" i="165"/>
  <c r="J543" i="165" s="1"/>
  <c r="I270" i="167"/>
  <c r="J270" i="167" s="1"/>
  <c r="J274" i="167" s="1"/>
  <c r="I12" i="184"/>
  <c r="J12" i="184" s="1"/>
  <c r="I84" i="170"/>
  <c r="J84" i="170" s="1"/>
  <c r="I411" i="165"/>
  <c r="J411" i="165" s="1"/>
  <c r="I195" i="164"/>
  <c r="J195" i="164" s="1"/>
  <c r="J200" i="164" s="1"/>
  <c r="I345" i="165"/>
  <c r="J345" i="165" s="1"/>
  <c r="J349" i="165" s="1"/>
  <c r="I22" i="171"/>
  <c r="J22" i="171" s="1"/>
  <c r="I204" i="164"/>
  <c r="J204" i="164" s="1"/>
  <c r="N204" i="164" s="1"/>
  <c r="L710" i="164"/>
  <c r="T33" i="156"/>
  <c r="S32" i="155"/>
  <c r="U32" i="155" s="1"/>
  <c r="W32" i="155" s="1"/>
  <c r="S24" i="155"/>
  <c r="V33" i="159"/>
  <c r="J9" i="159" s="1"/>
  <c r="Q26" i="135"/>
  <c r="T26" i="135" s="1"/>
  <c r="J25" i="159"/>
  <c r="J217" i="165"/>
  <c r="H25" i="159"/>
  <c r="I11" i="184"/>
  <c r="J11" i="184" s="1"/>
  <c r="I85" i="170"/>
  <c r="J85" i="170" s="1"/>
  <c r="I11" i="168"/>
  <c r="J11" i="168" s="1"/>
  <c r="I82" i="184"/>
  <c r="J82" i="184" s="1"/>
  <c r="I84" i="167"/>
  <c r="J84" i="167" s="1"/>
  <c r="I85" i="167"/>
  <c r="J85" i="167" s="1"/>
  <c r="I86" i="170"/>
  <c r="J86" i="170" s="1"/>
  <c r="I146" i="165"/>
  <c r="J146" i="165" s="1"/>
  <c r="J151" i="165" s="1"/>
  <c r="I542" i="165"/>
  <c r="J542" i="165" s="1"/>
  <c r="H132" i="183"/>
  <c r="J132" i="183" s="1"/>
  <c r="J134" i="183" s="1"/>
  <c r="J58" i="183"/>
  <c r="J60" i="183" s="1"/>
  <c r="I278" i="165"/>
  <c r="J278" i="165" s="1"/>
  <c r="J283" i="165" s="1"/>
  <c r="J58" i="170"/>
  <c r="J60" i="170" s="1"/>
  <c r="H132" i="170"/>
  <c r="J132" i="170" s="1"/>
  <c r="J134" i="170" s="1"/>
  <c r="I78" i="165"/>
  <c r="J78" i="165" s="1"/>
  <c r="I476" i="165"/>
  <c r="J476" i="165" s="1"/>
  <c r="J481" i="165" s="1"/>
  <c r="I608" i="165"/>
  <c r="J608" i="165" s="1"/>
  <c r="J613" i="165" s="1"/>
  <c r="I410" i="165"/>
  <c r="J410" i="165" s="1"/>
  <c r="U18" i="155"/>
  <c r="W18" i="155" s="1"/>
  <c r="I19" i="185"/>
  <c r="J19" i="185" s="1"/>
  <c r="I277" i="167"/>
  <c r="J277" i="167" s="1"/>
  <c r="J280" i="167" s="1"/>
  <c r="I94" i="184"/>
  <c r="J94" i="184" s="1"/>
  <c r="I95" i="184"/>
  <c r="J95" i="184" s="1"/>
  <c r="I21" i="184"/>
  <c r="J21" i="184" s="1"/>
  <c r="I24" i="168"/>
  <c r="J24" i="168" s="1"/>
  <c r="I23" i="183"/>
  <c r="J23" i="183" s="1"/>
  <c r="I97" i="170"/>
  <c r="J97" i="170" s="1"/>
  <c r="I97" i="183"/>
  <c r="J97" i="183" s="1"/>
  <c r="I98" i="170"/>
  <c r="J98" i="170" s="1"/>
  <c r="I24" i="183"/>
  <c r="J24" i="183" s="1"/>
  <c r="I98" i="183"/>
  <c r="J98" i="183" s="1"/>
  <c r="I552" i="165"/>
  <c r="J552" i="165" s="1"/>
  <c r="I354" i="165"/>
  <c r="J354" i="165" s="1"/>
  <c r="I216" i="167"/>
  <c r="J216" i="167" s="1"/>
  <c r="J219" i="167" s="1"/>
  <c r="J221" i="167" s="1"/>
  <c r="J235" i="167" s="1"/>
  <c r="J249" i="167" s="1"/>
  <c r="J251" i="167" s="1"/>
  <c r="J253" i="167" s="1"/>
  <c r="I222" i="165"/>
  <c r="J222" i="165" s="1"/>
  <c r="I155" i="167"/>
  <c r="J155" i="167" s="1"/>
  <c r="J158" i="167" s="1"/>
  <c r="I420" i="165"/>
  <c r="J420" i="165" s="1"/>
  <c r="I618" i="165"/>
  <c r="J618" i="165" s="1"/>
  <c r="I288" i="165"/>
  <c r="J288" i="165" s="1"/>
  <c r="I486" i="165"/>
  <c r="J486" i="165" s="1"/>
  <c r="I419" i="165"/>
  <c r="J419" i="165" s="1"/>
  <c r="I221" i="165"/>
  <c r="J221" i="165" s="1"/>
  <c r="I353" i="165"/>
  <c r="J353" i="165" s="1"/>
  <c r="I617" i="165"/>
  <c r="J617" i="165" s="1"/>
  <c r="I485" i="165"/>
  <c r="J485" i="165" s="1"/>
  <c r="I551" i="165"/>
  <c r="J551" i="165" s="1"/>
  <c r="I287" i="165"/>
  <c r="J287" i="165" s="1"/>
  <c r="I79" i="165"/>
  <c r="J79" i="165" s="1"/>
  <c r="I86" i="165"/>
  <c r="J86" i="165" s="1"/>
  <c r="I17" i="165"/>
  <c r="J17" i="165" s="1"/>
  <c r="I96" i="167"/>
  <c r="J96" i="167" s="1"/>
  <c r="I23" i="167"/>
  <c r="I544" i="173"/>
  <c r="J544" i="173" s="1"/>
  <c r="I483" i="173"/>
  <c r="J483" i="173" s="1"/>
  <c r="I421" i="173"/>
  <c r="J421" i="173" s="1"/>
  <c r="I358" i="173"/>
  <c r="J358" i="173" s="1"/>
  <c r="I156" i="165"/>
  <c r="J156" i="165" s="1"/>
  <c r="I88" i="165"/>
  <c r="J88" i="165" s="1"/>
  <c r="I20" i="165"/>
  <c r="J20" i="165" s="1"/>
  <c r="I24" i="167"/>
  <c r="J24" i="167" s="1"/>
  <c r="I93" i="167"/>
  <c r="J93" i="167" s="1"/>
  <c r="I143" i="164"/>
  <c r="J143" i="164" s="1"/>
  <c r="L143" i="164" s="1"/>
  <c r="H23" i="163"/>
  <c r="J154" i="173"/>
  <c r="I18" i="181"/>
  <c r="J18" i="181" s="1"/>
  <c r="I23" i="170"/>
  <c r="J23" i="170" s="1"/>
  <c r="I23" i="169"/>
  <c r="J23" i="169" s="1"/>
  <c r="I26" i="172"/>
  <c r="I22" i="179"/>
  <c r="J22" i="179" s="1"/>
  <c r="I21" i="168"/>
  <c r="J21" i="168" s="1"/>
  <c r="I27" i="172"/>
  <c r="I84" i="178"/>
  <c r="J84" i="178" s="1"/>
  <c r="I346" i="181"/>
  <c r="J346" i="181" s="1"/>
  <c r="I84" i="177"/>
  <c r="J84" i="177" s="1"/>
  <c r="I279" i="178"/>
  <c r="J279" i="178" s="1"/>
  <c r="I24" i="170"/>
  <c r="J24" i="170" s="1"/>
  <c r="I18" i="178"/>
  <c r="J18" i="178" s="1"/>
  <c r="I83" i="181"/>
  <c r="J83" i="181" s="1"/>
  <c r="I148" i="178"/>
  <c r="J148" i="178" s="1"/>
  <c r="I213" i="181"/>
  <c r="J213" i="181" s="1"/>
  <c r="I278" i="178"/>
  <c r="J278" i="178" s="1"/>
  <c r="I278" i="181"/>
  <c r="J278" i="181" s="1"/>
  <c r="I343" i="178"/>
  <c r="J343" i="178" s="1"/>
  <c r="I148" i="181"/>
  <c r="J148" i="181" s="1"/>
  <c r="I83" i="178"/>
  <c r="J83" i="178" s="1"/>
  <c r="I345" i="181"/>
  <c r="J345" i="181" s="1"/>
  <c r="I213" i="178"/>
  <c r="J213" i="178" s="1"/>
  <c r="I279" i="181"/>
  <c r="J279" i="181" s="1"/>
  <c r="I19" i="178"/>
  <c r="J19" i="178" s="1"/>
  <c r="I84" i="181"/>
  <c r="J84" i="181" s="1"/>
  <c r="I22" i="175"/>
  <c r="J22" i="175" s="1"/>
  <c r="I149" i="178"/>
  <c r="J149" i="178" s="1"/>
  <c r="I22" i="180"/>
  <c r="J22" i="180" s="1"/>
  <c r="I19" i="181"/>
  <c r="J19" i="181" s="1"/>
  <c r="I151" i="177"/>
  <c r="J151" i="177" s="1"/>
  <c r="I214" i="181"/>
  <c r="J214" i="181" s="1"/>
  <c r="I22" i="174"/>
  <c r="J22" i="174" s="1"/>
  <c r="I344" i="178"/>
  <c r="J344" i="178" s="1"/>
  <c r="I24" i="169"/>
  <c r="J24" i="169" s="1"/>
  <c r="I23" i="171"/>
  <c r="J23" i="171" s="1"/>
  <c r="I214" i="178"/>
  <c r="J214" i="178" s="1"/>
  <c r="I149" i="181"/>
  <c r="J149" i="181" s="1"/>
  <c r="K16" i="155"/>
  <c r="I9" i="181"/>
  <c r="J9" i="181" s="1"/>
  <c r="J14" i="181" s="1"/>
  <c r="I72" i="177"/>
  <c r="J72" i="177" s="1"/>
  <c r="I204" i="181"/>
  <c r="J204" i="181" s="1"/>
  <c r="J209" i="181" s="1"/>
  <c r="I139" i="177"/>
  <c r="J139" i="177" s="1"/>
  <c r="I81" i="173"/>
  <c r="J81" i="173" s="1"/>
  <c r="I9" i="179"/>
  <c r="J9" i="179" s="1"/>
  <c r="I269" i="181"/>
  <c r="J269" i="181" s="1"/>
  <c r="J274" i="181" s="1"/>
  <c r="I74" i="181"/>
  <c r="J74" i="181" s="1"/>
  <c r="J79" i="181" s="1"/>
  <c r="I9" i="173"/>
  <c r="J9" i="173" s="1"/>
  <c r="I139" i="181"/>
  <c r="J139" i="181" s="1"/>
  <c r="J144" i="181" s="1"/>
  <c r="I336" i="181"/>
  <c r="J336" i="181" s="1"/>
  <c r="J341" i="181" s="1"/>
  <c r="I10" i="173"/>
  <c r="J10" i="173" s="1"/>
  <c r="I82" i="173"/>
  <c r="J82" i="173" s="1"/>
  <c r="J16" i="174"/>
  <c r="J24" i="174"/>
  <c r="U16" i="159"/>
  <c r="U25" i="159" s="1"/>
  <c r="H22" i="162"/>
  <c r="H107" i="163"/>
  <c r="H64" i="163"/>
  <c r="I12" i="170"/>
  <c r="J12" i="170" s="1"/>
  <c r="H74" i="163"/>
  <c r="H33" i="163"/>
  <c r="I10" i="171"/>
  <c r="J10" i="171" s="1"/>
  <c r="I11" i="167"/>
  <c r="J11" i="167" s="1"/>
  <c r="I10" i="167"/>
  <c r="J10" i="167" s="1"/>
  <c r="I11" i="170"/>
  <c r="J11" i="170" s="1"/>
  <c r="I10" i="170"/>
  <c r="J10" i="170" s="1"/>
  <c r="I10" i="169"/>
  <c r="J10" i="169" s="1"/>
  <c r="I12" i="167"/>
  <c r="J12" i="167" s="1"/>
  <c r="U16" i="158"/>
  <c r="U17" i="158"/>
  <c r="H28" i="157"/>
  <c r="U16" i="157"/>
  <c r="U35" i="156"/>
  <c r="V35" i="156" s="1"/>
  <c r="H38" i="156"/>
  <c r="J365" i="190" l="1"/>
  <c r="J367" i="190" s="1"/>
  <c r="J382" i="190" s="1"/>
  <c r="L133" i="190"/>
  <c r="J479" i="190"/>
  <c r="J481" i="190" s="1"/>
  <c r="J496" i="190" s="1"/>
  <c r="S21" i="135"/>
  <c r="T46" i="155"/>
  <c r="X3" i="155" s="1"/>
  <c r="Y3" i="155" s="1"/>
  <c r="U21" i="135"/>
  <c r="H30" i="135"/>
  <c r="X2" i="135"/>
  <c r="Y2" i="135" s="1"/>
  <c r="T29" i="135"/>
  <c r="U26" i="135"/>
  <c r="V26" i="135" s="1"/>
  <c r="P37" i="22"/>
  <c r="V65" i="135"/>
  <c r="U81" i="135"/>
  <c r="E31" i="94"/>
  <c r="E32" i="94" s="1"/>
  <c r="E33" i="94" s="1"/>
  <c r="DJ16" i="26"/>
  <c r="DL13" i="26"/>
  <c r="U24" i="155"/>
  <c r="W24" i="155" s="1"/>
  <c r="J160" i="167"/>
  <c r="J174" i="167" s="1"/>
  <c r="J188" i="167" s="1"/>
  <c r="J190" i="167" s="1"/>
  <c r="J192" i="167" s="1"/>
  <c r="J547" i="165"/>
  <c r="J415" i="165"/>
  <c r="J282" i="167"/>
  <c r="J296" i="167" s="1"/>
  <c r="J310" i="167" s="1"/>
  <c r="J312" i="167" s="1"/>
  <c r="J314" i="167" s="1"/>
  <c r="U33" i="156"/>
  <c r="V33" i="156" s="1"/>
  <c r="V38" i="156" s="1"/>
  <c r="J9" i="156" s="1"/>
  <c r="T38" i="156"/>
  <c r="J83" i="165"/>
  <c r="J26" i="172"/>
  <c r="I25" i="172"/>
  <c r="J25" i="172" s="1"/>
  <c r="J24" i="179"/>
  <c r="J16" i="179"/>
  <c r="J86" i="177"/>
  <c r="J77" i="177"/>
  <c r="J153" i="177"/>
  <c r="J144" i="177"/>
  <c r="U16" i="155"/>
  <c r="W16" i="155" s="1"/>
  <c r="X3" i="135" l="1"/>
  <c r="Y3" i="135" s="1"/>
  <c r="T30" i="135"/>
  <c r="P38" i="22"/>
  <c r="U83" i="135"/>
  <c r="DL16" i="26"/>
  <c r="DN13" i="26"/>
  <c r="J8" i="159"/>
  <c r="B86" i="107"/>
  <c r="E86" i="107"/>
  <c r="F86" i="107"/>
  <c r="B87" i="107"/>
  <c r="E87" i="107"/>
  <c r="F87" i="107"/>
  <c r="B83" i="107"/>
  <c r="B84" i="107"/>
  <c r="B85" i="107"/>
  <c r="F65" i="107"/>
  <c r="E65" i="107"/>
  <c r="F64" i="107"/>
  <c r="E64" i="107"/>
  <c r="F60" i="107"/>
  <c r="E60" i="107"/>
  <c r="F59" i="107"/>
  <c r="E59" i="107"/>
  <c r="F58" i="107"/>
  <c r="E58" i="107"/>
  <c r="F55" i="107"/>
  <c r="E55" i="107"/>
  <c r="F54" i="107"/>
  <c r="E54" i="107"/>
  <c r="F53" i="107"/>
  <c r="E53" i="107"/>
  <c r="F50" i="107"/>
  <c r="E50" i="107"/>
  <c r="F48" i="107"/>
  <c r="E48" i="107"/>
  <c r="F47" i="107"/>
  <c r="E47" i="107"/>
  <c r="F41" i="107"/>
  <c r="F40" i="107"/>
  <c r="E40" i="107"/>
  <c r="F39" i="107"/>
  <c r="E39" i="107"/>
  <c r="F38" i="107"/>
  <c r="E38" i="107"/>
  <c r="E31" i="107"/>
  <c r="F31" i="107"/>
  <c r="E32" i="107"/>
  <c r="F32" i="107"/>
  <c r="E33" i="107"/>
  <c r="F33" i="107"/>
  <c r="E34" i="107"/>
  <c r="F34" i="107"/>
  <c r="E35" i="107"/>
  <c r="F35" i="107"/>
  <c r="F30" i="107"/>
  <c r="E30" i="107"/>
  <c r="F29" i="107"/>
  <c r="E29" i="107"/>
  <c r="F28" i="107"/>
  <c r="E28" i="107"/>
  <c r="F27" i="107"/>
  <c r="E27" i="107"/>
  <c r="E22" i="107"/>
  <c r="F22" i="107"/>
  <c r="E23" i="107"/>
  <c r="F21" i="107"/>
  <c r="E21" i="107"/>
  <c r="B64" i="107"/>
  <c r="B65" i="107"/>
  <c r="B57" i="107"/>
  <c r="B58" i="107"/>
  <c r="B59" i="107"/>
  <c r="B60" i="107"/>
  <c r="B63" i="107"/>
  <c r="B52" i="107"/>
  <c r="B53" i="107"/>
  <c r="B54" i="107"/>
  <c r="B55" i="107"/>
  <c r="B45" i="107"/>
  <c r="B47" i="107"/>
  <c r="B48" i="107"/>
  <c r="B50" i="107"/>
  <c r="B37" i="107"/>
  <c r="B38" i="107"/>
  <c r="B39" i="107"/>
  <c r="B40" i="107"/>
  <c r="B41" i="107"/>
  <c r="B28" i="107"/>
  <c r="B29" i="107"/>
  <c r="B30" i="107"/>
  <c r="B31" i="107"/>
  <c r="B32" i="107"/>
  <c r="B33" i="107"/>
  <c r="B34" i="107"/>
  <c r="B35" i="107"/>
  <c r="B25" i="107"/>
  <c r="B23" i="107"/>
  <c r="B22" i="107"/>
  <c r="B21" i="107"/>
  <c r="B20" i="107"/>
  <c r="B16" i="107"/>
  <c r="B10" i="107"/>
  <c r="U82" i="135" l="1"/>
  <c r="DP13" i="26"/>
  <c r="DN16" i="26"/>
  <c r="P39" i="22" l="1"/>
  <c r="U86" i="135"/>
  <c r="X1" i="135" s="1"/>
  <c r="Y1" i="135" s="1"/>
  <c r="DP16" i="26"/>
  <c r="DR13" i="26"/>
  <c r="DB107" i="26"/>
  <c r="DB116" i="26"/>
  <c r="DL89" i="26"/>
  <c r="DB89" i="26"/>
  <c r="DD89" i="26"/>
  <c r="B23" i="101"/>
  <c r="B24" i="101"/>
  <c r="AJ38" i="101" l="1"/>
  <c r="J71" i="135"/>
  <c r="DR16" i="26"/>
  <c r="DT13" i="26"/>
  <c r="BP21" i="26"/>
  <c r="CN145" i="26"/>
  <c r="CN61" i="26"/>
  <c r="CP61" i="26"/>
  <c r="CL61" i="26"/>
  <c r="CL127" i="26"/>
  <c r="CP41" i="26"/>
  <c r="CJ41" i="26"/>
  <c r="CL41" i="26"/>
  <c r="CN41" i="26"/>
  <c r="CB61" i="26"/>
  <c r="CN127" i="26"/>
  <c r="CP127" i="26"/>
  <c r="CT127" i="26"/>
  <c r="CX127" i="26"/>
  <c r="CV127" i="26"/>
  <c r="CR127" i="26"/>
  <c r="CF70" i="26"/>
  <c r="CB70" i="26"/>
  <c r="CP145" i="26"/>
  <c r="CR145" i="26"/>
  <c r="CB41" i="26"/>
  <c r="BZ61" i="26"/>
  <c r="BZ70" i="26"/>
  <c r="BX61" i="26"/>
  <c r="BX41" i="26"/>
  <c r="BZ41" i="26"/>
  <c r="CD61" i="26"/>
  <c r="CD127" i="26"/>
  <c r="CD145" i="26"/>
  <c r="CF145" i="26"/>
  <c r="CD41" i="26"/>
  <c r="CF41" i="26"/>
  <c r="CH41" i="26"/>
  <c r="BR21" i="26"/>
  <c r="CR61" i="26"/>
  <c r="EV89" i="26"/>
  <c r="ET89" i="26"/>
  <c r="CT98" i="26"/>
  <c r="CZ98" i="26"/>
  <c r="CV61" i="26"/>
  <c r="CV98" i="26"/>
  <c r="CX61" i="26"/>
  <c r="CZ107" i="26"/>
  <c r="CZ61" i="26"/>
  <c r="CX98" i="26"/>
  <c r="CT107" i="26"/>
  <c r="CX107" i="26"/>
  <c r="CV107" i="26"/>
  <c r="FD145" i="26"/>
  <c r="FB145" i="26"/>
  <c r="FD89" i="26"/>
  <c r="FB127" i="26"/>
  <c r="FF89" i="26"/>
  <c r="FB89" i="26"/>
  <c r="FF145" i="26"/>
  <c r="FH145" i="26"/>
  <c r="FH89" i="26"/>
  <c r="FJ89" i="26"/>
  <c r="EX89" i="26"/>
  <c r="EZ89" i="26"/>
  <c r="CX116" i="26"/>
  <c r="CV116" i="26"/>
  <c r="EZ145" i="26"/>
  <c r="EX145" i="26"/>
  <c r="ET127" i="26"/>
  <c r="EV145" i="26"/>
  <c r="EZ127" i="26"/>
  <c r="EV127" i="26"/>
  <c r="ET145" i="26"/>
  <c r="EX127" i="26"/>
  <c r="EL145" i="26"/>
  <c r="EJ127" i="26"/>
  <c r="EN145" i="26"/>
  <c r="ER145" i="26"/>
  <c r="ER127" i="26"/>
  <c r="EP127" i="26"/>
  <c r="EJ145" i="26"/>
  <c r="EN127" i="26"/>
  <c r="EP145" i="26"/>
  <c r="EL127" i="26"/>
  <c r="EP89" i="26"/>
  <c r="EN89" i="26"/>
  <c r="ER89" i="26"/>
  <c r="CT116" i="26"/>
  <c r="CT61" i="26"/>
  <c r="CJ61" i="26"/>
  <c r="CH61" i="26"/>
  <c r="CB21" i="26"/>
  <c r="CF61" i="26"/>
  <c r="CD21" i="26"/>
  <c r="BV70" i="26"/>
  <c r="BX70" i="26"/>
  <c r="BT70" i="26"/>
  <c r="DT16" i="26" l="1"/>
  <c r="DV13" i="26"/>
  <c r="F23" i="107"/>
  <c r="DV16" i="26" l="1"/>
  <c r="DX13" i="26"/>
  <c r="DX16" i="26" l="1"/>
  <c r="DZ13" i="26"/>
  <c r="DZ16" i="26" l="1"/>
  <c r="EB13" i="26"/>
  <c r="K13" i="136"/>
  <c r="K16" i="136" s="1"/>
  <c r="EB16" i="26" l="1"/>
  <c r="ED13" i="26"/>
  <c r="F85" i="107"/>
  <c r="E85" i="107"/>
  <c r="F84" i="107"/>
  <c r="E84" i="107"/>
  <c r="F83" i="107"/>
  <c r="E83" i="107"/>
  <c r="F82" i="107"/>
  <c r="E82" i="107"/>
  <c r="B82" i="107"/>
  <c r="F18" i="107"/>
  <c r="E18" i="107"/>
  <c r="B18" i="107"/>
  <c r="F17" i="107"/>
  <c r="E17" i="107"/>
  <c r="B17" i="107"/>
  <c r="F12" i="107"/>
  <c r="B12" i="107"/>
  <c r="F11" i="107"/>
  <c r="E11" i="107"/>
  <c r="B11" i="107"/>
  <c r="ED16" i="26" l="1"/>
  <c r="EF13" i="26"/>
  <c r="EF16" i="26" l="1"/>
  <c r="EH13" i="26"/>
  <c r="D54" i="142"/>
  <c r="EJ13" i="26" l="1"/>
  <c r="EH16" i="26"/>
  <c r="H38" i="172"/>
  <c r="J38" i="172" s="1"/>
  <c r="EJ16" i="26" l="1"/>
  <c r="EL13" i="26"/>
  <c r="J772" i="164"/>
  <c r="H31" i="184"/>
  <c r="J31" i="184" s="1"/>
  <c r="H105" i="167"/>
  <c r="J105" i="167" s="1"/>
  <c r="H34" i="168"/>
  <c r="J34" i="168" s="1"/>
  <c r="H108" i="183"/>
  <c r="J108" i="183" s="1"/>
  <c r="H105" i="184"/>
  <c r="J105" i="184" s="1"/>
  <c r="H34" i="183"/>
  <c r="J34" i="183" s="1"/>
  <c r="H108" i="170"/>
  <c r="J108" i="170" s="1"/>
  <c r="H151" i="164"/>
  <c r="J151" i="164" s="1"/>
  <c r="J211" i="164"/>
  <c r="H35" i="184"/>
  <c r="J35" i="184" s="1"/>
  <c r="H626" i="165"/>
  <c r="J626" i="165" s="1"/>
  <c r="H560" i="165"/>
  <c r="J560" i="165" s="1"/>
  <c r="H230" i="165"/>
  <c r="J230" i="165" s="1"/>
  <c r="H428" i="165"/>
  <c r="J428" i="165" s="1"/>
  <c r="H296" i="165"/>
  <c r="J296" i="165" s="1"/>
  <c r="H494" i="165"/>
  <c r="J494" i="165" s="1"/>
  <c r="H362" i="165"/>
  <c r="J362" i="165" s="1"/>
  <c r="H36" i="172"/>
  <c r="J36" i="172" s="1"/>
  <c r="H35" i="183"/>
  <c r="J35" i="183" s="1"/>
  <c r="H109" i="170"/>
  <c r="J109" i="170" s="1"/>
  <c r="H109" i="183"/>
  <c r="J109" i="183" s="1"/>
  <c r="H106" i="184"/>
  <c r="J106" i="184" s="1"/>
  <c r="H32" i="184"/>
  <c r="J32" i="184" s="1"/>
  <c r="H104" i="167"/>
  <c r="J104" i="167" s="1"/>
  <c r="H110" i="170"/>
  <c r="J110" i="170" s="1"/>
  <c r="H36" i="183"/>
  <c r="J36" i="183" s="1"/>
  <c r="H33" i="184"/>
  <c r="J33" i="184" s="1"/>
  <c r="H107" i="184"/>
  <c r="J107" i="184" s="1"/>
  <c r="H110" i="183"/>
  <c r="J110" i="183" s="1"/>
  <c r="H33" i="168"/>
  <c r="J33" i="168" s="1"/>
  <c r="H37" i="183"/>
  <c r="J37" i="183" s="1"/>
  <c r="H111" i="183"/>
  <c r="J111" i="183" s="1"/>
  <c r="H108" i="184"/>
  <c r="J108" i="184" s="1"/>
  <c r="H111" i="170"/>
  <c r="J111" i="170" s="1"/>
  <c r="J212" i="164"/>
  <c r="H26" i="185"/>
  <c r="J26" i="185" s="1"/>
  <c r="J30" i="185" s="1"/>
  <c r="H97" i="165"/>
  <c r="J97" i="165" s="1"/>
  <c r="H34" i="184"/>
  <c r="J34" i="184" s="1"/>
  <c r="H495" i="165"/>
  <c r="J495" i="165" s="1"/>
  <c r="H561" i="165"/>
  <c r="J561" i="165" s="1"/>
  <c r="H231" i="165"/>
  <c r="J231" i="165" s="1"/>
  <c r="H627" i="165"/>
  <c r="J627" i="165" s="1"/>
  <c r="H429" i="165"/>
  <c r="J429" i="165" s="1"/>
  <c r="H297" i="165"/>
  <c r="J297" i="165" s="1"/>
  <c r="H363" i="165"/>
  <c r="J363" i="165" s="1"/>
  <c r="H165" i="165"/>
  <c r="J165" i="165" s="1"/>
  <c r="H29" i="165"/>
  <c r="J29" i="165" s="1"/>
  <c r="H40" i="172"/>
  <c r="J40" i="172" s="1"/>
  <c r="H369" i="173"/>
  <c r="J369" i="173" s="1"/>
  <c r="H96" i="165"/>
  <c r="J96" i="165" s="1"/>
  <c r="H241" i="173"/>
  <c r="J241" i="173" s="1"/>
  <c r="J244" i="173" s="1"/>
  <c r="H494" i="173"/>
  <c r="J494" i="173" s="1"/>
  <c r="J496" i="173" s="1"/>
  <c r="H370" i="173"/>
  <c r="J370" i="173" s="1"/>
  <c r="H433" i="173"/>
  <c r="J433" i="173" s="1"/>
  <c r="J435" i="173" s="1"/>
  <c r="H164" i="165"/>
  <c r="H102" i="167"/>
  <c r="J102" i="167" s="1"/>
  <c r="H102" i="173"/>
  <c r="J102" i="173" s="1"/>
  <c r="H173" i="173"/>
  <c r="J173" i="173" s="1"/>
  <c r="H30" i="173"/>
  <c r="J30" i="173" s="1"/>
  <c r="H175" i="173"/>
  <c r="J175" i="173" s="1"/>
  <c r="H31" i="173"/>
  <c r="J31" i="173" s="1"/>
  <c r="H103" i="173"/>
  <c r="J103" i="173" s="1"/>
  <c r="H32" i="173"/>
  <c r="H28" i="165"/>
  <c r="J28" i="165" s="1"/>
  <c r="H31" i="174"/>
  <c r="J31" i="174" s="1"/>
  <c r="J37" i="174" s="1"/>
  <c r="H104" i="173"/>
  <c r="H31" i="180"/>
  <c r="J31" i="180" s="1"/>
  <c r="J37" i="180" s="1"/>
  <c r="H31" i="175"/>
  <c r="J31" i="175" s="1"/>
  <c r="J37" i="175" s="1"/>
  <c r="H37" i="172"/>
  <c r="J37" i="172" s="1"/>
  <c r="H35" i="169"/>
  <c r="J35" i="169" s="1"/>
  <c r="H35" i="170"/>
  <c r="J35" i="170" s="1"/>
  <c r="H35" i="167"/>
  <c r="J35" i="167" s="1"/>
  <c r="H37" i="170"/>
  <c r="J37" i="170" s="1"/>
  <c r="H37" i="167"/>
  <c r="J37" i="167" s="1"/>
  <c r="H34" i="171"/>
  <c r="J34" i="171" s="1"/>
  <c r="H37" i="169"/>
  <c r="J37" i="169" s="1"/>
  <c r="H34" i="170"/>
  <c r="J34" i="170" s="1"/>
  <c r="H34" i="169"/>
  <c r="J34" i="169" s="1"/>
  <c r="H31" i="168"/>
  <c r="J31" i="168" s="1"/>
  <c r="H33" i="171"/>
  <c r="J33" i="171" s="1"/>
  <c r="H34" i="167"/>
  <c r="J34" i="167" s="1"/>
  <c r="H36" i="169"/>
  <c r="J36" i="169" s="1"/>
  <c r="H36" i="170"/>
  <c r="J36" i="170" s="1"/>
  <c r="H36" i="167"/>
  <c r="I37" i="142"/>
  <c r="E37" i="142"/>
  <c r="J178" i="173" l="1"/>
  <c r="L178" i="173" s="1"/>
  <c r="EL16" i="26"/>
  <c r="EN13" i="26"/>
  <c r="J153" i="164"/>
  <c r="J216" i="164"/>
  <c r="J101" i="165"/>
  <c r="L101" i="165" s="1"/>
  <c r="J631" i="165"/>
  <c r="L631" i="165" s="1"/>
  <c r="J433" i="165"/>
  <c r="L433" i="165" s="1"/>
  <c r="J37" i="184"/>
  <c r="J114" i="170"/>
  <c r="J367" i="165"/>
  <c r="L367" i="165" s="1"/>
  <c r="J499" i="165"/>
  <c r="L499" i="165" s="1"/>
  <c r="J45" i="172"/>
  <c r="J301" i="165"/>
  <c r="L301" i="165" s="1"/>
  <c r="J40" i="183"/>
  <c r="J114" i="183"/>
  <c r="J235" i="165"/>
  <c r="L235" i="165" s="1"/>
  <c r="J111" i="184"/>
  <c r="J565" i="165"/>
  <c r="L565" i="165" s="1"/>
  <c r="J164" i="165"/>
  <c r="J169" i="165" s="1"/>
  <c r="L169" i="165" s="1"/>
  <c r="J37" i="168"/>
  <c r="L37" i="168" s="1"/>
  <c r="L435" i="173"/>
  <c r="L244" i="173"/>
  <c r="J372" i="173"/>
  <c r="J36" i="167"/>
  <c r="J40" i="167" s="1"/>
  <c r="J103" i="167"/>
  <c r="J106" i="167" s="1"/>
  <c r="J104" i="173"/>
  <c r="J108" i="173" s="1"/>
  <c r="L108" i="173" s="1"/>
  <c r="J32" i="173"/>
  <c r="J33" i="165"/>
  <c r="L33" i="165" s="1"/>
  <c r="J37" i="171"/>
  <c r="J40" i="169"/>
  <c r="L40" i="169" s="1"/>
  <c r="J40" i="170"/>
  <c r="G16" i="136"/>
  <c r="H75" i="22" s="1"/>
  <c r="L21" i="22" s="1"/>
  <c r="V21" i="22" s="1"/>
  <c r="C13" i="136"/>
  <c r="C16" i="136" s="1"/>
  <c r="L18" i="22" l="1"/>
  <c r="V18" i="22" s="1"/>
  <c r="L19" i="22"/>
  <c r="V19" i="22" s="1"/>
  <c r="L20" i="22"/>
  <c r="V20" i="22" s="1"/>
  <c r="L15" i="22"/>
  <c r="V15" i="22" s="1"/>
  <c r="L14" i="22"/>
  <c r="V14" i="22" s="1"/>
  <c r="L16" i="22"/>
  <c r="V16" i="22" s="1"/>
  <c r="J36" i="173"/>
  <c r="L36" i="173" s="1"/>
  <c r="R12" i="22"/>
  <c r="M36" i="22"/>
  <c r="W36" i="22" s="1"/>
  <c r="EN16" i="26"/>
  <c r="EP13" i="26"/>
  <c r="L524" i="164"/>
  <c r="L463" i="164"/>
  <c r="L216" i="164"/>
  <c r="C19" i="96"/>
  <c r="L372" i="173"/>
  <c r="L106" i="167"/>
  <c r="F78" i="22"/>
  <c r="F80" i="22"/>
  <c r="F77" i="22"/>
  <c r="F75" i="22"/>
  <c r="K21" i="22" s="1"/>
  <c r="F79" i="22"/>
  <c r="F83" i="22"/>
  <c r="F76" i="22"/>
  <c r="H77" i="22"/>
  <c r="H76" i="22"/>
  <c r="H78" i="22"/>
  <c r="H80" i="22"/>
  <c r="H82" i="22"/>
  <c r="H79" i="22"/>
  <c r="H83" i="22"/>
  <c r="K43" i="22" l="1"/>
  <c r="K51" i="22"/>
  <c r="K56" i="22"/>
  <c r="K55" i="22"/>
  <c r="K52" i="22"/>
  <c r="K54" i="22"/>
  <c r="K50" i="22"/>
  <c r="K57" i="22"/>
  <c r="K53" i="22"/>
  <c r="K58" i="22"/>
  <c r="K49" i="22"/>
  <c r="L43" i="22"/>
  <c r="V43" i="22" s="1"/>
  <c r="L56" i="22"/>
  <c r="V56" i="22" s="1"/>
  <c r="L52" i="22"/>
  <c r="V52" i="22" s="1"/>
  <c r="L55" i="22"/>
  <c r="V55" i="22" s="1"/>
  <c r="L51" i="22"/>
  <c r="V51" i="22" s="1"/>
  <c r="L50" i="22"/>
  <c r="V50" i="22" s="1"/>
  <c r="L57" i="22"/>
  <c r="V57" i="22" s="1"/>
  <c r="L53" i="22"/>
  <c r="V53" i="22" s="1"/>
  <c r="L54" i="22"/>
  <c r="V54" i="22" s="1"/>
  <c r="L49" i="22"/>
  <c r="V49" i="22" s="1"/>
  <c r="L58" i="22"/>
  <c r="V58" i="22" s="1"/>
  <c r="U43" i="22"/>
  <c r="K30" i="22"/>
  <c r="U30" i="22" s="1"/>
  <c r="K31" i="22"/>
  <c r="K32" i="22"/>
  <c r="L30" i="22"/>
  <c r="V30" i="22" s="1"/>
  <c r="L31" i="22"/>
  <c r="V31" i="22" s="1"/>
  <c r="L32" i="22"/>
  <c r="V32" i="22" s="1"/>
  <c r="K28" i="22"/>
  <c r="K29" i="22"/>
  <c r="L28" i="22"/>
  <c r="V28" i="22" s="1"/>
  <c r="L29" i="22"/>
  <c r="V29" i="22" s="1"/>
  <c r="K33" i="22"/>
  <c r="U33" i="22" s="1"/>
  <c r="K27" i="22"/>
  <c r="K26" i="22"/>
  <c r="K25" i="22"/>
  <c r="L33" i="22"/>
  <c r="V33" i="22" s="1"/>
  <c r="L25" i="22"/>
  <c r="V25" i="22" s="1"/>
  <c r="L26" i="22"/>
  <c r="V26" i="22" s="1"/>
  <c r="L27" i="22"/>
  <c r="V27" i="22" s="1"/>
  <c r="U21" i="22"/>
  <c r="K18" i="22"/>
  <c r="K19" i="22"/>
  <c r="K20" i="22"/>
  <c r="K15" i="22"/>
  <c r="K14" i="22"/>
  <c r="K16" i="22"/>
  <c r="R36" i="22"/>
  <c r="R45" i="22"/>
  <c r="M45" i="22"/>
  <c r="W45" i="22" s="1"/>
  <c r="R40" i="22"/>
  <c r="M40" i="22"/>
  <c r="W40" i="22" s="1"/>
  <c r="EP16" i="26"/>
  <c r="ER13" i="26"/>
  <c r="F82" i="22"/>
  <c r="L61" i="22"/>
  <c r="V61" i="22" s="1"/>
  <c r="L40" i="22"/>
  <c r="V40" i="22" s="1"/>
  <c r="L37" i="22"/>
  <c r="V37" i="22" s="1"/>
  <c r="L17" i="22"/>
  <c r="V17" i="22" s="1"/>
  <c r="L44" i="22"/>
  <c r="V44" i="22" s="1"/>
  <c r="L42" i="22"/>
  <c r="V42" i="22" s="1"/>
  <c r="L36" i="22"/>
  <c r="V36" i="22" s="1"/>
  <c r="L41" i="22"/>
  <c r="V41" i="22" s="1"/>
  <c r="L24" i="22"/>
  <c r="V24" i="22" s="1"/>
  <c r="L38" i="22"/>
  <c r="V38" i="22" s="1"/>
  <c r="L22" i="22"/>
  <c r="V22" i="22" s="1"/>
  <c r="L45" i="22"/>
  <c r="V45" i="22" s="1"/>
  <c r="L39" i="22"/>
  <c r="V39" i="22" s="1"/>
  <c r="L35" i="22"/>
  <c r="V35" i="22" s="1"/>
  <c r="L46" i="22"/>
  <c r="V46" i="22" s="1"/>
  <c r="K61" i="22"/>
  <c r="K46" i="22"/>
  <c r="K22" i="22"/>
  <c r="K17" i="22"/>
  <c r="K40" i="22"/>
  <c r="K37" i="22"/>
  <c r="K44" i="22"/>
  <c r="K45" i="22"/>
  <c r="K39" i="22"/>
  <c r="K36" i="22"/>
  <c r="K41" i="22"/>
  <c r="K24" i="22"/>
  <c r="K38" i="22"/>
  <c r="K42" i="22"/>
  <c r="K35" i="22"/>
  <c r="L60" i="22"/>
  <c r="V60" i="22" s="1"/>
  <c r="L62" i="22"/>
  <c r="V62" i="22" s="1"/>
  <c r="K62" i="22"/>
  <c r="K60" i="22"/>
  <c r="M12" i="22"/>
  <c r="W12" i="22" s="1"/>
  <c r="L12" i="22"/>
  <c r="V12" i="22" s="1"/>
  <c r="E75" i="22"/>
  <c r="N21" i="22" s="1"/>
  <c r="X21" i="22" s="1"/>
  <c r="Y21" i="22" s="1"/>
  <c r="K12" i="22"/>
  <c r="L13" i="22"/>
  <c r="L11" i="22"/>
  <c r="E53" i="142"/>
  <c r="U49" i="22" l="1"/>
  <c r="U54" i="22"/>
  <c r="V48" i="22"/>
  <c r="U52" i="22"/>
  <c r="U57" i="22"/>
  <c r="U55" i="22"/>
  <c r="V34" i="22"/>
  <c r="U56" i="22"/>
  <c r="U58" i="22"/>
  <c r="U53" i="22"/>
  <c r="U50" i="22"/>
  <c r="U51" i="22"/>
  <c r="U32" i="22"/>
  <c r="U31" i="22"/>
  <c r="V23" i="22"/>
  <c r="U29" i="22"/>
  <c r="U28" i="22"/>
  <c r="U25" i="22"/>
  <c r="U26" i="22"/>
  <c r="U27" i="22"/>
  <c r="T21" i="22"/>
  <c r="U20" i="22"/>
  <c r="N19" i="22"/>
  <c r="X19" i="22" s="1"/>
  <c r="N18" i="22"/>
  <c r="X18" i="22" s="1"/>
  <c r="N20" i="22"/>
  <c r="X20" i="22" s="1"/>
  <c r="U19" i="22"/>
  <c r="U18" i="22"/>
  <c r="N22" i="22"/>
  <c r="N15" i="22"/>
  <c r="X15" i="22" s="1"/>
  <c r="N14" i="22"/>
  <c r="X14" i="22" s="1"/>
  <c r="N16" i="22"/>
  <c r="X16" i="22" s="1"/>
  <c r="U16" i="22"/>
  <c r="U14" i="22"/>
  <c r="U15" i="22"/>
  <c r="R39" i="22"/>
  <c r="M39" i="22"/>
  <c r="W39" i="22" s="1"/>
  <c r="R17" i="22"/>
  <c r="M17" i="22"/>
  <c r="W17" i="22" s="1"/>
  <c r="R41" i="22"/>
  <c r="M41" i="22"/>
  <c r="W41" i="22" s="1"/>
  <c r="R22" i="22"/>
  <c r="M22" i="22"/>
  <c r="W22" i="22" s="1"/>
  <c r="R42" i="22"/>
  <c r="M42" i="22"/>
  <c r="W42" i="22" s="1"/>
  <c r="R44" i="22"/>
  <c r="M44" i="22"/>
  <c r="W44" i="22" s="1"/>
  <c r="ER16" i="26"/>
  <c r="ET13" i="26"/>
  <c r="U46" i="22"/>
  <c r="U40" i="22"/>
  <c r="U38" i="22"/>
  <c r="U35" i="22"/>
  <c r="U24" i="22"/>
  <c r="U45" i="22"/>
  <c r="U17" i="22"/>
  <c r="U61" i="22"/>
  <c r="U37" i="22"/>
  <c r="U41" i="22"/>
  <c r="U44" i="22"/>
  <c r="U39" i="22"/>
  <c r="U42" i="22"/>
  <c r="U36" i="22"/>
  <c r="U22" i="22"/>
  <c r="U62" i="22"/>
  <c r="U60" i="22"/>
  <c r="L586" i="164"/>
  <c r="U12" i="22"/>
  <c r="W34" i="22" l="1"/>
  <c r="U34" i="22"/>
  <c r="U48" i="22"/>
  <c r="T16" i="22"/>
  <c r="U23" i="22"/>
  <c r="Y19" i="22"/>
  <c r="Y20" i="22"/>
  <c r="T18" i="22"/>
  <c r="T19" i="22"/>
  <c r="T15" i="22"/>
  <c r="Y15" i="22"/>
  <c r="T14" i="22"/>
  <c r="Y18" i="22"/>
  <c r="T20" i="22"/>
  <c r="Y16" i="22"/>
  <c r="Y14" i="22"/>
  <c r="ET16" i="26"/>
  <c r="EV13" i="26"/>
  <c r="E83" i="140"/>
  <c r="E84" i="140"/>
  <c r="E85" i="140"/>
  <c r="E86" i="140"/>
  <c r="E87" i="140"/>
  <c r="E88" i="140"/>
  <c r="E89" i="140"/>
  <c r="E90" i="140"/>
  <c r="E91" i="140"/>
  <c r="E92" i="140"/>
  <c r="E93" i="140"/>
  <c r="E94" i="140"/>
  <c r="E95" i="140"/>
  <c r="E96" i="140"/>
  <c r="E97" i="140"/>
  <c r="E98" i="140"/>
  <c r="E99" i="140"/>
  <c r="E100" i="140"/>
  <c r="E101" i="140"/>
  <c r="E102" i="140"/>
  <c r="E103" i="140"/>
  <c r="E104" i="140"/>
  <c r="E105" i="140"/>
  <c r="E106" i="140"/>
  <c r="E107" i="140"/>
  <c r="E108" i="140"/>
  <c r="E109" i="140"/>
  <c r="E110" i="140"/>
  <c r="E111" i="140"/>
  <c r="E112" i="140"/>
  <c r="E113" i="140"/>
  <c r="E114" i="140"/>
  <c r="E115" i="140"/>
  <c r="E116" i="140"/>
  <c r="E117" i="140"/>
  <c r="E118" i="140"/>
  <c r="E119" i="140"/>
  <c r="E120" i="140"/>
  <c r="E121" i="140"/>
  <c r="E122" i="140"/>
  <c r="E123" i="140"/>
  <c r="E124" i="140"/>
  <c r="E125" i="140"/>
  <c r="E126" i="140"/>
  <c r="E127" i="140"/>
  <c r="E128" i="140"/>
  <c r="E129" i="140"/>
  <c r="E130" i="140"/>
  <c r="E131" i="140"/>
  <c r="E132" i="140"/>
  <c r="E133" i="140"/>
  <c r="E134" i="140"/>
  <c r="E135" i="140"/>
  <c r="E136" i="140"/>
  <c r="E137" i="140"/>
  <c r="E138" i="140"/>
  <c r="E139" i="140"/>
  <c r="E140" i="140"/>
  <c r="E141" i="140"/>
  <c r="E142" i="140"/>
  <c r="E143" i="140"/>
  <c r="E144" i="140"/>
  <c r="E145" i="140"/>
  <c r="E146" i="140"/>
  <c r="E147" i="140"/>
  <c r="E148" i="140"/>
  <c r="E149" i="140"/>
  <c r="E150" i="140"/>
  <c r="E151" i="140"/>
  <c r="E152" i="140"/>
  <c r="E153" i="140"/>
  <c r="E154" i="140"/>
  <c r="E155" i="140"/>
  <c r="E156" i="140"/>
  <c r="E157" i="140"/>
  <c r="E158" i="140"/>
  <c r="E159" i="140"/>
  <c r="E160" i="140"/>
  <c r="E161" i="140"/>
  <c r="E162" i="140"/>
  <c r="E163" i="140"/>
  <c r="E164" i="140"/>
  <c r="E165" i="140"/>
  <c r="E166" i="140"/>
  <c r="E167" i="140"/>
  <c r="E168" i="140"/>
  <c r="E169" i="140"/>
  <c r="E170" i="140"/>
  <c r="E171" i="140"/>
  <c r="E172" i="140"/>
  <c r="E173" i="140"/>
  <c r="E174" i="140"/>
  <c r="E175" i="140"/>
  <c r="E176" i="140"/>
  <c r="E177" i="140"/>
  <c r="E178" i="140"/>
  <c r="E179" i="140"/>
  <c r="E180" i="140"/>
  <c r="E181" i="140"/>
  <c r="E182" i="140"/>
  <c r="E183" i="140"/>
  <c r="E184" i="140"/>
  <c r="E185" i="140"/>
  <c r="E186" i="140"/>
  <c r="E187" i="140"/>
  <c r="E188" i="140"/>
  <c r="E189" i="140"/>
  <c r="E190" i="140"/>
  <c r="E191" i="140"/>
  <c r="E192" i="140"/>
  <c r="E193" i="140"/>
  <c r="E194" i="140"/>
  <c r="E195" i="140"/>
  <c r="E196" i="140"/>
  <c r="E197" i="140"/>
  <c r="E198" i="140"/>
  <c r="E199" i="140"/>
  <c r="E200" i="140"/>
  <c r="E201" i="140"/>
  <c r="E202" i="140"/>
  <c r="E203" i="140"/>
  <c r="E204" i="140"/>
  <c r="E205" i="140"/>
  <c r="E206" i="140"/>
  <c r="E207" i="140"/>
  <c r="E208" i="140"/>
  <c r="E209" i="140"/>
  <c r="E210" i="140"/>
  <c r="E211" i="140"/>
  <c r="E212" i="140"/>
  <c r="E213" i="140"/>
  <c r="E214" i="140"/>
  <c r="E215" i="140"/>
  <c r="E216" i="140"/>
  <c r="E217" i="140"/>
  <c r="E218" i="140"/>
  <c r="E219" i="140"/>
  <c r="E220" i="140"/>
  <c r="E221" i="140"/>
  <c r="E222" i="140"/>
  <c r="E223" i="140"/>
  <c r="E224" i="140"/>
  <c r="E225" i="140"/>
  <c r="E226" i="140"/>
  <c r="E227" i="140"/>
  <c r="E228" i="140"/>
  <c r="E229" i="140"/>
  <c r="E230" i="140"/>
  <c r="E231" i="140"/>
  <c r="E232" i="140"/>
  <c r="E233" i="140"/>
  <c r="E234" i="140"/>
  <c r="E235" i="140"/>
  <c r="E236" i="140"/>
  <c r="E237" i="140"/>
  <c r="E238" i="140"/>
  <c r="E239" i="140"/>
  <c r="E240" i="140"/>
  <c r="E241" i="140"/>
  <c r="E242" i="140"/>
  <c r="E243" i="140"/>
  <c r="E244" i="140"/>
  <c r="E245" i="140"/>
  <c r="E246" i="140"/>
  <c r="E247" i="140"/>
  <c r="E248" i="140"/>
  <c r="E249" i="140"/>
  <c r="E250" i="140"/>
  <c r="E251" i="140"/>
  <c r="E252" i="140"/>
  <c r="E253" i="140"/>
  <c r="E254" i="140"/>
  <c r="E255" i="140"/>
  <c r="E256" i="140"/>
  <c r="E257" i="140"/>
  <c r="E258" i="140"/>
  <c r="E259" i="140"/>
  <c r="E260" i="140"/>
  <c r="E261" i="140"/>
  <c r="E262" i="140"/>
  <c r="E263" i="140"/>
  <c r="E264" i="140"/>
  <c r="E265" i="140"/>
  <c r="E266" i="140"/>
  <c r="E267" i="140"/>
  <c r="E268" i="140"/>
  <c r="E269" i="140"/>
  <c r="E270" i="140"/>
  <c r="E271" i="140"/>
  <c r="E272" i="140"/>
  <c r="E273" i="140"/>
  <c r="E274" i="140"/>
  <c r="E275" i="140"/>
  <c r="E276" i="140"/>
  <c r="E277" i="140"/>
  <c r="E278" i="140"/>
  <c r="E279" i="140"/>
  <c r="E280" i="140"/>
  <c r="E281" i="140"/>
  <c r="E282" i="140"/>
  <c r="E283" i="140"/>
  <c r="E284" i="140"/>
  <c r="E285" i="140"/>
  <c r="E286" i="140"/>
  <c r="E287" i="140"/>
  <c r="E288" i="140"/>
  <c r="E289" i="140"/>
  <c r="E290" i="140"/>
  <c r="E291" i="140"/>
  <c r="E292" i="140"/>
  <c r="E293" i="140"/>
  <c r="E294" i="140"/>
  <c r="E295" i="140"/>
  <c r="E296" i="140"/>
  <c r="E297" i="140"/>
  <c r="E298" i="140"/>
  <c r="E299" i="140"/>
  <c r="E300" i="140"/>
  <c r="E301" i="140"/>
  <c r="E302" i="140"/>
  <c r="E303" i="140"/>
  <c r="E304" i="140"/>
  <c r="E305" i="140"/>
  <c r="E306" i="140"/>
  <c r="E307" i="140"/>
  <c r="E308" i="140"/>
  <c r="E309" i="140"/>
  <c r="E310" i="140"/>
  <c r="E311" i="140"/>
  <c r="E312" i="140"/>
  <c r="E313" i="140"/>
  <c r="E314" i="140"/>
  <c r="E315" i="140"/>
  <c r="E316" i="140"/>
  <c r="E317" i="140"/>
  <c r="E318" i="140"/>
  <c r="E319" i="140"/>
  <c r="E320" i="140"/>
  <c r="E321" i="140"/>
  <c r="E322" i="140"/>
  <c r="E323" i="140"/>
  <c r="E324" i="140"/>
  <c r="E325" i="140"/>
  <c r="E326" i="140"/>
  <c r="E327" i="140"/>
  <c r="E328" i="140"/>
  <c r="E329" i="140"/>
  <c r="E330" i="140"/>
  <c r="E331" i="140"/>
  <c r="E332" i="140"/>
  <c r="E333" i="140"/>
  <c r="E334" i="140"/>
  <c r="E335" i="140"/>
  <c r="E336" i="140"/>
  <c r="E337" i="140"/>
  <c r="E338" i="140"/>
  <c r="E339" i="140"/>
  <c r="E340" i="140"/>
  <c r="E341" i="140"/>
  <c r="E342" i="140"/>
  <c r="E343" i="140"/>
  <c r="E344" i="140"/>
  <c r="E345" i="140"/>
  <c r="E346" i="140"/>
  <c r="E347" i="140"/>
  <c r="E348" i="140"/>
  <c r="E349" i="140"/>
  <c r="E350" i="140"/>
  <c r="E351" i="140"/>
  <c r="E352" i="140"/>
  <c r="E353" i="140"/>
  <c r="E354" i="140"/>
  <c r="E355" i="140"/>
  <c r="E356" i="140"/>
  <c r="E357" i="140"/>
  <c r="E358" i="140"/>
  <c r="E359" i="140"/>
  <c r="E360" i="140"/>
  <c r="E361" i="140"/>
  <c r="E362" i="140"/>
  <c r="E363" i="140"/>
  <c r="E364" i="140"/>
  <c r="E365" i="140"/>
  <c r="E366" i="140"/>
  <c r="E367" i="140"/>
  <c r="E368" i="140"/>
  <c r="E369" i="140"/>
  <c r="E370" i="140"/>
  <c r="E371" i="140"/>
  <c r="E372" i="140"/>
  <c r="E373" i="140"/>
  <c r="E374" i="140"/>
  <c r="E375" i="140"/>
  <c r="E376" i="140"/>
  <c r="E377" i="140"/>
  <c r="E378" i="140"/>
  <c r="E379" i="140"/>
  <c r="E380" i="140"/>
  <c r="E381" i="140"/>
  <c r="E382" i="140"/>
  <c r="E383" i="140"/>
  <c r="E384" i="140"/>
  <c r="E385" i="140"/>
  <c r="E386" i="140"/>
  <c r="E387" i="140"/>
  <c r="E388" i="140"/>
  <c r="E389" i="140"/>
  <c r="E390" i="140"/>
  <c r="E391" i="140"/>
  <c r="E392" i="140"/>
  <c r="E393" i="140"/>
  <c r="E394" i="140"/>
  <c r="E395" i="140"/>
  <c r="E396" i="140"/>
  <c r="E397" i="140"/>
  <c r="E398" i="140"/>
  <c r="E399" i="140"/>
  <c r="E400" i="140"/>
  <c r="E401" i="140"/>
  <c r="E402" i="140"/>
  <c r="E403" i="140"/>
  <c r="E404" i="140"/>
  <c r="E405" i="140"/>
  <c r="E406" i="140"/>
  <c r="E407" i="140"/>
  <c r="E408" i="140"/>
  <c r="E409" i="140"/>
  <c r="E410" i="140"/>
  <c r="E411" i="140"/>
  <c r="E412" i="140"/>
  <c r="E413" i="140"/>
  <c r="E414" i="140"/>
  <c r="E415" i="140"/>
  <c r="E416" i="140"/>
  <c r="E417" i="140"/>
  <c r="E418" i="140"/>
  <c r="E419" i="140"/>
  <c r="E420" i="140"/>
  <c r="E421" i="140"/>
  <c r="E422" i="140"/>
  <c r="E423" i="140"/>
  <c r="E424" i="140"/>
  <c r="E425" i="140"/>
  <c r="E426" i="140"/>
  <c r="E427" i="140"/>
  <c r="E428" i="140"/>
  <c r="E429" i="140"/>
  <c r="E430" i="140"/>
  <c r="E431" i="140"/>
  <c r="E432" i="140"/>
  <c r="E433" i="140"/>
  <c r="E434" i="140"/>
  <c r="E435" i="140"/>
  <c r="E436" i="140"/>
  <c r="E437" i="140"/>
  <c r="E438" i="140"/>
  <c r="E439" i="140"/>
  <c r="E440" i="140"/>
  <c r="E441" i="140"/>
  <c r="E442" i="140"/>
  <c r="E443" i="140"/>
  <c r="E444" i="140"/>
  <c r="E445" i="140"/>
  <c r="E446" i="140"/>
  <c r="E447" i="140"/>
  <c r="E448" i="140"/>
  <c r="E449" i="140"/>
  <c r="E450" i="140"/>
  <c r="E451" i="140"/>
  <c r="E452" i="140"/>
  <c r="E453" i="140"/>
  <c r="E454" i="140"/>
  <c r="E455" i="140"/>
  <c r="E456" i="140"/>
  <c r="E457" i="140"/>
  <c r="E458" i="140"/>
  <c r="E459" i="140"/>
  <c r="E460" i="140"/>
  <c r="E461" i="140"/>
  <c r="E462" i="140"/>
  <c r="E463" i="140"/>
  <c r="E464" i="140"/>
  <c r="E465" i="140"/>
  <c r="E466" i="140"/>
  <c r="E467" i="140"/>
  <c r="E468" i="140"/>
  <c r="E469" i="140"/>
  <c r="E470" i="140"/>
  <c r="E471" i="140"/>
  <c r="E472" i="140"/>
  <c r="E473" i="140"/>
  <c r="E474" i="140"/>
  <c r="E475" i="140"/>
  <c r="E476" i="140"/>
  <c r="E477" i="140"/>
  <c r="E478" i="140"/>
  <c r="E479" i="140"/>
  <c r="E480" i="140"/>
  <c r="E481" i="140"/>
  <c r="E482" i="140"/>
  <c r="E483" i="140"/>
  <c r="E484" i="140"/>
  <c r="E485" i="140"/>
  <c r="E486" i="140"/>
  <c r="E487" i="140"/>
  <c r="E488" i="140"/>
  <c r="E489" i="140"/>
  <c r="E490" i="140"/>
  <c r="E491" i="140"/>
  <c r="E492" i="140"/>
  <c r="E493" i="140"/>
  <c r="E494" i="140"/>
  <c r="E495" i="140"/>
  <c r="E496" i="140"/>
  <c r="E497" i="140"/>
  <c r="E498" i="140"/>
  <c r="E499" i="140"/>
  <c r="E500" i="140"/>
  <c r="E501" i="140"/>
  <c r="I59" i="142"/>
  <c r="I53" i="142"/>
  <c r="I47" i="142"/>
  <c r="H45" i="142"/>
  <c r="D45" i="142"/>
  <c r="E59" i="142"/>
  <c r="E47" i="142"/>
  <c r="EV16" i="26" l="1"/>
  <c r="EX13" i="26"/>
  <c r="J167" i="181"/>
  <c r="I362" i="178"/>
  <c r="J362" i="178" s="1"/>
  <c r="J363" i="178" s="1"/>
  <c r="J297" i="181"/>
  <c r="J102" i="178"/>
  <c r="J37" i="181"/>
  <c r="I296" i="178"/>
  <c r="J296" i="178" s="1"/>
  <c r="J297" i="178" s="1"/>
  <c r="J102" i="181"/>
  <c r="J42" i="180"/>
  <c r="J232" i="178"/>
  <c r="J232" i="181"/>
  <c r="J42" i="179"/>
  <c r="J167" i="178"/>
  <c r="J37" i="178"/>
  <c r="J365" i="181"/>
  <c r="J169" i="177"/>
  <c r="J41" i="173"/>
  <c r="J45" i="170"/>
  <c r="J42" i="175"/>
  <c r="J113" i="173"/>
  <c r="J102" i="177"/>
  <c r="J42" i="171"/>
  <c r="J42" i="168"/>
  <c r="J35" i="177"/>
  <c r="J42" i="174"/>
  <c r="J38" i="165"/>
  <c r="J50" i="172"/>
  <c r="J45" i="169"/>
  <c r="J45" i="167"/>
  <c r="J158" i="164"/>
  <c r="EX16" i="26" l="1"/>
  <c r="EZ13" i="26"/>
  <c r="I25" i="142"/>
  <c r="E25" i="142"/>
  <c r="I14" i="142"/>
  <c r="E14" i="142"/>
  <c r="EZ16" i="26" l="1"/>
  <c r="FB13" i="26"/>
  <c r="D44" i="142"/>
  <c r="E43" i="142" s="1"/>
  <c r="D10" i="142" s="1"/>
  <c r="H44" i="142"/>
  <c r="I43" i="142" s="1"/>
  <c r="FB16" i="26" l="1"/>
  <c r="FD13" i="26"/>
  <c r="E6" i="140"/>
  <c r="E21" i="140"/>
  <c r="E53" i="140"/>
  <c r="E66" i="140"/>
  <c r="E32" i="140"/>
  <c r="E26" i="140"/>
  <c r="E18" i="140"/>
  <c r="E62" i="140"/>
  <c r="E29" i="140"/>
  <c r="E9" i="140"/>
  <c r="E51" i="140"/>
  <c r="E14" i="140"/>
  <c r="E31" i="140"/>
  <c r="E50" i="140"/>
  <c r="E17" i="140"/>
  <c r="E15" i="140"/>
  <c r="E63" i="140"/>
  <c r="E65" i="140"/>
  <c r="E52" i="140"/>
  <c r="E7" i="140"/>
  <c r="E13" i="140"/>
  <c r="E27" i="140"/>
  <c r="E30" i="140"/>
  <c r="E44" i="140"/>
  <c r="E43" i="140"/>
  <c r="E45" i="140"/>
  <c r="E10" i="140"/>
  <c r="E46" i="140"/>
  <c r="E48" i="140"/>
  <c r="E16" i="140"/>
  <c r="E42" i="140"/>
  <c r="E49" i="140"/>
  <c r="E47" i="140"/>
  <c r="E23" i="140"/>
  <c r="E54" i="140"/>
  <c r="E22" i="140"/>
  <c r="E24" i="140"/>
  <c r="E19" i="140"/>
  <c r="E11" i="140"/>
  <c r="E12" i="140"/>
  <c r="E8" i="140"/>
  <c r="E20" i="140"/>
  <c r="E25" i="140"/>
  <c r="E64" i="140"/>
  <c r="E5" i="140"/>
  <c r="E41" i="140"/>
  <c r="J2149" i="190" l="1"/>
  <c r="J2204" i="190"/>
  <c r="J2093" i="190"/>
  <c r="I1220" i="190"/>
  <c r="J1220" i="190" s="1"/>
  <c r="J1929" i="190"/>
  <c r="J1931" i="190" s="1"/>
  <c r="J1933" i="190" s="1"/>
  <c r="J1945" i="190" s="1"/>
  <c r="J1959" i="190" s="1"/>
  <c r="I1165" i="190"/>
  <c r="J1165" i="190" s="1"/>
  <c r="I1110" i="190"/>
  <c r="J1110" i="190" s="1"/>
  <c r="I1275" i="190"/>
  <c r="J1275" i="190" s="1"/>
  <c r="I1055" i="190"/>
  <c r="J1055" i="190" s="1"/>
  <c r="I638" i="164"/>
  <c r="J638" i="164" s="1"/>
  <c r="I576" i="164"/>
  <c r="J576" i="164" s="1"/>
  <c r="I700" i="164"/>
  <c r="J700" i="164" s="1"/>
  <c r="I514" i="164"/>
  <c r="J514" i="164" s="1"/>
  <c r="I452" i="164"/>
  <c r="J452" i="164" s="1"/>
  <c r="I709" i="190"/>
  <c r="J709" i="190" s="1"/>
  <c r="I592" i="190"/>
  <c r="J592" i="190" s="1"/>
  <c r="I136" i="190"/>
  <c r="J136" i="190" s="1"/>
  <c r="L136" i="190" s="1"/>
  <c r="I327" i="164"/>
  <c r="J327" i="164" s="1"/>
  <c r="I390" i="164"/>
  <c r="J390" i="164" s="1"/>
  <c r="I590" i="190"/>
  <c r="J590" i="190" s="1"/>
  <c r="I707" i="190"/>
  <c r="J707" i="190" s="1"/>
  <c r="I134" i="190"/>
  <c r="J134" i="190" s="1"/>
  <c r="I574" i="164"/>
  <c r="J574" i="164" s="1"/>
  <c r="J577" i="164" s="1"/>
  <c r="J579" i="164" s="1"/>
  <c r="J592" i="164" s="1"/>
  <c r="J606" i="164" s="1"/>
  <c r="J608" i="164" s="1"/>
  <c r="J610" i="164" s="1"/>
  <c r="I37" i="22" s="1"/>
  <c r="I698" i="164"/>
  <c r="J698" i="164" s="1"/>
  <c r="J701" i="164" s="1"/>
  <c r="J703" i="164" s="1"/>
  <c r="J716" i="164" s="1"/>
  <c r="J730" i="164" s="1"/>
  <c r="J732" i="164" s="1"/>
  <c r="J734" i="164" s="1"/>
  <c r="I39" i="22" s="1"/>
  <c r="I512" i="164"/>
  <c r="J512" i="164" s="1"/>
  <c r="J515" i="164" s="1"/>
  <c r="J517" i="164" s="1"/>
  <c r="J530" i="164" s="1"/>
  <c r="J544" i="164" s="1"/>
  <c r="J546" i="164" s="1"/>
  <c r="J548" i="164" s="1"/>
  <c r="I36" i="22" s="1"/>
  <c r="I636" i="164"/>
  <c r="J636" i="164" s="1"/>
  <c r="J639" i="164" s="1"/>
  <c r="J641" i="164" s="1"/>
  <c r="J654" i="164" s="1"/>
  <c r="J668" i="164" s="1"/>
  <c r="J670" i="164" s="1"/>
  <c r="J672" i="164" s="1"/>
  <c r="I38" i="22" s="1"/>
  <c r="I450" i="164"/>
  <c r="J450" i="164" s="1"/>
  <c r="J453" i="164" s="1"/>
  <c r="J455" i="164" s="1"/>
  <c r="J468" i="164" s="1"/>
  <c r="J482" i="164" s="1"/>
  <c r="J484" i="164" s="1"/>
  <c r="J486" i="164" s="1"/>
  <c r="I35" i="22" s="1"/>
  <c r="I388" i="164"/>
  <c r="J388" i="164" s="1"/>
  <c r="J391" i="164" s="1"/>
  <c r="J393" i="164" s="1"/>
  <c r="J406" i="164" s="1"/>
  <c r="J420" i="164" s="1"/>
  <c r="J422" i="164" s="1"/>
  <c r="J424" i="164" s="1"/>
  <c r="I30" i="22" s="1"/>
  <c r="I325" i="164"/>
  <c r="J325" i="164" s="1"/>
  <c r="J328" i="164" s="1"/>
  <c r="J330" i="164" s="1"/>
  <c r="J344" i="164" s="1"/>
  <c r="J358" i="164" s="1"/>
  <c r="J360" i="164" s="1"/>
  <c r="J362" i="164" s="1"/>
  <c r="I23" i="184"/>
  <c r="J23" i="184" s="1"/>
  <c r="I75" i="190"/>
  <c r="J75" i="190" s="1"/>
  <c r="J78" i="190" s="1"/>
  <c r="J80" i="190" s="1"/>
  <c r="J94" i="190" s="1"/>
  <c r="I17" i="190"/>
  <c r="J17" i="190" s="1"/>
  <c r="J20" i="190" s="1"/>
  <c r="J22" i="190" s="1"/>
  <c r="J36" i="190" s="1"/>
  <c r="I79" i="164"/>
  <c r="J79" i="164" s="1"/>
  <c r="J82" i="164" s="1"/>
  <c r="J84" i="164" s="1"/>
  <c r="J98" i="164" s="1"/>
  <c r="J112" i="164" s="1"/>
  <c r="J114" i="164" s="1"/>
  <c r="J116" i="164" s="1"/>
  <c r="I12" i="22" s="1"/>
  <c r="N12" i="22" s="1"/>
  <c r="J2096" i="190"/>
  <c r="J2207" i="190"/>
  <c r="J2206" i="190"/>
  <c r="J1984" i="190"/>
  <c r="J2151" i="190"/>
  <c r="J2039" i="190"/>
  <c r="J2095" i="190"/>
  <c r="J2037" i="190"/>
  <c r="J1982" i="190"/>
  <c r="J1818" i="190"/>
  <c r="J1820" i="190" s="1"/>
  <c r="J1822" i="190" s="1"/>
  <c r="J1834" i="190" s="1"/>
  <c r="J1849" i="190" s="1"/>
  <c r="J2094" i="190"/>
  <c r="J1983" i="190"/>
  <c r="J2150" i="190"/>
  <c r="J2038" i="190"/>
  <c r="J1874" i="190"/>
  <c r="J1876" i="190" s="1"/>
  <c r="J1878" i="190" s="1"/>
  <c r="J1891" i="190" s="1"/>
  <c r="J1906" i="190" s="1"/>
  <c r="J2205" i="190"/>
  <c r="I1526" i="164"/>
  <c r="J1526" i="164" s="1"/>
  <c r="I1461" i="164"/>
  <c r="J1461" i="164" s="1"/>
  <c r="I1101" i="164"/>
  <c r="J1101" i="164" s="1"/>
  <c r="I1528" i="164"/>
  <c r="J1528" i="164" s="1"/>
  <c r="I1593" i="164"/>
  <c r="J1593" i="164" s="1"/>
  <c r="I1658" i="164"/>
  <c r="J1658" i="164" s="1"/>
  <c r="I1723" i="164"/>
  <c r="J1723" i="164" s="1"/>
  <c r="I1788" i="164"/>
  <c r="J1788" i="164" s="1"/>
  <c r="I1463" i="164"/>
  <c r="J1463" i="164" s="1"/>
  <c r="I1527" i="164"/>
  <c r="J1527" i="164" s="1"/>
  <c r="I1462" i="164"/>
  <c r="J1462" i="164" s="1"/>
  <c r="I1592" i="164"/>
  <c r="J1592" i="164" s="1"/>
  <c r="I1657" i="164"/>
  <c r="J1657" i="164" s="1"/>
  <c r="I1722" i="164"/>
  <c r="J1722" i="164" s="1"/>
  <c r="I1787" i="164"/>
  <c r="J1787" i="164" s="1"/>
  <c r="I1335" i="164"/>
  <c r="J1335" i="164" s="1"/>
  <c r="J1338" i="164" s="1"/>
  <c r="J1340" i="164" s="1"/>
  <c r="J1354" i="164" s="1"/>
  <c r="J1373" i="164" s="1"/>
  <c r="J1375" i="164" s="1"/>
  <c r="J1377" i="164" s="1"/>
  <c r="I1100" i="164"/>
  <c r="J1100" i="164" s="1"/>
  <c r="I1030" i="164"/>
  <c r="J1030" i="164" s="1"/>
  <c r="J1033" i="164" s="1"/>
  <c r="J1035" i="164" s="1"/>
  <c r="J1049" i="164" s="1"/>
  <c r="J1071" i="164" s="1"/>
  <c r="J1073" i="164" s="1"/>
  <c r="J1075" i="164" s="1"/>
  <c r="I1591" i="164"/>
  <c r="J1591" i="164" s="1"/>
  <c r="I1656" i="164"/>
  <c r="J1656" i="164" s="1"/>
  <c r="I1721" i="164"/>
  <c r="J1721" i="164" s="1"/>
  <c r="I1786" i="164"/>
  <c r="J1786" i="164" s="1"/>
  <c r="I1594" i="164"/>
  <c r="J1594" i="164" s="1"/>
  <c r="I1659" i="164"/>
  <c r="J1659" i="164" s="1"/>
  <c r="I1724" i="164"/>
  <c r="J1724" i="164" s="1"/>
  <c r="I1789" i="164"/>
  <c r="J1789" i="164" s="1"/>
  <c r="I1529" i="164"/>
  <c r="J1529" i="164" s="1"/>
  <c r="I1464" i="164"/>
  <c r="J1464" i="164" s="1"/>
  <c r="I293" i="173"/>
  <c r="J293" i="173" s="1"/>
  <c r="I162" i="173"/>
  <c r="J162" i="173" s="1"/>
  <c r="I90" i="173"/>
  <c r="J90" i="173" s="1"/>
  <c r="I230" i="173"/>
  <c r="J230" i="173" s="1"/>
  <c r="I18" i="173"/>
  <c r="J18" i="173" s="1"/>
  <c r="I295" i="173"/>
  <c r="J295" i="173" s="1"/>
  <c r="I232" i="173"/>
  <c r="J232" i="173" s="1"/>
  <c r="I92" i="173"/>
  <c r="J92" i="173" s="1"/>
  <c r="I164" i="173"/>
  <c r="J164" i="173" s="1"/>
  <c r="I20" i="173"/>
  <c r="J20" i="173" s="1"/>
  <c r="I1402" i="164"/>
  <c r="J1402" i="164" s="1"/>
  <c r="J1404" i="164" s="1"/>
  <c r="J1406" i="164" s="1"/>
  <c r="I294" i="173"/>
  <c r="I231" i="173"/>
  <c r="J231" i="173" s="1"/>
  <c r="I163" i="173"/>
  <c r="J163" i="173" s="1"/>
  <c r="I91" i="173"/>
  <c r="J91" i="173" s="1"/>
  <c r="I19" i="173"/>
  <c r="J19" i="173" s="1"/>
  <c r="FD16" i="26"/>
  <c r="FF13" i="26"/>
  <c r="I827" i="164"/>
  <c r="J827" i="164" s="1"/>
  <c r="I761" i="164"/>
  <c r="J761" i="164" s="1"/>
  <c r="I828" i="164"/>
  <c r="J828" i="164" s="1"/>
  <c r="I309" i="169"/>
  <c r="J309" i="169" s="1"/>
  <c r="J313" i="169" s="1"/>
  <c r="J315" i="169" s="1"/>
  <c r="J328" i="169" s="1"/>
  <c r="J342" i="169" s="1"/>
  <c r="J344" i="169" s="1"/>
  <c r="J346" i="169" s="1"/>
  <c r="I1267" i="164"/>
  <c r="J1267" i="164" s="1"/>
  <c r="J1270" i="164" s="1"/>
  <c r="J1272" i="164" s="1"/>
  <c r="J1286" i="164" s="1"/>
  <c r="J1305" i="164" s="1"/>
  <c r="J1307" i="164" s="1"/>
  <c r="J1309" i="164" s="1"/>
  <c r="I959" i="164"/>
  <c r="J959" i="164" s="1"/>
  <c r="J962" i="164" s="1"/>
  <c r="J964" i="164" s="1"/>
  <c r="J978" i="164" s="1"/>
  <c r="I892" i="164"/>
  <c r="J892" i="164" s="1"/>
  <c r="J895" i="164" s="1"/>
  <c r="J897" i="164" s="1"/>
  <c r="J911" i="164" s="1"/>
  <c r="J929" i="164" s="1"/>
  <c r="J931" i="164" s="1"/>
  <c r="J933" i="164" s="1"/>
  <c r="I759" i="164"/>
  <c r="J759" i="164" s="1"/>
  <c r="I825" i="164"/>
  <c r="J825" i="164" s="1"/>
  <c r="I17" i="164"/>
  <c r="J17" i="164" s="1"/>
  <c r="J20" i="164" s="1"/>
  <c r="I167" i="169"/>
  <c r="J167" i="169" s="1"/>
  <c r="I94" i="169"/>
  <c r="J94" i="169" s="1"/>
  <c r="I240" i="169"/>
  <c r="J240" i="169" s="1"/>
  <c r="I166" i="169"/>
  <c r="J166" i="169" s="1"/>
  <c r="I93" i="169"/>
  <c r="J93" i="169" s="1"/>
  <c r="I239" i="169"/>
  <c r="J239" i="169" s="1"/>
  <c r="I203" i="164"/>
  <c r="J203" i="164" s="1"/>
  <c r="I241" i="169"/>
  <c r="J241" i="169" s="1"/>
  <c r="I168" i="169"/>
  <c r="J168" i="169" s="1"/>
  <c r="I95" i="169"/>
  <c r="J95" i="169" s="1"/>
  <c r="I171" i="169"/>
  <c r="J171" i="169" s="1"/>
  <c r="I98" i="169"/>
  <c r="J98" i="169" s="1"/>
  <c r="I244" i="169"/>
  <c r="J244" i="169" s="1"/>
  <c r="I762" i="164"/>
  <c r="J762" i="164" s="1"/>
  <c r="I205" i="164"/>
  <c r="J205" i="164" s="1"/>
  <c r="I144" i="164"/>
  <c r="J144" i="164" s="1"/>
  <c r="L144" i="164" s="1"/>
  <c r="I486" i="173"/>
  <c r="J486" i="173" s="1"/>
  <c r="I18" i="185"/>
  <c r="J18" i="185" s="1"/>
  <c r="J21" i="185" s="1"/>
  <c r="I92" i="184"/>
  <c r="J92" i="184" s="1"/>
  <c r="I91" i="184"/>
  <c r="J91" i="184" s="1"/>
  <c r="I20" i="184"/>
  <c r="J20" i="184" s="1"/>
  <c r="I93" i="184"/>
  <c r="J93" i="184" s="1"/>
  <c r="I96" i="184"/>
  <c r="J96" i="184" s="1"/>
  <c r="I22" i="184"/>
  <c r="J22" i="184" s="1"/>
  <c r="I21" i="183"/>
  <c r="J21" i="183" s="1"/>
  <c r="I95" i="183"/>
  <c r="J95" i="183" s="1"/>
  <c r="I95" i="170"/>
  <c r="J95" i="170" s="1"/>
  <c r="I26" i="167"/>
  <c r="J26" i="167" s="1"/>
  <c r="I26" i="183"/>
  <c r="J26" i="183" s="1"/>
  <c r="I94" i="167"/>
  <c r="J94" i="167" s="1"/>
  <c r="I94" i="183"/>
  <c r="J94" i="183" s="1"/>
  <c r="I20" i="183"/>
  <c r="J20" i="183" s="1"/>
  <c r="I94" i="170"/>
  <c r="J94" i="170" s="1"/>
  <c r="I23" i="168"/>
  <c r="J23" i="168" s="1"/>
  <c r="I96" i="170"/>
  <c r="J96" i="170" s="1"/>
  <c r="I96" i="183"/>
  <c r="J96" i="183" s="1"/>
  <c r="I22" i="183"/>
  <c r="J22" i="183" s="1"/>
  <c r="I99" i="170"/>
  <c r="J99" i="170" s="1"/>
  <c r="I99" i="183"/>
  <c r="J99" i="183" s="1"/>
  <c r="I25" i="183"/>
  <c r="J25" i="183" s="1"/>
  <c r="I220" i="165"/>
  <c r="J220" i="165" s="1"/>
  <c r="J225" i="165" s="1"/>
  <c r="J227" i="165" s="1"/>
  <c r="J242" i="165" s="1"/>
  <c r="J257" i="165" s="1"/>
  <c r="J259" i="165" s="1"/>
  <c r="J261" i="165" s="1"/>
  <c r="I352" i="165"/>
  <c r="J352" i="165" s="1"/>
  <c r="J357" i="165" s="1"/>
  <c r="J359" i="165" s="1"/>
  <c r="J374" i="165" s="1"/>
  <c r="J389" i="165" s="1"/>
  <c r="J391" i="165" s="1"/>
  <c r="J393" i="165" s="1"/>
  <c r="I616" i="165"/>
  <c r="J616" i="165" s="1"/>
  <c r="J621" i="165" s="1"/>
  <c r="J623" i="165" s="1"/>
  <c r="J638" i="165" s="1"/>
  <c r="J653" i="165" s="1"/>
  <c r="J655" i="165" s="1"/>
  <c r="J657" i="165" s="1"/>
  <c r="I418" i="165"/>
  <c r="J418" i="165" s="1"/>
  <c r="J423" i="165" s="1"/>
  <c r="J425" i="165" s="1"/>
  <c r="J440" i="165" s="1"/>
  <c r="J455" i="165" s="1"/>
  <c r="J457" i="165" s="1"/>
  <c r="J459" i="165" s="1"/>
  <c r="I286" i="165"/>
  <c r="J286" i="165" s="1"/>
  <c r="J291" i="165" s="1"/>
  <c r="J293" i="165" s="1"/>
  <c r="J308" i="165" s="1"/>
  <c r="J323" i="165" s="1"/>
  <c r="J325" i="165" s="1"/>
  <c r="J327" i="165" s="1"/>
  <c r="I484" i="165"/>
  <c r="J484" i="165" s="1"/>
  <c r="J489" i="165" s="1"/>
  <c r="J491" i="165" s="1"/>
  <c r="J506" i="165" s="1"/>
  <c r="J521" i="165" s="1"/>
  <c r="J523" i="165" s="1"/>
  <c r="J525" i="165" s="1"/>
  <c r="I550" i="165"/>
  <c r="J550" i="165" s="1"/>
  <c r="J555" i="165" s="1"/>
  <c r="J557" i="165" s="1"/>
  <c r="J572" i="165" s="1"/>
  <c r="J587" i="165" s="1"/>
  <c r="I154" i="165"/>
  <c r="J154" i="165" s="1"/>
  <c r="I95" i="167"/>
  <c r="J95" i="167" s="1"/>
  <c r="I142" i="164"/>
  <c r="J142" i="164" s="1"/>
  <c r="L142" i="164" s="1"/>
  <c r="I21" i="167"/>
  <c r="J21" i="167" s="1"/>
  <c r="I92" i="167"/>
  <c r="J92" i="167" s="1"/>
  <c r="I22" i="167"/>
  <c r="J22" i="167" s="1"/>
  <c r="I19" i="165"/>
  <c r="J19" i="165" s="1"/>
  <c r="I25" i="167"/>
  <c r="J25" i="167" s="1"/>
  <c r="I545" i="173"/>
  <c r="J545" i="173" s="1"/>
  <c r="J550" i="173" s="1"/>
  <c r="J552" i="173" s="1"/>
  <c r="J564" i="173" s="1"/>
  <c r="J578" i="173" s="1"/>
  <c r="I484" i="173"/>
  <c r="J484" i="173" s="1"/>
  <c r="I422" i="173"/>
  <c r="J422" i="173" s="1"/>
  <c r="I359" i="173"/>
  <c r="J359" i="173" s="1"/>
  <c r="I233" i="173"/>
  <c r="J233" i="173" s="1"/>
  <c r="J294" i="173"/>
  <c r="J166" i="173"/>
  <c r="I424" i="173"/>
  <c r="J424" i="173" s="1"/>
  <c r="I361" i="173"/>
  <c r="J361" i="173" s="1"/>
  <c r="I155" i="165"/>
  <c r="J155" i="165" s="1"/>
  <c r="I20" i="167"/>
  <c r="J20" i="167" s="1"/>
  <c r="I24" i="172"/>
  <c r="J24" i="172" s="1"/>
  <c r="I360" i="173"/>
  <c r="J360" i="173" s="1"/>
  <c r="I423" i="173"/>
  <c r="J423" i="173" s="1"/>
  <c r="I87" i="165"/>
  <c r="J87" i="165" s="1"/>
  <c r="J91" i="165" s="1"/>
  <c r="J93" i="165" s="1"/>
  <c r="J108" i="165" s="1"/>
  <c r="J125" i="165" s="1"/>
  <c r="J127" i="165" s="1"/>
  <c r="J129" i="165" s="1"/>
  <c r="I18" i="165"/>
  <c r="J18" i="165" s="1"/>
  <c r="I485" i="173"/>
  <c r="J485" i="173" s="1"/>
  <c r="I234" i="173"/>
  <c r="J234" i="173" s="1"/>
  <c r="I20" i="180"/>
  <c r="J20" i="180" s="1"/>
  <c r="I20" i="179"/>
  <c r="J20" i="179" s="1"/>
  <c r="I347" i="181"/>
  <c r="J347" i="181" s="1"/>
  <c r="J344" i="181" s="1"/>
  <c r="J350" i="181" s="1"/>
  <c r="J352" i="181" s="1"/>
  <c r="J367" i="181" s="1"/>
  <c r="I280" i="181"/>
  <c r="J280" i="181" s="1"/>
  <c r="J277" i="181" s="1"/>
  <c r="J283" i="181" s="1"/>
  <c r="J285" i="181" s="1"/>
  <c r="J299" i="181" s="1"/>
  <c r="I215" i="181"/>
  <c r="J215" i="181" s="1"/>
  <c r="J212" i="181" s="1"/>
  <c r="J218" i="181" s="1"/>
  <c r="J220" i="181" s="1"/>
  <c r="J234" i="181" s="1"/>
  <c r="I20" i="181"/>
  <c r="J20" i="181" s="1"/>
  <c r="J23" i="181" s="1"/>
  <c r="J25" i="181" s="1"/>
  <c r="J39" i="181" s="1"/>
  <c r="I150" i="181"/>
  <c r="J150" i="181" s="1"/>
  <c r="J147" i="181" s="1"/>
  <c r="J153" i="181" s="1"/>
  <c r="J155" i="181" s="1"/>
  <c r="J169" i="181" s="1"/>
  <c r="I85" i="181"/>
  <c r="J85" i="181" s="1"/>
  <c r="J88" i="181" s="1"/>
  <c r="J90" i="181" s="1"/>
  <c r="J104" i="181" s="1"/>
  <c r="I21" i="179"/>
  <c r="J21" i="179" s="1"/>
  <c r="I21" i="180"/>
  <c r="J21" i="180" s="1"/>
  <c r="I23" i="179"/>
  <c r="J23" i="179" s="1"/>
  <c r="I23" i="180"/>
  <c r="J23" i="180" s="1"/>
  <c r="I149" i="177"/>
  <c r="J149" i="177" s="1"/>
  <c r="I82" i="177"/>
  <c r="J82" i="177" s="1"/>
  <c r="I280" i="178"/>
  <c r="J280" i="178" s="1"/>
  <c r="I85" i="178"/>
  <c r="J85" i="178" s="1"/>
  <c r="I345" i="178"/>
  <c r="J345" i="178" s="1"/>
  <c r="I215" i="178"/>
  <c r="J215" i="178" s="1"/>
  <c r="I20" i="178"/>
  <c r="J20" i="178" s="1"/>
  <c r="I150" i="178"/>
  <c r="J150" i="178" s="1"/>
  <c r="I148" i="177"/>
  <c r="J148" i="177" s="1"/>
  <c r="I81" i="177"/>
  <c r="J81" i="177" s="1"/>
  <c r="I83" i="177"/>
  <c r="J83" i="177" s="1"/>
  <c r="I150" i="177"/>
  <c r="J150" i="177" s="1"/>
  <c r="I152" i="177"/>
  <c r="J152" i="177" s="1"/>
  <c r="I85" i="177"/>
  <c r="J85" i="177" s="1"/>
  <c r="I22" i="172"/>
  <c r="J22" i="172" s="1"/>
  <c r="I20" i="175"/>
  <c r="J20" i="175" s="1"/>
  <c r="I23" i="175"/>
  <c r="J23" i="175" s="1"/>
  <c r="I21" i="174"/>
  <c r="J21" i="174" s="1"/>
  <c r="I21" i="175"/>
  <c r="J21" i="175" s="1"/>
  <c r="I20" i="174"/>
  <c r="J20" i="174" s="1"/>
  <c r="I23" i="174"/>
  <c r="J23" i="174" s="1"/>
  <c r="I23" i="172"/>
  <c r="J23" i="172" s="1"/>
  <c r="I28" i="172"/>
  <c r="J28" i="172" s="1"/>
  <c r="I22" i="173"/>
  <c r="J22" i="173" s="1"/>
  <c r="I21" i="171"/>
  <c r="J21" i="171" s="1"/>
  <c r="I21" i="172"/>
  <c r="J21" i="172" s="1"/>
  <c r="I24" i="171"/>
  <c r="J24" i="171" s="1"/>
  <c r="J27" i="172"/>
  <c r="I25" i="171"/>
  <c r="J25" i="171" s="1"/>
  <c r="I20" i="170"/>
  <c r="J20" i="170" s="1"/>
  <c r="I20" i="171"/>
  <c r="J20" i="171" s="1"/>
  <c r="I21" i="169"/>
  <c r="J21" i="169" s="1"/>
  <c r="I21" i="170"/>
  <c r="J21" i="170" s="1"/>
  <c r="I25" i="169"/>
  <c r="J25" i="169" s="1"/>
  <c r="I25" i="170"/>
  <c r="J25" i="170" s="1"/>
  <c r="I22" i="169"/>
  <c r="J22" i="169" s="1"/>
  <c r="I22" i="170"/>
  <c r="J22" i="170" s="1"/>
  <c r="I26" i="169"/>
  <c r="J26" i="169" s="1"/>
  <c r="I26" i="170"/>
  <c r="J26" i="170" s="1"/>
  <c r="I20" i="168"/>
  <c r="J20" i="168" s="1"/>
  <c r="I20" i="169"/>
  <c r="J20" i="169" s="1"/>
  <c r="I22" i="168"/>
  <c r="J22" i="168" s="1"/>
  <c r="J23" i="167"/>
  <c r="S30" i="22" l="1"/>
  <c r="O30" i="22"/>
  <c r="J710" i="190"/>
  <c r="J712" i="190" s="1"/>
  <c r="J725" i="190" s="1"/>
  <c r="J1111" i="190"/>
  <c r="J1113" i="190" s="1"/>
  <c r="J1125" i="190" s="1"/>
  <c r="J1276" i="190"/>
  <c r="J1278" i="190" s="1"/>
  <c r="J1290" i="190" s="1"/>
  <c r="J1221" i="190"/>
  <c r="J1223" i="190" s="1"/>
  <c r="J1235" i="190" s="1"/>
  <c r="J593" i="190"/>
  <c r="J595" i="190" s="1"/>
  <c r="J609" i="190" s="1"/>
  <c r="J1056" i="190"/>
  <c r="J1058" i="190" s="1"/>
  <c r="J1070" i="190" s="1"/>
  <c r="J1166" i="190"/>
  <c r="J1168" i="190" s="1"/>
  <c r="J1180" i="190" s="1"/>
  <c r="J1985" i="190"/>
  <c r="J1987" i="190" s="1"/>
  <c r="J2000" i="190" s="1"/>
  <c r="J2014" i="190" s="1"/>
  <c r="J2040" i="190"/>
  <c r="J2042" i="190" s="1"/>
  <c r="J2055" i="190" s="1"/>
  <c r="J2069" i="190" s="1"/>
  <c r="L134" i="190"/>
  <c r="J137" i="190"/>
  <c r="J139" i="190" s="1"/>
  <c r="J152" i="190" s="1"/>
  <c r="J2097" i="190"/>
  <c r="J2099" i="190" s="1"/>
  <c r="J2111" i="190" s="1"/>
  <c r="J2125" i="190" s="1"/>
  <c r="J2209" i="190"/>
  <c r="J2211" i="190" s="1"/>
  <c r="J2224" i="190" s="1"/>
  <c r="J2238" i="190" s="1"/>
  <c r="J2152" i="190"/>
  <c r="J2154" i="190" s="1"/>
  <c r="J2166" i="190" s="1"/>
  <c r="J2180" i="190" s="1"/>
  <c r="J1104" i="164"/>
  <c r="J1106" i="164" s="1"/>
  <c r="J1120" i="164" s="1"/>
  <c r="J1138" i="164" s="1"/>
  <c r="J1140" i="164" s="1"/>
  <c r="J1142" i="164" s="1"/>
  <c r="J1726" i="164"/>
  <c r="J1728" i="164" s="1"/>
  <c r="J1741" i="164" s="1"/>
  <c r="J1758" i="164" s="1"/>
  <c r="J1760" i="164" s="1"/>
  <c r="J1762" i="164" s="1"/>
  <c r="J1791" i="164"/>
  <c r="J1793" i="164" s="1"/>
  <c r="J1806" i="164" s="1"/>
  <c r="J1823" i="164" s="1"/>
  <c r="J1825" i="164" s="1"/>
  <c r="J1827" i="164" s="1"/>
  <c r="J1661" i="164"/>
  <c r="J1663" i="164" s="1"/>
  <c r="J1676" i="164" s="1"/>
  <c r="J1693" i="164" s="1"/>
  <c r="J1695" i="164" s="1"/>
  <c r="J1697" i="164" s="1"/>
  <c r="J1596" i="164"/>
  <c r="J1598" i="164" s="1"/>
  <c r="J1611" i="164" s="1"/>
  <c r="J1628" i="164" s="1"/>
  <c r="J1630" i="164" s="1"/>
  <c r="J1632" i="164" s="1"/>
  <c r="J1466" i="164"/>
  <c r="J1468" i="164" s="1"/>
  <c r="J1481" i="164" s="1"/>
  <c r="J1498" i="164" s="1"/>
  <c r="J1500" i="164" s="1"/>
  <c r="J1502" i="164" s="1"/>
  <c r="J1531" i="164"/>
  <c r="J1533" i="164" s="1"/>
  <c r="J1546" i="164" s="1"/>
  <c r="J1563" i="164" s="1"/>
  <c r="J1565" i="164" s="1"/>
  <c r="J1567" i="164" s="1"/>
  <c r="J1419" i="164"/>
  <c r="J1433" i="164" s="1"/>
  <c r="J1435" i="164" s="1"/>
  <c r="J1437" i="164" s="1"/>
  <c r="J1000" i="164"/>
  <c r="J1002" i="164" s="1"/>
  <c r="J1004" i="164" s="1"/>
  <c r="J301" i="173"/>
  <c r="J303" i="173" s="1"/>
  <c r="J316" i="173" s="1"/>
  <c r="J330" i="173" s="1"/>
  <c r="J332" i="173" s="1"/>
  <c r="J334" i="173" s="1"/>
  <c r="J829" i="164"/>
  <c r="J831" i="164" s="1"/>
  <c r="J845" i="164" s="1"/>
  <c r="J862" i="164" s="1"/>
  <c r="J864" i="164" s="1"/>
  <c r="J866" i="164" s="1"/>
  <c r="J763" i="164"/>
  <c r="FF16" i="26"/>
  <c r="FH13" i="26"/>
  <c r="J145" i="164"/>
  <c r="J22" i="164"/>
  <c r="J36" i="164" s="1"/>
  <c r="J50" i="164" s="1"/>
  <c r="J52" i="164" s="1"/>
  <c r="J102" i="169"/>
  <c r="J104" i="169" s="1"/>
  <c r="J120" i="169" s="1"/>
  <c r="J134" i="169" s="1"/>
  <c r="J248" i="169"/>
  <c r="J250" i="169" s="1"/>
  <c r="J266" i="169" s="1"/>
  <c r="J175" i="169"/>
  <c r="J177" i="169" s="1"/>
  <c r="J193" i="169" s="1"/>
  <c r="U40" i="155"/>
  <c r="J756" i="164"/>
  <c r="H80" i="184"/>
  <c r="I80" i="184" s="1"/>
  <c r="J80" i="184" s="1"/>
  <c r="J87" i="184" s="1"/>
  <c r="H83" i="183"/>
  <c r="I83" i="183" s="1"/>
  <c r="J83" i="183" s="1"/>
  <c r="J90" i="183" s="1"/>
  <c r="H83" i="170"/>
  <c r="H9" i="183"/>
  <c r="I9" i="183" s="1"/>
  <c r="J9" i="183" s="1"/>
  <c r="J16" i="183" s="1"/>
  <c r="J46" i="135"/>
  <c r="H9" i="184"/>
  <c r="H415" i="173"/>
  <c r="H352" i="173"/>
  <c r="H82" i="167"/>
  <c r="I82" i="167" s="1"/>
  <c r="J82" i="167" s="1"/>
  <c r="J89" i="167" s="1"/>
  <c r="J206" i="164"/>
  <c r="H9" i="185"/>
  <c r="I9" i="185" s="1"/>
  <c r="J9" i="185" s="1"/>
  <c r="J14" i="185" s="1"/>
  <c r="J23" i="185" s="1"/>
  <c r="J37" i="185" s="1"/>
  <c r="J52" i="185" s="1"/>
  <c r="J54" i="185" s="1"/>
  <c r="J56" i="185" s="1"/>
  <c r="I40" i="177" s="1"/>
  <c r="J40" i="177" s="1"/>
  <c r="J44" i="177" s="1"/>
  <c r="I220" i="173"/>
  <c r="J220" i="173" s="1"/>
  <c r="J227" i="173" s="1"/>
  <c r="H477" i="173"/>
  <c r="I477" i="173" s="1"/>
  <c r="J477" i="173" s="1"/>
  <c r="J480" i="173" s="1"/>
  <c r="H27" i="162"/>
  <c r="J14" i="177"/>
  <c r="J21" i="177"/>
  <c r="J26" i="184"/>
  <c r="J29" i="183"/>
  <c r="J100" i="184"/>
  <c r="J103" i="183"/>
  <c r="J103" i="170"/>
  <c r="J97" i="167"/>
  <c r="J589" i="165"/>
  <c r="J591" i="165" s="1"/>
  <c r="J159" i="165"/>
  <c r="J161" i="165" s="1"/>
  <c r="J176" i="165" s="1"/>
  <c r="J191" i="165" s="1"/>
  <c r="J193" i="165" s="1"/>
  <c r="J195" i="165" s="1"/>
  <c r="J168" i="173"/>
  <c r="J580" i="173"/>
  <c r="J582" i="173" s="1"/>
  <c r="V557" i="173"/>
  <c r="J427" i="173"/>
  <c r="J236" i="173"/>
  <c r="J364" i="173"/>
  <c r="J489" i="173"/>
  <c r="H134" i="164"/>
  <c r="U43" i="155"/>
  <c r="V43" i="155" s="1"/>
  <c r="H80" i="173"/>
  <c r="I80" i="173" s="1"/>
  <c r="J80" i="173" s="1"/>
  <c r="J87" i="173" s="1"/>
  <c r="L87" i="173" s="1"/>
  <c r="H29" i="162"/>
  <c r="H9" i="167"/>
  <c r="I9" i="167" s="1"/>
  <c r="J9" i="167" s="1"/>
  <c r="J23" i="165"/>
  <c r="H9" i="180"/>
  <c r="I9" i="180" s="1"/>
  <c r="J9" i="180" s="1"/>
  <c r="H10" i="172"/>
  <c r="H9" i="175"/>
  <c r="I9" i="175" s="1"/>
  <c r="J9" i="175" s="1"/>
  <c r="J19" i="180"/>
  <c r="J19" i="179"/>
  <c r="J26" i="179" s="1"/>
  <c r="J28" i="179" s="1"/>
  <c r="J44" i="179" s="1"/>
  <c r="J61" i="179" s="1"/>
  <c r="J63" i="179" s="1"/>
  <c r="J65" i="179" s="1"/>
  <c r="H377" i="181" s="1"/>
  <c r="J377" i="181" s="1"/>
  <c r="J370" i="181"/>
  <c r="J342" i="178"/>
  <c r="J348" i="178" s="1"/>
  <c r="J350" i="178" s="1"/>
  <c r="J365" i="178" s="1"/>
  <c r="J88" i="178"/>
  <c r="J90" i="178" s="1"/>
  <c r="J104" i="178" s="1"/>
  <c r="J218" i="178"/>
  <c r="J220" i="178" s="1"/>
  <c r="J234" i="178" s="1"/>
  <c r="J23" i="178"/>
  <c r="J25" i="178" s="1"/>
  <c r="J39" i="178" s="1"/>
  <c r="J153" i="178"/>
  <c r="J155" i="178" s="1"/>
  <c r="J169" i="178" s="1"/>
  <c r="J277" i="178"/>
  <c r="J283" i="178" s="1"/>
  <c r="J285" i="178" s="1"/>
  <c r="J299" i="178" s="1"/>
  <c r="J147" i="177"/>
  <c r="J155" i="177" s="1"/>
  <c r="J157" i="177" s="1"/>
  <c r="J171" i="177" s="1"/>
  <c r="J19" i="175"/>
  <c r="J80" i="177"/>
  <c r="J97" i="173"/>
  <c r="J19" i="174"/>
  <c r="J26" i="174" s="1"/>
  <c r="J28" i="174" s="1"/>
  <c r="J44" i="174" s="1"/>
  <c r="J61" i="174" s="1"/>
  <c r="J63" i="174" s="1"/>
  <c r="J65" i="174" s="1"/>
  <c r="J25" i="173"/>
  <c r="H9" i="170"/>
  <c r="H9" i="169"/>
  <c r="H9" i="171"/>
  <c r="I9" i="171" s="1"/>
  <c r="J9" i="171" s="1"/>
  <c r="H9" i="168"/>
  <c r="I9" i="168" s="1"/>
  <c r="J9" i="168" s="1"/>
  <c r="H112" i="163"/>
  <c r="H117" i="163" s="1"/>
  <c r="J765" i="164" l="1"/>
  <c r="J779" i="164" s="1"/>
  <c r="J796" i="164" s="1"/>
  <c r="J798" i="164" s="1"/>
  <c r="J800" i="164" s="1"/>
  <c r="FH16" i="26"/>
  <c r="FJ13" i="26"/>
  <c r="J54" i="164"/>
  <c r="I11" i="22" s="1"/>
  <c r="N11" i="22" s="1"/>
  <c r="J207" i="169"/>
  <c r="J209" i="169" s="1"/>
  <c r="J211" i="169" s="1"/>
  <c r="J280" i="169"/>
  <c r="J282" i="169" s="1"/>
  <c r="J284" i="169" s="1"/>
  <c r="J136" i="169"/>
  <c r="J138" i="169" s="1"/>
  <c r="J105" i="183"/>
  <c r="J121" i="183" s="1"/>
  <c r="J136" i="183" s="1"/>
  <c r="J138" i="183" s="1"/>
  <c r="J140" i="183" s="1"/>
  <c r="J102" i="184"/>
  <c r="J118" i="184" s="1"/>
  <c r="J133" i="184" s="1"/>
  <c r="J135" i="184" s="1"/>
  <c r="J137" i="184" s="1"/>
  <c r="I83" i="170"/>
  <c r="J83" i="170" s="1"/>
  <c r="J90" i="170" s="1"/>
  <c r="J105" i="170" s="1"/>
  <c r="J121" i="170" s="1"/>
  <c r="J136" i="170" s="1"/>
  <c r="J138" i="170" s="1"/>
  <c r="J140" i="170" s="1"/>
  <c r="J31" i="183"/>
  <c r="J47" i="183" s="1"/>
  <c r="J62" i="183" s="1"/>
  <c r="J64" i="183" s="1"/>
  <c r="J66" i="183" s="1"/>
  <c r="J238" i="173"/>
  <c r="J251" i="173" s="1"/>
  <c r="J265" i="173" s="1"/>
  <c r="J267" i="173" s="1"/>
  <c r="J269" i="173" s="1"/>
  <c r="J99" i="167"/>
  <c r="J113" i="167" s="1"/>
  <c r="J127" i="167" s="1"/>
  <c r="J129" i="167" s="1"/>
  <c r="J131" i="167" s="1"/>
  <c r="I352" i="173"/>
  <c r="J352" i="173" s="1"/>
  <c r="J355" i="173" s="1"/>
  <c r="J366" i="173" s="1"/>
  <c r="J379" i="173" s="1"/>
  <c r="J393" i="173" s="1"/>
  <c r="J395" i="173" s="1"/>
  <c r="J397" i="173" s="1"/>
  <c r="I415" i="173"/>
  <c r="J415" i="173" s="1"/>
  <c r="J418" i="173" s="1"/>
  <c r="J429" i="173" s="1"/>
  <c r="J442" i="173" s="1"/>
  <c r="J456" i="173" s="1"/>
  <c r="J458" i="173" s="1"/>
  <c r="J460" i="173" s="1"/>
  <c r="I9" i="184"/>
  <c r="J9" i="184" s="1"/>
  <c r="J16" i="184" s="1"/>
  <c r="J28" i="184" s="1"/>
  <c r="J44" i="184" s="1"/>
  <c r="J59" i="184" s="1"/>
  <c r="J61" i="184" s="1"/>
  <c r="J63" i="184" s="1"/>
  <c r="I134" i="164"/>
  <c r="J134" i="164" s="1"/>
  <c r="L134" i="164" s="1"/>
  <c r="J491" i="173"/>
  <c r="J503" i="173" s="1"/>
  <c r="J517" i="173" s="1"/>
  <c r="J519" i="173" s="1"/>
  <c r="J521" i="173" s="1"/>
  <c r="H32" i="162"/>
  <c r="W557" i="173"/>
  <c r="V556" i="173"/>
  <c r="W556" i="173" s="1"/>
  <c r="I152" i="173"/>
  <c r="J152" i="173" s="1"/>
  <c r="J15" i="173"/>
  <c r="L25" i="173"/>
  <c r="J99" i="173"/>
  <c r="J115" i="173" s="1"/>
  <c r="L97" i="173"/>
  <c r="J24" i="175"/>
  <c r="J26" i="175" s="1"/>
  <c r="J16" i="175"/>
  <c r="I10" i="172"/>
  <c r="J10" i="172" s="1"/>
  <c r="J24" i="180"/>
  <c r="J26" i="180" s="1"/>
  <c r="J16" i="180"/>
  <c r="I368" i="178"/>
  <c r="J368" i="178" s="1"/>
  <c r="H309" i="181"/>
  <c r="J309" i="181" s="1"/>
  <c r="H179" i="181"/>
  <c r="J179" i="181" s="1"/>
  <c r="H309" i="178"/>
  <c r="J309" i="178" s="1"/>
  <c r="H244" i="181"/>
  <c r="J244" i="181" s="1"/>
  <c r="J371" i="181"/>
  <c r="J374" i="181" s="1"/>
  <c r="J376" i="178"/>
  <c r="J375" i="178"/>
  <c r="J377" i="178" s="1"/>
  <c r="J88" i="177"/>
  <c r="J90" i="177" s="1"/>
  <c r="J104" i="177" s="1"/>
  <c r="J23" i="177"/>
  <c r="J37" i="177" s="1"/>
  <c r="J115" i="177"/>
  <c r="J114" i="177"/>
  <c r="J16" i="167"/>
  <c r="J29" i="167"/>
  <c r="J16" i="168"/>
  <c r="J26" i="168"/>
  <c r="J16" i="171"/>
  <c r="J28" i="171"/>
  <c r="I9" i="169"/>
  <c r="J9" i="169" s="1"/>
  <c r="I9" i="170"/>
  <c r="J9" i="170" s="1"/>
  <c r="J159" i="173" l="1"/>
  <c r="J170" i="173" s="1"/>
  <c r="J185" i="173" s="1"/>
  <c r="J199" i="173" s="1"/>
  <c r="J201" i="173" s="1"/>
  <c r="J203" i="173" s="1"/>
  <c r="S46" i="22"/>
  <c r="O46" i="22"/>
  <c r="FJ16" i="26"/>
  <c r="FL13" i="26"/>
  <c r="J138" i="164"/>
  <c r="J208" i="164"/>
  <c r="J223" i="164" s="1"/>
  <c r="L200" i="164"/>
  <c r="M11" i="22" s="1"/>
  <c r="J116" i="177"/>
  <c r="J27" i="173"/>
  <c r="J43" i="173" s="1"/>
  <c r="J14" i="165"/>
  <c r="J31" i="167"/>
  <c r="J28" i="180"/>
  <c r="J44" i="180" s="1"/>
  <c r="J61" i="180" s="1"/>
  <c r="J63" i="180" s="1"/>
  <c r="J65" i="180" s="1"/>
  <c r="H378" i="181" s="1"/>
  <c r="J378" i="181" s="1"/>
  <c r="J381" i="181" s="1"/>
  <c r="J383" i="181" s="1"/>
  <c r="J385" i="181" s="1"/>
  <c r="J387" i="181" s="1"/>
  <c r="J28" i="175"/>
  <c r="J44" i="175" s="1"/>
  <c r="J61" i="175" s="1"/>
  <c r="J63" i="175" s="1"/>
  <c r="J65" i="175" s="1"/>
  <c r="J57" i="173" s="1"/>
  <c r="J17" i="172"/>
  <c r="J31" i="172"/>
  <c r="J183" i="177"/>
  <c r="J185" i="177" s="1"/>
  <c r="J187" i="177" s="1"/>
  <c r="J189" i="177" s="1"/>
  <c r="J118" i="177"/>
  <c r="J120" i="177" s="1"/>
  <c r="J122" i="177" s="1"/>
  <c r="J49" i="177"/>
  <c r="J51" i="177" s="1"/>
  <c r="J53" i="177" s="1"/>
  <c r="J55" i="177" s="1"/>
  <c r="J30" i="171"/>
  <c r="J44" i="171" s="1"/>
  <c r="J28" i="168"/>
  <c r="J44" i="168" s="1"/>
  <c r="J58" i="168" s="1"/>
  <c r="J60" i="168" s="1"/>
  <c r="J62" i="168" s="1"/>
  <c r="J29" i="169"/>
  <c r="J16" i="169"/>
  <c r="J29" i="170"/>
  <c r="J16" i="170"/>
  <c r="J59" i="173" l="1"/>
  <c r="J235" i="164"/>
  <c r="J237" i="164" s="1"/>
  <c r="J239" i="164" s="1"/>
  <c r="I17" i="22" s="1"/>
  <c r="N17" i="22" s="1"/>
  <c r="FL16" i="26"/>
  <c r="FN13" i="26"/>
  <c r="H26" i="107"/>
  <c r="J25" i="165"/>
  <c r="J40" i="165" s="1"/>
  <c r="J57" i="165" s="1"/>
  <c r="J59" i="165" s="1"/>
  <c r="J61" i="165" s="1"/>
  <c r="J33" i="172"/>
  <c r="J52" i="172" s="1"/>
  <c r="J67" i="172" s="1"/>
  <c r="J69" i="172" s="1"/>
  <c r="J71" i="172" s="1"/>
  <c r="H310" i="178"/>
  <c r="J310" i="178" s="1"/>
  <c r="J311" i="178" s="1"/>
  <c r="J313" i="178" s="1"/>
  <c r="J315" i="178" s="1"/>
  <c r="J317" i="178" s="1"/>
  <c r="H180" i="181"/>
  <c r="J180" i="181" s="1"/>
  <c r="J181" i="181" s="1"/>
  <c r="J183" i="181" s="1"/>
  <c r="J185" i="181" s="1"/>
  <c r="J187" i="181" s="1"/>
  <c r="J181" i="178"/>
  <c r="J183" i="178" s="1"/>
  <c r="J185" i="178" s="1"/>
  <c r="J187" i="178" s="1"/>
  <c r="H245" i="181"/>
  <c r="J245" i="181" s="1"/>
  <c r="J246" i="181" s="1"/>
  <c r="J248" i="181" s="1"/>
  <c r="J250" i="181" s="1"/>
  <c r="J252" i="181" s="1"/>
  <c r="J246" i="178"/>
  <c r="J248" i="178" s="1"/>
  <c r="J250" i="178" s="1"/>
  <c r="J252" i="178" s="1"/>
  <c r="J129" i="173"/>
  <c r="J131" i="173" s="1"/>
  <c r="J116" i="178"/>
  <c r="J118" i="178" s="1"/>
  <c r="J120" i="178" s="1"/>
  <c r="J122" i="178" s="1"/>
  <c r="H310" i="181"/>
  <c r="J310" i="181" s="1"/>
  <c r="J313" i="181" s="1"/>
  <c r="J315" i="181" s="1"/>
  <c r="J317" i="181" s="1"/>
  <c r="J319" i="181" s="1"/>
  <c r="I369" i="178"/>
  <c r="J369" i="178" s="1"/>
  <c r="J372" i="178" s="1"/>
  <c r="J379" i="178" s="1"/>
  <c r="J381" i="178" s="1"/>
  <c r="J383" i="178" s="1"/>
  <c r="J51" i="181"/>
  <c r="J53" i="181" s="1"/>
  <c r="J55" i="181" s="1"/>
  <c r="J57" i="181" s="1"/>
  <c r="J51" i="178"/>
  <c r="J53" i="178" s="1"/>
  <c r="J55" i="178" s="1"/>
  <c r="J57" i="178" s="1"/>
  <c r="J116" i="181"/>
  <c r="J118" i="181" s="1"/>
  <c r="J120" i="181" s="1"/>
  <c r="J122" i="181" s="1"/>
  <c r="J59" i="171"/>
  <c r="J61" i="171" s="1"/>
  <c r="J63" i="171" s="1"/>
  <c r="J31" i="170"/>
  <c r="J47" i="170" s="1"/>
  <c r="J62" i="170" s="1"/>
  <c r="J64" i="170" s="1"/>
  <c r="J66" i="170" s="1"/>
  <c r="J31" i="169"/>
  <c r="J47" i="169" s="1"/>
  <c r="J61" i="173" l="1"/>
  <c r="J63" i="173" s="1"/>
  <c r="S44" i="22"/>
  <c r="O44" i="22"/>
  <c r="S40" i="22"/>
  <c r="O40" i="22"/>
  <c r="S45" i="22"/>
  <c r="O45" i="22"/>
  <c r="S41" i="22"/>
  <c r="O41" i="22"/>
  <c r="FN16" i="26"/>
  <c r="FP13" i="26"/>
  <c r="J61" i="169"/>
  <c r="J63" i="169" s="1"/>
  <c r="J65" i="169" s="1"/>
  <c r="G26" i="107"/>
  <c r="J133" i="173"/>
  <c r="J135" i="173" s="1"/>
  <c r="S42" i="22" l="1"/>
  <c r="O42" i="22"/>
  <c r="FP16" i="26"/>
  <c r="FR13" i="26"/>
  <c r="Q11" i="22"/>
  <c r="R11" i="22"/>
  <c r="W11" i="22"/>
  <c r="FR16" i="26" l="1"/>
  <c r="FT13" i="26"/>
  <c r="E12" i="107"/>
  <c r="V11" i="22"/>
  <c r="FV13" i="26" l="1"/>
  <c r="FT16" i="26"/>
  <c r="FX13" i="26" l="1"/>
  <c r="FV16" i="26"/>
  <c r="FX16" i="26" l="1"/>
  <c r="FZ13" i="26"/>
  <c r="FZ16" i="26" l="1"/>
  <c r="GB13" i="26"/>
  <c r="E83" i="22"/>
  <c r="E80" i="22"/>
  <c r="E76" i="22"/>
  <c r="E79" i="22"/>
  <c r="E78" i="22"/>
  <c r="E77" i="22"/>
  <c r="N58" i="22" l="1"/>
  <c r="N57" i="22"/>
  <c r="N49" i="22"/>
  <c r="N56" i="22"/>
  <c r="N55" i="22"/>
  <c r="N50" i="22"/>
  <c r="N54" i="22"/>
  <c r="N51" i="22"/>
  <c r="N53" i="22"/>
  <c r="N52" i="22"/>
  <c r="N46" i="22"/>
  <c r="N45" i="22"/>
  <c r="N44" i="22"/>
  <c r="N43" i="22"/>
  <c r="N42" i="22"/>
  <c r="N41" i="22"/>
  <c r="N40" i="22"/>
  <c r="N31" i="22"/>
  <c r="N32" i="22"/>
  <c r="N39" i="22"/>
  <c r="N37" i="22"/>
  <c r="N35" i="22"/>
  <c r="N38" i="22"/>
  <c r="N36" i="22"/>
  <c r="N30" i="22"/>
  <c r="N28" i="22"/>
  <c r="N29" i="22"/>
  <c r="N26" i="22"/>
  <c r="N25" i="22"/>
  <c r="N27" i="22"/>
  <c r="N24" i="22"/>
  <c r="N33" i="22"/>
  <c r="GB16" i="26"/>
  <c r="GD13" i="26"/>
  <c r="N61" i="22"/>
  <c r="N60" i="22"/>
  <c r="N62" i="22"/>
  <c r="E82" i="22"/>
  <c r="X52" i="22" l="1"/>
  <c r="Y52" i="22" s="1"/>
  <c r="T52" i="22"/>
  <c r="X53" i="22"/>
  <c r="Y53" i="22" s="1"/>
  <c r="T53" i="22"/>
  <c r="X55" i="22"/>
  <c r="Y55" i="22" s="1"/>
  <c r="T55" i="22"/>
  <c r="X49" i="22"/>
  <c r="T49" i="22"/>
  <c r="X56" i="22"/>
  <c r="Y56" i="22" s="1"/>
  <c r="T56" i="22"/>
  <c r="X57" i="22"/>
  <c r="Y57" i="22" s="1"/>
  <c r="T57" i="22"/>
  <c r="X51" i="22"/>
  <c r="Y51" i="22" s="1"/>
  <c r="T51" i="22"/>
  <c r="X54" i="22"/>
  <c r="Y54" i="22" s="1"/>
  <c r="T54" i="22"/>
  <c r="X50" i="22"/>
  <c r="Y50" i="22" s="1"/>
  <c r="T50" i="22"/>
  <c r="X58" i="22"/>
  <c r="Y58" i="22" s="1"/>
  <c r="T58" i="22"/>
  <c r="X43" i="22"/>
  <c r="Y43" i="22" s="1"/>
  <c r="T43" i="22"/>
  <c r="X30" i="22"/>
  <c r="Y30" i="22" s="1"/>
  <c r="T30" i="22"/>
  <c r="X32" i="22"/>
  <c r="Y32" i="22" s="1"/>
  <c r="T32" i="22"/>
  <c r="X31" i="22"/>
  <c r="Y31" i="22" s="1"/>
  <c r="T31" i="22"/>
  <c r="X29" i="22"/>
  <c r="Y29" i="22" s="1"/>
  <c r="T29" i="22"/>
  <c r="X28" i="22"/>
  <c r="Y28" i="22" s="1"/>
  <c r="T28" i="22"/>
  <c r="X25" i="22"/>
  <c r="Y25" i="22" s="1"/>
  <c r="T25" i="22"/>
  <c r="X27" i="22"/>
  <c r="Y27" i="22" s="1"/>
  <c r="T27" i="22"/>
  <c r="X26" i="22"/>
  <c r="Y26" i="22" s="1"/>
  <c r="T26" i="22"/>
  <c r="GD16" i="26"/>
  <c r="GF13" i="26"/>
  <c r="X46" i="22"/>
  <c r="Y46" i="22" s="1"/>
  <c r="T46" i="22"/>
  <c r="X44" i="22"/>
  <c r="Y44" i="22" s="1"/>
  <c r="T44" i="22"/>
  <c r="X61" i="22"/>
  <c r="Y61" i="22" s="1"/>
  <c r="T61" i="22"/>
  <c r="X41" i="22"/>
  <c r="Y41" i="22" s="1"/>
  <c r="T41" i="22"/>
  <c r="X40" i="22"/>
  <c r="Y40" i="22" s="1"/>
  <c r="T40" i="22"/>
  <c r="X42" i="22"/>
  <c r="Y42" i="22" s="1"/>
  <c r="T42" i="22"/>
  <c r="H61" i="107"/>
  <c r="X45" i="22"/>
  <c r="Y45" i="22" s="1"/>
  <c r="T45" i="22"/>
  <c r="X60" i="22"/>
  <c r="Y60" i="22" s="1"/>
  <c r="T60" i="22"/>
  <c r="X62" i="22"/>
  <c r="Y62" i="22" s="1"/>
  <c r="T62" i="22"/>
  <c r="H43" i="107"/>
  <c r="G43" i="107" s="1"/>
  <c r="H42" i="107"/>
  <c r="G42" i="107" s="1"/>
  <c r="H69" i="107"/>
  <c r="G69" i="107" s="1"/>
  <c r="H70" i="107"/>
  <c r="G70" i="107" s="1"/>
  <c r="H71" i="107"/>
  <c r="G71" i="107" s="1"/>
  <c r="X48" i="22" l="1"/>
  <c r="Y49" i="22"/>
  <c r="GF16" i="26"/>
  <c r="GH13" i="26"/>
  <c r="H68" i="107"/>
  <c r="G68" i="107" s="1"/>
  <c r="H67" i="107"/>
  <c r="G67" i="107" s="1"/>
  <c r="G61" i="107"/>
  <c r="H78" i="107"/>
  <c r="G78" i="107" s="1"/>
  <c r="H60" i="107"/>
  <c r="G60" i="107" s="1"/>
  <c r="H88" i="107"/>
  <c r="G88" i="107" s="1"/>
  <c r="H79" i="107"/>
  <c r="G79" i="107" s="1"/>
  <c r="H41" i="107"/>
  <c r="G41" i="107" s="1"/>
  <c r="H54" i="107"/>
  <c r="G54" i="107" s="1"/>
  <c r="H66" i="107"/>
  <c r="G66" i="107" s="1"/>
  <c r="H77" i="107"/>
  <c r="G77" i="107" s="1"/>
  <c r="H33" i="107"/>
  <c r="G33" i="107" s="1"/>
  <c r="H48" i="107"/>
  <c r="G48" i="107" s="1"/>
  <c r="H65" i="107"/>
  <c r="G65" i="107" s="1"/>
  <c r="H76" i="107"/>
  <c r="G76" i="107" s="1"/>
  <c r="H50" i="107"/>
  <c r="G50" i="107" s="1"/>
  <c r="Y48" i="22" l="1"/>
  <c r="GH16" i="26"/>
  <c r="GJ13" i="26"/>
  <c r="Z61" i="22"/>
  <c r="Z60" i="22"/>
  <c r="Z62" i="22"/>
  <c r="H64" i="107"/>
  <c r="G64" i="107" s="1"/>
  <c r="H58" i="107"/>
  <c r="G58" i="107" s="1"/>
  <c r="GL13" i="26" l="1"/>
  <c r="GJ16" i="26"/>
  <c r="GL16" i="26" l="1"/>
  <c r="GN13" i="26"/>
  <c r="GP13" i="26" l="1"/>
  <c r="GN16" i="26"/>
  <c r="CL145" i="26"/>
  <c r="GP16" i="26" l="1"/>
  <c r="GR13" i="26"/>
  <c r="GR16" i="26" l="1"/>
  <c r="GT13" i="26"/>
  <c r="N6" i="26"/>
  <c r="P6" i="26" s="1"/>
  <c r="R6" i="26" s="1"/>
  <c r="T6" i="26" s="1"/>
  <c r="V6" i="26" s="1"/>
  <c r="X6" i="26" s="1"/>
  <c r="Z6" i="26" s="1"/>
  <c r="AB6" i="26" s="1"/>
  <c r="AD6" i="26" s="1"/>
  <c r="AF6" i="26" s="1"/>
  <c r="AH6" i="26" s="1"/>
  <c r="AJ6" i="26" s="1"/>
  <c r="AL6" i="26" s="1"/>
  <c r="AN6" i="26" s="1"/>
  <c r="AP6" i="26" s="1"/>
  <c r="AR6" i="26" s="1"/>
  <c r="AT6" i="26" s="1"/>
  <c r="AV6" i="26" s="1"/>
  <c r="AX6" i="26" s="1"/>
  <c r="AZ6" i="26" s="1"/>
  <c r="BB6" i="26" s="1"/>
  <c r="BD6" i="26" s="1"/>
  <c r="BF6" i="26" s="1"/>
  <c r="BH6" i="26" s="1"/>
  <c r="BJ6" i="26" s="1"/>
  <c r="BL6" i="26" s="1"/>
  <c r="BN6" i="26" s="1"/>
  <c r="BP6" i="26" s="1"/>
  <c r="L7" i="26"/>
  <c r="L24" i="26"/>
  <c r="N24" i="26" s="1"/>
  <c r="P24" i="26" s="1"/>
  <c r="R24" i="26" s="1"/>
  <c r="T24" i="26" s="1"/>
  <c r="V24" i="26" s="1"/>
  <c r="X24" i="26" s="1"/>
  <c r="Z24" i="26" s="1"/>
  <c r="AB24" i="26" s="1"/>
  <c r="AD24" i="26" s="1"/>
  <c r="AF24" i="26" s="1"/>
  <c r="AH24" i="26" s="1"/>
  <c r="AJ24" i="26" s="1"/>
  <c r="AL24" i="26" s="1"/>
  <c r="AN24" i="26" s="1"/>
  <c r="AP24" i="26" s="1"/>
  <c r="AR24" i="26" s="1"/>
  <c r="AT24" i="26" s="1"/>
  <c r="AV24" i="26" s="1"/>
  <c r="AX24" i="26" s="1"/>
  <c r="AZ24" i="26" s="1"/>
  <c r="BB24" i="26" s="1"/>
  <c r="BD24" i="26" s="1"/>
  <c r="BF24" i="26" s="1"/>
  <c r="BH24" i="26" s="1"/>
  <c r="BJ24" i="26" s="1"/>
  <c r="BL24" i="26" s="1"/>
  <c r="BN24" i="26" s="1"/>
  <c r="BP24" i="26" s="1"/>
  <c r="L34" i="26"/>
  <c r="N34" i="26" s="1"/>
  <c r="P34" i="26" s="1"/>
  <c r="R34" i="26" s="1"/>
  <c r="T34" i="26" s="1"/>
  <c r="V34" i="26" s="1"/>
  <c r="X34" i="26" s="1"/>
  <c r="Z34" i="26" s="1"/>
  <c r="AB34" i="26" s="1"/>
  <c r="AD34" i="26" s="1"/>
  <c r="AF34" i="26" s="1"/>
  <c r="AH34" i="26" s="1"/>
  <c r="AJ34" i="26" s="1"/>
  <c r="AL34" i="26" s="1"/>
  <c r="AN34" i="26" s="1"/>
  <c r="AP34" i="26" s="1"/>
  <c r="AR34" i="26" s="1"/>
  <c r="AT34" i="26" s="1"/>
  <c r="AV34" i="26" s="1"/>
  <c r="AX34" i="26" s="1"/>
  <c r="AZ34" i="26" s="1"/>
  <c r="BB34" i="26" s="1"/>
  <c r="BD34" i="26" s="1"/>
  <c r="BF34" i="26" s="1"/>
  <c r="BH34" i="26" s="1"/>
  <c r="BJ34" i="26" s="1"/>
  <c r="BL34" i="26" s="1"/>
  <c r="BN34" i="26" s="1"/>
  <c r="BP34" i="26" s="1"/>
  <c r="L53" i="26"/>
  <c r="N53" i="26" s="1"/>
  <c r="P53" i="26" s="1"/>
  <c r="R53" i="26" s="1"/>
  <c r="T53" i="26" s="1"/>
  <c r="V53" i="26" s="1"/>
  <c r="X53" i="26" s="1"/>
  <c r="Z53" i="26" s="1"/>
  <c r="AB53" i="26" s="1"/>
  <c r="AD53" i="26" s="1"/>
  <c r="AF53" i="26" s="1"/>
  <c r="AH53" i="26" s="1"/>
  <c r="AJ53" i="26" s="1"/>
  <c r="AL53" i="26" s="1"/>
  <c r="AN53" i="26" s="1"/>
  <c r="AP53" i="26" s="1"/>
  <c r="AR53" i="26" s="1"/>
  <c r="AT53" i="26" s="1"/>
  <c r="AV53" i="26" s="1"/>
  <c r="AX53" i="26" s="1"/>
  <c r="L44" i="26"/>
  <c r="N44" i="26" s="1"/>
  <c r="P44" i="26" s="1"/>
  <c r="R44" i="26" s="1"/>
  <c r="T44" i="26" s="1"/>
  <c r="V44" i="26" s="1"/>
  <c r="X44" i="26" s="1"/>
  <c r="Z44" i="26" s="1"/>
  <c r="AB44" i="26" s="1"/>
  <c r="AD44" i="26" s="1"/>
  <c r="AF44" i="26" s="1"/>
  <c r="AH44" i="26" s="1"/>
  <c r="AJ44" i="26" s="1"/>
  <c r="AL44" i="26" s="1"/>
  <c r="AN44" i="26" s="1"/>
  <c r="AP44" i="26" s="1"/>
  <c r="AR44" i="26" s="1"/>
  <c r="AT44" i="26" s="1"/>
  <c r="AV44" i="26" s="1"/>
  <c r="AX44" i="26" s="1"/>
  <c r="AZ44" i="26" s="1"/>
  <c r="BB44" i="26" s="1"/>
  <c r="BD44" i="26" s="1"/>
  <c r="BF44" i="26" s="1"/>
  <c r="BH44" i="26" s="1"/>
  <c r="BJ44" i="26" s="1"/>
  <c r="BL44" i="26" s="1"/>
  <c r="L64" i="26"/>
  <c r="N64" i="26" s="1"/>
  <c r="P64" i="26" s="1"/>
  <c r="R64" i="26" s="1"/>
  <c r="T64" i="26" s="1"/>
  <c r="V64" i="26" s="1"/>
  <c r="X64" i="26" s="1"/>
  <c r="Z64" i="26" s="1"/>
  <c r="AB64" i="26" s="1"/>
  <c r="AD64" i="26" s="1"/>
  <c r="AF64" i="26" s="1"/>
  <c r="AH64" i="26" s="1"/>
  <c r="AJ64" i="26" s="1"/>
  <c r="AL64" i="26" s="1"/>
  <c r="AN64" i="26" s="1"/>
  <c r="AP64" i="26" s="1"/>
  <c r="AR64" i="26" s="1"/>
  <c r="AT64" i="26" s="1"/>
  <c r="AV64" i="26" s="1"/>
  <c r="AX64" i="26" s="1"/>
  <c r="AZ64" i="26" s="1"/>
  <c r="BB64" i="26" s="1"/>
  <c r="BD64" i="26" s="1"/>
  <c r="BF64" i="26" s="1"/>
  <c r="BH64" i="26" s="1"/>
  <c r="BJ64" i="26" s="1"/>
  <c r="BL64" i="26" s="1"/>
  <c r="BN64" i="26" s="1"/>
  <c r="BP64" i="26" s="1"/>
  <c r="L73" i="26"/>
  <c r="N73" i="26" s="1"/>
  <c r="P73" i="26" s="1"/>
  <c r="R73" i="26" s="1"/>
  <c r="T73" i="26" s="1"/>
  <c r="V73" i="26" s="1"/>
  <c r="X73" i="26" s="1"/>
  <c r="Z73" i="26" s="1"/>
  <c r="AB73" i="26" s="1"/>
  <c r="AD73" i="26" s="1"/>
  <c r="AF73" i="26" s="1"/>
  <c r="AH73" i="26" s="1"/>
  <c r="AJ73" i="26" s="1"/>
  <c r="AL73" i="26" s="1"/>
  <c r="AN73" i="26" s="1"/>
  <c r="AP73" i="26" s="1"/>
  <c r="AR73" i="26" s="1"/>
  <c r="AT73" i="26" s="1"/>
  <c r="AV73" i="26" s="1"/>
  <c r="AX73" i="26" s="1"/>
  <c r="AZ73" i="26" s="1"/>
  <c r="BB73" i="26" s="1"/>
  <c r="BD73" i="26" s="1"/>
  <c r="BF73" i="26" s="1"/>
  <c r="BH73" i="26" s="1"/>
  <c r="BJ73" i="26" s="1"/>
  <c r="BL73" i="26" s="1"/>
  <c r="BN73" i="26" s="1"/>
  <c r="BP73" i="26" s="1"/>
  <c r="L83" i="26"/>
  <c r="N83" i="26" s="1"/>
  <c r="P83" i="26" s="1"/>
  <c r="R83" i="26" s="1"/>
  <c r="T83" i="26" s="1"/>
  <c r="V83" i="26" s="1"/>
  <c r="X83" i="26" s="1"/>
  <c r="Z83" i="26" s="1"/>
  <c r="AB83" i="26" s="1"/>
  <c r="AD83" i="26" s="1"/>
  <c r="AF83" i="26" s="1"/>
  <c r="AH83" i="26" s="1"/>
  <c r="AJ83" i="26" s="1"/>
  <c r="AL83" i="26" s="1"/>
  <c r="AN83" i="26" s="1"/>
  <c r="AP83" i="26" s="1"/>
  <c r="AR83" i="26" s="1"/>
  <c r="AT83" i="26" s="1"/>
  <c r="AV83" i="26" s="1"/>
  <c r="AX83" i="26" s="1"/>
  <c r="AZ83" i="26" s="1"/>
  <c r="BB83" i="26" s="1"/>
  <c r="BD83" i="26" s="1"/>
  <c r="BF83" i="26" s="1"/>
  <c r="BH83" i="26" s="1"/>
  <c r="BJ83" i="26" s="1"/>
  <c r="BL83" i="26" s="1"/>
  <c r="BN83" i="26" s="1"/>
  <c r="BP83" i="26" s="1"/>
  <c r="L92" i="26"/>
  <c r="N92" i="26" s="1"/>
  <c r="P92" i="26" s="1"/>
  <c r="R92" i="26" s="1"/>
  <c r="T92" i="26" s="1"/>
  <c r="V92" i="26" s="1"/>
  <c r="X92" i="26" s="1"/>
  <c r="Z92" i="26" s="1"/>
  <c r="AB92" i="26" s="1"/>
  <c r="AD92" i="26" s="1"/>
  <c r="AF92" i="26" s="1"/>
  <c r="AH92" i="26" s="1"/>
  <c r="AJ92" i="26" s="1"/>
  <c r="AL92" i="26" s="1"/>
  <c r="AN92" i="26" s="1"/>
  <c r="AP92" i="26" s="1"/>
  <c r="AR92" i="26" s="1"/>
  <c r="AT92" i="26" s="1"/>
  <c r="AV92" i="26" s="1"/>
  <c r="AX92" i="26" s="1"/>
  <c r="AZ92" i="26" s="1"/>
  <c r="BB92" i="26" s="1"/>
  <c r="BD92" i="26" s="1"/>
  <c r="BF92" i="26" s="1"/>
  <c r="BH92" i="26" s="1"/>
  <c r="BJ92" i="26" s="1"/>
  <c r="BL92" i="26" s="1"/>
  <c r="BN92" i="26" s="1"/>
  <c r="BP92" i="26" s="1"/>
  <c r="L101" i="26"/>
  <c r="N101" i="26" s="1"/>
  <c r="P101" i="26" s="1"/>
  <c r="R101" i="26" s="1"/>
  <c r="T101" i="26" s="1"/>
  <c r="V101" i="26" s="1"/>
  <c r="X101" i="26" s="1"/>
  <c r="Z101" i="26" s="1"/>
  <c r="AB101" i="26" s="1"/>
  <c r="AD101" i="26" s="1"/>
  <c r="AF101" i="26" s="1"/>
  <c r="AH101" i="26" s="1"/>
  <c r="AJ101" i="26" s="1"/>
  <c r="AL101" i="26" s="1"/>
  <c r="AN101" i="26" s="1"/>
  <c r="AP101" i="26" s="1"/>
  <c r="AR101" i="26" s="1"/>
  <c r="AT101" i="26" s="1"/>
  <c r="AV101" i="26" s="1"/>
  <c r="AX101" i="26" s="1"/>
  <c r="AZ101" i="26" s="1"/>
  <c r="BB101" i="26" s="1"/>
  <c r="BD101" i="26" s="1"/>
  <c r="BF101" i="26" s="1"/>
  <c r="BH101" i="26" s="1"/>
  <c r="BJ101" i="26" s="1"/>
  <c r="BL101" i="26" s="1"/>
  <c r="BN101" i="26" s="1"/>
  <c r="BP101" i="26" s="1"/>
  <c r="L110" i="26"/>
  <c r="N110" i="26" s="1"/>
  <c r="P110" i="26" s="1"/>
  <c r="R110" i="26" s="1"/>
  <c r="T110" i="26" s="1"/>
  <c r="V110" i="26" s="1"/>
  <c r="X110" i="26" s="1"/>
  <c r="Z110" i="26" s="1"/>
  <c r="AB110" i="26" s="1"/>
  <c r="AD110" i="26" s="1"/>
  <c r="AF110" i="26" s="1"/>
  <c r="AH110" i="26" s="1"/>
  <c r="AJ110" i="26" s="1"/>
  <c r="AL110" i="26" s="1"/>
  <c r="AN110" i="26" s="1"/>
  <c r="AP110" i="26" s="1"/>
  <c r="AR110" i="26" s="1"/>
  <c r="AT110" i="26" s="1"/>
  <c r="AV110" i="26" s="1"/>
  <c r="AX110" i="26" s="1"/>
  <c r="AZ110" i="26" s="1"/>
  <c r="BB110" i="26" s="1"/>
  <c r="BD110" i="26" s="1"/>
  <c r="BF110" i="26" s="1"/>
  <c r="BH110" i="26" s="1"/>
  <c r="BJ110" i="26" s="1"/>
  <c r="BL110" i="26" s="1"/>
  <c r="BN110" i="26" s="1"/>
  <c r="BP110" i="26" s="1"/>
  <c r="L119" i="26"/>
  <c r="N119" i="26" s="1"/>
  <c r="P119" i="26" s="1"/>
  <c r="T119" i="26" s="1"/>
  <c r="V119" i="26" s="1"/>
  <c r="X119" i="26" s="1"/>
  <c r="Z119" i="26" s="1"/>
  <c r="AB119" i="26" s="1"/>
  <c r="AD119" i="26" s="1"/>
  <c r="AF119" i="26" s="1"/>
  <c r="AH119" i="26" s="1"/>
  <c r="AJ119" i="26" s="1"/>
  <c r="AL119" i="26" s="1"/>
  <c r="AN119" i="26" s="1"/>
  <c r="AP119" i="26" s="1"/>
  <c r="AR119" i="26" s="1"/>
  <c r="AT119" i="26" s="1"/>
  <c r="AV119" i="26" s="1"/>
  <c r="AX119" i="26" s="1"/>
  <c r="AZ119" i="26" s="1"/>
  <c r="BB119" i="26" s="1"/>
  <c r="BD119" i="26" s="1"/>
  <c r="BF119" i="26" s="1"/>
  <c r="BH119" i="26" s="1"/>
  <c r="BJ119" i="26" s="1"/>
  <c r="BL119" i="26" s="1"/>
  <c r="BN119" i="26" s="1"/>
  <c r="BP119" i="26" s="1"/>
  <c r="L130" i="26"/>
  <c r="N130" i="26" s="1"/>
  <c r="P130" i="26" s="1"/>
  <c r="R130" i="26" s="1"/>
  <c r="T130" i="26" s="1"/>
  <c r="V130" i="26" s="1"/>
  <c r="X130" i="26" s="1"/>
  <c r="Z130" i="26" s="1"/>
  <c r="AB130" i="26" s="1"/>
  <c r="AD130" i="26" s="1"/>
  <c r="AF130" i="26" s="1"/>
  <c r="AH130" i="26" s="1"/>
  <c r="AJ130" i="26" s="1"/>
  <c r="AL130" i="26" s="1"/>
  <c r="AN130" i="26" s="1"/>
  <c r="AP130" i="26" s="1"/>
  <c r="AR130" i="26" s="1"/>
  <c r="AT130" i="26" s="1"/>
  <c r="AV130" i="26" s="1"/>
  <c r="AX130" i="26" s="1"/>
  <c r="AZ130" i="26" s="1"/>
  <c r="BB130" i="26" s="1"/>
  <c r="BD130" i="26" s="1"/>
  <c r="BF130" i="26" s="1"/>
  <c r="BH130" i="26" s="1"/>
  <c r="BJ130" i="26" s="1"/>
  <c r="BL130" i="26" s="1"/>
  <c r="BN130" i="26" s="1"/>
  <c r="BP130" i="26" s="1"/>
  <c r="L139" i="26"/>
  <c r="N139" i="26" s="1"/>
  <c r="P139" i="26" s="1"/>
  <c r="R139" i="26" s="1"/>
  <c r="T139" i="26" s="1"/>
  <c r="V139" i="26" s="1"/>
  <c r="X139" i="26" s="1"/>
  <c r="Z139" i="26" s="1"/>
  <c r="AB139" i="26" s="1"/>
  <c r="AD139" i="26" s="1"/>
  <c r="AF139" i="26" s="1"/>
  <c r="AH139" i="26" s="1"/>
  <c r="AJ139" i="26" s="1"/>
  <c r="AL139" i="26" s="1"/>
  <c r="AN139" i="26" s="1"/>
  <c r="AP139" i="26" s="1"/>
  <c r="AR139" i="26" s="1"/>
  <c r="AT139" i="26" s="1"/>
  <c r="AV139" i="26" s="1"/>
  <c r="AX139" i="26" s="1"/>
  <c r="AZ139" i="26" s="1"/>
  <c r="BB139" i="26" s="1"/>
  <c r="BD139" i="26" s="1"/>
  <c r="BF139" i="26" s="1"/>
  <c r="BH139" i="26" s="1"/>
  <c r="BJ139" i="26" s="1"/>
  <c r="BL139" i="26" s="1"/>
  <c r="BN139" i="26" s="1"/>
  <c r="BP139" i="26" s="1"/>
  <c r="L148" i="26"/>
  <c r="N148" i="26" s="1"/>
  <c r="P148" i="26" s="1"/>
  <c r="R148" i="26" s="1"/>
  <c r="T148" i="26" s="1"/>
  <c r="V148" i="26" s="1"/>
  <c r="X148" i="26" s="1"/>
  <c r="Z148" i="26" s="1"/>
  <c r="AB148" i="26" s="1"/>
  <c r="AD148" i="26" s="1"/>
  <c r="AF148" i="26" s="1"/>
  <c r="AH148" i="26" s="1"/>
  <c r="AJ148" i="26" s="1"/>
  <c r="AL148" i="26" s="1"/>
  <c r="AN148" i="26" s="1"/>
  <c r="AP148" i="26" s="1"/>
  <c r="AR148" i="26" s="1"/>
  <c r="AT148" i="26" s="1"/>
  <c r="AV148" i="26" s="1"/>
  <c r="AX148" i="26" s="1"/>
  <c r="AZ148" i="26" s="1"/>
  <c r="BB148" i="26" s="1"/>
  <c r="BD148" i="26" s="1"/>
  <c r="BF148" i="26" s="1"/>
  <c r="BH148" i="26" s="1"/>
  <c r="BJ148" i="26" s="1"/>
  <c r="BL148" i="26" s="1"/>
  <c r="BN148" i="26" s="1"/>
  <c r="BP148" i="26" s="1"/>
  <c r="L157" i="26"/>
  <c r="N157" i="26" s="1"/>
  <c r="P157" i="26" s="1"/>
  <c r="R157" i="26" s="1"/>
  <c r="T157" i="26" s="1"/>
  <c r="V157" i="26" s="1"/>
  <c r="X157" i="26" s="1"/>
  <c r="Z157" i="26" s="1"/>
  <c r="AB157" i="26" s="1"/>
  <c r="AD157" i="26" s="1"/>
  <c r="AF157" i="26" s="1"/>
  <c r="AH157" i="26" s="1"/>
  <c r="AJ157" i="26" s="1"/>
  <c r="AL157" i="26" s="1"/>
  <c r="AN157" i="26" s="1"/>
  <c r="AP157" i="26" s="1"/>
  <c r="AR157" i="26" s="1"/>
  <c r="AT157" i="26" s="1"/>
  <c r="AV157" i="26" s="1"/>
  <c r="AX157" i="26" s="1"/>
  <c r="AZ157" i="26" s="1"/>
  <c r="BB157" i="26" s="1"/>
  <c r="BD157" i="26" s="1"/>
  <c r="BF157" i="26" s="1"/>
  <c r="BH157" i="26" s="1"/>
  <c r="BJ157" i="26" s="1"/>
  <c r="BL157" i="26" s="1"/>
  <c r="BN157" i="26" s="1"/>
  <c r="BP157" i="26" s="1"/>
  <c r="L166" i="26"/>
  <c r="N166" i="26" s="1"/>
  <c r="P166" i="26" s="1"/>
  <c r="R166" i="26" s="1"/>
  <c r="T166" i="26" s="1"/>
  <c r="V166" i="26" s="1"/>
  <c r="X166" i="26" s="1"/>
  <c r="Z166" i="26" s="1"/>
  <c r="AB166" i="26" s="1"/>
  <c r="AD166" i="26" s="1"/>
  <c r="AF166" i="26" s="1"/>
  <c r="AH166" i="26" s="1"/>
  <c r="AJ166" i="26" s="1"/>
  <c r="AL166" i="26" s="1"/>
  <c r="AN166" i="26" s="1"/>
  <c r="AP166" i="26" s="1"/>
  <c r="AR166" i="26" s="1"/>
  <c r="AT166" i="26" s="1"/>
  <c r="AV166" i="26" s="1"/>
  <c r="AX166" i="26" s="1"/>
  <c r="AZ166" i="26" s="1"/>
  <c r="BB166" i="26" s="1"/>
  <c r="BD166" i="26" s="1"/>
  <c r="BF166" i="26" s="1"/>
  <c r="BH166" i="26" s="1"/>
  <c r="BJ166" i="26" s="1"/>
  <c r="BL166" i="26" s="1"/>
  <c r="BN166" i="26" s="1"/>
  <c r="BP166" i="26" s="1"/>
  <c r="GT16" i="26" l="1"/>
  <c r="GV13" i="26"/>
  <c r="M7" i="26"/>
  <c r="N7" i="26" s="1"/>
  <c r="O7" i="26" s="1"/>
  <c r="P7" i="26" s="1"/>
  <c r="Q7" i="26" s="1"/>
  <c r="R7" i="26" s="1"/>
  <c r="S7" i="26" s="1"/>
  <c r="T7" i="26" s="1"/>
  <c r="GV16" i="26" l="1"/>
  <c r="GX13" i="26"/>
  <c r="U7" i="26"/>
  <c r="V7" i="26" s="1"/>
  <c r="GX16" i="26" l="1"/>
  <c r="GZ13" i="26"/>
  <c r="W7" i="26"/>
  <c r="X7" i="26" s="1"/>
  <c r="GZ16" i="26" l="1"/>
  <c r="HB13" i="26"/>
  <c r="Y7" i="26"/>
  <c r="Z7" i="26" s="1"/>
  <c r="HB16" i="26" l="1"/>
  <c r="HD13" i="26"/>
  <c r="AA7" i="26"/>
  <c r="AB7" i="26" s="1"/>
  <c r="AC7" i="26" s="1"/>
  <c r="AD7" i="26" s="1"/>
  <c r="HD16" i="26" l="1"/>
  <c r="HF13" i="26"/>
  <c r="AE7" i="26"/>
  <c r="AF7" i="26" s="1"/>
  <c r="HF16" i="26" l="1"/>
  <c r="HH13" i="26"/>
  <c r="AG7" i="26"/>
  <c r="AH7" i="26" s="1"/>
  <c r="AI7" i="26" s="1"/>
  <c r="AJ7" i="26" s="1"/>
  <c r="HH16" i="26" l="1"/>
  <c r="HJ13" i="26"/>
  <c r="HJ16" i="26" s="1"/>
  <c r="AK7" i="26"/>
  <c r="AL7" i="26" s="1"/>
  <c r="AM7" i="26" l="1"/>
  <c r="AN7" i="26" s="1"/>
  <c r="AO7" i="26" l="1"/>
  <c r="AP7" i="26" s="1"/>
  <c r="AQ7" i="26" s="1"/>
  <c r="AR7" i="26" s="1"/>
  <c r="AS7" i="26" l="1"/>
  <c r="AT7" i="26" l="1"/>
  <c r="AU7" i="26" s="1"/>
  <c r="AV7" i="26" s="1"/>
  <c r="M39" i="166"/>
  <c r="AW7" i="26" l="1"/>
  <c r="AX7" i="26" s="1"/>
  <c r="AY7" i="26" s="1"/>
  <c r="AZ7" i="26" s="1"/>
  <c r="BA7" i="26" l="1"/>
  <c r="BB7" i="26" s="1"/>
  <c r="BC7" i="26" l="1"/>
  <c r="BD7" i="26" s="1"/>
  <c r="BE7" i="26" l="1"/>
  <c r="BF7" i="26" l="1"/>
  <c r="BG7" i="26" l="1"/>
  <c r="BH7" i="26" s="1"/>
  <c r="BI7" i="26" s="1"/>
  <c r="BJ7" i="26" s="1"/>
  <c r="BK7" i="26"/>
  <c r="BL7" i="26" s="1"/>
  <c r="BM7" i="26" s="1"/>
  <c r="BN7" i="26" s="1"/>
  <c r="BO7" i="26" s="1"/>
  <c r="D8" i="95" l="1"/>
  <c r="BP7" i="26"/>
  <c r="M40" i="166"/>
  <c r="DV145" i="26"/>
  <c r="DX145" i="26"/>
  <c r="DZ145" i="26"/>
  <c r="DT145" i="26"/>
  <c r="EH145" i="26"/>
  <c r="EB145" i="26"/>
  <c r="EF145" i="26"/>
  <c r="ED145" i="26"/>
  <c r="BQ7" i="26" l="1"/>
  <c r="CJ145" i="26"/>
  <c r="DR145" i="26"/>
  <c r="AV24" i="101" l="1"/>
  <c r="AV23" i="101" l="1"/>
  <c r="AV18" i="101" l="1"/>
  <c r="AV27" i="101" s="1"/>
  <c r="V40" i="155" l="1"/>
  <c r="T29" i="162"/>
  <c r="U29" i="162" s="1"/>
  <c r="V29" i="162" s="1"/>
  <c r="K98" i="163"/>
  <c r="K101" i="163"/>
  <c r="K58" i="163"/>
  <c r="K57" i="163"/>
  <c r="S57" i="163" s="1"/>
  <c r="K99" i="163"/>
  <c r="K100" i="163"/>
  <c r="K19" i="157"/>
  <c r="U19" i="157" s="1"/>
  <c r="K19" i="158"/>
  <c r="K18" i="157"/>
  <c r="U18" i="157" s="1"/>
  <c r="K18" i="158"/>
  <c r="U18" i="158" s="1"/>
  <c r="K17" i="158"/>
  <c r="K19" i="156"/>
  <c r="U19" i="156" s="1"/>
  <c r="K18" i="156"/>
  <c r="U18" i="156" s="1"/>
  <c r="K55" i="163"/>
  <c r="U55" i="163" s="1"/>
  <c r="K56" i="163"/>
  <c r="K19" i="163"/>
  <c r="K53" i="163"/>
  <c r="K95" i="163"/>
  <c r="K17" i="162"/>
  <c r="S17" i="162" s="1"/>
  <c r="U17" i="162" s="1"/>
  <c r="K21" i="163"/>
  <c r="S21" i="163" s="1"/>
  <c r="U21" i="163" s="1"/>
  <c r="K17" i="155"/>
  <c r="J34" i="155" s="1"/>
  <c r="K18" i="163"/>
  <c r="K52" i="163"/>
  <c r="K20" i="163"/>
  <c r="K97" i="163"/>
  <c r="K16" i="162"/>
  <c r="K17" i="157"/>
  <c r="K17" i="163"/>
  <c r="K18" i="162"/>
  <c r="S18" i="162" s="1"/>
  <c r="U18" i="162" s="1"/>
  <c r="K17" i="156"/>
  <c r="K16" i="163"/>
  <c r="K96" i="163"/>
  <c r="K19" i="162"/>
  <c r="K54" i="163"/>
  <c r="T69" i="163"/>
  <c r="T112" i="163"/>
  <c r="T28" i="163"/>
  <c r="T30" i="163"/>
  <c r="U30" i="163" s="1"/>
  <c r="V30" i="163" s="1"/>
  <c r="T113" i="163"/>
  <c r="U113" i="163" s="1"/>
  <c r="V113" i="163" s="1"/>
  <c r="U28" i="162"/>
  <c r="V28" i="162" s="1"/>
  <c r="T70" i="163"/>
  <c r="U70" i="163" s="1"/>
  <c r="V70" i="163" s="1"/>
  <c r="T29" i="163"/>
  <c r="U29" i="163" s="1"/>
  <c r="V29" i="163" s="1"/>
  <c r="J28" i="158" l="1"/>
  <c r="U28" i="158"/>
  <c r="J8" i="158" s="1"/>
  <c r="E9" i="158" s="1"/>
  <c r="U9" i="158" s="1"/>
  <c r="E9" i="96" s="1"/>
  <c r="J22" i="162"/>
  <c r="J64" i="163"/>
  <c r="S19" i="162"/>
  <c r="U19" i="162" s="1"/>
  <c r="S16" i="163"/>
  <c r="U16" i="163" s="1"/>
  <c r="J23" i="163"/>
  <c r="S16" i="162"/>
  <c r="S17" i="155"/>
  <c r="S34" i="155" s="1"/>
  <c r="U39" i="155"/>
  <c r="V39" i="155" s="1"/>
  <c r="V46" i="155" s="1"/>
  <c r="S17" i="156"/>
  <c r="S28" i="156" s="1"/>
  <c r="J28" i="156"/>
  <c r="J107" i="163"/>
  <c r="T74" i="163"/>
  <c r="U69" i="163"/>
  <c r="V69" i="163" s="1"/>
  <c r="V74" i="163" s="1"/>
  <c r="J45" i="163" s="1"/>
  <c r="U57" i="163"/>
  <c r="U64" i="163" s="1"/>
  <c r="J44" i="163" s="1"/>
  <c r="S64" i="163"/>
  <c r="T32" i="162"/>
  <c r="U27" i="162"/>
  <c r="S20" i="163"/>
  <c r="U20" i="163" s="1"/>
  <c r="T33" i="163"/>
  <c r="U28" i="163"/>
  <c r="V28" i="163" s="1"/>
  <c r="V33" i="163" s="1"/>
  <c r="J9" i="163" s="1"/>
  <c r="S17" i="157"/>
  <c r="S28" i="157" s="1"/>
  <c r="J28" i="157"/>
  <c r="T117" i="163"/>
  <c r="U112" i="163"/>
  <c r="V112" i="163" s="1"/>
  <c r="V117" i="163" s="1"/>
  <c r="J88" i="163" s="1"/>
  <c r="E88" i="163" s="1"/>
  <c r="U88" i="163" s="1"/>
  <c r="S19" i="163"/>
  <c r="S17" i="158"/>
  <c r="S28" i="158" s="1"/>
  <c r="V29" i="135" l="1"/>
  <c r="J9" i="155"/>
  <c r="V27" i="162"/>
  <c r="V32" i="162" s="1"/>
  <c r="J9" i="162" s="1"/>
  <c r="U17" i="155"/>
  <c r="S23" i="163"/>
  <c r="U17" i="156"/>
  <c r="U19" i="163"/>
  <c r="U23" i="163" s="1"/>
  <c r="J8" i="163" s="1"/>
  <c r="E9" i="163" s="1"/>
  <c r="U17" i="157"/>
  <c r="U28" i="157" s="1"/>
  <c r="J8" i="157" s="1"/>
  <c r="E9" i="157" s="1"/>
  <c r="E45" i="163"/>
  <c r="U45" i="163" s="1"/>
  <c r="U16" i="162"/>
  <c r="U22" i="162" s="1"/>
  <c r="S22" i="162"/>
  <c r="U34" i="155" l="1"/>
  <c r="X1" i="155" s="1"/>
  <c r="W17" i="155"/>
  <c r="U28" i="156"/>
  <c r="J8" i="156" s="1"/>
  <c r="J8" i="162"/>
  <c r="E9" i="162" s="1"/>
  <c r="U9" i="163"/>
  <c r="J8" i="155" l="1"/>
  <c r="U9" i="162"/>
  <c r="H86" i="107"/>
  <c r="G86" i="107" s="1"/>
  <c r="G161" i="26"/>
  <c r="E6" i="107"/>
  <c r="G6" i="107" s="1"/>
  <c r="CF163" i="26" l="1"/>
  <c r="BD163" i="26"/>
  <c r="CN163" i="26"/>
  <c r="HH163" i="26"/>
  <c r="HJ163" i="26"/>
  <c r="GV163" i="26"/>
  <c r="HB163" i="26"/>
  <c r="GX163" i="26"/>
  <c r="GZ163" i="26"/>
  <c r="HD163" i="26"/>
  <c r="HF163" i="26"/>
  <c r="CR163" i="26"/>
  <c r="CL163" i="26"/>
  <c r="CT163" i="26"/>
  <c r="CV163" i="26"/>
  <c r="CP163" i="26"/>
  <c r="CX163" i="26"/>
  <c r="CJ98" i="26"/>
  <c r="CP107" i="26"/>
  <c r="E2" i="107"/>
  <c r="DX116" i="26"/>
  <c r="DZ116" i="26"/>
  <c r="DV116" i="26"/>
  <c r="EP116" i="26"/>
  <c r="EN116" i="26"/>
  <c r="ER116" i="26"/>
  <c r="DF98" i="26"/>
  <c r="DJ98" i="26"/>
  <c r="DD98" i="26"/>
  <c r="DN98" i="26"/>
  <c r="DL98" i="26"/>
  <c r="DH98" i="26"/>
  <c r="L107" i="26"/>
  <c r="L108" i="26" s="1"/>
  <c r="AJ107" i="26"/>
  <c r="P107" i="26"/>
  <c r="R107" i="26"/>
  <c r="T107" i="26"/>
  <c r="V107" i="26"/>
  <c r="AT107" i="26"/>
  <c r="X107" i="26"/>
  <c r="Z107" i="26"/>
  <c r="AB107" i="26"/>
  <c r="BB107" i="26"/>
  <c r="BJ107" i="26"/>
  <c r="N107" i="26"/>
  <c r="L98" i="26"/>
  <c r="L99" i="26" s="1"/>
  <c r="AJ98" i="26"/>
  <c r="N98" i="26"/>
  <c r="AL98" i="26"/>
  <c r="P98" i="26"/>
  <c r="R98" i="26"/>
  <c r="AP98" i="26"/>
  <c r="T98" i="26"/>
  <c r="V98" i="26"/>
  <c r="X98" i="26"/>
  <c r="Z98" i="26"/>
  <c r="AF98" i="26"/>
  <c r="AB98" i="26"/>
  <c r="AD98" i="26"/>
  <c r="AN98" i="26"/>
  <c r="AF116" i="26"/>
  <c r="BD116" i="26"/>
  <c r="AH116" i="26"/>
  <c r="L116" i="26"/>
  <c r="L117" i="26" s="1"/>
  <c r="AJ116" i="26"/>
  <c r="N116" i="26"/>
  <c r="AL116" i="26"/>
  <c r="BJ116" i="26"/>
  <c r="P116" i="26"/>
  <c r="AN116" i="26"/>
  <c r="BL116" i="26"/>
  <c r="AP116" i="26"/>
  <c r="BN116" i="26"/>
  <c r="T116" i="26"/>
  <c r="V116" i="26"/>
  <c r="AT116" i="26"/>
  <c r="X116" i="26"/>
  <c r="Z116" i="26"/>
  <c r="AB116" i="26"/>
  <c r="AD116" i="26"/>
  <c r="BB116" i="26"/>
  <c r="BJ80" i="26"/>
  <c r="P80" i="26"/>
  <c r="R80" i="26"/>
  <c r="L80" i="26"/>
  <c r="L81" i="26" s="1"/>
  <c r="L89" i="26"/>
  <c r="L90" i="26" s="1"/>
  <c r="AJ89" i="26"/>
  <c r="N89" i="26"/>
  <c r="AL89" i="26"/>
  <c r="P89" i="26"/>
  <c r="AN89" i="26"/>
  <c r="R89" i="26"/>
  <c r="AP89" i="26"/>
  <c r="T89" i="26"/>
  <c r="AR89" i="26"/>
  <c r="V89" i="26"/>
  <c r="X89" i="26"/>
  <c r="Z89" i="26"/>
  <c r="AB89" i="26"/>
  <c r="AH89" i="26"/>
  <c r="X163" i="26"/>
  <c r="AV163" i="26"/>
  <c r="Z163" i="26"/>
  <c r="AX163" i="26"/>
  <c r="AB163" i="26"/>
  <c r="AZ163" i="26"/>
  <c r="AD163" i="26"/>
  <c r="BB163" i="26"/>
  <c r="AF163" i="26"/>
  <c r="AH163" i="26"/>
  <c r="BF163" i="26"/>
  <c r="L163" i="26"/>
  <c r="L164" i="26" s="1"/>
  <c r="AJ163" i="26"/>
  <c r="BH163" i="26"/>
  <c r="N163" i="26"/>
  <c r="AL163" i="26"/>
  <c r="BJ163" i="26"/>
  <c r="P163" i="26"/>
  <c r="AN163" i="26"/>
  <c r="BL163" i="26"/>
  <c r="R163" i="26"/>
  <c r="AP163" i="26"/>
  <c r="BN163" i="26"/>
  <c r="T163" i="26"/>
  <c r="AR163" i="26"/>
  <c r="BP163" i="26"/>
  <c r="V163" i="26"/>
  <c r="AT163" i="26"/>
  <c r="DJ80" i="26"/>
  <c r="EP80" i="26"/>
  <c r="N117" i="26" l="1"/>
  <c r="P117" i="26" s="1"/>
  <c r="T117" i="26" s="1"/>
  <c r="V117" i="26" s="1"/>
  <c r="X117" i="26" s="1"/>
  <c r="Z117" i="26" s="1"/>
  <c r="AB117" i="26" s="1"/>
  <c r="AD117" i="26" s="1"/>
  <c r="AF117" i="26" s="1"/>
  <c r="AH117" i="26" s="1"/>
  <c r="AJ117" i="26" s="1"/>
  <c r="AL117" i="26" s="1"/>
  <c r="AN117" i="26" s="1"/>
  <c r="AP117" i="26" s="1"/>
  <c r="AR117" i="26" s="1"/>
  <c r="AT117" i="26" s="1"/>
  <c r="AV117" i="26" s="1"/>
  <c r="AX117" i="26" s="1"/>
  <c r="AZ117" i="26" s="1"/>
  <c r="BB117" i="26" s="1"/>
  <c r="BD117" i="26" s="1"/>
  <c r="N99" i="26"/>
  <c r="P99" i="26" s="1"/>
  <c r="R99" i="26" s="1"/>
  <c r="T99" i="26" s="1"/>
  <c r="V99" i="26" s="1"/>
  <c r="X99" i="26" s="1"/>
  <c r="Z99" i="26" s="1"/>
  <c r="AB99" i="26" s="1"/>
  <c r="AD99" i="26" s="1"/>
  <c r="AF99" i="26" s="1"/>
  <c r="AH99" i="26" s="1"/>
  <c r="AJ99" i="26" s="1"/>
  <c r="AL99" i="26" s="1"/>
  <c r="AN99" i="26" s="1"/>
  <c r="AP99" i="26" s="1"/>
  <c r="AR99" i="26" s="1"/>
  <c r="AT99" i="26" s="1"/>
  <c r="AV99" i="26" s="1"/>
  <c r="AX99" i="26" s="1"/>
  <c r="AZ99" i="26" s="1"/>
  <c r="BB99" i="26" s="1"/>
  <c r="BD99" i="26" s="1"/>
  <c r="N90" i="26"/>
  <c r="P90" i="26" s="1"/>
  <c r="R90" i="26" s="1"/>
  <c r="T90" i="26" s="1"/>
  <c r="V90" i="26" s="1"/>
  <c r="X90" i="26" s="1"/>
  <c r="Z90" i="26" s="1"/>
  <c r="AB90" i="26" s="1"/>
  <c r="AD90" i="26" s="1"/>
  <c r="AF90" i="26" s="1"/>
  <c r="AH90" i="26" s="1"/>
  <c r="AJ90" i="26" s="1"/>
  <c r="AL90" i="26" s="1"/>
  <c r="AN90" i="26" s="1"/>
  <c r="AP90" i="26" s="1"/>
  <c r="AR90" i="26" s="1"/>
  <c r="AT90" i="26" s="1"/>
  <c r="AV90" i="26" s="1"/>
  <c r="N164" i="26"/>
  <c r="P164" i="26" s="1"/>
  <c r="R164" i="26" s="1"/>
  <c r="T164" i="26" s="1"/>
  <c r="V164" i="26" s="1"/>
  <c r="X164" i="26" s="1"/>
  <c r="Z164" i="26" s="1"/>
  <c r="AB164" i="26" s="1"/>
  <c r="AD164" i="26" s="1"/>
  <c r="AF164" i="26" s="1"/>
  <c r="AH164" i="26" s="1"/>
  <c r="AJ164" i="26" s="1"/>
  <c r="AL164" i="26" s="1"/>
  <c r="AN164" i="26" s="1"/>
  <c r="AP164" i="26" s="1"/>
  <c r="AR164" i="26" s="1"/>
  <c r="AT164" i="26" s="1"/>
  <c r="AV164" i="26" s="1"/>
  <c r="AX164" i="26" s="1"/>
  <c r="AZ164" i="26" s="1"/>
  <c r="BB164" i="26" s="1"/>
  <c r="BD164" i="26" s="1"/>
  <c r="BF164" i="26" s="1"/>
  <c r="BH164" i="26" s="1"/>
  <c r="BJ164" i="26" s="1"/>
  <c r="BL164" i="26" s="1"/>
  <c r="BN164" i="26" s="1"/>
  <c r="BP164" i="26" s="1"/>
  <c r="N81" i="26"/>
  <c r="P81" i="26" s="1"/>
  <c r="R81" i="26" s="1"/>
  <c r="T81" i="26" s="1"/>
  <c r="V81" i="26" s="1"/>
  <c r="X81" i="26" s="1"/>
  <c r="Z81" i="26" s="1"/>
  <c r="AB81" i="26" s="1"/>
  <c r="AD81" i="26" s="1"/>
  <c r="AF81" i="26" s="1"/>
  <c r="AH81" i="26" s="1"/>
  <c r="AJ81" i="26" s="1"/>
  <c r="AL81" i="26" s="1"/>
  <c r="AN81" i="26" s="1"/>
  <c r="N108" i="26"/>
  <c r="P108" i="26" s="1"/>
  <c r="R108" i="26" s="1"/>
  <c r="T108" i="26" s="1"/>
  <c r="V108" i="26" s="1"/>
  <c r="X108" i="26" s="1"/>
  <c r="Z108" i="26" s="1"/>
  <c r="AB108" i="26" s="1"/>
  <c r="AD108" i="26" s="1"/>
  <c r="AF108" i="26" s="1"/>
  <c r="AH108" i="26" s="1"/>
  <c r="AJ108" i="26" s="1"/>
  <c r="AL108" i="26" s="1"/>
  <c r="AN108" i="26" s="1"/>
  <c r="AP108" i="26" s="1"/>
  <c r="AR108" i="26" s="1"/>
  <c r="AT108" i="26" s="1"/>
  <c r="AV108" i="26" s="1"/>
  <c r="AX108" i="26" s="1"/>
  <c r="AZ108" i="26" s="1"/>
  <c r="BB108" i="26" s="1"/>
  <c r="BD108" i="26" s="1"/>
  <c r="B18" i="101"/>
  <c r="B17" i="101"/>
  <c r="AX90" i="26" l="1"/>
  <c r="AZ90" i="26" s="1"/>
  <c r="BB90" i="26" s="1"/>
  <c r="BD90" i="26" s="1"/>
  <c r="BF90" i="26" s="1"/>
  <c r="AP81" i="26"/>
  <c r="AR81" i="26" s="1"/>
  <c r="K46" i="166" s="1"/>
  <c r="BH90" i="26" l="1"/>
  <c r="BJ90" i="26" s="1"/>
  <c r="X9" i="101"/>
  <c r="EZ61" i="26"/>
  <c r="EJ61" i="26"/>
  <c r="ER61" i="26"/>
  <c r="EV61" i="26"/>
  <c r="EH61" i="26"/>
  <c r="EP61" i="26"/>
  <c r="EB61" i="26"/>
  <c r="DZ61" i="26"/>
  <c r="DX61" i="26"/>
  <c r="ED61" i="26"/>
  <c r="EF61" i="26"/>
  <c r="DV61" i="26"/>
  <c r="R61" i="26"/>
  <c r="T61" i="26"/>
  <c r="V61" i="26"/>
  <c r="X61" i="26"/>
  <c r="Z61" i="26"/>
  <c r="AX61" i="26"/>
  <c r="AB61" i="26"/>
  <c r="AZ61" i="26"/>
  <c r="AD61" i="26"/>
  <c r="BB61" i="26"/>
  <c r="AF61" i="26"/>
  <c r="BD61" i="26"/>
  <c r="AH61" i="26"/>
  <c r="L61" i="26"/>
  <c r="L62" i="26" s="1"/>
  <c r="AJ61" i="26"/>
  <c r="P61" i="26"/>
  <c r="N61" i="26"/>
  <c r="EL61" i="26"/>
  <c r="DP61" i="26"/>
  <c r="EN61" i="26"/>
  <c r="DR61" i="26"/>
  <c r="DL61" i="26"/>
  <c r="FF61" i="26"/>
  <c r="DF61" i="26"/>
  <c r="DT61" i="26"/>
  <c r="FB61" i="26"/>
  <c r="DH61" i="26"/>
  <c r="FD61" i="26"/>
  <c r="DJ61" i="26"/>
  <c r="DD61" i="26"/>
  <c r="EX61" i="26"/>
  <c r="ET61" i="26"/>
  <c r="DN61" i="26"/>
  <c r="FV61" i="26"/>
  <c r="GR61" i="26"/>
  <c r="GL61" i="26"/>
  <c r="FX61" i="26"/>
  <c r="FL61" i="26"/>
  <c r="GT61" i="26"/>
  <c r="GN61" i="26"/>
  <c r="FN61" i="26"/>
  <c r="GF61" i="26"/>
  <c r="GB61" i="26"/>
  <c r="FP61" i="26"/>
  <c r="FH61" i="26"/>
  <c r="GH61" i="26"/>
  <c r="FR61" i="26"/>
  <c r="GD61" i="26"/>
  <c r="FZ61" i="26"/>
  <c r="GP61" i="26"/>
  <c r="FT61" i="26"/>
  <c r="GJ61" i="26"/>
  <c r="FJ61" i="26"/>
  <c r="BL87" i="26" l="1"/>
  <c r="BB80" i="26"/>
  <c r="N62" i="26"/>
  <c r="P62" i="26" s="1"/>
  <c r="R62" i="26" s="1"/>
  <c r="T62" i="26" s="1"/>
  <c r="V62" i="26" s="1"/>
  <c r="X62" i="26" s="1"/>
  <c r="Z62" i="26" s="1"/>
  <c r="AB62" i="26" s="1"/>
  <c r="AD62" i="26" s="1"/>
  <c r="AF62" i="26" s="1"/>
  <c r="AH62" i="26" s="1"/>
  <c r="AJ62" i="26" s="1"/>
  <c r="AL62" i="26" s="1"/>
  <c r="AN62" i="26" s="1"/>
  <c r="AP62" i="26" s="1"/>
  <c r="AN33" i="101"/>
  <c r="AR61" i="26" l="1"/>
  <c r="AR62" i="26" s="1"/>
  <c r="AT62" i="26" s="1"/>
  <c r="AV62" i="26" s="1"/>
  <c r="AX62" i="26" s="1"/>
  <c r="AZ62" i="26" s="1"/>
  <c r="BB62" i="26" s="1"/>
  <c r="BD62" i="26" s="1"/>
  <c r="BF62" i="26" s="1"/>
  <c r="BH62" i="26" s="1"/>
  <c r="BJ62" i="26" s="1"/>
  <c r="BL62" i="26" s="1"/>
  <c r="BN62" i="26" s="1"/>
  <c r="BP62" i="26" s="1"/>
  <c r="BL89" i="26"/>
  <c r="BL90" i="26" s="1"/>
  <c r="BN90" i="26" s="1"/>
  <c r="BP90" i="26" s="1"/>
  <c r="AX134" i="26"/>
  <c r="AX136" i="26" s="1"/>
  <c r="H87" i="107"/>
  <c r="G87" i="107" s="1"/>
  <c r="H82" i="107"/>
  <c r="H84" i="107" l="1"/>
  <c r="G84" i="107" s="1"/>
  <c r="G82" i="107"/>
  <c r="H83" i="107" l="1"/>
  <c r="G83" i="107" l="1"/>
  <c r="AH145" i="26" l="1"/>
  <c r="BF145" i="26"/>
  <c r="L145" i="26"/>
  <c r="L146" i="26" s="1"/>
  <c r="AJ145" i="26"/>
  <c r="BH145" i="26"/>
  <c r="N145" i="26"/>
  <c r="AL145" i="26"/>
  <c r="BJ145" i="26"/>
  <c r="P145" i="26"/>
  <c r="AN145" i="26"/>
  <c r="BL145" i="26"/>
  <c r="R145" i="26"/>
  <c r="AP145" i="26"/>
  <c r="BN145" i="26"/>
  <c r="X145" i="26"/>
  <c r="AV145" i="26"/>
  <c r="AB145" i="26"/>
  <c r="AD145" i="26"/>
  <c r="AF145" i="26"/>
  <c r="BD145" i="26"/>
  <c r="AT145" i="26"/>
  <c r="BP145" i="26"/>
  <c r="T145" i="26"/>
  <c r="V145" i="26"/>
  <c r="Z145" i="26"/>
  <c r="X41" i="26"/>
  <c r="Z41" i="26"/>
  <c r="AB41" i="26"/>
  <c r="AZ41" i="26"/>
  <c r="AD41" i="26"/>
  <c r="AF41" i="26"/>
  <c r="L41" i="26"/>
  <c r="L42" i="26" s="1"/>
  <c r="AJ41" i="26"/>
  <c r="N41" i="26"/>
  <c r="AL41" i="26"/>
  <c r="P41" i="26"/>
  <c r="AN41" i="26"/>
  <c r="R41" i="26"/>
  <c r="AP41" i="26"/>
  <c r="V41" i="26"/>
  <c r="AT41" i="26"/>
  <c r="T41" i="26"/>
  <c r="N127" i="26"/>
  <c r="AL127" i="26"/>
  <c r="BJ127" i="26"/>
  <c r="P127" i="26"/>
  <c r="AN127" i="26"/>
  <c r="BL127" i="26"/>
  <c r="R127" i="26"/>
  <c r="AP127" i="26"/>
  <c r="BN127" i="26"/>
  <c r="T127" i="26"/>
  <c r="AR127" i="26"/>
  <c r="BP127" i="26"/>
  <c r="V127" i="26"/>
  <c r="AT127" i="26"/>
  <c r="X127" i="26"/>
  <c r="Z127" i="26"/>
  <c r="AB127" i="26"/>
  <c r="AZ127" i="26"/>
  <c r="AD127" i="26"/>
  <c r="BB127" i="26"/>
  <c r="AF127" i="26"/>
  <c r="BD127" i="26"/>
  <c r="AH127" i="26"/>
  <c r="BF127" i="26"/>
  <c r="L127" i="26"/>
  <c r="L128" i="26" s="1"/>
  <c r="AJ127" i="26"/>
  <c r="BH127" i="26"/>
  <c r="FZ127" i="26"/>
  <c r="FR127" i="26"/>
  <c r="FP127" i="26"/>
  <c r="FH127" i="26"/>
  <c r="DL127" i="26"/>
  <c r="DD127" i="26"/>
  <c r="GT127" i="26"/>
  <c r="FV127" i="26"/>
  <c r="FL127" i="26"/>
  <c r="EF127" i="26"/>
  <c r="DH127" i="26"/>
  <c r="GB127" i="26"/>
  <c r="DF127" i="26"/>
  <c r="FX127" i="26"/>
  <c r="FN127" i="26"/>
  <c r="FF127" i="26"/>
  <c r="EH127" i="26"/>
  <c r="DR127" i="26"/>
  <c r="DJ127" i="26"/>
  <c r="FD127" i="26"/>
  <c r="DP127" i="26"/>
  <c r="FT127" i="26"/>
  <c r="FJ127" i="26"/>
  <c r="DN127" i="26"/>
  <c r="GR41" i="26"/>
  <c r="GJ41" i="26"/>
  <c r="GD41" i="26"/>
  <c r="DJ41" i="26"/>
  <c r="GN41" i="26"/>
  <c r="GF41" i="26"/>
  <c r="GT41" i="26"/>
  <c r="GL41" i="26"/>
  <c r="FZ41" i="26"/>
  <c r="GP41" i="26"/>
  <c r="GH41" i="26"/>
  <c r="GB41" i="26"/>
  <c r="G152" i="26"/>
  <c r="BB154" i="26" s="1"/>
  <c r="CR154" i="26" l="1"/>
  <c r="CP154" i="26"/>
  <c r="CJ154" i="26"/>
  <c r="DN154" i="26"/>
  <c r="CN154" i="26"/>
  <c r="DR154" i="26"/>
  <c r="CL154" i="26"/>
  <c r="DP154" i="26"/>
  <c r="DL154" i="26"/>
  <c r="DH154" i="26"/>
  <c r="DD154" i="26"/>
  <c r="DB154" i="26"/>
  <c r="DF154" i="26"/>
  <c r="DV154" i="26"/>
  <c r="CT154" i="26"/>
  <c r="CV154" i="26"/>
  <c r="CX154" i="26"/>
  <c r="CZ154" i="26"/>
  <c r="DT154" i="26"/>
  <c r="CF154" i="26"/>
  <c r="CH154" i="26"/>
  <c r="HB154" i="26"/>
  <c r="HH154" i="26"/>
  <c r="GV154" i="26"/>
  <c r="GX154" i="26"/>
  <c r="GZ154" i="26"/>
  <c r="HF154" i="26"/>
  <c r="HD154" i="26"/>
  <c r="HJ154" i="26"/>
  <c r="GN21" i="26"/>
  <c r="ED21" i="26"/>
  <c r="GF21" i="26"/>
  <c r="GJ21" i="26"/>
  <c r="DV21" i="26"/>
  <c r="GT21" i="26"/>
  <c r="GD21" i="26"/>
  <c r="DX21" i="26"/>
  <c r="DT21" i="26"/>
  <c r="DR21" i="26"/>
  <c r="GP21" i="26"/>
  <c r="EF21" i="26"/>
  <c r="DJ21" i="26"/>
  <c r="EB21" i="26"/>
  <c r="GR21" i="26"/>
  <c r="GL21" i="26"/>
  <c r="EH21" i="26"/>
  <c r="DZ21" i="26"/>
  <c r="GH21" i="26"/>
  <c r="FF21" i="26"/>
  <c r="EX21" i="26"/>
  <c r="FN21" i="26"/>
  <c r="FT21" i="26"/>
  <c r="FZ21" i="26"/>
  <c r="EL21" i="26"/>
  <c r="FJ21" i="26"/>
  <c r="FP21" i="26"/>
  <c r="EV21" i="26"/>
  <c r="GB21" i="26"/>
  <c r="ER21" i="26"/>
  <c r="EN21" i="26"/>
  <c r="FH21" i="26"/>
  <c r="EZ21" i="26"/>
  <c r="FX21" i="26"/>
  <c r="EP21" i="26"/>
  <c r="FD21" i="26"/>
  <c r="ET21" i="26"/>
  <c r="FR21" i="26"/>
  <c r="FL21" i="26"/>
  <c r="FB21" i="26"/>
  <c r="EJ21" i="26"/>
  <c r="FV21" i="26"/>
  <c r="R21" i="26"/>
  <c r="GT31" i="26"/>
  <c r="GD31" i="26"/>
  <c r="DV31" i="26"/>
  <c r="GR31" i="26"/>
  <c r="DX31" i="26"/>
  <c r="GP31" i="26"/>
  <c r="GF31" i="26"/>
  <c r="GN31" i="26"/>
  <c r="GL31" i="26"/>
  <c r="DJ31" i="26"/>
  <c r="GH31" i="26"/>
  <c r="GJ31" i="26"/>
  <c r="AD31" i="26"/>
  <c r="T31" i="26"/>
  <c r="EN31" i="26"/>
  <c r="EL31" i="26"/>
  <c r="R31" i="26"/>
  <c r="EZ31" i="26"/>
  <c r="EV31" i="26"/>
  <c r="EP31" i="26"/>
  <c r="P31" i="26"/>
  <c r="L31" i="26"/>
  <c r="L32" i="26" s="1"/>
  <c r="N31" i="26"/>
  <c r="GB31" i="26"/>
  <c r="EJ31" i="26"/>
  <c r="AH31" i="26"/>
  <c r="Z31" i="26"/>
  <c r="FD31" i="26"/>
  <c r="T21" i="26"/>
  <c r="N21" i="26"/>
  <c r="L21" i="26"/>
  <c r="L22" i="26" s="1"/>
  <c r="P21" i="26"/>
  <c r="N128" i="26"/>
  <c r="P128" i="26" s="1"/>
  <c r="R128" i="26" s="1"/>
  <c r="T128" i="26" s="1"/>
  <c r="V128" i="26" s="1"/>
  <c r="X128" i="26" s="1"/>
  <c r="Z128" i="26" s="1"/>
  <c r="AB128" i="26" s="1"/>
  <c r="AD128" i="26" s="1"/>
  <c r="AF128" i="26" s="1"/>
  <c r="AH128" i="26" s="1"/>
  <c r="AJ128" i="26" s="1"/>
  <c r="AL128" i="26" s="1"/>
  <c r="AN128" i="26" s="1"/>
  <c r="AP128" i="26" s="1"/>
  <c r="AR128" i="26" s="1"/>
  <c r="AT128" i="26" s="1"/>
  <c r="AV128" i="26" s="1"/>
  <c r="AX128" i="26" s="1"/>
  <c r="AZ128" i="26" s="1"/>
  <c r="BB128" i="26" s="1"/>
  <c r="BD128" i="26" s="1"/>
  <c r="BF128" i="26" s="1"/>
  <c r="BH128" i="26" s="1"/>
  <c r="BJ128" i="26" s="1"/>
  <c r="BL128" i="26" s="1"/>
  <c r="BN128" i="26" s="1"/>
  <c r="BP128" i="26" s="1"/>
  <c r="Z154" i="26"/>
  <c r="AX154" i="26"/>
  <c r="AB154" i="26"/>
  <c r="AZ154" i="26"/>
  <c r="AD154" i="26"/>
  <c r="AF154" i="26"/>
  <c r="BD154" i="26"/>
  <c r="AH154" i="26"/>
  <c r="BF154" i="26"/>
  <c r="L154" i="26"/>
  <c r="L155" i="26" s="1"/>
  <c r="AJ154" i="26"/>
  <c r="BH154" i="26"/>
  <c r="N154" i="26"/>
  <c r="AL154" i="26"/>
  <c r="BJ154" i="26"/>
  <c r="P154" i="26"/>
  <c r="AN154" i="26"/>
  <c r="BL154" i="26"/>
  <c r="R154" i="26"/>
  <c r="AP154" i="26"/>
  <c r="BN154" i="26"/>
  <c r="T154" i="26"/>
  <c r="AR154" i="26"/>
  <c r="BP154" i="26"/>
  <c r="V154" i="26"/>
  <c r="AT154" i="26"/>
  <c r="X154" i="26"/>
  <c r="AV154" i="26"/>
  <c r="V70" i="26"/>
  <c r="Z70" i="26"/>
  <c r="AX70" i="26"/>
  <c r="AD70" i="26"/>
  <c r="BB70" i="26"/>
  <c r="AF70" i="26"/>
  <c r="BD70" i="26"/>
  <c r="L70" i="26"/>
  <c r="L71" i="26" s="1"/>
  <c r="AJ70" i="26"/>
  <c r="BH70" i="26"/>
  <c r="N70" i="26"/>
  <c r="BJ70" i="26"/>
  <c r="T70" i="26"/>
  <c r="R70" i="26"/>
  <c r="X70" i="26"/>
  <c r="AB70" i="26"/>
  <c r="AH70" i="26"/>
  <c r="AN70" i="26"/>
  <c r="AP70" i="26"/>
  <c r="AZ70" i="26"/>
  <c r="BF70" i="26"/>
  <c r="P70" i="26"/>
  <c r="L136" i="26"/>
  <c r="L137" i="26" s="1"/>
  <c r="BH136" i="26"/>
  <c r="N136" i="26"/>
  <c r="AL136" i="26"/>
  <c r="BJ136" i="26"/>
  <c r="P136" i="26"/>
  <c r="AN136" i="26"/>
  <c r="BL136" i="26"/>
  <c r="R136" i="26"/>
  <c r="AP136" i="26"/>
  <c r="BN136" i="26"/>
  <c r="BP136" i="26"/>
  <c r="V136" i="26"/>
  <c r="AT136" i="26"/>
  <c r="X136" i="26"/>
  <c r="AV136" i="26"/>
  <c r="Z136" i="26"/>
  <c r="AD136" i="26"/>
  <c r="BB136" i="26"/>
  <c r="AF136" i="26"/>
  <c r="BD136" i="26"/>
  <c r="AH136" i="26"/>
  <c r="BF136" i="26"/>
  <c r="N42" i="26"/>
  <c r="P42" i="26" s="1"/>
  <c r="R42" i="26" s="1"/>
  <c r="T42" i="26" s="1"/>
  <c r="V42" i="26" s="1"/>
  <c r="X42" i="26" s="1"/>
  <c r="Z42" i="26" s="1"/>
  <c r="AB42" i="26" s="1"/>
  <c r="AD42" i="26" s="1"/>
  <c r="AF42" i="26" s="1"/>
  <c r="AH42" i="26" s="1"/>
  <c r="AJ42" i="26" s="1"/>
  <c r="AL42" i="26" s="1"/>
  <c r="AN42" i="26" s="1"/>
  <c r="AP42" i="26" s="1"/>
  <c r="N146" i="26"/>
  <c r="P146" i="26" s="1"/>
  <c r="R146" i="26" s="1"/>
  <c r="T146" i="26" s="1"/>
  <c r="V146" i="26" s="1"/>
  <c r="X146" i="26" s="1"/>
  <c r="Z146" i="26" s="1"/>
  <c r="AB146" i="26" s="1"/>
  <c r="AD146" i="26" s="1"/>
  <c r="AF146" i="26" s="1"/>
  <c r="AH146" i="26" s="1"/>
  <c r="AJ146" i="26" s="1"/>
  <c r="AL146" i="26" s="1"/>
  <c r="AN146" i="26" s="1"/>
  <c r="AP146" i="26" s="1"/>
  <c r="AR146" i="26" s="1"/>
  <c r="AT146" i="26" s="1"/>
  <c r="AV146" i="26" s="1"/>
  <c r="AX146" i="26" s="1"/>
  <c r="AZ146" i="26" s="1"/>
  <c r="BB146" i="26" s="1"/>
  <c r="BD146" i="26" s="1"/>
  <c r="BF146" i="26" s="1"/>
  <c r="BH146" i="26" s="1"/>
  <c r="BJ146" i="26" s="1"/>
  <c r="BL146" i="26" s="1"/>
  <c r="BN146" i="26" s="1"/>
  <c r="BP146" i="26" s="1"/>
  <c r="EN70" i="26"/>
  <c r="ED70" i="26"/>
  <c r="ER70" i="26"/>
  <c r="EH70" i="26"/>
  <c r="EP70" i="26"/>
  <c r="EF70" i="26"/>
  <c r="DJ70" i="26"/>
  <c r="EJ70" i="26"/>
  <c r="EB70" i="26"/>
  <c r="EL70" i="26"/>
  <c r="EH136" i="26"/>
  <c r="EB136" i="26"/>
  <c r="DR136" i="26"/>
  <c r="DJ136" i="26"/>
  <c r="EN136" i="26"/>
  <c r="DN136" i="26"/>
  <c r="EP136" i="26"/>
  <c r="DP136" i="26"/>
  <c r="EL136" i="26"/>
  <c r="EJ136" i="26"/>
  <c r="DL136" i="26"/>
  <c r="DD136" i="26"/>
  <c r="DF136" i="26"/>
  <c r="EF136" i="26"/>
  <c r="DH136" i="26"/>
  <c r="AR41" i="26" l="1"/>
  <c r="AR42" i="26" s="1"/>
  <c r="AT42" i="26" s="1"/>
  <c r="AV42" i="26" s="1"/>
  <c r="AX42" i="26" s="1"/>
  <c r="AZ42" i="26" s="1"/>
  <c r="BB42" i="26" s="1"/>
  <c r="BD42" i="26" s="1"/>
  <c r="BF42" i="26" s="1"/>
  <c r="BH42" i="26" s="1"/>
  <c r="BJ42" i="26" s="1"/>
  <c r="N22" i="26"/>
  <c r="P22" i="26" s="1"/>
  <c r="R22" i="26" s="1"/>
  <c r="T22" i="26" s="1"/>
  <c r="V22" i="26" s="1"/>
  <c r="X22" i="26" s="1"/>
  <c r="Z22" i="26" s="1"/>
  <c r="AB22" i="26" s="1"/>
  <c r="AD22" i="26" s="1"/>
  <c r="AF22" i="26" s="1"/>
  <c r="AH22" i="26" s="1"/>
  <c r="AJ22" i="26" s="1"/>
  <c r="AL22" i="26" s="1"/>
  <c r="AN22" i="26" s="1"/>
  <c r="AP19" i="26" s="1"/>
  <c r="AP21" i="26" s="1"/>
  <c r="N32" i="26"/>
  <c r="P32" i="26" s="1"/>
  <c r="R32" i="26" s="1"/>
  <c r="T32" i="26" s="1"/>
  <c r="V32" i="26" s="1"/>
  <c r="X32" i="26" s="1"/>
  <c r="Z32" i="26" s="1"/>
  <c r="AB32" i="26" s="1"/>
  <c r="AD32" i="26" s="1"/>
  <c r="AF32" i="26" s="1"/>
  <c r="AH32" i="26" s="1"/>
  <c r="AJ32" i="26" s="1"/>
  <c r="AL32" i="26" s="1"/>
  <c r="AN32" i="26" s="1"/>
  <c r="AP31" i="26" s="1"/>
  <c r="N137" i="26"/>
  <c r="P137" i="26" s="1"/>
  <c r="R137" i="26" s="1"/>
  <c r="T137" i="26" s="1"/>
  <c r="V137" i="26" s="1"/>
  <c r="X137" i="26" s="1"/>
  <c r="Z137" i="26" s="1"/>
  <c r="AB137" i="26" s="1"/>
  <c r="AD137" i="26" s="1"/>
  <c r="AF137" i="26" s="1"/>
  <c r="AH137" i="26" s="1"/>
  <c r="AJ137" i="26" s="1"/>
  <c r="AL137" i="26" s="1"/>
  <c r="AN137" i="26" s="1"/>
  <c r="AP137" i="26" s="1"/>
  <c r="AR137" i="26" s="1"/>
  <c r="AT137" i="26" s="1"/>
  <c r="AV137" i="26" s="1"/>
  <c r="AX137" i="26" s="1"/>
  <c r="AZ137" i="26" s="1"/>
  <c r="BB137" i="26" s="1"/>
  <c r="BD137" i="26" s="1"/>
  <c r="BF137" i="26" s="1"/>
  <c r="BH137" i="26" s="1"/>
  <c r="BJ137" i="26" s="1"/>
  <c r="BL137" i="26" s="1"/>
  <c r="BN137" i="26" s="1"/>
  <c r="BP137" i="26" s="1"/>
  <c r="N71" i="26"/>
  <c r="P71" i="26" s="1"/>
  <c r="R71" i="26" s="1"/>
  <c r="T71" i="26" s="1"/>
  <c r="V71" i="26" s="1"/>
  <c r="X71" i="26" s="1"/>
  <c r="Z71" i="26" s="1"/>
  <c r="AB71" i="26" s="1"/>
  <c r="AD71" i="26" s="1"/>
  <c r="AF71" i="26" s="1"/>
  <c r="AH71" i="26" s="1"/>
  <c r="AJ71" i="26" s="1"/>
  <c r="AL71" i="26" s="1"/>
  <c r="AN71" i="26" s="1"/>
  <c r="AP71" i="26" s="1"/>
  <c r="N155" i="26"/>
  <c r="P155" i="26" s="1"/>
  <c r="R155" i="26" s="1"/>
  <c r="T155" i="26" s="1"/>
  <c r="V155" i="26" s="1"/>
  <c r="X155" i="26" s="1"/>
  <c r="Z155" i="26" s="1"/>
  <c r="AB155" i="26" s="1"/>
  <c r="AD155" i="26" s="1"/>
  <c r="AF155" i="26" s="1"/>
  <c r="AH155" i="26" s="1"/>
  <c r="AJ155" i="26" s="1"/>
  <c r="AL155" i="26" s="1"/>
  <c r="AN155" i="26" s="1"/>
  <c r="AP155" i="26" s="1"/>
  <c r="AR155" i="26" s="1"/>
  <c r="AT155" i="26" s="1"/>
  <c r="AV155" i="26" s="1"/>
  <c r="AX155" i="26" s="1"/>
  <c r="AZ155" i="26" s="1"/>
  <c r="BB155" i="26" s="1"/>
  <c r="BD155" i="26" s="1"/>
  <c r="BF155" i="26" s="1"/>
  <c r="BH155" i="26" s="1"/>
  <c r="BJ155" i="26" s="1"/>
  <c r="BL155" i="26" s="1"/>
  <c r="BN155" i="26" s="1"/>
  <c r="BP155" i="26" s="1"/>
  <c r="BL42" i="26" l="1"/>
  <c r="BN42" i="26" s="1"/>
  <c r="AP22" i="26"/>
  <c r="AR22" i="26" s="1"/>
  <c r="AT22" i="26" s="1"/>
  <c r="AP32" i="26"/>
  <c r="AR32" i="26" s="1"/>
  <c r="F137" i="122"/>
  <c r="F134" i="122"/>
  <c r="F82" i="122"/>
  <c r="F138" i="122"/>
  <c r="F66" i="122"/>
  <c r="F142" i="122"/>
  <c r="F98" i="122"/>
  <c r="F101" i="122"/>
  <c r="F83" i="122"/>
  <c r="F112" i="122"/>
  <c r="F153" i="122"/>
  <c r="F86" i="122"/>
  <c r="F140" i="122"/>
  <c r="F90" i="122"/>
  <c r="F144" i="122"/>
  <c r="F94" i="122"/>
  <c r="F148" i="122"/>
  <c r="F110" i="122"/>
  <c r="F118" i="122"/>
  <c r="F151" i="122"/>
  <c r="F143" i="122"/>
  <c r="F69" i="122"/>
  <c r="F92" i="122"/>
  <c r="F85" i="122"/>
  <c r="F152" i="122"/>
  <c r="F57" i="122"/>
  <c r="F117" i="122"/>
  <c r="F70" i="122"/>
  <c r="F128" i="122"/>
  <c r="F61" i="122"/>
  <c r="F113" i="122"/>
  <c r="F80" i="122"/>
  <c r="F63" i="122"/>
  <c r="F77" i="122"/>
  <c r="F96" i="122"/>
  <c r="F59" i="122"/>
  <c r="F99" i="122"/>
  <c r="F56" i="122"/>
  <c r="F103" i="122"/>
  <c r="F72" i="122"/>
  <c r="F107" i="122"/>
  <c r="F88" i="122"/>
  <c r="F75" i="122"/>
  <c r="F108" i="122"/>
  <c r="F109" i="122"/>
  <c r="F73" i="122"/>
  <c r="F150" i="122"/>
  <c r="F130" i="122"/>
  <c r="F154" i="122"/>
  <c r="F114" i="122"/>
  <c r="F158" i="122"/>
  <c r="F146" i="122"/>
  <c r="F139" i="122"/>
  <c r="F147" i="122"/>
  <c r="F127" i="122"/>
  <c r="F89" i="122"/>
  <c r="F102" i="122"/>
  <c r="F156" i="122"/>
  <c r="F106" i="122"/>
  <c r="F100" i="122"/>
  <c r="F87" i="122"/>
  <c r="F136" i="122"/>
  <c r="F157" i="122"/>
  <c r="F62" i="122"/>
  <c r="F115" i="122"/>
  <c r="F119" i="122"/>
  <c r="F123" i="122"/>
  <c r="F135" i="122"/>
  <c r="F111" i="122"/>
  <c r="F105" i="122"/>
  <c r="F79" i="122"/>
  <c r="F54" i="122"/>
  <c r="F97" i="122"/>
  <c r="F124" i="122"/>
  <c r="F74" i="122"/>
  <c r="F132" i="122"/>
  <c r="F122" i="122"/>
  <c r="F116" i="122"/>
  <c r="F129" i="122"/>
  <c r="F84" i="122"/>
  <c r="F58" i="122"/>
  <c r="F155" i="122"/>
  <c r="F93" i="122"/>
  <c r="F91" i="122"/>
  <c r="F55" i="122"/>
  <c r="F60" i="122"/>
  <c r="F65" i="122"/>
  <c r="F64" i="122"/>
  <c r="F81" i="122"/>
  <c r="F68" i="122"/>
  <c r="F125" i="122"/>
  <c r="F149" i="122"/>
  <c r="F104" i="122"/>
  <c r="F120" i="122"/>
  <c r="F95" i="122"/>
  <c r="F126" i="122"/>
  <c r="F67" i="122"/>
  <c r="F71" i="122"/>
  <c r="F78" i="122"/>
  <c r="F141" i="122"/>
  <c r="F76" i="122"/>
  <c r="F145" i="122"/>
  <c r="F121" i="122"/>
  <c r="F131" i="122"/>
  <c r="F133" i="122"/>
  <c r="F53" i="122"/>
  <c r="F52" i="145"/>
  <c r="F36" i="145"/>
  <c r="F20" i="145"/>
  <c r="F4" i="145"/>
  <c r="F55" i="145"/>
  <c r="F39" i="145"/>
  <c r="F23" i="145"/>
  <c r="F7" i="145"/>
  <c r="F42" i="145"/>
  <c r="F26" i="145"/>
  <c r="F33" i="145"/>
  <c r="F5" i="145"/>
  <c r="F6" i="145"/>
  <c r="F41" i="145"/>
  <c r="F9" i="145"/>
  <c r="F56" i="145"/>
  <c r="F8" i="145"/>
  <c r="F43" i="145"/>
  <c r="F11" i="145"/>
  <c r="F30" i="145"/>
  <c r="F53" i="145"/>
  <c r="F45" i="145"/>
  <c r="F48" i="145"/>
  <c r="F32" i="145"/>
  <c r="F16" i="145"/>
  <c r="F51" i="145"/>
  <c r="F35" i="145"/>
  <c r="F19" i="145"/>
  <c r="F3" i="145"/>
  <c r="F54" i="145"/>
  <c r="F38" i="145"/>
  <c r="F18" i="145"/>
  <c r="F25" i="145"/>
  <c r="F37" i="145"/>
  <c r="F40" i="145"/>
  <c r="F46" i="145"/>
  <c r="F13" i="145"/>
  <c r="F21" i="145"/>
  <c r="F44" i="145"/>
  <c r="F28" i="145"/>
  <c r="F12" i="145"/>
  <c r="F47" i="145"/>
  <c r="F31" i="145"/>
  <c r="F15" i="145"/>
  <c r="F50" i="145"/>
  <c r="F34" i="145"/>
  <c r="F14" i="145"/>
  <c r="F17" i="145"/>
  <c r="F49" i="145"/>
  <c r="F29" i="145"/>
  <c r="F24" i="145"/>
  <c r="F27" i="145"/>
  <c r="F10" i="145"/>
  <c r="F22" i="145"/>
  <c r="F3" i="122"/>
  <c r="F22" i="122"/>
  <c r="F12" i="122"/>
  <c r="F25" i="122"/>
  <c r="F18" i="122"/>
  <c r="F23" i="122"/>
  <c r="F15" i="122"/>
  <c r="F6" i="122"/>
  <c r="F47" i="122"/>
  <c r="F42" i="122"/>
  <c r="F43" i="122"/>
  <c r="F50" i="122"/>
  <c r="F38" i="122"/>
  <c r="F40" i="122"/>
  <c r="F52" i="122"/>
  <c r="F35" i="122"/>
  <c r="F45" i="122"/>
  <c r="F34" i="122"/>
  <c r="F29" i="122"/>
  <c r="F27" i="122"/>
  <c r="F51" i="122"/>
  <c r="F10" i="122"/>
  <c r="F36" i="122"/>
  <c r="F26" i="122"/>
  <c r="F28" i="122"/>
  <c r="F33" i="122"/>
  <c r="F41" i="122"/>
  <c r="F11" i="122"/>
  <c r="F31" i="122"/>
  <c r="F49" i="122"/>
  <c r="F17" i="122"/>
  <c r="F19" i="122"/>
  <c r="F37" i="122"/>
  <c r="F13" i="122"/>
  <c r="F44" i="122"/>
  <c r="F5" i="122"/>
  <c r="F48" i="122"/>
  <c r="F30" i="122"/>
  <c r="F16" i="122"/>
  <c r="F4" i="122"/>
  <c r="F21" i="122"/>
  <c r="F32" i="122"/>
  <c r="F20" i="122"/>
  <c r="F24" i="122"/>
  <c r="F46" i="122"/>
  <c r="F39" i="122"/>
  <c r="BP42" i="26" l="1"/>
  <c r="BR42" i="26"/>
  <c r="AT32" i="26"/>
  <c r="AV32" i="26" s="1"/>
  <c r="AX32" i="26" s="1"/>
  <c r="AZ32" i="26" s="1"/>
  <c r="L39" i="166"/>
  <c r="AV22" i="26"/>
  <c r="AX22" i="26" s="1"/>
  <c r="AZ22" i="26" s="1"/>
  <c r="BB22" i="26" s="1"/>
  <c r="BD22" i="26" s="1"/>
  <c r="BF22" i="26" s="1"/>
  <c r="BH22" i="26" s="1"/>
  <c r="V13" i="22"/>
  <c r="V10" i="22" s="1"/>
  <c r="Q13" i="22"/>
  <c r="Q10" i="22" s="1"/>
  <c r="Q71" i="22" s="1"/>
  <c r="BB32" i="26" l="1"/>
  <c r="AZ53" i="26"/>
  <c r="F39" i="166"/>
  <c r="BJ22" i="26"/>
  <c r="BD32" i="26" l="1"/>
  <c r="BB53" i="26"/>
  <c r="BL22" i="26"/>
  <c r="AW41" i="58"/>
  <c r="AV41" i="58"/>
  <c r="AU41" i="58"/>
  <c r="AT41" i="58"/>
  <c r="AS41" i="58"/>
  <c r="AR41" i="58"/>
  <c r="AQ41" i="58"/>
  <c r="AP41" i="58"/>
  <c r="AO41" i="58"/>
  <c r="AN41" i="58"/>
  <c r="AM41" i="58"/>
  <c r="AL41" i="58"/>
  <c r="AK41" i="58"/>
  <c r="AJ41" i="58"/>
  <c r="AI41" i="58"/>
  <c r="AH41" i="58"/>
  <c r="AG41" i="58"/>
  <c r="AF41" i="58"/>
  <c r="AE41" i="58"/>
  <c r="AD41" i="58"/>
  <c r="AC41" i="58"/>
  <c r="AB41" i="58"/>
  <c r="Y41" i="58"/>
  <c r="X41" i="58"/>
  <c r="U41" i="58"/>
  <c r="T41" i="58"/>
  <c r="Q41" i="58"/>
  <c r="P41" i="58"/>
  <c r="D41" i="58"/>
  <c r="B41" i="58"/>
  <c r="AZ40" i="58"/>
  <c r="AX40" i="58"/>
  <c r="AY40" i="58"/>
  <c r="BA39" i="58"/>
  <c r="AZ39" i="58"/>
  <c r="AY39" i="58"/>
  <c r="AX39" i="58"/>
  <c r="BA38" i="58"/>
  <c r="AZ38" i="58"/>
  <c r="AY38" i="58"/>
  <c r="AX38" i="58"/>
  <c r="BA37" i="58"/>
  <c r="AZ37" i="58"/>
  <c r="AY37" i="58"/>
  <c r="AX37" i="58"/>
  <c r="BA36" i="58"/>
  <c r="AZ36" i="58"/>
  <c r="AY36" i="58"/>
  <c r="AX36" i="58"/>
  <c r="BA35" i="58"/>
  <c r="AZ35" i="58"/>
  <c r="AY35" i="58"/>
  <c r="AX35" i="58"/>
  <c r="N41" i="58"/>
  <c r="L41" i="58"/>
  <c r="G41" i="58"/>
  <c r="AX34" i="58"/>
  <c r="C41" i="58"/>
  <c r="BA33" i="58"/>
  <c r="AZ33" i="58"/>
  <c r="AY33" i="58"/>
  <c r="AX33" i="58"/>
  <c r="AZ32" i="58"/>
  <c r="AA41" i="58"/>
  <c r="Z41" i="58"/>
  <c r="W41" i="58"/>
  <c r="V41" i="58"/>
  <c r="R41" i="58"/>
  <c r="O41" i="58"/>
  <c r="K41" i="58"/>
  <c r="J41" i="58"/>
  <c r="BA31" i="58"/>
  <c r="AZ31" i="58"/>
  <c r="AY31" i="58"/>
  <c r="AX31" i="58"/>
  <c r="S41" i="58"/>
  <c r="BA30" i="58"/>
  <c r="AZ30" i="58"/>
  <c r="AY30" i="58"/>
  <c r="AX30" i="58"/>
  <c r="BF32" i="26" l="1"/>
  <c r="BD53" i="26"/>
  <c r="BN22" i="26"/>
  <c r="AD42" i="58"/>
  <c r="AH42" i="58"/>
  <c r="AL42" i="58"/>
  <c r="AP42" i="58"/>
  <c r="AT42" i="58"/>
  <c r="X42" i="58"/>
  <c r="P42" i="58"/>
  <c r="N42" i="58"/>
  <c r="T42" i="58"/>
  <c r="AB42" i="58"/>
  <c r="AF42" i="58"/>
  <c r="AJ42" i="58"/>
  <c r="AN42" i="58"/>
  <c r="AR42" i="58"/>
  <c r="AV42" i="58"/>
  <c r="V42" i="58"/>
  <c r="J42" i="58"/>
  <c r="R42" i="58"/>
  <c r="Z42" i="58"/>
  <c r="B42" i="58"/>
  <c r="AX32" i="58"/>
  <c r="AX41" i="58" s="1"/>
  <c r="AY34" i="58"/>
  <c r="F41" i="58"/>
  <c r="F42" i="58" s="1"/>
  <c r="AY32" i="58"/>
  <c r="BF53" i="26" l="1"/>
  <c r="BH32" i="26"/>
  <c r="BP22" i="26"/>
  <c r="AY41" i="58"/>
  <c r="AX42" i="58" s="1"/>
  <c r="M41" i="58"/>
  <c r="L42" i="58" s="1"/>
  <c r="BA32" i="58"/>
  <c r="I41" i="58"/>
  <c r="BA34" i="58"/>
  <c r="AZ34" i="58"/>
  <c r="AZ41" i="58" s="1"/>
  <c r="H41" i="58"/>
  <c r="E41" i="58"/>
  <c r="D42" i="58" s="1"/>
  <c r="BA40" i="58"/>
  <c r="BJ32" i="26" l="1"/>
  <c r="BH53" i="26"/>
  <c r="H42" i="58"/>
  <c r="BA41" i="58"/>
  <c r="AZ42" i="58" s="1"/>
  <c r="BJ53" i="26" l="1"/>
  <c r="BL32" i="26"/>
  <c r="E143" i="26"/>
  <c r="BR166" i="26"/>
  <c r="BT166" i="26" s="1"/>
  <c r="BV166" i="26" s="1"/>
  <c r="BX166" i="26" s="1"/>
  <c r="BZ166" i="26" s="1"/>
  <c r="CB166" i="26" s="1"/>
  <c r="CD166" i="26" s="1"/>
  <c r="CF166" i="26" s="1"/>
  <c r="CH166" i="26" s="1"/>
  <c r="CJ166" i="26" s="1"/>
  <c r="CL166" i="26" s="1"/>
  <c r="CN166" i="26" s="1"/>
  <c r="CP166" i="26" s="1"/>
  <c r="CR166" i="26" s="1"/>
  <c r="CT166" i="26" s="1"/>
  <c r="CV166" i="26" s="1"/>
  <c r="CX166" i="26" s="1"/>
  <c r="CZ166" i="26" s="1"/>
  <c r="DB166" i="26" s="1"/>
  <c r="DD166" i="26" s="1"/>
  <c r="DF166" i="26" s="1"/>
  <c r="DH166" i="26" s="1"/>
  <c r="DJ166" i="26" s="1"/>
  <c r="DL166" i="26" s="1"/>
  <c r="DN166" i="26" s="1"/>
  <c r="DP166" i="26" s="1"/>
  <c r="DR166" i="26" s="1"/>
  <c r="DT166" i="26" s="1"/>
  <c r="DV166" i="26" s="1"/>
  <c r="DX166" i="26" s="1"/>
  <c r="DZ166" i="26" s="1"/>
  <c r="EB166" i="26" s="1"/>
  <c r="ED166" i="26" s="1"/>
  <c r="EF166" i="26" s="1"/>
  <c r="EH166" i="26" s="1"/>
  <c r="EJ166" i="26" s="1"/>
  <c r="EL166" i="26" s="1"/>
  <c r="EN166" i="26" s="1"/>
  <c r="EP166" i="26" s="1"/>
  <c r="ER166" i="26" s="1"/>
  <c r="ET166" i="26" s="1"/>
  <c r="EV166" i="26" s="1"/>
  <c r="EX166" i="26" s="1"/>
  <c r="EZ166" i="26" s="1"/>
  <c r="FB166" i="26" s="1"/>
  <c r="FD166" i="26" s="1"/>
  <c r="FF166" i="26" s="1"/>
  <c r="FH166" i="26" s="1"/>
  <c r="FJ166" i="26" s="1"/>
  <c r="FL166" i="26" s="1"/>
  <c r="FN166" i="26" s="1"/>
  <c r="FP166" i="26" s="1"/>
  <c r="FR166" i="26" s="1"/>
  <c r="FT166" i="26" s="1"/>
  <c r="FV166" i="26" s="1"/>
  <c r="FX166" i="26" s="1"/>
  <c r="FZ166" i="26" s="1"/>
  <c r="GB166" i="26" s="1"/>
  <c r="GD166" i="26" s="1"/>
  <c r="GF166" i="26" s="1"/>
  <c r="GH166" i="26" s="1"/>
  <c r="GJ166" i="26" s="1"/>
  <c r="GL166" i="26" s="1"/>
  <c r="GN166" i="26" s="1"/>
  <c r="GP166" i="26" s="1"/>
  <c r="GR166" i="26" s="1"/>
  <c r="GT166" i="26" s="1"/>
  <c r="GV166" i="26" s="1"/>
  <c r="GX166" i="26" s="1"/>
  <c r="GZ166" i="26" s="1"/>
  <c r="HB166" i="26" s="1"/>
  <c r="HD166" i="26" s="1"/>
  <c r="HF166" i="26" s="1"/>
  <c r="HH166" i="26" s="1"/>
  <c r="HJ166" i="26" s="1"/>
  <c r="C161" i="26"/>
  <c r="BR157" i="26"/>
  <c r="BT157" i="26" s="1"/>
  <c r="BV157" i="26" s="1"/>
  <c r="BX157" i="26" s="1"/>
  <c r="BZ157" i="26" s="1"/>
  <c r="CB157" i="26" s="1"/>
  <c r="CD157" i="26" s="1"/>
  <c r="CF157" i="26" s="1"/>
  <c r="CH157" i="26" s="1"/>
  <c r="CJ157" i="26" s="1"/>
  <c r="CL157" i="26" s="1"/>
  <c r="CN157" i="26" s="1"/>
  <c r="CP157" i="26" s="1"/>
  <c r="CR157" i="26" s="1"/>
  <c r="CT157" i="26" s="1"/>
  <c r="CV157" i="26" s="1"/>
  <c r="CX157" i="26" s="1"/>
  <c r="CZ157" i="26" s="1"/>
  <c r="DB157" i="26" s="1"/>
  <c r="DD157" i="26" s="1"/>
  <c r="DF157" i="26" s="1"/>
  <c r="DH157" i="26" s="1"/>
  <c r="DJ157" i="26" s="1"/>
  <c r="DL157" i="26" s="1"/>
  <c r="DN157" i="26" s="1"/>
  <c r="DP157" i="26" s="1"/>
  <c r="DR157" i="26" s="1"/>
  <c r="DT157" i="26" s="1"/>
  <c r="DV157" i="26" s="1"/>
  <c r="DX157" i="26" s="1"/>
  <c r="DZ157" i="26" s="1"/>
  <c r="EB157" i="26" s="1"/>
  <c r="ED157" i="26" s="1"/>
  <c r="EF157" i="26" s="1"/>
  <c r="EH157" i="26" s="1"/>
  <c r="EJ157" i="26" s="1"/>
  <c r="EL157" i="26" s="1"/>
  <c r="EN157" i="26" s="1"/>
  <c r="EP157" i="26" s="1"/>
  <c r="ER157" i="26" s="1"/>
  <c r="ET157" i="26" s="1"/>
  <c r="EV157" i="26" s="1"/>
  <c r="EX157" i="26" s="1"/>
  <c r="EZ157" i="26" s="1"/>
  <c r="FB157" i="26" s="1"/>
  <c r="FD157" i="26" s="1"/>
  <c r="FF157" i="26" s="1"/>
  <c r="FH157" i="26" s="1"/>
  <c r="FJ157" i="26" s="1"/>
  <c r="FL157" i="26" s="1"/>
  <c r="FN157" i="26" s="1"/>
  <c r="FP157" i="26" s="1"/>
  <c r="FR157" i="26" s="1"/>
  <c r="FT157" i="26" s="1"/>
  <c r="FV157" i="26" s="1"/>
  <c r="FX157" i="26" s="1"/>
  <c r="FZ157" i="26" s="1"/>
  <c r="GB157" i="26" s="1"/>
  <c r="GD157" i="26" s="1"/>
  <c r="GF157" i="26" s="1"/>
  <c r="GH157" i="26" s="1"/>
  <c r="GJ157" i="26" s="1"/>
  <c r="GL157" i="26" s="1"/>
  <c r="GN157" i="26" s="1"/>
  <c r="GP157" i="26" s="1"/>
  <c r="GR157" i="26" s="1"/>
  <c r="GT157" i="26" s="1"/>
  <c r="GV157" i="26" s="1"/>
  <c r="GX157" i="26" s="1"/>
  <c r="GZ157" i="26" s="1"/>
  <c r="HB157" i="26" s="1"/>
  <c r="HD157" i="26" s="1"/>
  <c r="HF157" i="26" s="1"/>
  <c r="HH157" i="26" s="1"/>
  <c r="HJ157" i="26" s="1"/>
  <c r="C152" i="26"/>
  <c r="B152" i="26"/>
  <c r="BR148" i="26"/>
  <c r="BT148" i="26" s="1"/>
  <c r="BV148" i="26" s="1"/>
  <c r="BX148" i="26" s="1"/>
  <c r="BZ148" i="26" s="1"/>
  <c r="CB148" i="26" s="1"/>
  <c r="CD148" i="26" s="1"/>
  <c r="CF148" i="26" s="1"/>
  <c r="CH148" i="26" s="1"/>
  <c r="CJ148" i="26" s="1"/>
  <c r="CL148" i="26" s="1"/>
  <c r="CN148" i="26" s="1"/>
  <c r="CP148" i="26" s="1"/>
  <c r="CR148" i="26" s="1"/>
  <c r="CT148" i="26" s="1"/>
  <c r="CV148" i="26" s="1"/>
  <c r="CX148" i="26" s="1"/>
  <c r="CZ148" i="26" s="1"/>
  <c r="DB148" i="26" s="1"/>
  <c r="DD148" i="26" s="1"/>
  <c r="DF148" i="26" s="1"/>
  <c r="DH148" i="26" s="1"/>
  <c r="DJ148" i="26" s="1"/>
  <c r="DL148" i="26" s="1"/>
  <c r="DN148" i="26" s="1"/>
  <c r="DP148" i="26" s="1"/>
  <c r="DR148" i="26" s="1"/>
  <c r="DT148" i="26" s="1"/>
  <c r="DV148" i="26" s="1"/>
  <c r="DX148" i="26" s="1"/>
  <c r="DZ148" i="26" s="1"/>
  <c r="EB148" i="26" s="1"/>
  <c r="ED148" i="26" s="1"/>
  <c r="EF148" i="26" s="1"/>
  <c r="EH148" i="26" s="1"/>
  <c r="EJ148" i="26" s="1"/>
  <c r="EL148" i="26" s="1"/>
  <c r="EN148" i="26" s="1"/>
  <c r="EP148" i="26" s="1"/>
  <c r="ER148" i="26" s="1"/>
  <c r="ET148" i="26" s="1"/>
  <c r="EV148" i="26" s="1"/>
  <c r="EX148" i="26" s="1"/>
  <c r="EZ148" i="26" s="1"/>
  <c r="FB148" i="26" s="1"/>
  <c r="FD148" i="26" s="1"/>
  <c r="FF148" i="26" s="1"/>
  <c r="FH148" i="26" s="1"/>
  <c r="FJ148" i="26" s="1"/>
  <c r="FL148" i="26" s="1"/>
  <c r="FN148" i="26" s="1"/>
  <c r="FP148" i="26" s="1"/>
  <c r="FR148" i="26" s="1"/>
  <c r="FT148" i="26" s="1"/>
  <c r="FV148" i="26" s="1"/>
  <c r="FX148" i="26" s="1"/>
  <c r="FZ148" i="26" s="1"/>
  <c r="GB148" i="26" s="1"/>
  <c r="GD148" i="26" s="1"/>
  <c r="GF148" i="26" s="1"/>
  <c r="GH148" i="26" s="1"/>
  <c r="GJ148" i="26" s="1"/>
  <c r="GL148" i="26" s="1"/>
  <c r="GN148" i="26" s="1"/>
  <c r="GP148" i="26" s="1"/>
  <c r="GR148" i="26" s="1"/>
  <c r="GT148" i="26" s="1"/>
  <c r="GV148" i="26" s="1"/>
  <c r="GX148" i="26" s="1"/>
  <c r="GZ148" i="26" s="1"/>
  <c r="HB148" i="26" s="1"/>
  <c r="HD148" i="26" s="1"/>
  <c r="HF148" i="26" s="1"/>
  <c r="HH148" i="26" s="1"/>
  <c r="HJ148" i="26" s="1"/>
  <c r="C143" i="26"/>
  <c r="B143" i="26"/>
  <c r="BR139" i="26"/>
  <c r="BT139" i="26" s="1"/>
  <c r="BV139" i="26" s="1"/>
  <c r="BX139" i="26" s="1"/>
  <c r="BZ139" i="26" s="1"/>
  <c r="CB139" i="26" s="1"/>
  <c r="CD139" i="26" s="1"/>
  <c r="CF139" i="26" s="1"/>
  <c r="CH139" i="26" s="1"/>
  <c r="CJ139" i="26" s="1"/>
  <c r="CL139" i="26" s="1"/>
  <c r="CN139" i="26" s="1"/>
  <c r="CP139" i="26" s="1"/>
  <c r="CR139" i="26" s="1"/>
  <c r="CT139" i="26" s="1"/>
  <c r="CV139" i="26" s="1"/>
  <c r="CX139" i="26" s="1"/>
  <c r="CZ139" i="26" s="1"/>
  <c r="DB139" i="26" s="1"/>
  <c r="DD139" i="26" s="1"/>
  <c r="DF139" i="26" s="1"/>
  <c r="DH139" i="26" s="1"/>
  <c r="DJ139" i="26" s="1"/>
  <c r="DL139" i="26" s="1"/>
  <c r="DN139" i="26" s="1"/>
  <c r="DP139" i="26" s="1"/>
  <c r="DR139" i="26" s="1"/>
  <c r="DT139" i="26" s="1"/>
  <c r="DV139" i="26" s="1"/>
  <c r="DX139" i="26" s="1"/>
  <c r="DZ139" i="26" s="1"/>
  <c r="EB139" i="26" s="1"/>
  <c r="ED139" i="26" s="1"/>
  <c r="EF139" i="26" s="1"/>
  <c r="EH139" i="26" s="1"/>
  <c r="EJ139" i="26" s="1"/>
  <c r="EL139" i="26" s="1"/>
  <c r="EN139" i="26" s="1"/>
  <c r="EP139" i="26" s="1"/>
  <c r="ER139" i="26" s="1"/>
  <c r="ET139" i="26" s="1"/>
  <c r="EV139" i="26" s="1"/>
  <c r="EX139" i="26" s="1"/>
  <c r="EZ139" i="26" s="1"/>
  <c r="FB139" i="26" s="1"/>
  <c r="FD139" i="26" s="1"/>
  <c r="FF139" i="26" s="1"/>
  <c r="FH139" i="26" s="1"/>
  <c r="FJ139" i="26" s="1"/>
  <c r="FL139" i="26" s="1"/>
  <c r="FN139" i="26" s="1"/>
  <c r="FP139" i="26" s="1"/>
  <c r="FR139" i="26" s="1"/>
  <c r="FT139" i="26" s="1"/>
  <c r="FV139" i="26" s="1"/>
  <c r="FX139" i="26" s="1"/>
  <c r="FZ139" i="26" s="1"/>
  <c r="GB139" i="26" s="1"/>
  <c r="GD139" i="26" s="1"/>
  <c r="GF139" i="26" s="1"/>
  <c r="GH139" i="26" s="1"/>
  <c r="GJ139" i="26" s="1"/>
  <c r="GL139" i="26" s="1"/>
  <c r="GN139" i="26" s="1"/>
  <c r="GP139" i="26" s="1"/>
  <c r="GR139" i="26" s="1"/>
  <c r="GT139" i="26" s="1"/>
  <c r="GV139" i="26" s="1"/>
  <c r="GX139" i="26" s="1"/>
  <c r="GZ139" i="26" s="1"/>
  <c r="HB139" i="26" s="1"/>
  <c r="HD139" i="26" s="1"/>
  <c r="HF139" i="26" s="1"/>
  <c r="HH139" i="26" s="1"/>
  <c r="HJ139" i="26" s="1"/>
  <c r="C134" i="26"/>
  <c r="B134" i="26"/>
  <c r="BR130" i="26"/>
  <c r="BT130" i="26" s="1"/>
  <c r="BV130" i="26" s="1"/>
  <c r="BX130" i="26" s="1"/>
  <c r="BZ130" i="26" s="1"/>
  <c r="CB130" i="26" s="1"/>
  <c r="CD130" i="26" s="1"/>
  <c r="CF130" i="26" s="1"/>
  <c r="CH130" i="26" s="1"/>
  <c r="CJ130" i="26" s="1"/>
  <c r="CL130" i="26" s="1"/>
  <c r="CN130" i="26" s="1"/>
  <c r="CP130" i="26" s="1"/>
  <c r="CR130" i="26" s="1"/>
  <c r="CT130" i="26" s="1"/>
  <c r="CV130" i="26" s="1"/>
  <c r="CX130" i="26" s="1"/>
  <c r="CZ130" i="26" s="1"/>
  <c r="DB130" i="26" s="1"/>
  <c r="DD130" i="26" s="1"/>
  <c r="DF130" i="26" s="1"/>
  <c r="DH130" i="26" s="1"/>
  <c r="DJ130" i="26" s="1"/>
  <c r="DL130" i="26" s="1"/>
  <c r="DN130" i="26" s="1"/>
  <c r="DP130" i="26" s="1"/>
  <c r="DR130" i="26" s="1"/>
  <c r="DT130" i="26" s="1"/>
  <c r="DV130" i="26" s="1"/>
  <c r="DX130" i="26" s="1"/>
  <c r="DZ130" i="26" s="1"/>
  <c r="EB130" i="26" s="1"/>
  <c r="ED130" i="26" s="1"/>
  <c r="EF130" i="26" s="1"/>
  <c r="EH130" i="26" s="1"/>
  <c r="EJ130" i="26" s="1"/>
  <c r="EL130" i="26" s="1"/>
  <c r="EN130" i="26" s="1"/>
  <c r="EP130" i="26" s="1"/>
  <c r="ER130" i="26" s="1"/>
  <c r="ET130" i="26" s="1"/>
  <c r="EV130" i="26" s="1"/>
  <c r="EX130" i="26" s="1"/>
  <c r="EZ130" i="26" s="1"/>
  <c r="FB130" i="26" s="1"/>
  <c r="FD130" i="26" s="1"/>
  <c r="FF130" i="26" s="1"/>
  <c r="FH130" i="26" s="1"/>
  <c r="FJ130" i="26" s="1"/>
  <c r="FL130" i="26" s="1"/>
  <c r="FN130" i="26" s="1"/>
  <c r="FP130" i="26" s="1"/>
  <c r="FR130" i="26" s="1"/>
  <c r="FT130" i="26" s="1"/>
  <c r="FV130" i="26" s="1"/>
  <c r="FX130" i="26" s="1"/>
  <c r="FZ130" i="26" s="1"/>
  <c r="GB130" i="26" s="1"/>
  <c r="GD130" i="26" s="1"/>
  <c r="GF130" i="26" s="1"/>
  <c r="GH130" i="26" s="1"/>
  <c r="GJ130" i="26" s="1"/>
  <c r="GL130" i="26" s="1"/>
  <c r="GN130" i="26" s="1"/>
  <c r="GP130" i="26" s="1"/>
  <c r="GR130" i="26" s="1"/>
  <c r="GT130" i="26" s="1"/>
  <c r="GV130" i="26" s="1"/>
  <c r="GX130" i="26" s="1"/>
  <c r="GZ130" i="26" s="1"/>
  <c r="HB130" i="26" s="1"/>
  <c r="HD130" i="26" s="1"/>
  <c r="HF130" i="26" s="1"/>
  <c r="HH130" i="26" s="1"/>
  <c r="HJ130" i="26" s="1"/>
  <c r="C125" i="26"/>
  <c r="B125" i="26"/>
  <c r="BR119" i="26"/>
  <c r="BT119" i="26" s="1"/>
  <c r="BV119" i="26" s="1"/>
  <c r="D114" i="26"/>
  <c r="C114" i="26"/>
  <c r="B114" i="26"/>
  <c r="BR110" i="26"/>
  <c r="BT110" i="26" s="1"/>
  <c r="BV110" i="26" s="1"/>
  <c r="BX110" i="26" s="1"/>
  <c r="BZ110" i="26" s="1"/>
  <c r="CB110" i="26" s="1"/>
  <c r="CD110" i="26" s="1"/>
  <c r="CF110" i="26" s="1"/>
  <c r="CH110" i="26" s="1"/>
  <c r="CJ110" i="26" s="1"/>
  <c r="CL110" i="26" s="1"/>
  <c r="CN110" i="26" s="1"/>
  <c r="CP110" i="26" s="1"/>
  <c r="CR110" i="26" s="1"/>
  <c r="CT110" i="26" s="1"/>
  <c r="CV110" i="26" s="1"/>
  <c r="CX110" i="26" s="1"/>
  <c r="CZ110" i="26" s="1"/>
  <c r="DB110" i="26" s="1"/>
  <c r="DD110" i="26" s="1"/>
  <c r="DF110" i="26" s="1"/>
  <c r="DH110" i="26" s="1"/>
  <c r="DJ110" i="26" s="1"/>
  <c r="DL110" i="26" s="1"/>
  <c r="DN110" i="26" s="1"/>
  <c r="DP110" i="26" s="1"/>
  <c r="DR110" i="26" s="1"/>
  <c r="DT110" i="26" s="1"/>
  <c r="DV110" i="26" s="1"/>
  <c r="DX110" i="26" s="1"/>
  <c r="DZ110" i="26" s="1"/>
  <c r="EB110" i="26" s="1"/>
  <c r="ED110" i="26" s="1"/>
  <c r="EF110" i="26" s="1"/>
  <c r="EH110" i="26" s="1"/>
  <c r="EJ110" i="26" s="1"/>
  <c r="EL110" i="26" s="1"/>
  <c r="EN110" i="26" s="1"/>
  <c r="EP110" i="26" s="1"/>
  <c r="ER110" i="26" s="1"/>
  <c r="ET110" i="26" s="1"/>
  <c r="EV110" i="26" s="1"/>
  <c r="EX110" i="26" s="1"/>
  <c r="EZ110" i="26" s="1"/>
  <c r="FB110" i="26" s="1"/>
  <c r="FD110" i="26" s="1"/>
  <c r="FF110" i="26" s="1"/>
  <c r="FH110" i="26" s="1"/>
  <c r="FJ110" i="26" s="1"/>
  <c r="FL110" i="26" s="1"/>
  <c r="FN110" i="26" s="1"/>
  <c r="FP110" i="26" s="1"/>
  <c r="FR110" i="26" s="1"/>
  <c r="FT110" i="26" s="1"/>
  <c r="FV110" i="26" s="1"/>
  <c r="FX110" i="26" s="1"/>
  <c r="FZ110" i="26" s="1"/>
  <c r="GB110" i="26" s="1"/>
  <c r="GD110" i="26" s="1"/>
  <c r="GF110" i="26" s="1"/>
  <c r="GH110" i="26" s="1"/>
  <c r="GJ110" i="26" s="1"/>
  <c r="GL110" i="26" s="1"/>
  <c r="GN110" i="26" s="1"/>
  <c r="GP110" i="26" s="1"/>
  <c r="GR110" i="26" s="1"/>
  <c r="GT110" i="26" s="1"/>
  <c r="GV110" i="26" s="1"/>
  <c r="GX110" i="26" s="1"/>
  <c r="GZ110" i="26" s="1"/>
  <c r="HB110" i="26" s="1"/>
  <c r="HD110" i="26" s="1"/>
  <c r="HF110" i="26" s="1"/>
  <c r="HH110" i="26" s="1"/>
  <c r="HJ110" i="26" s="1"/>
  <c r="C105" i="26"/>
  <c r="B105" i="26"/>
  <c r="BR101" i="26"/>
  <c r="BT101" i="26" s="1"/>
  <c r="BV101" i="26" s="1"/>
  <c r="BX101" i="26" s="1"/>
  <c r="BZ101" i="26" s="1"/>
  <c r="CB101" i="26" s="1"/>
  <c r="CD101" i="26" s="1"/>
  <c r="CF101" i="26" s="1"/>
  <c r="CH101" i="26" s="1"/>
  <c r="CJ101" i="26" s="1"/>
  <c r="CL101" i="26" s="1"/>
  <c r="CN101" i="26" s="1"/>
  <c r="CP101" i="26" s="1"/>
  <c r="CR101" i="26" s="1"/>
  <c r="CT101" i="26" s="1"/>
  <c r="CV101" i="26" s="1"/>
  <c r="CX101" i="26" s="1"/>
  <c r="CZ101" i="26" s="1"/>
  <c r="DB101" i="26" s="1"/>
  <c r="DD101" i="26" s="1"/>
  <c r="DF101" i="26" s="1"/>
  <c r="DH101" i="26" s="1"/>
  <c r="DJ101" i="26" s="1"/>
  <c r="DL101" i="26" s="1"/>
  <c r="DN101" i="26" s="1"/>
  <c r="DP101" i="26" s="1"/>
  <c r="DR101" i="26" s="1"/>
  <c r="DT101" i="26" s="1"/>
  <c r="DV101" i="26" s="1"/>
  <c r="DX101" i="26" s="1"/>
  <c r="DZ101" i="26" s="1"/>
  <c r="EB101" i="26" s="1"/>
  <c r="ED101" i="26" s="1"/>
  <c r="EF101" i="26" s="1"/>
  <c r="EH101" i="26" s="1"/>
  <c r="EJ101" i="26" s="1"/>
  <c r="EL101" i="26" s="1"/>
  <c r="EN101" i="26" s="1"/>
  <c r="EP101" i="26" s="1"/>
  <c r="ER101" i="26" s="1"/>
  <c r="ET101" i="26" s="1"/>
  <c r="EV101" i="26" s="1"/>
  <c r="EX101" i="26" s="1"/>
  <c r="EZ101" i="26" s="1"/>
  <c r="FB101" i="26" s="1"/>
  <c r="FD101" i="26" s="1"/>
  <c r="FF101" i="26" s="1"/>
  <c r="FH101" i="26" s="1"/>
  <c r="FJ101" i="26" s="1"/>
  <c r="FL101" i="26" s="1"/>
  <c r="FN101" i="26" s="1"/>
  <c r="FP101" i="26" s="1"/>
  <c r="FR101" i="26" s="1"/>
  <c r="FT101" i="26" s="1"/>
  <c r="FV101" i="26" s="1"/>
  <c r="FX101" i="26" s="1"/>
  <c r="FZ101" i="26" s="1"/>
  <c r="GB101" i="26" s="1"/>
  <c r="GD101" i="26" s="1"/>
  <c r="GF101" i="26" s="1"/>
  <c r="GH101" i="26" s="1"/>
  <c r="GJ101" i="26" s="1"/>
  <c r="GL101" i="26" s="1"/>
  <c r="GN101" i="26" s="1"/>
  <c r="GP101" i="26" s="1"/>
  <c r="GR101" i="26" s="1"/>
  <c r="GT101" i="26" s="1"/>
  <c r="GV101" i="26" s="1"/>
  <c r="GX101" i="26" s="1"/>
  <c r="GZ101" i="26" s="1"/>
  <c r="HB101" i="26" s="1"/>
  <c r="HD101" i="26" s="1"/>
  <c r="HF101" i="26" s="1"/>
  <c r="HH101" i="26" s="1"/>
  <c r="HJ101" i="26" s="1"/>
  <c r="C96" i="26"/>
  <c r="BR92" i="26"/>
  <c r="BT92" i="26" s="1"/>
  <c r="BV92" i="26" s="1"/>
  <c r="BX92" i="26" s="1"/>
  <c r="BZ92" i="26" s="1"/>
  <c r="CB92" i="26" s="1"/>
  <c r="CD92" i="26" s="1"/>
  <c r="CF92" i="26" s="1"/>
  <c r="CH92" i="26" s="1"/>
  <c r="CJ92" i="26" s="1"/>
  <c r="CL92" i="26" s="1"/>
  <c r="CN92" i="26" s="1"/>
  <c r="CP92" i="26" s="1"/>
  <c r="E87" i="26"/>
  <c r="C87" i="26"/>
  <c r="B87" i="26"/>
  <c r="BR83" i="26"/>
  <c r="BT83" i="26" s="1"/>
  <c r="BV83" i="26" s="1"/>
  <c r="BX83" i="26" s="1"/>
  <c r="BZ83" i="26" s="1"/>
  <c r="CB83" i="26" s="1"/>
  <c r="CD83" i="26" s="1"/>
  <c r="CF83" i="26" s="1"/>
  <c r="CH83" i="26" s="1"/>
  <c r="CJ83" i="26" s="1"/>
  <c r="CL83" i="26" s="1"/>
  <c r="CN83" i="26" s="1"/>
  <c r="CP83" i="26" s="1"/>
  <c r="CR83" i="26" s="1"/>
  <c r="CT83" i="26" s="1"/>
  <c r="CV83" i="26" s="1"/>
  <c r="CX83" i="26" s="1"/>
  <c r="CZ83" i="26" s="1"/>
  <c r="DB83" i="26" s="1"/>
  <c r="DD83" i="26" s="1"/>
  <c r="DF83" i="26" s="1"/>
  <c r="DH83" i="26" s="1"/>
  <c r="DJ83" i="26" s="1"/>
  <c r="DL83" i="26" s="1"/>
  <c r="DN83" i="26" s="1"/>
  <c r="DP83" i="26" s="1"/>
  <c r="DR83" i="26" s="1"/>
  <c r="DT83" i="26" s="1"/>
  <c r="DV83" i="26" s="1"/>
  <c r="DX83" i="26" s="1"/>
  <c r="DZ83" i="26" s="1"/>
  <c r="EB83" i="26" s="1"/>
  <c r="ED83" i="26" s="1"/>
  <c r="EF83" i="26" s="1"/>
  <c r="EH83" i="26" s="1"/>
  <c r="EJ83" i="26" s="1"/>
  <c r="EL83" i="26" s="1"/>
  <c r="EN83" i="26" s="1"/>
  <c r="EP83" i="26" s="1"/>
  <c r="ER83" i="26" s="1"/>
  <c r="ET83" i="26" s="1"/>
  <c r="EV83" i="26" s="1"/>
  <c r="EX83" i="26" s="1"/>
  <c r="EZ83" i="26" s="1"/>
  <c r="FB83" i="26" s="1"/>
  <c r="FD83" i="26" s="1"/>
  <c r="FF83" i="26" s="1"/>
  <c r="FH83" i="26" s="1"/>
  <c r="FJ83" i="26" s="1"/>
  <c r="FL83" i="26" s="1"/>
  <c r="FN83" i="26" s="1"/>
  <c r="FP83" i="26" s="1"/>
  <c r="FR83" i="26" s="1"/>
  <c r="FT83" i="26" s="1"/>
  <c r="FV83" i="26" s="1"/>
  <c r="FX83" i="26" s="1"/>
  <c r="FZ83" i="26" s="1"/>
  <c r="GB83" i="26" s="1"/>
  <c r="GD83" i="26" s="1"/>
  <c r="GF83" i="26" s="1"/>
  <c r="GH83" i="26" s="1"/>
  <c r="GJ83" i="26" s="1"/>
  <c r="GL83" i="26" s="1"/>
  <c r="GN83" i="26" s="1"/>
  <c r="GP83" i="26" s="1"/>
  <c r="GR83" i="26" s="1"/>
  <c r="GT83" i="26" s="1"/>
  <c r="GV83" i="26" s="1"/>
  <c r="GX83" i="26" s="1"/>
  <c r="GZ83" i="26" s="1"/>
  <c r="HB83" i="26" s="1"/>
  <c r="HD83" i="26" s="1"/>
  <c r="HF83" i="26" s="1"/>
  <c r="HH83" i="26" s="1"/>
  <c r="HJ83" i="26" s="1"/>
  <c r="C78" i="26"/>
  <c r="BR73" i="26"/>
  <c r="BT73" i="26" s="1"/>
  <c r="BV73" i="26" s="1"/>
  <c r="BX73" i="26" s="1"/>
  <c r="BZ73" i="26" s="1"/>
  <c r="CB73" i="26" s="1"/>
  <c r="CD73" i="26" s="1"/>
  <c r="CF73" i="26" s="1"/>
  <c r="CH73" i="26" s="1"/>
  <c r="CJ73" i="26" s="1"/>
  <c r="CL73" i="26" s="1"/>
  <c r="CN73" i="26" s="1"/>
  <c r="CP73" i="26" s="1"/>
  <c r="CR73" i="26" s="1"/>
  <c r="CT73" i="26" s="1"/>
  <c r="CV73" i="26" s="1"/>
  <c r="CX73" i="26" s="1"/>
  <c r="CZ73" i="26" s="1"/>
  <c r="DB73" i="26" s="1"/>
  <c r="DD73" i="26" s="1"/>
  <c r="DF73" i="26" s="1"/>
  <c r="DH73" i="26" s="1"/>
  <c r="DJ73" i="26" s="1"/>
  <c r="DL73" i="26" s="1"/>
  <c r="DN73" i="26" s="1"/>
  <c r="DP73" i="26" s="1"/>
  <c r="DR73" i="26" s="1"/>
  <c r="DT73" i="26" s="1"/>
  <c r="DV73" i="26" s="1"/>
  <c r="DX73" i="26" s="1"/>
  <c r="DZ73" i="26" s="1"/>
  <c r="EB73" i="26" s="1"/>
  <c r="ED73" i="26" s="1"/>
  <c r="EF73" i="26" s="1"/>
  <c r="EH73" i="26" s="1"/>
  <c r="EJ73" i="26" s="1"/>
  <c r="EL73" i="26" s="1"/>
  <c r="EN73" i="26" s="1"/>
  <c r="EP73" i="26" s="1"/>
  <c r="ER73" i="26" s="1"/>
  <c r="ET73" i="26" s="1"/>
  <c r="EV73" i="26" s="1"/>
  <c r="EX73" i="26" s="1"/>
  <c r="EZ73" i="26" s="1"/>
  <c r="FB73" i="26" s="1"/>
  <c r="FD73" i="26" s="1"/>
  <c r="FF73" i="26" s="1"/>
  <c r="FH73" i="26" s="1"/>
  <c r="FJ73" i="26" s="1"/>
  <c r="FL73" i="26" s="1"/>
  <c r="FN73" i="26" s="1"/>
  <c r="FP73" i="26" s="1"/>
  <c r="FR73" i="26" s="1"/>
  <c r="FT73" i="26" s="1"/>
  <c r="FV73" i="26" s="1"/>
  <c r="FX73" i="26" s="1"/>
  <c r="FZ73" i="26" s="1"/>
  <c r="GB73" i="26" s="1"/>
  <c r="GD73" i="26" s="1"/>
  <c r="GF73" i="26" s="1"/>
  <c r="GH73" i="26" s="1"/>
  <c r="GJ73" i="26" s="1"/>
  <c r="GL73" i="26" s="1"/>
  <c r="GN73" i="26" s="1"/>
  <c r="GP73" i="26" s="1"/>
  <c r="GR73" i="26" s="1"/>
  <c r="GT73" i="26" s="1"/>
  <c r="GV73" i="26" s="1"/>
  <c r="GX73" i="26" s="1"/>
  <c r="GZ73" i="26" s="1"/>
  <c r="HB73" i="26" s="1"/>
  <c r="HD73" i="26" s="1"/>
  <c r="HF73" i="26" s="1"/>
  <c r="HH73" i="26" s="1"/>
  <c r="HJ73" i="26" s="1"/>
  <c r="C68" i="26"/>
  <c r="B68" i="26"/>
  <c r="BR64" i="26"/>
  <c r="BT64" i="26" s="1"/>
  <c r="BV64" i="26" s="1"/>
  <c r="BX64" i="26" s="1"/>
  <c r="BZ64" i="26" s="1"/>
  <c r="CB64" i="26" s="1"/>
  <c r="CD64" i="26" s="1"/>
  <c r="CF64" i="26" s="1"/>
  <c r="CH64" i="26" s="1"/>
  <c r="CJ64" i="26" s="1"/>
  <c r="CL64" i="26" s="1"/>
  <c r="CN64" i="26" s="1"/>
  <c r="CP64" i="26" s="1"/>
  <c r="CR64" i="26" s="1"/>
  <c r="CT64" i="26" s="1"/>
  <c r="CV64" i="26" s="1"/>
  <c r="CX64" i="26" s="1"/>
  <c r="CZ64" i="26" s="1"/>
  <c r="DB64" i="26" s="1"/>
  <c r="DD64" i="26" s="1"/>
  <c r="DF64" i="26" s="1"/>
  <c r="DH64" i="26" s="1"/>
  <c r="DJ64" i="26" s="1"/>
  <c r="BR44" i="26"/>
  <c r="BT44" i="26" s="1"/>
  <c r="BV44" i="26" s="1"/>
  <c r="BX44" i="26" s="1"/>
  <c r="BZ44" i="26" s="1"/>
  <c r="CB44" i="26" s="1"/>
  <c r="CD44" i="26" s="1"/>
  <c r="CF44" i="26" s="1"/>
  <c r="CH44" i="26" s="1"/>
  <c r="CJ44" i="26" s="1"/>
  <c r="CL44" i="26" s="1"/>
  <c r="CN44" i="26" s="1"/>
  <c r="CP44" i="26" s="1"/>
  <c r="CR44" i="26" s="1"/>
  <c r="CT44" i="26" s="1"/>
  <c r="CV44" i="26" s="1"/>
  <c r="CX44" i="26" s="1"/>
  <c r="D48" i="26"/>
  <c r="E48" i="26" s="1"/>
  <c r="B48" i="26"/>
  <c r="BR34" i="26"/>
  <c r="BT34" i="26" s="1"/>
  <c r="BV34" i="26" s="1"/>
  <c r="BX34" i="26" s="1"/>
  <c r="BZ34" i="26" s="1"/>
  <c r="CB34" i="26" s="1"/>
  <c r="CD34" i="26" s="1"/>
  <c r="CF34" i="26" s="1"/>
  <c r="CH34" i="26" s="1"/>
  <c r="CJ34" i="26" s="1"/>
  <c r="CL34" i="26" s="1"/>
  <c r="CN34" i="26" s="1"/>
  <c r="CP34" i="26" s="1"/>
  <c r="CR34" i="26" s="1"/>
  <c r="CT34" i="26" s="1"/>
  <c r="CV34" i="26" s="1"/>
  <c r="CX34" i="26" s="1"/>
  <c r="CZ34" i="26" s="1"/>
  <c r="DB34" i="26" s="1"/>
  <c r="DD34" i="26" s="1"/>
  <c r="E29" i="26"/>
  <c r="C29" i="26"/>
  <c r="BR24" i="26"/>
  <c r="BT24" i="26" s="1"/>
  <c r="BV24" i="26" s="1"/>
  <c r="BX24" i="26" s="1"/>
  <c r="BZ24" i="26" s="1"/>
  <c r="CB24" i="26" s="1"/>
  <c r="CD24" i="26" s="1"/>
  <c r="CF24" i="26" s="1"/>
  <c r="CH24" i="26" s="1"/>
  <c r="CJ24" i="26" s="1"/>
  <c r="CL24" i="26" s="1"/>
  <c r="CN24" i="26" s="1"/>
  <c r="CP24" i="26" s="1"/>
  <c r="CR24" i="26" s="1"/>
  <c r="CT24" i="26" s="1"/>
  <c r="CV24" i="26" s="1"/>
  <c r="CX24" i="26" s="1"/>
  <c r="CZ24" i="26" s="1"/>
  <c r="DB24" i="26" s="1"/>
  <c r="DD24" i="26" s="1"/>
  <c r="DF24" i="26" s="1"/>
  <c r="DH24" i="26" s="1"/>
  <c r="DJ24" i="26" s="1"/>
  <c r="C19" i="26"/>
  <c r="BR7" i="26"/>
  <c r="BR6" i="26"/>
  <c r="BT6" i="26" s="1"/>
  <c r="BV6" i="26" s="1"/>
  <c r="BX6" i="26" s="1"/>
  <c r="BZ6" i="26" s="1"/>
  <c r="CB6" i="26" s="1"/>
  <c r="CD6" i="26" s="1"/>
  <c r="CF6" i="26" s="1"/>
  <c r="CH6" i="26" s="1"/>
  <c r="CJ6" i="26" s="1"/>
  <c r="CL6" i="26" s="1"/>
  <c r="CN6" i="26" s="1"/>
  <c r="CP6" i="26" s="1"/>
  <c r="CR6" i="26" s="1"/>
  <c r="CT6" i="26" s="1"/>
  <c r="CV6" i="26" s="1"/>
  <c r="CX6" i="26" s="1"/>
  <c r="CZ6" i="26" s="1"/>
  <c r="AX21" i="58"/>
  <c r="AZ21" i="58"/>
  <c r="BE16" i="58"/>
  <c r="BC16" i="58"/>
  <c r="AW16" i="58"/>
  <c r="AV16" i="58"/>
  <c r="AU16" i="58"/>
  <c r="AT16" i="58"/>
  <c r="AS16" i="58"/>
  <c r="AR16" i="58"/>
  <c r="AQ16" i="58"/>
  <c r="AP16" i="58"/>
  <c r="AO16" i="58"/>
  <c r="AN16" i="58"/>
  <c r="AM16" i="58"/>
  <c r="AL16" i="58"/>
  <c r="AK16" i="58"/>
  <c r="AJ16" i="58"/>
  <c r="AI16" i="58"/>
  <c r="AH16" i="58"/>
  <c r="AG16" i="58"/>
  <c r="AF16" i="58"/>
  <c r="AE16" i="58"/>
  <c r="AD16" i="58"/>
  <c r="AC16" i="58"/>
  <c r="AB16" i="58"/>
  <c r="Y16" i="58"/>
  <c r="X16" i="58"/>
  <c r="U16" i="58"/>
  <c r="T16" i="58"/>
  <c r="Q16" i="58"/>
  <c r="P16" i="58"/>
  <c r="D16" i="58"/>
  <c r="B16" i="58"/>
  <c r="AZ15" i="58"/>
  <c r="AX15" i="58"/>
  <c r="BA14" i="58"/>
  <c r="AZ14" i="58"/>
  <c r="AY14" i="58"/>
  <c r="AX14" i="58"/>
  <c r="BA13" i="58"/>
  <c r="AZ13" i="58"/>
  <c r="AY13" i="58"/>
  <c r="AX13" i="58"/>
  <c r="BA12" i="58"/>
  <c r="AZ12" i="58"/>
  <c r="BA11" i="58"/>
  <c r="AZ11" i="58"/>
  <c r="AY11" i="58"/>
  <c r="AX11" i="58"/>
  <c r="BA10" i="58"/>
  <c r="AZ10" i="58"/>
  <c r="BA8" i="58"/>
  <c r="AZ8" i="58"/>
  <c r="AY8" i="58"/>
  <c r="AX8" i="58"/>
  <c r="BA6" i="58"/>
  <c r="AZ6" i="58"/>
  <c r="AX6" i="58"/>
  <c r="BA5" i="58"/>
  <c r="AZ5" i="58"/>
  <c r="AY5" i="58"/>
  <c r="AX5" i="58"/>
  <c r="E39" i="26"/>
  <c r="C48" i="26"/>
  <c r="E114" i="26" l="1"/>
  <c r="BF116" i="26"/>
  <c r="BF117" i="26" s="1"/>
  <c r="BH117" i="26" s="1"/>
  <c r="BJ117" i="26" s="1"/>
  <c r="BL117" i="26" s="1"/>
  <c r="BN117" i="26" s="1"/>
  <c r="BP117" i="26" s="1"/>
  <c r="CZ46" i="26"/>
  <c r="BN46" i="26"/>
  <c r="DB46" i="26"/>
  <c r="BP46" i="26"/>
  <c r="BN45" i="26"/>
  <c r="BP45" i="26"/>
  <c r="BX119" i="26"/>
  <c r="BZ119" i="26" s="1"/>
  <c r="BN32" i="26"/>
  <c r="BN35" i="26" s="1"/>
  <c r="BL53" i="26"/>
  <c r="BL55" i="26" s="1"/>
  <c r="BR45" i="26"/>
  <c r="HH150" i="26"/>
  <c r="HJ150" i="26"/>
  <c r="GV150" i="26"/>
  <c r="GX150" i="26"/>
  <c r="GZ150" i="26"/>
  <c r="HB150" i="26"/>
  <c r="HD150" i="26"/>
  <c r="HF150" i="26"/>
  <c r="CR92" i="26"/>
  <c r="CT92" i="26" s="1"/>
  <c r="DB6" i="26"/>
  <c r="DD6" i="26" s="1"/>
  <c r="DF6" i="26" s="1"/>
  <c r="DH6" i="26" s="1"/>
  <c r="DJ6" i="26" s="1"/>
  <c r="DL6" i="26" s="1"/>
  <c r="BS7" i="26"/>
  <c r="BT7" i="26" s="1"/>
  <c r="DJ50" i="26"/>
  <c r="V50" i="26"/>
  <c r="X50" i="26"/>
  <c r="Z50" i="26"/>
  <c r="L50" i="26"/>
  <c r="L51" i="26" s="1"/>
  <c r="L54" i="26" s="1"/>
  <c r="P50" i="26"/>
  <c r="T50" i="26"/>
  <c r="N50" i="26"/>
  <c r="R50" i="26"/>
  <c r="L149" i="26"/>
  <c r="R149" i="26"/>
  <c r="V149" i="26"/>
  <c r="Z149" i="26"/>
  <c r="AF149" i="26"/>
  <c r="BD149" i="26"/>
  <c r="V150" i="26"/>
  <c r="AT150" i="26"/>
  <c r="AH149" i="26"/>
  <c r="BF149" i="26"/>
  <c r="X150" i="26"/>
  <c r="AV150" i="26"/>
  <c r="AJ149" i="26"/>
  <c r="BH149" i="26"/>
  <c r="Z150" i="26"/>
  <c r="AX150" i="26"/>
  <c r="AL149" i="26"/>
  <c r="BJ149" i="26"/>
  <c r="AB150" i="26"/>
  <c r="AZ150" i="26"/>
  <c r="AN149" i="26"/>
  <c r="BL149" i="26"/>
  <c r="AD150" i="26"/>
  <c r="BB150" i="26"/>
  <c r="AP149" i="26"/>
  <c r="BN149" i="26"/>
  <c r="AF150" i="26"/>
  <c r="BD150" i="26"/>
  <c r="N149" i="26"/>
  <c r="AR149" i="26"/>
  <c r="BP149" i="26"/>
  <c r="AH150" i="26"/>
  <c r="BF150" i="26"/>
  <c r="P149" i="26"/>
  <c r="AT149" i="26"/>
  <c r="L150" i="26"/>
  <c r="AJ150" i="26"/>
  <c r="BH150" i="26"/>
  <c r="T149" i="26"/>
  <c r="AV149" i="26"/>
  <c r="N150" i="26"/>
  <c r="AL150" i="26"/>
  <c r="BJ150" i="26"/>
  <c r="X149" i="26"/>
  <c r="AX149" i="26"/>
  <c r="P150" i="26"/>
  <c r="AN150" i="26"/>
  <c r="BL150" i="26"/>
  <c r="AB149" i="26"/>
  <c r="AZ149" i="26"/>
  <c r="R150" i="26"/>
  <c r="AP150" i="26"/>
  <c r="BN150" i="26"/>
  <c r="AD149" i="26"/>
  <c r="BB149" i="26"/>
  <c r="T150" i="26"/>
  <c r="AR150" i="26"/>
  <c r="BP150" i="26"/>
  <c r="AD93" i="26"/>
  <c r="BB93" i="26"/>
  <c r="T94" i="26"/>
  <c r="AR94" i="26"/>
  <c r="BP94" i="26"/>
  <c r="AF93" i="26"/>
  <c r="BD93" i="26"/>
  <c r="V94" i="26"/>
  <c r="AT94" i="26"/>
  <c r="AH93" i="26"/>
  <c r="BF93" i="26"/>
  <c r="X94" i="26"/>
  <c r="AV94" i="26"/>
  <c r="L93" i="26"/>
  <c r="AJ93" i="26"/>
  <c r="BH93" i="26"/>
  <c r="Z94" i="26"/>
  <c r="AX94" i="26"/>
  <c r="N93" i="26"/>
  <c r="AL93" i="26"/>
  <c r="BJ93" i="26"/>
  <c r="AB94" i="26"/>
  <c r="AZ94" i="26"/>
  <c r="P93" i="26"/>
  <c r="AN93" i="26"/>
  <c r="BL93" i="26"/>
  <c r="AD94" i="26"/>
  <c r="BB94" i="26"/>
  <c r="R93" i="26"/>
  <c r="AP93" i="26"/>
  <c r="BN93" i="26"/>
  <c r="AF94" i="26"/>
  <c r="BD94" i="26"/>
  <c r="T93" i="26"/>
  <c r="AR93" i="26"/>
  <c r="BP93" i="26"/>
  <c r="AH94" i="26"/>
  <c r="BF94" i="26"/>
  <c r="V93" i="26"/>
  <c r="AT93" i="26"/>
  <c r="L94" i="26"/>
  <c r="AJ94" i="26"/>
  <c r="BH94" i="26"/>
  <c r="AB93" i="26"/>
  <c r="AZ93" i="26"/>
  <c r="R94" i="26"/>
  <c r="AP94" i="26"/>
  <c r="BN94" i="26"/>
  <c r="AL94" i="26"/>
  <c r="AN94" i="26"/>
  <c r="BJ94" i="26"/>
  <c r="BL94" i="26"/>
  <c r="X93" i="26"/>
  <c r="Z93" i="26"/>
  <c r="AV93" i="26"/>
  <c r="AX93" i="26"/>
  <c r="N94" i="26"/>
  <c r="P94" i="26"/>
  <c r="Z120" i="26"/>
  <c r="AX120" i="26"/>
  <c r="P121" i="26"/>
  <c r="AN121" i="26"/>
  <c r="BL121" i="26"/>
  <c r="AB120" i="26"/>
  <c r="AZ120" i="26"/>
  <c r="AP121" i="26"/>
  <c r="BN121" i="26"/>
  <c r="AD120" i="26"/>
  <c r="BB120" i="26"/>
  <c r="T121" i="26"/>
  <c r="AR121" i="26"/>
  <c r="BP121" i="26"/>
  <c r="AF120" i="26"/>
  <c r="BD120" i="26"/>
  <c r="V121" i="26"/>
  <c r="AT121" i="26"/>
  <c r="AH120" i="26"/>
  <c r="BF120" i="26"/>
  <c r="X121" i="26"/>
  <c r="AV121" i="26"/>
  <c r="L120" i="26"/>
  <c r="AJ120" i="26"/>
  <c r="BH120" i="26"/>
  <c r="Z121" i="26"/>
  <c r="AX121" i="26"/>
  <c r="N120" i="26"/>
  <c r="AL120" i="26"/>
  <c r="BJ120" i="26"/>
  <c r="AB121" i="26"/>
  <c r="AZ121" i="26"/>
  <c r="P120" i="26"/>
  <c r="AN120" i="26"/>
  <c r="AD121" i="26"/>
  <c r="BB121" i="26"/>
  <c r="AP120" i="26"/>
  <c r="BN120" i="26"/>
  <c r="AF121" i="26"/>
  <c r="BD121" i="26"/>
  <c r="T120" i="26"/>
  <c r="AR120" i="26"/>
  <c r="BP120" i="26"/>
  <c r="AH121" i="26"/>
  <c r="BF121" i="26"/>
  <c r="V120" i="26"/>
  <c r="AT120" i="26"/>
  <c r="L121" i="26"/>
  <c r="AJ121" i="26"/>
  <c r="BH121" i="26"/>
  <c r="X120" i="26"/>
  <c r="AV120" i="26"/>
  <c r="N121" i="26"/>
  <c r="AL121" i="26"/>
  <c r="BJ121" i="26"/>
  <c r="R35" i="26"/>
  <c r="AP35" i="26"/>
  <c r="AF36" i="26"/>
  <c r="BD36" i="26"/>
  <c r="T35" i="26"/>
  <c r="AR35" i="26"/>
  <c r="AH36" i="26"/>
  <c r="BF36" i="26"/>
  <c r="V35" i="26"/>
  <c r="AT35" i="26"/>
  <c r="L36" i="26"/>
  <c r="AJ36" i="26"/>
  <c r="BH36" i="26"/>
  <c r="X35" i="26"/>
  <c r="AV35" i="26"/>
  <c r="N36" i="26"/>
  <c r="AL36" i="26"/>
  <c r="BJ36" i="26"/>
  <c r="Z35" i="26"/>
  <c r="AX35" i="26"/>
  <c r="P36" i="26"/>
  <c r="AN36" i="26"/>
  <c r="BL36" i="26"/>
  <c r="AB35" i="26"/>
  <c r="AZ35" i="26"/>
  <c r="R36" i="26"/>
  <c r="AP36" i="26"/>
  <c r="BN36" i="26"/>
  <c r="AD35" i="26"/>
  <c r="BB35" i="26"/>
  <c r="T36" i="26"/>
  <c r="AR36" i="26"/>
  <c r="BP36" i="26"/>
  <c r="AF35" i="26"/>
  <c r="BD35" i="26"/>
  <c r="V36" i="26"/>
  <c r="AT36" i="26"/>
  <c r="L35" i="26"/>
  <c r="AJ35" i="26"/>
  <c r="BH35" i="26"/>
  <c r="Z36" i="26"/>
  <c r="AX36" i="26"/>
  <c r="P35" i="26"/>
  <c r="AN35" i="26"/>
  <c r="BL35" i="26"/>
  <c r="AD36" i="26"/>
  <c r="BB36" i="26"/>
  <c r="AL35" i="26"/>
  <c r="BF35" i="26"/>
  <c r="BJ35" i="26"/>
  <c r="X36" i="26"/>
  <c r="AB36" i="26"/>
  <c r="AV36" i="26"/>
  <c r="AZ36" i="26"/>
  <c r="N35" i="26"/>
  <c r="AH35" i="26"/>
  <c r="R45" i="26"/>
  <c r="AP45" i="26"/>
  <c r="AF46" i="26"/>
  <c r="BD46" i="26"/>
  <c r="T45" i="26"/>
  <c r="AR45" i="26"/>
  <c r="AH46" i="26"/>
  <c r="BF46" i="26"/>
  <c r="V45" i="26"/>
  <c r="AT45" i="26"/>
  <c r="L46" i="26"/>
  <c r="AJ46" i="26"/>
  <c r="BH46" i="26"/>
  <c r="Z45" i="26"/>
  <c r="AX45" i="26"/>
  <c r="P46" i="26"/>
  <c r="AN46" i="26"/>
  <c r="BL46" i="26"/>
  <c r="AB45" i="26"/>
  <c r="AZ45" i="26"/>
  <c r="R46" i="26"/>
  <c r="AP46" i="26"/>
  <c r="AD45" i="26"/>
  <c r="BB45" i="26"/>
  <c r="T46" i="26"/>
  <c r="AR46" i="26"/>
  <c r="AF45" i="26"/>
  <c r="BD45" i="26"/>
  <c r="V46" i="26"/>
  <c r="AT46" i="26"/>
  <c r="AH45" i="26"/>
  <c r="BF45" i="26"/>
  <c r="X46" i="26"/>
  <c r="AV46" i="26"/>
  <c r="L45" i="26"/>
  <c r="AJ45" i="26"/>
  <c r="BH45" i="26"/>
  <c r="Z46" i="26"/>
  <c r="AX46" i="26"/>
  <c r="P45" i="26"/>
  <c r="AN45" i="26"/>
  <c r="BL45" i="26"/>
  <c r="AD46" i="26"/>
  <c r="BB46" i="26"/>
  <c r="N45" i="26"/>
  <c r="X45" i="26"/>
  <c r="AL45" i="26"/>
  <c r="AV45" i="26"/>
  <c r="BJ45" i="26"/>
  <c r="N46" i="26"/>
  <c r="AB46" i="26"/>
  <c r="AL46" i="26"/>
  <c r="AZ46" i="26"/>
  <c r="BJ46" i="26"/>
  <c r="AD55" i="26"/>
  <c r="BB55" i="26"/>
  <c r="AF55" i="26"/>
  <c r="BD55" i="26"/>
  <c r="AH55" i="26"/>
  <c r="BF55" i="26"/>
  <c r="L55" i="26"/>
  <c r="AJ55" i="26"/>
  <c r="BH55" i="26"/>
  <c r="N55" i="26"/>
  <c r="AL55" i="26"/>
  <c r="BJ55" i="26"/>
  <c r="P55" i="26"/>
  <c r="AN55" i="26"/>
  <c r="R55" i="26"/>
  <c r="AP55" i="26"/>
  <c r="T55" i="26"/>
  <c r="AR55" i="26"/>
  <c r="X55" i="26"/>
  <c r="AV55" i="26"/>
  <c r="AB55" i="26"/>
  <c r="AZ55" i="26"/>
  <c r="V55" i="26"/>
  <c r="Z55" i="26"/>
  <c r="AT55" i="26"/>
  <c r="AX55" i="26"/>
  <c r="DD44" i="26"/>
  <c r="DF44" i="26" s="1"/>
  <c r="DD36" i="26"/>
  <c r="DF34" i="26"/>
  <c r="DH34" i="26" s="1"/>
  <c r="DJ34" i="26" s="1"/>
  <c r="DL34" i="26" s="1"/>
  <c r="DN34" i="26" s="1"/>
  <c r="DP34" i="26" s="1"/>
  <c r="DR34" i="26" s="1"/>
  <c r="GP80" i="26"/>
  <c r="GL80" i="26"/>
  <c r="FP80" i="26"/>
  <c r="FL80" i="26"/>
  <c r="EZ80" i="26"/>
  <c r="FD80" i="26"/>
  <c r="GN70" i="26"/>
  <c r="GL70" i="26"/>
  <c r="FL70" i="26"/>
  <c r="FF70" i="26"/>
  <c r="FB70" i="26"/>
  <c r="GT89" i="26"/>
  <c r="EJ89" i="26"/>
  <c r="GT116" i="26"/>
  <c r="FL116" i="26"/>
  <c r="FF116" i="26"/>
  <c r="FB116" i="26"/>
  <c r="EJ116" i="26"/>
  <c r="DN107" i="26"/>
  <c r="DD107" i="26"/>
  <c r="GN80" i="26"/>
  <c r="GJ80" i="26"/>
  <c r="FJ80" i="26"/>
  <c r="EX80" i="26"/>
  <c r="ET80" i="26"/>
  <c r="GT70" i="26"/>
  <c r="GJ70" i="26"/>
  <c r="FJ70" i="26"/>
  <c r="EV70" i="26"/>
  <c r="GR89" i="26"/>
  <c r="FN89" i="26"/>
  <c r="EF89" i="26"/>
  <c r="DF89" i="26"/>
  <c r="GR116" i="26"/>
  <c r="FJ116" i="26"/>
  <c r="EV116" i="26"/>
  <c r="EB116" i="26"/>
  <c r="EF116" i="26"/>
  <c r="DH107" i="26"/>
  <c r="GT80" i="26"/>
  <c r="FT80" i="26"/>
  <c r="FH80" i="26"/>
  <c r="FF80" i="26"/>
  <c r="FB80" i="26"/>
  <c r="GR70" i="26"/>
  <c r="GH70" i="26"/>
  <c r="GD70" i="26"/>
  <c r="FR70" i="26"/>
  <c r="FH70" i="26"/>
  <c r="FD70" i="26"/>
  <c r="EZ70" i="26"/>
  <c r="GP89" i="26"/>
  <c r="GL89" i="26"/>
  <c r="FR89" i="26"/>
  <c r="FL89" i="26"/>
  <c r="EL89" i="26"/>
  <c r="DH89" i="26"/>
  <c r="GP116" i="26"/>
  <c r="FR116" i="26"/>
  <c r="FH116" i="26"/>
  <c r="FD116" i="26"/>
  <c r="EZ116" i="26"/>
  <c r="EL116" i="26"/>
  <c r="ED116" i="26"/>
  <c r="DF116" i="26"/>
  <c r="DJ116" i="26"/>
  <c r="DF107" i="26"/>
  <c r="DP107" i="26"/>
  <c r="GR80" i="26"/>
  <c r="FR80" i="26"/>
  <c r="FN80" i="26"/>
  <c r="EV80" i="26"/>
  <c r="ER80" i="26"/>
  <c r="GP70" i="26"/>
  <c r="GF70" i="26"/>
  <c r="FP70" i="26"/>
  <c r="FN70" i="26"/>
  <c r="ET70" i="26"/>
  <c r="EX70" i="26"/>
  <c r="GN89" i="26"/>
  <c r="GJ89" i="26"/>
  <c r="FP89" i="26"/>
  <c r="ED89" i="26"/>
  <c r="EH89" i="26"/>
  <c r="DJ89" i="26"/>
  <c r="GN116" i="26"/>
  <c r="GB116" i="26"/>
  <c r="FP116" i="26"/>
  <c r="FN116" i="26"/>
  <c r="ET116" i="26"/>
  <c r="EX116" i="26"/>
  <c r="EH116" i="26"/>
  <c r="DH116" i="26"/>
  <c r="DL107" i="26"/>
  <c r="DJ107" i="26"/>
  <c r="GN98" i="26"/>
  <c r="FR98" i="26"/>
  <c r="FL98" i="26"/>
  <c r="ET98" i="26"/>
  <c r="EX98" i="26"/>
  <c r="EF98" i="26"/>
  <c r="ED98" i="26"/>
  <c r="GP163" i="26"/>
  <c r="GL163" i="26"/>
  <c r="GD163" i="26"/>
  <c r="FV163" i="26"/>
  <c r="FL163" i="26"/>
  <c r="EZ163" i="26"/>
  <c r="EX163" i="26"/>
  <c r="EB163" i="26"/>
  <c r="EF163" i="26"/>
  <c r="DZ163" i="26"/>
  <c r="DF163" i="26"/>
  <c r="DV163" i="26"/>
  <c r="GT98" i="26"/>
  <c r="GB98" i="26"/>
  <c r="FP98" i="26"/>
  <c r="FJ98" i="26"/>
  <c r="FB98" i="26"/>
  <c r="FF98" i="26"/>
  <c r="EP98" i="26"/>
  <c r="EL98" i="26"/>
  <c r="GN163" i="26"/>
  <c r="GJ163" i="26"/>
  <c r="GB163" i="26"/>
  <c r="FT163" i="26"/>
  <c r="FJ163" i="26"/>
  <c r="FF163" i="26"/>
  <c r="EV163" i="26"/>
  <c r="EL163" i="26"/>
  <c r="EP163" i="26"/>
  <c r="DX163" i="26"/>
  <c r="DR163" i="26"/>
  <c r="DN163" i="26"/>
  <c r="GR98" i="26"/>
  <c r="FZ98" i="26"/>
  <c r="FV98" i="26"/>
  <c r="FH98" i="26"/>
  <c r="ER98" i="26"/>
  <c r="EV98" i="26"/>
  <c r="EH98" i="26"/>
  <c r="GT163" i="26"/>
  <c r="GH163" i="26"/>
  <c r="FZ163" i="26"/>
  <c r="FR163" i="26"/>
  <c r="FH163" i="26"/>
  <c r="FD163" i="26"/>
  <c r="ET163" i="26"/>
  <c r="EH163" i="26"/>
  <c r="DT163" i="26"/>
  <c r="DP163" i="26"/>
  <c r="DD163" i="26"/>
  <c r="DJ163" i="26"/>
  <c r="GP98" i="26"/>
  <c r="FX98" i="26"/>
  <c r="FT98" i="26"/>
  <c r="FN98" i="26"/>
  <c r="FD98" i="26"/>
  <c r="EZ98" i="26"/>
  <c r="EJ98" i="26"/>
  <c r="EN98" i="26"/>
  <c r="GR163" i="26"/>
  <c r="GF163" i="26"/>
  <c r="FX163" i="26"/>
  <c r="FP163" i="26"/>
  <c r="FN163" i="26"/>
  <c r="FB163" i="26"/>
  <c r="ER163" i="26"/>
  <c r="EN163" i="26"/>
  <c r="EJ163" i="26"/>
  <c r="DL163" i="26"/>
  <c r="ED163" i="26"/>
  <c r="DH163" i="26"/>
  <c r="GH136" i="26"/>
  <c r="FX136" i="26"/>
  <c r="FR136" i="26"/>
  <c r="FH136" i="26"/>
  <c r="FD136" i="26"/>
  <c r="ET136" i="26"/>
  <c r="GR145" i="26"/>
  <c r="GF145" i="26"/>
  <c r="GD145" i="26"/>
  <c r="FV145" i="26"/>
  <c r="FN145" i="26"/>
  <c r="FR145" i="26"/>
  <c r="GT136" i="26"/>
  <c r="GF136" i="26"/>
  <c r="GD136" i="26"/>
  <c r="FP136" i="26"/>
  <c r="FN136" i="26"/>
  <c r="FB136" i="26"/>
  <c r="ER136" i="26"/>
  <c r="GP145" i="26"/>
  <c r="GL145" i="26"/>
  <c r="GB145" i="26"/>
  <c r="FT145" i="26"/>
  <c r="FL145" i="26"/>
  <c r="GN145" i="26"/>
  <c r="FZ145" i="26"/>
  <c r="GB136" i="26"/>
  <c r="FV136" i="26"/>
  <c r="FL136" i="26"/>
  <c r="EZ136" i="26"/>
  <c r="EX136" i="26"/>
  <c r="FZ136" i="26"/>
  <c r="FT136" i="26"/>
  <c r="FJ136" i="26"/>
  <c r="FF136" i="26"/>
  <c r="EV136" i="26"/>
  <c r="GT145" i="26"/>
  <c r="GH145" i="26"/>
  <c r="FX145" i="26"/>
  <c r="FP145" i="26"/>
  <c r="GJ145" i="26"/>
  <c r="FJ145" i="26"/>
  <c r="DJ145" i="26"/>
  <c r="GT154" i="26"/>
  <c r="GJ154" i="26"/>
  <c r="GB154" i="26"/>
  <c r="FR154" i="26"/>
  <c r="FH154" i="26"/>
  <c r="FD154" i="26"/>
  <c r="ET154" i="26"/>
  <c r="EJ154" i="26"/>
  <c r="EN154" i="26"/>
  <c r="DX154" i="26"/>
  <c r="FJ154" i="26"/>
  <c r="ED154" i="26"/>
  <c r="GR154" i="26"/>
  <c r="GH154" i="26"/>
  <c r="FZ154" i="26"/>
  <c r="FP154" i="26"/>
  <c r="FN154" i="26"/>
  <c r="FB154" i="26"/>
  <c r="ER154" i="26"/>
  <c r="EF154" i="26"/>
  <c r="EB154" i="26"/>
  <c r="GP154" i="26"/>
  <c r="GF154" i="26"/>
  <c r="FX154" i="26"/>
  <c r="FV154" i="26"/>
  <c r="FL154" i="26"/>
  <c r="EZ154" i="26"/>
  <c r="EX154" i="26"/>
  <c r="EP154" i="26"/>
  <c r="EL154" i="26"/>
  <c r="EH154" i="26"/>
  <c r="DJ154" i="26"/>
  <c r="GN154" i="26"/>
  <c r="GL154" i="26"/>
  <c r="GD154" i="26"/>
  <c r="FT154" i="26"/>
  <c r="FF154" i="26"/>
  <c r="EV154" i="26"/>
  <c r="DZ154" i="26"/>
  <c r="DL24" i="26"/>
  <c r="DN24" i="26" s="1"/>
  <c r="DP24" i="26" s="1"/>
  <c r="DR24" i="26" s="1"/>
  <c r="GT50" i="26"/>
  <c r="GP50" i="26"/>
  <c r="GR50" i="26"/>
  <c r="GN50" i="26"/>
  <c r="GH50" i="26"/>
  <c r="GF50" i="26"/>
  <c r="GL50" i="26"/>
  <c r="GJ50" i="26"/>
  <c r="GD50" i="26"/>
  <c r="GB50" i="26"/>
  <c r="DL64" i="26"/>
  <c r="DN64" i="26" s="1"/>
  <c r="DP64" i="26" s="1"/>
  <c r="DR64" i="26" s="1"/>
  <c r="GT150" i="26"/>
  <c r="GR150" i="26"/>
  <c r="GP150" i="26"/>
  <c r="GN150" i="26"/>
  <c r="GH150" i="26"/>
  <c r="GF150" i="26"/>
  <c r="GL150" i="26"/>
  <c r="GJ150" i="26"/>
  <c r="FX150" i="26"/>
  <c r="GD150" i="26"/>
  <c r="GB150" i="26"/>
  <c r="FZ150" i="26"/>
  <c r="FP150" i="26"/>
  <c r="FV150" i="26"/>
  <c r="FT150" i="26"/>
  <c r="FR150" i="26"/>
  <c r="FJ150" i="26"/>
  <c r="FH150" i="26"/>
  <c r="FN150" i="26"/>
  <c r="FL150" i="26"/>
  <c r="FF150" i="26"/>
  <c r="FD150" i="26"/>
  <c r="FB150" i="26"/>
  <c r="EZ150" i="26"/>
  <c r="EV150" i="26"/>
  <c r="ET150" i="26"/>
  <c r="ER150" i="26"/>
  <c r="EX150" i="26"/>
  <c r="EN150" i="26"/>
  <c r="EB150" i="26"/>
  <c r="EL150" i="26"/>
  <c r="EH150" i="26"/>
  <c r="EJ150" i="26"/>
  <c r="EF150" i="26"/>
  <c r="EP150" i="26"/>
  <c r="DX150" i="26"/>
  <c r="DL150" i="26"/>
  <c r="ED150" i="26"/>
  <c r="DV150" i="26"/>
  <c r="DT150" i="26"/>
  <c r="DP150" i="26"/>
  <c r="DN150" i="26"/>
  <c r="DF150" i="26"/>
  <c r="DR150" i="26"/>
  <c r="DH150" i="26"/>
  <c r="DD150" i="26"/>
  <c r="DJ150" i="26"/>
  <c r="DZ150" i="26"/>
  <c r="BT61" i="26"/>
  <c r="CZ136" i="26"/>
  <c r="D134" i="26"/>
  <c r="E134" i="26" s="1"/>
  <c r="D78" i="26"/>
  <c r="D68" i="26"/>
  <c r="AR70" i="26" s="1"/>
  <c r="AR71" i="26" s="1"/>
  <c r="AT71" i="26" s="1"/>
  <c r="AV71" i="26" s="1"/>
  <c r="AX71" i="26" s="1"/>
  <c r="AZ71" i="26" s="1"/>
  <c r="BB71" i="26" s="1"/>
  <c r="BD71" i="26" s="1"/>
  <c r="BF71" i="26" s="1"/>
  <c r="BH71" i="26" s="1"/>
  <c r="BJ71" i="26" s="1"/>
  <c r="BL71" i="26" s="1"/>
  <c r="BN71" i="26" s="1"/>
  <c r="BP71" i="26" s="1"/>
  <c r="D152" i="26"/>
  <c r="E152" i="26" s="1"/>
  <c r="BT107" i="26"/>
  <c r="BZ154" i="26"/>
  <c r="BV61" i="26"/>
  <c r="DB61" i="26"/>
  <c r="BR70" i="26"/>
  <c r="DB98" i="26"/>
  <c r="CZ116" i="26"/>
  <c r="BT116" i="26"/>
  <c r="BV116" i="26"/>
  <c r="CZ127" i="26"/>
  <c r="CH145" i="26"/>
  <c r="BR154" i="26"/>
  <c r="BT163" i="26"/>
  <c r="CB163" i="26"/>
  <c r="CJ163" i="26"/>
  <c r="CZ163" i="26"/>
  <c r="BV163" i="26"/>
  <c r="CD163" i="26"/>
  <c r="DB163" i="26"/>
  <c r="BR145" i="26"/>
  <c r="BX163" i="26"/>
  <c r="BZ145" i="26"/>
  <c r="BR163" i="26"/>
  <c r="BZ163" i="26"/>
  <c r="CH163" i="26"/>
  <c r="BT154" i="26"/>
  <c r="CB154" i="26"/>
  <c r="BV154" i="26"/>
  <c r="CD154" i="26"/>
  <c r="BX154" i="26"/>
  <c r="BT145" i="26"/>
  <c r="CB145" i="26"/>
  <c r="BV145" i="26"/>
  <c r="BX145" i="26"/>
  <c r="BV136" i="26"/>
  <c r="CD136" i="26"/>
  <c r="CL136" i="26"/>
  <c r="CT136" i="26"/>
  <c r="DB136" i="26"/>
  <c r="CF136" i="26"/>
  <c r="CN136" i="26"/>
  <c r="CV136" i="26"/>
  <c r="BR136" i="26"/>
  <c r="CH136" i="26"/>
  <c r="CP136" i="26"/>
  <c r="CX136" i="26"/>
  <c r="BT136" i="26"/>
  <c r="CB136" i="26"/>
  <c r="CJ136" i="26"/>
  <c r="CR136" i="26"/>
  <c r="BV127" i="26"/>
  <c r="DB127" i="26"/>
  <c r="CF127" i="26"/>
  <c r="BR127" i="26"/>
  <c r="BZ127" i="26"/>
  <c r="CH127" i="26"/>
  <c r="BT127" i="26"/>
  <c r="CB127" i="26"/>
  <c r="CJ127" i="26"/>
  <c r="AD17" i="58"/>
  <c r="AD22" i="58" s="1"/>
  <c r="AD23" i="58" s="1"/>
  <c r="AD24" i="58" s="1"/>
  <c r="AL17" i="58"/>
  <c r="AL22" i="58" s="1"/>
  <c r="AL23" i="58" s="1"/>
  <c r="AT17" i="58"/>
  <c r="AT22" i="58" s="1"/>
  <c r="AT23" i="58" s="1"/>
  <c r="T17" i="58"/>
  <c r="T22" i="58" s="1"/>
  <c r="T23" i="58" s="1"/>
  <c r="AB17" i="58"/>
  <c r="AB22" i="58" s="1"/>
  <c r="AB23" i="58" s="1"/>
  <c r="AF17" i="58"/>
  <c r="AF22" i="58" s="1"/>
  <c r="AF23" i="58" s="1"/>
  <c r="AJ17" i="58"/>
  <c r="AJ22" i="58" s="1"/>
  <c r="AJ23" i="58" s="1"/>
  <c r="AN17" i="58"/>
  <c r="AN22" i="58" s="1"/>
  <c r="AN23" i="58" s="1"/>
  <c r="AR17" i="58"/>
  <c r="AR22" i="58" s="1"/>
  <c r="AR23" i="58" s="1"/>
  <c r="AV17" i="58"/>
  <c r="AV22" i="58" s="1"/>
  <c r="AV23" i="58" s="1"/>
  <c r="D125" i="26"/>
  <c r="E125" i="26" s="1"/>
  <c r="D161" i="26"/>
  <c r="E161" i="26" s="1"/>
  <c r="CT150" i="26"/>
  <c r="BV150" i="26"/>
  <c r="CF150" i="26"/>
  <c r="CN94" i="26"/>
  <c r="CF94" i="26"/>
  <c r="X17" i="58"/>
  <c r="X22" i="58" s="1"/>
  <c r="X23" i="58" s="1"/>
  <c r="AH17" i="58"/>
  <c r="AH22" i="58" s="1"/>
  <c r="AH23" i="58" s="1"/>
  <c r="AH24" i="58" s="1"/>
  <c r="AP17" i="58"/>
  <c r="AP22" i="58" s="1"/>
  <c r="AP23" i="58" s="1"/>
  <c r="D105" i="26"/>
  <c r="BF107" i="26" s="1"/>
  <c r="BF108" i="26" s="1"/>
  <c r="BH108" i="26" s="1"/>
  <c r="BJ108" i="26" s="1"/>
  <c r="BL108" i="26" s="1"/>
  <c r="BN108" i="26" s="1"/>
  <c r="BP108" i="26" s="1"/>
  <c r="CZ36" i="26"/>
  <c r="DB36" i="26"/>
  <c r="BV36" i="26"/>
  <c r="CL36" i="26"/>
  <c r="CD36" i="26"/>
  <c r="CT36" i="26"/>
  <c r="BX94" i="26"/>
  <c r="DB150" i="26"/>
  <c r="CR150" i="26"/>
  <c r="D96" i="26"/>
  <c r="BX36" i="26"/>
  <c r="CF36" i="26"/>
  <c r="CN36" i="26"/>
  <c r="CV36" i="26"/>
  <c r="BR36" i="26"/>
  <c r="BZ36" i="26"/>
  <c r="CH36" i="26"/>
  <c r="CP36" i="26"/>
  <c r="CX36" i="26"/>
  <c r="BT36" i="26"/>
  <c r="CB36" i="26"/>
  <c r="CJ36" i="26"/>
  <c r="CR36" i="26"/>
  <c r="BV121" i="26"/>
  <c r="BR121" i="26"/>
  <c r="BT121" i="26"/>
  <c r="BR94" i="26"/>
  <c r="BZ94" i="26"/>
  <c r="CH94" i="26"/>
  <c r="CP94" i="26"/>
  <c r="BT94" i="26"/>
  <c r="CB94" i="26"/>
  <c r="CJ94" i="26"/>
  <c r="BV94" i="26"/>
  <c r="CD94" i="26"/>
  <c r="CL94" i="26"/>
  <c r="BX150" i="26"/>
  <c r="CJ150" i="26"/>
  <c r="CX150" i="26"/>
  <c r="CP150" i="26"/>
  <c r="CH150" i="26"/>
  <c r="BZ150" i="26"/>
  <c r="BR150" i="26"/>
  <c r="CB150" i="26"/>
  <c r="CL150" i="26"/>
  <c r="CV150" i="26"/>
  <c r="BT150" i="26"/>
  <c r="CD150" i="26"/>
  <c r="CN150" i="26"/>
  <c r="CZ150" i="26"/>
  <c r="AT24" i="58"/>
  <c r="P17" i="58"/>
  <c r="P22" i="58" s="1"/>
  <c r="P23" i="58" s="1"/>
  <c r="BL120" i="26" l="1"/>
  <c r="E78" i="26"/>
  <c r="HH85" i="26" s="1"/>
  <c r="BF80" i="26"/>
  <c r="E96" i="26"/>
  <c r="HD103" i="26" s="1"/>
  <c r="BF99" i="26"/>
  <c r="BH99" i="26" s="1"/>
  <c r="BJ99" i="26" s="1"/>
  <c r="BL99" i="26" s="1"/>
  <c r="BN99" i="26" s="1"/>
  <c r="BP99" i="26" s="1"/>
  <c r="BX121" i="26"/>
  <c r="CB119" i="26"/>
  <c r="BZ121" i="26"/>
  <c r="L40" i="166"/>
  <c r="BN53" i="26"/>
  <c r="BN55" i="26" s="1"/>
  <c r="BP32" i="26"/>
  <c r="HH168" i="26"/>
  <c r="GZ168" i="26"/>
  <c r="HD168" i="26"/>
  <c r="HF168" i="26"/>
  <c r="HJ168" i="26"/>
  <c r="GV168" i="26"/>
  <c r="GX168" i="26"/>
  <c r="HB168" i="26"/>
  <c r="GV159" i="26"/>
  <c r="GX159" i="26"/>
  <c r="HJ159" i="26"/>
  <c r="HH159" i="26"/>
  <c r="GZ159" i="26"/>
  <c r="HD159" i="26"/>
  <c r="HF159" i="26"/>
  <c r="HB159" i="26"/>
  <c r="GV132" i="26"/>
  <c r="HH132" i="26"/>
  <c r="HJ132" i="26"/>
  <c r="GX132" i="26"/>
  <c r="GZ132" i="26"/>
  <c r="HB132" i="26"/>
  <c r="HD132" i="26"/>
  <c r="HF132" i="26"/>
  <c r="HJ85" i="26"/>
  <c r="GZ85" i="26"/>
  <c r="HB85" i="26"/>
  <c r="HD85" i="26"/>
  <c r="HF85" i="26"/>
  <c r="HH103" i="26"/>
  <c r="GV103" i="26"/>
  <c r="HJ103" i="26"/>
  <c r="GX103" i="26"/>
  <c r="GZ103" i="26"/>
  <c r="HH141" i="26"/>
  <c r="HJ141" i="26"/>
  <c r="GV141" i="26"/>
  <c r="GX141" i="26"/>
  <c r="GZ141" i="26"/>
  <c r="HB141" i="26"/>
  <c r="HD141" i="26"/>
  <c r="HF141" i="26"/>
  <c r="E105" i="26"/>
  <c r="AZ112" i="26" s="1"/>
  <c r="CR94" i="26"/>
  <c r="CV92" i="26"/>
  <c r="CT94" i="26"/>
  <c r="DP36" i="26"/>
  <c r="DD46" i="26"/>
  <c r="E68" i="26"/>
  <c r="BU7" i="26"/>
  <c r="BV7" i="26" s="1"/>
  <c r="DN6" i="26"/>
  <c r="DP6" i="26" s="1"/>
  <c r="DR6" i="26" s="1"/>
  <c r="DT6" i="26" s="1"/>
  <c r="DV6" i="26" s="1"/>
  <c r="DX6" i="26" s="1"/>
  <c r="DZ6" i="26" s="1"/>
  <c r="EB6" i="26" s="1"/>
  <c r="ED6" i="26" s="1"/>
  <c r="EF6" i="26" s="1"/>
  <c r="EH6" i="26" s="1"/>
  <c r="EJ6" i="26" s="1"/>
  <c r="EL6" i="26" s="1"/>
  <c r="EN6" i="26" s="1"/>
  <c r="EP6" i="26" s="1"/>
  <c r="ER6" i="26" s="1"/>
  <c r="AP24" i="58"/>
  <c r="DH36" i="26"/>
  <c r="DF36" i="26"/>
  <c r="DL36" i="26"/>
  <c r="DN36" i="26"/>
  <c r="DJ36" i="26"/>
  <c r="N51" i="26"/>
  <c r="N54" i="26" s="1"/>
  <c r="AD140" i="26"/>
  <c r="BB140" i="26"/>
  <c r="T141" i="26"/>
  <c r="AR141" i="26"/>
  <c r="BP141" i="26"/>
  <c r="AF140" i="26"/>
  <c r="BD140" i="26"/>
  <c r="V141" i="26"/>
  <c r="AT141" i="26"/>
  <c r="AH140" i="26"/>
  <c r="BF140" i="26"/>
  <c r="X141" i="26"/>
  <c r="AV141" i="26"/>
  <c r="L140" i="26"/>
  <c r="AJ140" i="26"/>
  <c r="BH140" i="26"/>
  <c r="Z141" i="26"/>
  <c r="AX141" i="26"/>
  <c r="N140" i="26"/>
  <c r="AL140" i="26"/>
  <c r="BJ140" i="26"/>
  <c r="AB141" i="26"/>
  <c r="AZ141" i="26"/>
  <c r="P140" i="26"/>
  <c r="R140" i="26"/>
  <c r="AP140" i="26"/>
  <c r="BN140" i="26"/>
  <c r="T140" i="26"/>
  <c r="AR140" i="26"/>
  <c r="BP140" i="26"/>
  <c r="AH141" i="26"/>
  <c r="BF141" i="26"/>
  <c r="V140" i="26"/>
  <c r="AT140" i="26"/>
  <c r="L141" i="26"/>
  <c r="X140" i="26"/>
  <c r="AV140" i="26"/>
  <c r="N141" i="26"/>
  <c r="AL141" i="26"/>
  <c r="BJ141" i="26"/>
  <c r="Z140" i="26"/>
  <c r="AX140" i="26"/>
  <c r="P141" i="26"/>
  <c r="AN141" i="26"/>
  <c r="BL141" i="26"/>
  <c r="AB140" i="26"/>
  <c r="AZ140" i="26"/>
  <c r="R141" i="26"/>
  <c r="AP141" i="26"/>
  <c r="BN141" i="26"/>
  <c r="AN140" i="26"/>
  <c r="BL140" i="26"/>
  <c r="AD141" i="26"/>
  <c r="AF141" i="26"/>
  <c r="AJ141" i="26"/>
  <c r="BB141" i="26"/>
  <c r="BD141" i="26"/>
  <c r="BH141" i="26"/>
  <c r="AB102" i="26"/>
  <c r="AZ102" i="26"/>
  <c r="R103" i="26"/>
  <c r="AP103" i="26"/>
  <c r="AD102" i="26"/>
  <c r="BB102" i="26"/>
  <c r="T103" i="26"/>
  <c r="AR103" i="26"/>
  <c r="BP103" i="26"/>
  <c r="AF102" i="26"/>
  <c r="BD102" i="26"/>
  <c r="V103" i="26"/>
  <c r="AT103" i="26"/>
  <c r="L102" i="26"/>
  <c r="AJ102" i="26"/>
  <c r="BH102" i="26"/>
  <c r="Z103" i="26"/>
  <c r="AX103" i="26"/>
  <c r="N102" i="26"/>
  <c r="AL102" i="26"/>
  <c r="BJ102" i="26"/>
  <c r="AB103" i="26"/>
  <c r="AZ103" i="26"/>
  <c r="P102" i="26"/>
  <c r="AN102" i="26"/>
  <c r="AD103" i="26"/>
  <c r="BB103" i="26"/>
  <c r="R102" i="26"/>
  <c r="AP102" i="26"/>
  <c r="BN102" i="26"/>
  <c r="AF103" i="26"/>
  <c r="BD103" i="26"/>
  <c r="T102" i="26"/>
  <c r="AR102" i="26"/>
  <c r="BP102" i="26"/>
  <c r="AH103" i="26"/>
  <c r="BF103" i="26"/>
  <c r="L103" i="26"/>
  <c r="N103" i="26"/>
  <c r="P103" i="26"/>
  <c r="X103" i="26"/>
  <c r="V102" i="26"/>
  <c r="AJ103" i="26"/>
  <c r="X102" i="26"/>
  <c r="AL103" i="26"/>
  <c r="Z102" i="26"/>
  <c r="AN103" i="26"/>
  <c r="AH102" i="26"/>
  <c r="AV103" i="26"/>
  <c r="AT102" i="26"/>
  <c r="BH103" i="26"/>
  <c r="AV102" i="26"/>
  <c r="BJ103" i="26"/>
  <c r="AX102" i="26"/>
  <c r="BL103" i="26"/>
  <c r="BF102" i="26"/>
  <c r="AF131" i="26"/>
  <c r="BD131" i="26"/>
  <c r="V132" i="26"/>
  <c r="AT132" i="26"/>
  <c r="AH131" i="26"/>
  <c r="BF131" i="26"/>
  <c r="X132" i="26"/>
  <c r="AV132" i="26"/>
  <c r="L131" i="26"/>
  <c r="AJ131" i="26"/>
  <c r="BH131" i="26"/>
  <c r="Z132" i="26"/>
  <c r="AX132" i="26"/>
  <c r="N131" i="26"/>
  <c r="AL131" i="26"/>
  <c r="BJ131" i="26"/>
  <c r="AB132" i="26"/>
  <c r="AZ132" i="26"/>
  <c r="P131" i="26"/>
  <c r="AN131" i="26"/>
  <c r="BL131" i="26"/>
  <c r="AD132" i="26"/>
  <c r="BB132" i="26"/>
  <c r="R131" i="26"/>
  <c r="AP131" i="26"/>
  <c r="BN131" i="26"/>
  <c r="AF132" i="26"/>
  <c r="BD132" i="26"/>
  <c r="T131" i="26"/>
  <c r="AR131" i="26"/>
  <c r="BP131" i="26"/>
  <c r="AH132" i="26"/>
  <c r="BF132" i="26"/>
  <c r="V131" i="26"/>
  <c r="AT131" i="26"/>
  <c r="L132" i="26"/>
  <c r="AJ132" i="26"/>
  <c r="BH132" i="26"/>
  <c r="X131" i="26"/>
  <c r="AV131" i="26"/>
  <c r="N132" i="26"/>
  <c r="AL132" i="26"/>
  <c r="BJ132" i="26"/>
  <c r="Z131" i="26"/>
  <c r="AX131" i="26"/>
  <c r="P132" i="26"/>
  <c r="AN132" i="26"/>
  <c r="BL132" i="26"/>
  <c r="AB131" i="26"/>
  <c r="AZ131" i="26"/>
  <c r="R132" i="26"/>
  <c r="AP132" i="26"/>
  <c r="BN132" i="26"/>
  <c r="AD131" i="26"/>
  <c r="BB131" i="26"/>
  <c r="T132" i="26"/>
  <c r="AR132" i="26"/>
  <c r="BP132" i="26"/>
  <c r="R167" i="26"/>
  <c r="AP167" i="26"/>
  <c r="BN167" i="26"/>
  <c r="AF168" i="26"/>
  <c r="BD168" i="26"/>
  <c r="T167" i="26"/>
  <c r="AR167" i="26"/>
  <c r="BP167" i="26"/>
  <c r="AH168" i="26"/>
  <c r="BF168" i="26"/>
  <c r="V167" i="26"/>
  <c r="AT167" i="26"/>
  <c r="L168" i="26"/>
  <c r="AJ168" i="26"/>
  <c r="BH168" i="26"/>
  <c r="X167" i="26"/>
  <c r="AV167" i="26"/>
  <c r="N168" i="26"/>
  <c r="AL168" i="26"/>
  <c r="BJ168" i="26"/>
  <c r="Z167" i="26"/>
  <c r="AX167" i="26"/>
  <c r="P168" i="26"/>
  <c r="AN168" i="26"/>
  <c r="BL168" i="26"/>
  <c r="AB167" i="26"/>
  <c r="AZ167" i="26"/>
  <c r="R168" i="26"/>
  <c r="AP168" i="26"/>
  <c r="BN168" i="26"/>
  <c r="AD167" i="26"/>
  <c r="BB167" i="26"/>
  <c r="T168" i="26"/>
  <c r="AR168" i="26"/>
  <c r="BP168" i="26"/>
  <c r="AF167" i="26"/>
  <c r="BD167" i="26"/>
  <c r="V168" i="26"/>
  <c r="AT168" i="26"/>
  <c r="AH167" i="26"/>
  <c r="BF167" i="26"/>
  <c r="X168" i="26"/>
  <c r="AV168" i="26"/>
  <c r="L167" i="26"/>
  <c r="AJ167" i="26"/>
  <c r="BH167" i="26"/>
  <c r="Z168" i="26"/>
  <c r="AX168" i="26"/>
  <c r="N167" i="26"/>
  <c r="AL167" i="26"/>
  <c r="BJ167" i="26"/>
  <c r="AB168" i="26"/>
  <c r="AZ168" i="26"/>
  <c r="P167" i="26"/>
  <c r="AN167" i="26"/>
  <c r="BL167" i="26"/>
  <c r="AD168" i="26"/>
  <c r="BB168" i="26"/>
  <c r="T158" i="26"/>
  <c r="AR158" i="26"/>
  <c r="BP158" i="26"/>
  <c r="AH159" i="26"/>
  <c r="BF159" i="26"/>
  <c r="V158" i="26"/>
  <c r="AT158" i="26"/>
  <c r="L159" i="26"/>
  <c r="AJ159" i="26"/>
  <c r="BH159" i="26"/>
  <c r="X158" i="26"/>
  <c r="AV158" i="26"/>
  <c r="N159" i="26"/>
  <c r="AL159" i="26"/>
  <c r="BJ159" i="26"/>
  <c r="Z158" i="26"/>
  <c r="AX158" i="26"/>
  <c r="P159" i="26"/>
  <c r="AN159" i="26"/>
  <c r="BL159" i="26"/>
  <c r="AB158" i="26"/>
  <c r="AZ158" i="26"/>
  <c r="R159" i="26"/>
  <c r="AP159" i="26"/>
  <c r="BN159" i="26"/>
  <c r="AD158" i="26"/>
  <c r="BB158" i="26"/>
  <c r="T159" i="26"/>
  <c r="AR159" i="26"/>
  <c r="BP159" i="26"/>
  <c r="AF158" i="26"/>
  <c r="BD158" i="26"/>
  <c r="V159" i="26"/>
  <c r="AT159" i="26"/>
  <c r="AH158" i="26"/>
  <c r="BF158" i="26"/>
  <c r="X159" i="26"/>
  <c r="AV159" i="26"/>
  <c r="L158" i="26"/>
  <c r="AJ158" i="26"/>
  <c r="BH158" i="26"/>
  <c r="Z159" i="26"/>
  <c r="AX159" i="26"/>
  <c r="N158" i="26"/>
  <c r="AL158" i="26"/>
  <c r="BJ158" i="26"/>
  <c r="AB159" i="26"/>
  <c r="AZ159" i="26"/>
  <c r="P158" i="26"/>
  <c r="AN158" i="26"/>
  <c r="BL158" i="26"/>
  <c r="AD159" i="26"/>
  <c r="BB159" i="26"/>
  <c r="R158" i="26"/>
  <c r="AP158" i="26"/>
  <c r="BN158" i="26"/>
  <c r="AF159" i="26"/>
  <c r="BD159" i="26"/>
  <c r="AF84" i="26"/>
  <c r="V85" i="26"/>
  <c r="AT85" i="26"/>
  <c r="AH84" i="26"/>
  <c r="X85" i="26"/>
  <c r="AV85" i="26"/>
  <c r="L84" i="26"/>
  <c r="AJ84" i="26"/>
  <c r="Z85" i="26"/>
  <c r="AX85" i="26"/>
  <c r="N84" i="26"/>
  <c r="AL84" i="26"/>
  <c r="AB85" i="26"/>
  <c r="AZ85" i="26"/>
  <c r="P84" i="26"/>
  <c r="AN84" i="26"/>
  <c r="AD85" i="26"/>
  <c r="BB85" i="26"/>
  <c r="R84" i="26"/>
  <c r="AP84" i="26"/>
  <c r="AF85" i="26"/>
  <c r="BD85" i="26"/>
  <c r="T84" i="26"/>
  <c r="AR84" i="26"/>
  <c r="AH85" i="26"/>
  <c r="BF85" i="26"/>
  <c r="V84" i="26"/>
  <c r="L85" i="26"/>
  <c r="AJ85" i="26"/>
  <c r="BH85" i="26"/>
  <c r="X84" i="26"/>
  <c r="N85" i="26"/>
  <c r="AL85" i="26"/>
  <c r="BJ85" i="26"/>
  <c r="AD84" i="26"/>
  <c r="T85" i="26"/>
  <c r="AR85" i="26"/>
  <c r="BP85" i="26"/>
  <c r="AN85" i="26"/>
  <c r="AP85" i="26"/>
  <c r="BL85" i="26"/>
  <c r="BN85" i="26"/>
  <c r="Z84" i="26"/>
  <c r="AB84" i="26"/>
  <c r="P85" i="26"/>
  <c r="R85" i="26"/>
  <c r="DH44" i="26"/>
  <c r="DF46" i="26"/>
  <c r="DR36" i="26"/>
  <c r="DT34" i="26"/>
  <c r="BR103" i="26"/>
  <c r="GT103" i="26"/>
  <c r="GR103" i="26"/>
  <c r="GP103" i="26"/>
  <c r="GN103" i="26"/>
  <c r="GJ103" i="26"/>
  <c r="GH103" i="26"/>
  <c r="GF103" i="26"/>
  <c r="GL103" i="26"/>
  <c r="GD103" i="26"/>
  <c r="GB103" i="26"/>
  <c r="FZ103" i="26"/>
  <c r="FX103" i="26"/>
  <c r="FR103" i="26"/>
  <c r="FP103" i="26"/>
  <c r="FV103" i="26"/>
  <c r="FT103" i="26"/>
  <c r="FJ103" i="26"/>
  <c r="FH103" i="26"/>
  <c r="FN103" i="26"/>
  <c r="FL103" i="26"/>
  <c r="FB103" i="26"/>
  <c r="ER103" i="26"/>
  <c r="EZ103" i="26"/>
  <c r="EX103" i="26"/>
  <c r="FF103" i="26"/>
  <c r="EV103" i="26"/>
  <c r="FD103" i="26"/>
  <c r="ET103" i="26"/>
  <c r="EN103" i="26"/>
  <c r="ED103" i="26"/>
  <c r="EL103" i="26"/>
  <c r="EB103" i="26"/>
  <c r="EJ103" i="26"/>
  <c r="EH103" i="26"/>
  <c r="EP103" i="26"/>
  <c r="DT103" i="26"/>
  <c r="DN103" i="26"/>
  <c r="DZ103" i="26"/>
  <c r="EF103" i="26"/>
  <c r="DX103" i="26"/>
  <c r="DR103" i="26"/>
  <c r="DP103" i="26"/>
  <c r="DF103" i="26"/>
  <c r="DV103" i="26"/>
  <c r="DL103" i="26"/>
  <c r="DD103" i="26"/>
  <c r="DJ103" i="26"/>
  <c r="DH103" i="26"/>
  <c r="DT64" i="26"/>
  <c r="DV64" i="26" s="1"/>
  <c r="DX64" i="26" s="1"/>
  <c r="DZ64" i="26" s="1"/>
  <c r="GP168" i="26"/>
  <c r="GN168" i="26"/>
  <c r="GT168" i="26"/>
  <c r="GR168" i="26"/>
  <c r="GL168" i="26"/>
  <c r="GJ168" i="26"/>
  <c r="GH168" i="26"/>
  <c r="GF168" i="26"/>
  <c r="GB168" i="26"/>
  <c r="FZ168" i="26"/>
  <c r="FX168" i="26"/>
  <c r="GD168" i="26"/>
  <c r="FT168" i="26"/>
  <c r="FR168" i="26"/>
  <c r="FP168" i="26"/>
  <c r="FV168" i="26"/>
  <c r="FL168" i="26"/>
  <c r="FJ168" i="26"/>
  <c r="FH168" i="26"/>
  <c r="FN168" i="26"/>
  <c r="EZ168" i="26"/>
  <c r="FF168" i="26"/>
  <c r="FD168" i="26"/>
  <c r="FB168" i="26"/>
  <c r="EX168" i="26"/>
  <c r="EV168" i="26"/>
  <c r="ET168" i="26"/>
  <c r="ER168" i="26"/>
  <c r="EJ168" i="26"/>
  <c r="EF168" i="26"/>
  <c r="EP168" i="26"/>
  <c r="ED168" i="26"/>
  <c r="EN168" i="26"/>
  <c r="EB168" i="26"/>
  <c r="EL168" i="26"/>
  <c r="EH168" i="26"/>
  <c r="DX168" i="26"/>
  <c r="DP168" i="26"/>
  <c r="DV168" i="26"/>
  <c r="DT168" i="26"/>
  <c r="DL168" i="26"/>
  <c r="DR168" i="26"/>
  <c r="DJ168" i="26"/>
  <c r="DN168" i="26"/>
  <c r="DH168" i="26"/>
  <c r="DF168" i="26"/>
  <c r="DZ168" i="26"/>
  <c r="DD168" i="26"/>
  <c r="BR90" i="26"/>
  <c r="GP141" i="26"/>
  <c r="GN141" i="26"/>
  <c r="GT141" i="26"/>
  <c r="GR141" i="26"/>
  <c r="GL141" i="26"/>
  <c r="GJ141" i="26"/>
  <c r="GH141" i="26"/>
  <c r="GF141" i="26"/>
  <c r="GB141" i="26"/>
  <c r="FZ141" i="26"/>
  <c r="FX141" i="26"/>
  <c r="GD141" i="26"/>
  <c r="FT141" i="26"/>
  <c r="FR141" i="26"/>
  <c r="FP141" i="26"/>
  <c r="FV141" i="26"/>
  <c r="FL141" i="26"/>
  <c r="FJ141" i="26"/>
  <c r="FH141" i="26"/>
  <c r="FN141" i="26"/>
  <c r="EZ141" i="26"/>
  <c r="FF141" i="26"/>
  <c r="FD141" i="26"/>
  <c r="FB141" i="26"/>
  <c r="EX141" i="26"/>
  <c r="EV141" i="26"/>
  <c r="ET141" i="26"/>
  <c r="ER141" i="26"/>
  <c r="EJ141" i="26"/>
  <c r="EF141" i="26"/>
  <c r="EP141" i="26"/>
  <c r="ED141" i="26"/>
  <c r="EN141" i="26"/>
  <c r="EB141" i="26"/>
  <c r="EL141" i="26"/>
  <c r="EH141" i="26"/>
  <c r="DZ141" i="26"/>
  <c r="DN141" i="26"/>
  <c r="DX141" i="26"/>
  <c r="DV141" i="26"/>
  <c r="DR141" i="26"/>
  <c r="DJ141" i="26"/>
  <c r="DL141" i="26"/>
  <c r="DD141" i="26"/>
  <c r="DH141" i="26"/>
  <c r="DP141" i="26"/>
  <c r="DF141" i="26"/>
  <c r="DT141" i="26"/>
  <c r="GT132" i="26"/>
  <c r="GR132" i="26"/>
  <c r="GP132" i="26"/>
  <c r="GN132" i="26"/>
  <c r="GF132" i="26"/>
  <c r="GL132" i="26"/>
  <c r="GJ132" i="26"/>
  <c r="GH132" i="26"/>
  <c r="GD132" i="26"/>
  <c r="GB132" i="26"/>
  <c r="FZ132" i="26"/>
  <c r="FX132" i="26"/>
  <c r="FP132" i="26"/>
  <c r="FV132" i="26"/>
  <c r="FT132" i="26"/>
  <c r="FR132" i="26"/>
  <c r="FN132" i="26"/>
  <c r="FL132" i="26"/>
  <c r="FJ132" i="26"/>
  <c r="FH132" i="26"/>
  <c r="FB132" i="26"/>
  <c r="EZ132" i="26"/>
  <c r="FF132" i="26"/>
  <c r="FD132" i="26"/>
  <c r="ER132" i="26"/>
  <c r="EX132" i="26"/>
  <c r="EV132" i="26"/>
  <c r="ET132" i="26"/>
  <c r="EN132" i="26"/>
  <c r="EB132" i="26"/>
  <c r="EL132" i="26"/>
  <c r="EH132" i="26"/>
  <c r="EJ132" i="26"/>
  <c r="EF132" i="26"/>
  <c r="EP132" i="26"/>
  <c r="ED132" i="26"/>
  <c r="DT132" i="26"/>
  <c r="DR132" i="26"/>
  <c r="DZ132" i="26"/>
  <c r="DX132" i="26"/>
  <c r="DN132" i="26"/>
  <c r="DF132" i="26"/>
  <c r="DP132" i="26"/>
  <c r="DD132" i="26"/>
  <c r="DV132" i="26"/>
  <c r="DL132" i="26"/>
  <c r="DJ132" i="26"/>
  <c r="DH132" i="26"/>
  <c r="GR159" i="26"/>
  <c r="GP159" i="26"/>
  <c r="GN159" i="26"/>
  <c r="GT159" i="26"/>
  <c r="GF159" i="26"/>
  <c r="GL159" i="26"/>
  <c r="GJ159" i="26"/>
  <c r="GH159" i="26"/>
  <c r="FX159" i="26"/>
  <c r="GD159" i="26"/>
  <c r="GB159" i="26"/>
  <c r="FZ159" i="26"/>
  <c r="FP159" i="26"/>
  <c r="FV159" i="26"/>
  <c r="FT159" i="26"/>
  <c r="FR159" i="26"/>
  <c r="FN159" i="26"/>
  <c r="FL159" i="26"/>
  <c r="FJ159" i="26"/>
  <c r="FH159" i="26"/>
  <c r="FB159" i="26"/>
  <c r="EZ159" i="26"/>
  <c r="FF159" i="26"/>
  <c r="FD159" i="26"/>
  <c r="ER159" i="26"/>
  <c r="EX159" i="26"/>
  <c r="EV159" i="26"/>
  <c r="ET159" i="26"/>
  <c r="EN159" i="26"/>
  <c r="EB159" i="26"/>
  <c r="EL159" i="26"/>
  <c r="EH159" i="26"/>
  <c r="EJ159" i="26"/>
  <c r="EF159" i="26"/>
  <c r="EP159" i="26"/>
  <c r="ED159" i="26"/>
  <c r="DT159" i="26"/>
  <c r="DL159" i="26"/>
  <c r="DZ159" i="26"/>
  <c r="DX159" i="26"/>
  <c r="DP159" i="26"/>
  <c r="DN159" i="26"/>
  <c r="DF159" i="26"/>
  <c r="DR159" i="26"/>
  <c r="DD159" i="26"/>
  <c r="DJ159" i="26"/>
  <c r="DV159" i="26"/>
  <c r="DH159" i="26"/>
  <c r="GT85" i="26"/>
  <c r="GR85" i="26"/>
  <c r="GP85" i="26"/>
  <c r="GN85" i="26"/>
  <c r="GH85" i="26"/>
  <c r="GF85" i="26"/>
  <c r="GL85" i="26"/>
  <c r="GJ85" i="26"/>
  <c r="FZ85" i="26"/>
  <c r="FX85" i="26"/>
  <c r="GD85" i="26"/>
  <c r="GB85" i="26"/>
  <c r="FV85" i="26"/>
  <c r="FT85" i="26"/>
  <c r="FR85" i="26"/>
  <c r="FP85" i="26"/>
  <c r="FH85" i="26"/>
  <c r="FN85" i="26"/>
  <c r="FL85" i="26"/>
  <c r="FJ85" i="26"/>
  <c r="FF85" i="26"/>
  <c r="EV85" i="26"/>
  <c r="FD85" i="26"/>
  <c r="ET85" i="26"/>
  <c r="FB85" i="26"/>
  <c r="ER85" i="26"/>
  <c r="EZ85" i="26"/>
  <c r="EX85" i="26"/>
  <c r="EN85" i="26"/>
  <c r="EF85" i="26"/>
  <c r="EL85" i="26"/>
  <c r="ED85" i="26"/>
  <c r="EJ85" i="26"/>
  <c r="EB85" i="26"/>
  <c r="EP85" i="26"/>
  <c r="DX85" i="26"/>
  <c r="DR85" i="26"/>
  <c r="EH85" i="26"/>
  <c r="DV85" i="26"/>
  <c r="DT85" i="26"/>
  <c r="DN85" i="26"/>
  <c r="DL85" i="26"/>
  <c r="DF85" i="26"/>
  <c r="DD85" i="26"/>
  <c r="DJ85" i="26"/>
  <c r="DZ85" i="26"/>
  <c r="DP85" i="26"/>
  <c r="DH85" i="26"/>
  <c r="DT24" i="26"/>
  <c r="DV24" i="26" s="1"/>
  <c r="DX24" i="26" s="1"/>
  <c r="DZ24" i="26" s="1"/>
  <c r="CH168" i="26"/>
  <c r="BV168" i="26"/>
  <c r="DB103" i="26"/>
  <c r="CX103" i="26"/>
  <c r="CV103" i="26"/>
  <c r="CP159" i="26"/>
  <c r="CZ159" i="26"/>
  <c r="CB159" i="26"/>
  <c r="CN168" i="26"/>
  <c r="CP168" i="26"/>
  <c r="BT159" i="26"/>
  <c r="BZ159" i="26"/>
  <c r="CD168" i="26"/>
  <c r="CV168" i="26"/>
  <c r="CR159" i="26"/>
  <c r="BR159" i="26"/>
  <c r="CZ168" i="26"/>
  <c r="CT168" i="26"/>
  <c r="CX168" i="26"/>
  <c r="BV103" i="26"/>
  <c r="BX159" i="26"/>
  <c r="CB103" i="26"/>
  <c r="CP103" i="26"/>
  <c r="CN103" i="26"/>
  <c r="CT103" i="26"/>
  <c r="CR103" i="26"/>
  <c r="CH103" i="26"/>
  <c r="CF103" i="26"/>
  <c r="CL103" i="26"/>
  <c r="CJ168" i="26"/>
  <c r="BZ168" i="26"/>
  <c r="BX168" i="26"/>
  <c r="CL168" i="26"/>
  <c r="CR168" i="26"/>
  <c r="CV159" i="26"/>
  <c r="CL159" i="26"/>
  <c r="CH159" i="26"/>
  <c r="BV159" i="26"/>
  <c r="CN159" i="26"/>
  <c r="CT159" i="26"/>
  <c r="CD159" i="26"/>
  <c r="CJ159" i="26"/>
  <c r="CX159" i="26"/>
  <c r="BT168" i="26"/>
  <c r="DB168" i="26"/>
  <c r="CF168" i="26"/>
  <c r="BR168" i="26"/>
  <c r="CD103" i="26"/>
  <c r="BX103" i="26"/>
  <c r="BZ103" i="26"/>
  <c r="DB159" i="26"/>
  <c r="CF159" i="26"/>
  <c r="CZ103" i="26"/>
  <c r="CB168" i="26"/>
  <c r="CJ103" i="26"/>
  <c r="BT103" i="26"/>
  <c r="BR99" i="26"/>
  <c r="BR155" i="26"/>
  <c r="BT155" i="26" s="1"/>
  <c r="BV155" i="26" s="1"/>
  <c r="BX155" i="26" s="1"/>
  <c r="BZ155" i="26" s="1"/>
  <c r="CB155" i="26" s="1"/>
  <c r="CD155" i="26" s="1"/>
  <c r="CF155" i="26" s="1"/>
  <c r="CH155" i="26" s="1"/>
  <c r="CJ155" i="26" s="1"/>
  <c r="CL155" i="26" s="1"/>
  <c r="CN155" i="26" s="1"/>
  <c r="CP155" i="26" s="1"/>
  <c r="CR155" i="26" s="1"/>
  <c r="CT155" i="26" s="1"/>
  <c r="CV155" i="26" s="1"/>
  <c r="CX155" i="26" s="1"/>
  <c r="CZ155" i="26" s="1"/>
  <c r="DB155" i="26" s="1"/>
  <c r="DD155" i="26" s="1"/>
  <c r="DF155" i="26" s="1"/>
  <c r="DH155" i="26" s="1"/>
  <c r="DJ155" i="26" s="1"/>
  <c r="DL155" i="26" s="1"/>
  <c r="DN155" i="26" s="1"/>
  <c r="DP155" i="26" s="1"/>
  <c r="DR155" i="26" s="1"/>
  <c r="DT155" i="26" s="1"/>
  <c r="DV155" i="26" s="1"/>
  <c r="DX155" i="26" s="1"/>
  <c r="DZ155" i="26" s="1"/>
  <c r="EB155" i="26" s="1"/>
  <c r="ED155" i="26" s="1"/>
  <c r="EF155" i="26" s="1"/>
  <c r="EH155" i="26" s="1"/>
  <c r="EJ155" i="26" s="1"/>
  <c r="EL155" i="26" s="1"/>
  <c r="EN155" i="26" s="1"/>
  <c r="EP155" i="26" s="1"/>
  <c r="ER155" i="26" s="1"/>
  <c r="ET155" i="26" s="1"/>
  <c r="EV155" i="26" s="1"/>
  <c r="EX155" i="26" s="1"/>
  <c r="EZ155" i="26" s="1"/>
  <c r="FB155" i="26" s="1"/>
  <c r="FD155" i="26" s="1"/>
  <c r="FF155" i="26" s="1"/>
  <c r="FH155" i="26" s="1"/>
  <c r="FJ155" i="26" s="1"/>
  <c r="FL155" i="26" s="1"/>
  <c r="FN155" i="26" s="1"/>
  <c r="FP155" i="26" s="1"/>
  <c r="FR155" i="26" s="1"/>
  <c r="FT155" i="26" s="1"/>
  <c r="FV155" i="26" s="1"/>
  <c r="FX155" i="26" s="1"/>
  <c r="FZ155" i="26" s="1"/>
  <c r="GB155" i="26" s="1"/>
  <c r="GD155" i="26" s="1"/>
  <c r="GF155" i="26" s="1"/>
  <c r="GH155" i="26" s="1"/>
  <c r="GJ155" i="26" s="1"/>
  <c r="GL155" i="26" s="1"/>
  <c r="GN155" i="26" s="1"/>
  <c r="GP155" i="26" s="1"/>
  <c r="GR155" i="26" s="1"/>
  <c r="GT155" i="26" s="1"/>
  <c r="BR62" i="26"/>
  <c r="BT62" i="26" s="1"/>
  <c r="BV62" i="26" s="1"/>
  <c r="BX62" i="26" s="1"/>
  <c r="BZ62" i="26" s="1"/>
  <c r="CB62" i="26" s="1"/>
  <c r="CD62" i="26" s="1"/>
  <c r="CF62" i="26" s="1"/>
  <c r="CH62" i="26" s="1"/>
  <c r="CJ62" i="26" s="1"/>
  <c r="CL62" i="26" s="1"/>
  <c r="CN62" i="26" s="1"/>
  <c r="CP62" i="26" s="1"/>
  <c r="CR62" i="26" s="1"/>
  <c r="CT62" i="26" s="1"/>
  <c r="CV62" i="26" s="1"/>
  <c r="CX62" i="26" s="1"/>
  <c r="CZ62" i="26" s="1"/>
  <c r="DB62" i="26" s="1"/>
  <c r="DD62" i="26" s="1"/>
  <c r="DF62" i="26" s="1"/>
  <c r="DH62" i="26" s="1"/>
  <c r="DJ62" i="26" s="1"/>
  <c r="E59" i="26"/>
  <c r="BR117" i="26"/>
  <c r="BR146" i="26"/>
  <c r="BR108" i="26"/>
  <c r="BT108" i="26" s="1"/>
  <c r="BV108" i="26" s="1"/>
  <c r="BX108" i="26" s="1"/>
  <c r="BZ108" i="26" s="1"/>
  <c r="CB108" i="26" s="1"/>
  <c r="CD108" i="26" s="1"/>
  <c r="CF108" i="26" s="1"/>
  <c r="CH108" i="26" s="1"/>
  <c r="CJ108" i="26" s="1"/>
  <c r="CL108" i="26" s="1"/>
  <c r="CN108" i="26" s="1"/>
  <c r="CP108" i="26" s="1"/>
  <c r="CR108" i="26" s="1"/>
  <c r="CT108" i="26" s="1"/>
  <c r="CV108" i="26" s="1"/>
  <c r="CX108" i="26" s="1"/>
  <c r="CZ108" i="26" s="1"/>
  <c r="DB108" i="26" s="1"/>
  <c r="DD108" i="26" s="1"/>
  <c r="DF108" i="26" s="1"/>
  <c r="DH108" i="26" s="1"/>
  <c r="DJ108" i="26" s="1"/>
  <c r="DL108" i="26" s="1"/>
  <c r="DN108" i="26" s="1"/>
  <c r="DP108" i="26" s="1"/>
  <c r="DR108" i="26" s="1"/>
  <c r="DT108" i="26" s="1"/>
  <c r="DV108" i="26" s="1"/>
  <c r="DX108" i="26" s="1"/>
  <c r="DZ108" i="26" s="1"/>
  <c r="EB108" i="26" s="1"/>
  <c r="ED108" i="26" s="1"/>
  <c r="EF108" i="26" s="1"/>
  <c r="EH108" i="26" s="1"/>
  <c r="EJ108" i="26" s="1"/>
  <c r="EL108" i="26" s="1"/>
  <c r="EN108" i="26" s="1"/>
  <c r="EP108" i="26" s="1"/>
  <c r="ER108" i="26" s="1"/>
  <c r="ET108" i="26" s="1"/>
  <c r="EV108" i="26" s="1"/>
  <c r="EX108" i="26" s="1"/>
  <c r="EZ108" i="26" s="1"/>
  <c r="FB108" i="26" s="1"/>
  <c r="FD108" i="26" s="1"/>
  <c r="FF108" i="26" s="1"/>
  <c r="FH108" i="26" s="1"/>
  <c r="FJ108" i="26" s="1"/>
  <c r="FL108" i="26" s="1"/>
  <c r="FN108" i="26" s="1"/>
  <c r="FP108" i="26" s="1"/>
  <c r="FR108" i="26" s="1"/>
  <c r="FT108" i="26" s="1"/>
  <c r="FV108" i="26" s="1"/>
  <c r="FX108" i="26" s="1"/>
  <c r="FZ108" i="26" s="1"/>
  <c r="GB108" i="26" s="1"/>
  <c r="GD108" i="26" s="1"/>
  <c r="GF108" i="26" s="1"/>
  <c r="GH108" i="26" s="1"/>
  <c r="GJ108" i="26" s="1"/>
  <c r="GL108" i="26" s="1"/>
  <c r="GN108" i="26" s="1"/>
  <c r="GP108" i="26" s="1"/>
  <c r="GR108" i="26" s="1"/>
  <c r="GT108" i="26" s="1"/>
  <c r="BR71" i="26"/>
  <c r="BT71" i="26" s="1"/>
  <c r="BV71" i="26" s="1"/>
  <c r="BX71" i="26" s="1"/>
  <c r="BZ71" i="26" s="1"/>
  <c r="CB71" i="26" s="1"/>
  <c r="AL24" i="58"/>
  <c r="BR137" i="26"/>
  <c r="BT137" i="26" s="1"/>
  <c r="BV137" i="26" s="1"/>
  <c r="BX137" i="26" s="1"/>
  <c r="BZ137" i="26" s="1"/>
  <c r="CB137" i="26" s="1"/>
  <c r="CD137" i="26" s="1"/>
  <c r="CF137" i="26" s="1"/>
  <c r="CH137" i="26" s="1"/>
  <c r="CJ137" i="26" s="1"/>
  <c r="CL137" i="26" s="1"/>
  <c r="CN137" i="26" s="1"/>
  <c r="CP137" i="26" s="1"/>
  <c r="CR137" i="26" s="1"/>
  <c r="CT137" i="26" s="1"/>
  <c r="CV137" i="26" s="1"/>
  <c r="CX137" i="26" s="1"/>
  <c r="CZ137" i="26" s="1"/>
  <c r="DB137" i="26" s="1"/>
  <c r="DD137" i="26" s="1"/>
  <c r="DF137" i="26" s="1"/>
  <c r="BR128" i="26"/>
  <c r="BT128" i="26" s="1"/>
  <c r="BV128" i="26" s="1"/>
  <c r="BX128" i="26" s="1"/>
  <c r="BZ128" i="26" s="1"/>
  <c r="CB128" i="26" s="1"/>
  <c r="CD128" i="26" s="1"/>
  <c r="CF128" i="26" s="1"/>
  <c r="CH128" i="26" s="1"/>
  <c r="CJ128" i="26" s="1"/>
  <c r="CL128" i="26" s="1"/>
  <c r="CN128" i="26" s="1"/>
  <c r="CP128" i="26" s="1"/>
  <c r="CR128" i="26" s="1"/>
  <c r="CT128" i="26" s="1"/>
  <c r="CV128" i="26" s="1"/>
  <c r="CX128" i="26" s="1"/>
  <c r="CZ128" i="26" s="1"/>
  <c r="DB128" i="26" s="1"/>
  <c r="DD128" i="26" s="1"/>
  <c r="DF128" i="26" s="1"/>
  <c r="BT42" i="26"/>
  <c r="GX85" i="26" l="1"/>
  <c r="BN103" i="26"/>
  <c r="GV85" i="26"/>
  <c r="HF103" i="26"/>
  <c r="HB103" i="26"/>
  <c r="BT99" i="26"/>
  <c r="BL102" i="26"/>
  <c r="BW7" i="26"/>
  <c r="BX7" i="26" s="1"/>
  <c r="M41" i="166" s="1"/>
  <c r="AJ111" i="26"/>
  <c r="CD119" i="26"/>
  <c r="CB121" i="26"/>
  <c r="DZ112" i="26"/>
  <c r="EL112" i="26"/>
  <c r="CV112" i="26"/>
  <c r="EX112" i="26"/>
  <c r="EZ112" i="26"/>
  <c r="FX112" i="26"/>
  <c r="DB112" i="26"/>
  <c r="GL112" i="26"/>
  <c r="CH112" i="26"/>
  <c r="DF112" i="26"/>
  <c r="X111" i="26"/>
  <c r="CR112" i="26"/>
  <c r="CD112" i="26"/>
  <c r="DL112" i="26"/>
  <c r="V112" i="26"/>
  <c r="BP53" i="26"/>
  <c r="BP55" i="26" s="1"/>
  <c r="F40" i="166"/>
  <c r="BP35" i="26"/>
  <c r="CP112" i="26"/>
  <c r="CL112" i="26"/>
  <c r="DT112" i="26"/>
  <c r="EP112" i="26"/>
  <c r="FJ112" i="26"/>
  <c r="GF112" i="26"/>
  <c r="N112" i="26"/>
  <c r="CN112" i="26"/>
  <c r="CB112" i="26"/>
  <c r="CJ112" i="26"/>
  <c r="DH112" i="26"/>
  <c r="EH112" i="26"/>
  <c r="FL112" i="26"/>
  <c r="GH112" i="26"/>
  <c r="BN111" i="26"/>
  <c r="CT112" i="26"/>
  <c r="BR112" i="26"/>
  <c r="DP112" i="26"/>
  <c r="EJ112" i="26"/>
  <c r="FT112" i="26"/>
  <c r="GR112" i="26"/>
  <c r="AP111" i="26"/>
  <c r="BX112" i="26"/>
  <c r="BZ112" i="26"/>
  <c r="DV112" i="26"/>
  <c r="ER112" i="26"/>
  <c r="FV112" i="26"/>
  <c r="GT112" i="26"/>
  <c r="R111" i="26"/>
  <c r="GT158" i="26"/>
  <c r="GV155" i="26"/>
  <c r="CF112" i="26"/>
  <c r="CX112" i="26"/>
  <c r="BT112" i="26"/>
  <c r="DX112" i="26"/>
  <c r="FB112" i="26"/>
  <c r="FP112" i="26"/>
  <c r="AF111" i="26"/>
  <c r="P111" i="26"/>
  <c r="CZ112" i="26"/>
  <c r="BV112" i="26"/>
  <c r="DR112" i="26"/>
  <c r="FF112" i="26"/>
  <c r="GD112" i="26"/>
  <c r="AJ112" i="26"/>
  <c r="AN74" i="26"/>
  <c r="GV75" i="26"/>
  <c r="GX75" i="26"/>
  <c r="HJ75" i="26"/>
  <c r="GZ75" i="26"/>
  <c r="HH75" i="26"/>
  <c r="HB75" i="26"/>
  <c r="HD75" i="26"/>
  <c r="HF75" i="26"/>
  <c r="Z111" i="26"/>
  <c r="GV112" i="26"/>
  <c r="GX112" i="26"/>
  <c r="GZ112" i="26"/>
  <c r="HH112" i="26"/>
  <c r="HB112" i="26"/>
  <c r="HJ112" i="26"/>
  <c r="HD112" i="26"/>
  <c r="HF112" i="26"/>
  <c r="GT111" i="26"/>
  <c r="GV108" i="26"/>
  <c r="BV42" i="26"/>
  <c r="BV45" i="26" s="1"/>
  <c r="L111" i="26"/>
  <c r="AV112" i="26"/>
  <c r="AR112" i="26"/>
  <c r="T112" i="26"/>
  <c r="EB112" i="26"/>
  <c r="ED112" i="26"/>
  <c r="ET112" i="26"/>
  <c r="FN112" i="26"/>
  <c r="FZ112" i="26"/>
  <c r="GN112" i="26"/>
  <c r="L112" i="26"/>
  <c r="AB112" i="26"/>
  <c r="BB111" i="26"/>
  <c r="DJ112" i="26"/>
  <c r="EN112" i="26"/>
  <c r="FD112" i="26"/>
  <c r="FH112" i="26"/>
  <c r="GB112" i="26"/>
  <c r="GP112" i="26"/>
  <c r="BJ112" i="26"/>
  <c r="BJ111" i="26"/>
  <c r="AD111" i="26"/>
  <c r="DD112" i="26"/>
  <c r="DN112" i="26"/>
  <c r="EF112" i="26"/>
  <c r="EV112" i="26"/>
  <c r="FR112" i="26"/>
  <c r="GJ112" i="26"/>
  <c r="AL112" i="26"/>
  <c r="AV111" i="26"/>
  <c r="BH111" i="26"/>
  <c r="AX111" i="26"/>
  <c r="BD112" i="26"/>
  <c r="AH112" i="26"/>
  <c r="BP111" i="26"/>
  <c r="BB112" i="26"/>
  <c r="AL111" i="26"/>
  <c r="X112" i="26"/>
  <c r="BN112" i="26"/>
  <c r="AT111" i="26"/>
  <c r="V111" i="26"/>
  <c r="BH112" i="26"/>
  <c r="AD112" i="26"/>
  <c r="N111" i="26"/>
  <c r="BF111" i="26"/>
  <c r="AP112" i="26"/>
  <c r="AT112" i="26"/>
  <c r="AF112" i="26"/>
  <c r="BD111" i="26"/>
  <c r="BL111" i="26"/>
  <c r="AX112" i="26"/>
  <c r="AH111" i="26"/>
  <c r="R112" i="26"/>
  <c r="AR111" i="26"/>
  <c r="T111" i="26"/>
  <c r="BF112" i="26"/>
  <c r="AN111" i="26"/>
  <c r="Z112" i="26"/>
  <c r="BP112" i="26"/>
  <c r="AZ111" i="26"/>
  <c r="AB111" i="26"/>
  <c r="BL112" i="26"/>
  <c r="AN112" i="26"/>
  <c r="P112" i="26"/>
  <c r="GF75" i="26"/>
  <c r="CX92" i="26"/>
  <c r="CV94" i="26"/>
  <c r="FB75" i="26"/>
  <c r="FP75" i="26"/>
  <c r="AF75" i="26"/>
  <c r="DF75" i="26"/>
  <c r="DT75" i="26"/>
  <c r="EN75" i="26"/>
  <c r="BJ75" i="26"/>
  <c r="AR74" i="26"/>
  <c r="T75" i="26"/>
  <c r="AH74" i="26"/>
  <c r="BN74" i="26"/>
  <c r="AV75" i="26"/>
  <c r="DH75" i="26"/>
  <c r="R74" i="26"/>
  <c r="DP75" i="26"/>
  <c r="EL75" i="26"/>
  <c r="EZ75" i="26"/>
  <c r="FJ75" i="26"/>
  <c r="FX75" i="26"/>
  <c r="GT75" i="26"/>
  <c r="AP74" i="26"/>
  <c r="AJ74" i="26"/>
  <c r="V74" i="26"/>
  <c r="BH74" i="26"/>
  <c r="BP75" i="26"/>
  <c r="AX74" i="26"/>
  <c r="AH75" i="26"/>
  <c r="P74" i="26"/>
  <c r="DL75" i="26"/>
  <c r="GH75" i="26"/>
  <c r="BF74" i="26"/>
  <c r="DD75" i="26"/>
  <c r="DZ75" i="26"/>
  <c r="EH75" i="26"/>
  <c r="ER75" i="26"/>
  <c r="FV75" i="26"/>
  <c r="GL75" i="26"/>
  <c r="AJ75" i="26"/>
  <c r="X75" i="26"/>
  <c r="BD75" i="26"/>
  <c r="L74" i="26"/>
  <c r="AR75" i="26"/>
  <c r="Z74" i="26"/>
  <c r="BP74" i="26"/>
  <c r="FR75" i="26"/>
  <c r="AP75" i="26"/>
  <c r="DX75" i="26"/>
  <c r="DV75" i="26"/>
  <c r="EP75" i="26"/>
  <c r="FD75" i="26"/>
  <c r="FT75" i="26"/>
  <c r="GJ75" i="26"/>
  <c r="AZ74" i="26"/>
  <c r="R75" i="26"/>
  <c r="AZ75" i="26"/>
  <c r="AT75" i="26"/>
  <c r="AD74" i="26"/>
  <c r="N75" i="26"/>
  <c r="BB75" i="26"/>
  <c r="BB74" i="26"/>
  <c r="DR75" i="26"/>
  <c r="ED75" i="26"/>
  <c r="EV75" i="26"/>
  <c r="FL75" i="26"/>
  <c r="FZ75" i="26"/>
  <c r="GN75" i="26"/>
  <c r="AB75" i="26"/>
  <c r="AB74" i="26"/>
  <c r="BJ74" i="26"/>
  <c r="V75" i="26"/>
  <c r="BL75" i="26"/>
  <c r="AV74" i="26"/>
  <c r="AD75" i="26"/>
  <c r="ET75" i="26"/>
  <c r="BN75" i="26"/>
  <c r="T74" i="26"/>
  <c r="DJ75" i="26"/>
  <c r="EJ75" i="26"/>
  <c r="FF75" i="26"/>
  <c r="FN75" i="26"/>
  <c r="GB75" i="26"/>
  <c r="GP75" i="26"/>
  <c r="AL74" i="26"/>
  <c r="BH75" i="26"/>
  <c r="N74" i="26"/>
  <c r="BD74" i="26"/>
  <c r="AN75" i="26"/>
  <c r="X74" i="26"/>
  <c r="BL74" i="26"/>
  <c r="EB75" i="26"/>
  <c r="AL75" i="26"/>
  <c r="DN75" i="26"/>
  <c r="EF75" i="26"/>
  <c r="EX75" i="26"/>
  <c r="FH75" i="26"/>
  <c r="GD75" i="26"/>
  <c r="GR75" i="26"/>
  <c r="AT74" i="26"/>
  <c r="Z75" i="26"/>
  <c r="L75" i="26"/>
  <c r="AX75" i="26"/>
  <c r="AF74" i="26"/>
  <c r="P75" i="26"/>
  <c r="BF75" i="26"/>
  <c r="CD71" i="26"/>
  <c r="CF71" i="26" s="1"/>
  <c r="CH71" i="26" s="1"/>
  <c r="CJ71" i="26" s="1"/>
  <c r="CL71" i="26" s="1"/>
  <c r="CN71" i="26" s="1"/>
  <c r="CP71" i="26" s="1"/>
  <c r="CR71" i="26" s="1"/>
  <c r="CT71" i="26" s="1"/>
  <c r="CV71" i="26" s="1"/>
  <c r="CX71" i="26" s="1"/>
  <c r="CZ71" i="26" s="1"/>
  <c r="DB71" i="26" s="1"/>
  <c r="DD71" i="26" s="1"/>
  <c r="DD74" i="26" s="1"/>
  <c r="ET6" i="26"/>
  <c r="EV6" i="26" s="1"/>
  <c r="EX6" i="26" s="1"/>
  <c r="EZ6" i="26" s="1"/>
  <c r="BY7" i="26"/>
  <c r="BZ7" i="26" s="1"/>
  <c r="BT146" i="26"/>
  <c r="BR149" i="26"/>
  <c r="CV111" i="26"/>
  <c r="BV158" i="26"/>
  <c r="BX158" i="26"/>
  <c r="CP158" i="26"/>
  <c r="DB111" i="26"/>
  <c r="CX158" i="26"/>
  <c r="CL158" i="26"/>
  <c r="BT111" i="26"/>
  <c r="BV111" i="26"/>
  <c r="CH111" i="26"/>
  <c r="CR111" i="26"/>
  <c r="DJ158" i="26"/>
  <c r="DF158" i="26"/>
  <c r="DP158" i="26"/>
  <c r="DZ158" i="26"/>
  <c r="EP158" i="26"/>
  <c r="EJ158" i="26"/>
  <c r="EL158" i="26"/>
  <c r="EN158" i="26"/>
  <c r="EV158" i="26"/>
  <c r="ER158" i="26"/>
  <c r="FF158" i="26"/>
  <c r="FB158" i="26"/>
  <c r="FJ158" i="26"/>
  <c r="FN158" i="26"/>
  <c r="FT158" i="26"/>
  <c r="FP158" i="26"/>
  <c r="GB158" i="26"/>
  <c r="FX158" i="26"/>
  <c r="GJ158" i="26"/>
  <c r="GF158" i="26"/>
  <c r="GN158" i="26"/>
  <c r="GR158" i="26"/>
  <c r="DP111" i="26"/>
  <c r="DV111" i="26"/>
  <c r="DR111" i="26"/>
  <c r="EB111" i="26"/>
  <c r="BX111" i="26"/>
  <c r="CB111" i="26"/>
  <c r="CT158" i="26"/>
  <c r="CV158" i="26"/>
  <c r="CN158" i="26"/>
  <c r="CZ158" i="26"/>
  <c r="CZ111" i="26"/>
  <c r="BZ111" i="26"/>
  <c r="DR158" i="26"/>
  <c r="DT158" i="26"/>
  <c r="DT111" i="26"/>
  <c r="DL111" i="26"/>
  <c r="EL111" i="26"/>
  <c r="EN111" i="26"/>
  <c r="EP111" i="26"/>
  <c r="EJ111" i="26"/>
  <c r="FB111" i="26"/>
  <c r="FD111" i="26"/>
  <c r="FF111" i="26"/>
  <c r="EZ111" i="26"/>
  <c r="FL111" i="26"/>
  <c r="FH111" i="26"/>
  <c r="FT111" i="26"/>
  <c r="FP111" i="26"/>
  <c r="FX111" i="26"/>
  <c r="GB111" i="26"/>
  <c r="GL111" i="26"/>
  <c r="GH111" i="26"/>
  <c r="GP111" i="26"/>
  <c r="BT117" i="26"/>
  <c r="BR120" i="26"/>
  <c r="DB158" i="26"/>
  <c r="CH158" i="26"/>
  <c r="BR111" i="26"/>
  <c r="CB158" i="26"/>
  <c r="CF158" i="26"/>
  <c r="BR102" i="26"/>
  <c r="CD111" i="26"/>
  <c r="DN158" i="26"/>
  <c r="DH158" i="26"/>
  <c r="DX158" i="26"/>
  <c r="ED158" i="26"/>
  <c r="EF158" i="26"/>
  <c r="EH158" i="26"/>
  <c r="EB158" i="26"/>
  <c r="ET158" i="26"/>
  <c r="EX158" i="26"/>
  <c r="FD158" i="26"/>
  <c r="EZ158" i="26"/>
  <c r="FH158" i="26"/>
  <c r="FL158" i="26"/>
  <c r="FR158" i="26"/>
  <c r="FV158" i="26"/>
  <c r="FZ158" i="26"/>
  <c r="GD158" i="26"/>
  <c r="GH158" i="26"/>
  <c r="GL158" i="26"/>
  <c r="GP158" i="26"/>
  <c r="BT90" i="26"/>
  <c r="BR93" i="26"/>
  <c r="DF111" i="26"/>
  <c r="DH111" i="26"/>
  <c r="DD111" i="26"/>
  <c r="DN111" i="26"/>
  <c r="DX111" i="26"/>
  <c r="DZ111" i="26"/>
  <c r="CF111" i="26"/>
  <c r="CN111" i="26"/>
  <c r="CP111" i="26"/>
  <c r="CT111" i="26"/>
  <c r="BR158" i="26"/>
  <c r="CJ158" i="26"/>
  <c r="CD158" i="26"/>
  <c r="BZ158" i="26"/>
  <c r="CR158" i="26"/>
  <c r="BT158" i="26"/>
  <c r="CX111" i="26"/>
  <c r="CJ111" i="26"/>
  <c r="CL111" i="26"/>
  <c r="DD158" i="26"/>
  <c r="DV158" i="26"/>
  <c r="DL158" i="26"/>
  <c r="DJ111" i="26"/>
  <c r="ED111" i="26"/>
  <c r="EF111" i="26"/>
  <c r="EH111" i="26"/>
  <c r="ER111" i="26"/>
  <c r="ET111" i="26"/>
  <c r="EV111" i="26"/>
  <c r="EX111" i="26"/>
  <c r="FJ111" i="26"/>
  <c r="FN111" i="26"/>
  <c r="FR111" i="26"/>
  <c r="FV111" i="26"/>
  <c r="GD111" i="26"/>
  <c r="FZ111" i="26"/>
  <c r="GJ111" i="26"/>
  <c r="GF111" i="26"/>
  <c r="GR111" i="26"/>
  <c r="GN111" i="26"/>
  <c r="P51" i="26"/>
  <c r="R51" i="26" s="1"/>
  <c r="DR66" i="26"/>
  <c r="L65" i="26"/>
  <c r="AJ65" i="26"/>
  <c r="BH65" i="26"/>
  <c r="Z66" i="26"/>
  <c r="AX66" i="26"/>
  <c r="N65" i="26"/>
  <c r="AL65" i="26"/>
  <c r="BJ65" i="26"/>
  <c r="AB66" i="26"/>
  <c r="AZ66" i="26"/>
  <c r="P65" i="26"/>
  <c r="AN65" i="26"/>
  <c r="BL65" i="26"/>
  <c r="AD66" i="26"/>
  <c r="BB66" i="26"/>
  <c r="R65" i="26"/>
  <c r="AP65" i="26"/>
  <c r="BN65" i="26"/>
  <c r="AF66" i="26"/>
  <c r="BD66" i="26"/>
  <c r="T65" i="26"/>
  <c r="AR65" i="26"/>
  <c r="BP65" i="26"/>
  <c r="AH66" i="26"/>
  <c r="BF66" i="26"/>
  <c r="V65" i="26"/>
  <c r="AT65" i="26"/>
  <c r="L66" i="26"/>
  <c r="AJ66" i="26"/>
  <c r="BH66" i="26"/>
  <c r="X65" i="26"/>
  <c r="AV65" i="26"/>
  <c r="N66" i="26"/>
  <c r="AL66" i="26"/>
  <c r="BJ66" i="26"/>
  <c r="Z65" i="26"/>
  <c r="AX65" i="26"/>
  <c r="P66" i="26"/>
  <c r="AN66" i="26"/>
  <c r="BL66" i="26"/>
  <c r="AB65" i="26"/>
  <c r="AZ65" i="26"/>
  <c r="R66" i="26"/>
  <c r="AP66" i="26"/>
  <c r="BN66" i="26"/>
  <c r="AD65" i="26"/>
  <c r="BB65" i="26"/>
  <c r="T66" i="26"/>
  <c r="AR66" i="26"/>
  <c r="BP66" i="26"/>
  <c r="AH65" i="26"/>
  <c r="BF65" i="26"/>
  <c r="X66" i="26"/>
  <c r="AV66" i="26"/>
  <c r="AF65" i="26"/>
  <c r="BD65" i="26"/>
  <c r="V66" i="26"/>
  <c r="AT66" i="26"/>
  <c r="DJ44" i="26"/>
  <c r="DH46" i="26"/>
  <c r="DH128" i="26"/>
  <c r="DF131" i="26"/>
  <c r="DD131" i="26"/>
  <c r="DD140" i="26"/>
  <c r="DH137" i="26"/>
  <c r="DF140" i="26"/>
  <c r="DJ65" i="26"/>
  <c r="DL62" i="26"/>
  <c r="DN62" i="26" s="1"/>
  <c r="DP62" i="26" s="1"/>
  <c r="DR62" i="26" s="1"/>
  <c r="EB24" i="26"/>
  <c r="DD66" i="26"/>
  <c r="DN66" i="26"/>
  <c r="DV66" i="26"/>
  <c r="DT66" i="26"/>
  <c r="DD65" i="26"/>
  <c r="DL66" i="26"/>
  <c r="DF66" i="26"/>
  <c r="DX66" i="26"/>
  <c r="DP66" i="26"/>
  <c r="DH66" i="26"/>
  <c r="DF65" i="26"/>
  <c r="DH65" i="26"/>
  <c r="DJ66" i="26"/>
  <c r="DV34" i="26"/>
  <c r="DT36" i="26"/>
  <c r="DZ66" i="26"/>
  <c r="EB64" i="26"/>
  <c r="BV132" i="26"/>
  <c r="DB132" i="26"/>
  <c r="CL131" i="26"/>
  <c r="BR131" i="26"/>
  <c r="BZ132" i="26"/>
  <c r="CX131" i="26"/>
  <c r="CN132" i="26"/>
  <c r="CX132" i="26"/>
  <c r="BV131" i="26"/>
  <c r="CF131" i="26"/>
  <c r="CV131" i="26"/>
  <c r="CL132" i="26"/>
  <c r="CZ132" i="26"/>
  <c r="BX131" i="26"/>
  <c r="CN131" i="26"/>
  <c r="CF132" i="26"/>
  <c r="CT132" i="26"/>
  <c r="DB131" i="26"/>
  <c r="CD131" i="26"/>
  <c r="CV132" i="26"/>
  <c r="CH132" i="26"/>
  <c r="CT131" i="26"/>
  <c r="CD132" i="26"/>
  <c r="CP131" i="26"/>
  <c r="BX132" i="26"/>
  <c r="CH131" i="26"/>
  <c r="BZ131" i="26"/>
  <c r="CP132" i="26"/>
  <c r="BR132" i="26"/>
  <c r="CB131" i="26"/>
  <c r="CB132" i="26"/>
  <c r="CJ131" i="26"/>
  <c r="CJ132" i="26"/>
  <c r="CR131" i="26"/>
  <c r="CR132" i="26"/>
  <c r="BT131" i="26"/>
  <c r="CZ131" i="26"/>
  <c r="BT132" i="26"/>
  <c r="BT46" i="26"/>
  <c r="CJ46" i="26"/>
  <c r="CB46" i="26"/>
  <c r="BT45" i="26"/>
  <c r="CX46" i="26"/>
  <c r="BR46" i="26"/>
  <c r="CV46" i="26"/>
  <c r="BV46" i="26"/>
  <c r="CP46" i="26"/>
  <c r="CN46" i="26"/>
  <c r="CT46" i="26"/>
  <c r="CR46" i="26"/>
  <c r="BZ46" i="26"/>
  <c r="BX46" i="26"/>
  <c r="CD46" i="26"/>
  <c r="CF46" i="26"/>
  <c r="CH46" i="26"/>
  <c r="CL46" i="26"/>
  <c r="CJ85" i="26"/>
  <c r="CB85" i="26"/>
  <c r="CH85" i="26"/>
  <c r="CF85" i="26"/>
  <c r="CL85" i="26"/>
  <c r="BZ85" i="26"/>
  <c r="BX85" i="26"/>
  <c r="CD85" i="26"/>
  <c r="CX85" i="26"/>
  <c r="BR85" i="26"/>
  <c r="CV85" i="26"/>
  <c r="DB85" i="26"/>
  <c r="BV85" i="26"/>
  <c r="BT85" i="26"/>
  <c r="CP85" i="26"/>
  <c r="CN85" i="26"/>
  <c r="CT85" i="26"/>
  <c r="CR85" i="26"/>
  <c r="CZ85" i="26"/>
  <c r="CB141" i="26"/>
  <c r="CR140" i="26"/>
  <c r="CN141" i="26"/>
  <c r="BX140" i="26"/>
  <c r="BT140" i="26"/>
  <c r="CV140" i="26"/>
  <c r="CZ140" i="26"/>
  <c r="CR141" i="26"/>
  <c r="CN140" i="26"/>
  <c r="CX141" i="26"/>
  <c r="CF140" i="26"/>
  <c r="CV141" i="26"/>
  <c r="CZ141" i="26"/>
  <c r="CJ140" i="26"/>
  <c r="BX141" i="26"/>
  <c r="CF141" i="26"/>
  <c r="CJ141" i="26"/>
  <c r="CB140" i="26"/>
  <c r="BT141" i="26"/>
  <c r="CL140" i="26"/>
  <c r="CL141" i="26"/>
  <c r="CP140" i="26"/>
  <c r="CP141" i="26"/>
  <c r="CT140" i="26"/>
  <c r="CT141" i="26"/>
  <c r="BR140" i="26"/>
  <c r="CX140" i="26"/>
  <c r="BR141" i="26"/>
  <c r="BV140" i="26"/>
  <c r="DB140" i="26"/>
  <c r="BV141" i="26"/>
  <c r="DB141" i="26"/>
  <c r="BZ140" i="26"/>
  <c r="BZ141" i="26"/>
  <c r="CD140" i="26"/>
  <c r="CD141" i="26"/>
  <c r="CH140" i="26"/>
  <c r="CH141" i="26"/>
  <c r="CF75" i="26"/>
  <c r="CH75" i="26"/>
  <c r="CB74" i="26"/>
  <c r="CB75" i="26"/>
  <c r="CL75" i="26"/>
  <c r="DB75" i="26"/>
  <c r="CX75" i="26"/>
  <c r="CR75" i="26"/>
  <c r="BV74" i="26"/>
  <c r="BV75" i="26"/>
  <c r="CV75" i="26"/>
  <c r="CP75" i="26"/>
  <c r="CJ75" i="26"/>
  <c r="CT75" i="26"/>
  <c r="BX74" i="26"/>
  <c r="CN75" i="26"/>
  <c r="BR74" i="26"/>
  <c r="BR75" i="26"/>
  <c r="BT75" i="26"/>
  <c r="CD75" i="26"/>
  <c r="BZ74" i="26"/>
  <c r="BT74" i="26"/>
  <c r="CZ75" i="26"/>
  <c r="BZ75" i="26"/>
  <c r="BX75" i="26"/>
  <c r="N16" i="58"/>
  <c r="BT102" i="26" l="1"/>
  <c r="CF119" i="26"/>
  <c r="CD121" i="26"/>
  <c r="GX155" i="26"/>
  <c r="GV158" i="26"/>
  <c r="GV111" i="26"/>
  <c r="GX108" i="26"/>
  <c r="BX42" i="26"/>
  <c r="CZ92" i="26"/>
  <c r="CX94" i="26"/>
  <c r="CN74" i="26"/>
  <c r="CD74" i="26"/>
  <c r="CL74" i="26"/>
  <c r="CT74" i="26"/>
  <c r="CZ74" i="26"/>
  <c r="CJ74" i="26"/>
  <c r="CR74" i="26"/>
  <c r="CH74" i="26"/>
  <c r="DB74" i="26"/>
  <c r="CF74" i="26"/>
  <c r="CP74" i="26"/>
  <c r="CV74" i="26"/>
  <c r="DF71" i="26"/>
  <c r="DH71" i="26" s="1"/>
  <c r="DH74" i="26" s="1"/>
  <c r="CX74" i="26"/>
  <c r="CA7" i="26"/>
  <c r="CB7" i="26" s="1"/>
  <c r="FB6" i="26"/>
  <c r="FD6" i="26" s="1"/>
  <c r="FF6" i="26" s="1"/>
  <c r="FH6" i="26" s="1"/>
  <c r="FJ6" i="26" s="1"/>
  <c r="P54" i="26"/>
  <c r="BV117" i="26"/>
  <c r="BX117" i="26" s="1"/>
  <c r="BX120" i="26" s="1"/>
  <c r="BT120" i="26"/>
  <c r="BV90" i="26"/>
  <c r="BT93" i="26"/>
  <c r="BV146" i="26"/>
  <c r="BT149" i="26"/>
  <c r="T51" i="26"/>
  <c r="R54" i="26"/>
  <c r="DJ46" i="26"/>
  <c r="DL44" i="26"/>
  <c r="DJ137" i="26"/>
  <c r="DH140" i="26"/>
  <c r="DJ128" i="26"/>
  <c r="DH131" i="26"/>
  <c r="DL65" i="26"/>
  <c r="DR65" i="26"/>
  <c r="DT62" i="26"/>
  <c r="EB66" i="26"/>
  <c r="ED64" i="26"/>
  <c r="DP65" i="26"/>
  <c r="DN65" i="26"/>
  <c r="ED24" i="26"/>
  <c r="EF24" i="26" s="1"/>
  <c r="EH24" i="26" s="1"/>
  <c r="DX34" i="26"/>
  <c r="DV36" i="26"/>
  <c r="J16" i="58"/>
  <c r="AX9" i="58"/>
  <c r="F16" i="58"/>
  <c r="AY6" i="58"/>
  <c r="AY12" i="58"/>
  <c r="R16" i="58"/>
  <c r="AX10" i="58"/>
  <c r="BV98" i="26" l="1"/>
  <c r="BV99" i="26" s="1"/>
  <c r="CH119" i="26"/>
  <c r="CF121" i="26"/>
  <c r="GZ155" i="26"/>
  <c r="GX158" i="26"/>
  <c r="GZ108" i="26"/>
  <c r="GX111" i="26"/>
  <c r="BZ42" i="26"/>
  <c r="BX45" i="26"/>
  <c r="J47" i="167"/>
  <c r="DB92" i="26"/>
  <c r="CZ94" i="26"/>
  <c r="E19" i="26"/>
  <c r="DF74" i="26"/>
  <c r="FL6" i="26"/>
  <c r="FN6" i="26" s="1"/>
  <c r="FP6" i="26" s="1"/>
  <c r="FR6" i="26" s="1"/>
  <c r="CC7" i="26"/>
  <c r="CD7" i="26" s="1"/>
  <c r="CE7" i="26" s="1"/>
  <c r="BX146" i="26"/>
  <c r="BV149" i="26"/>
  <c r="BX90" i="26"/>
  <c r="BV93" i="26"/>
  <c r="BV120" i="26"/>
  <c r="V51" i="26"/>
  <c r="T54" i="26"/>
  <c r="DN44" i="26"/>
  <c r="DL46" i="26"/>
  <c r="DL128" i="26"/>
  <c r="DJ131" i="26"/>
  <c r="DJ71" i="26"/>
  <c r="DL137" i="26"/>
  <c r="DJ140" i="26"/>
  <c r="EF64" i="26"/>
  <c r="ED66" i="26"/>
  <c r="EJ24" i="26"/>
  <c r="DV62" i="26"/>
  <c r="DT65" i="26"/>
  <c r="DZ34" i="26"/>
  <c r="DX36" i="26"/>
  <c r="CP66" i="26"/>
  <c r="DB66" i="26"/>
  <c r="BZ65" i="26"/>
  <c r="CF66" i="26"/>
  <c r="BT65" i="26"/>
  <c r="CR66" i="26"/>
  <c r="CZ65" i="26"/>
  <c r="CD66" i="26"/>
  <c r="CH65" i="26"/>
  <c r="CX65" i="26"/>
  <c r="CN65" i="26"/>
  <c r="CT66" i="26"/>
  <c r="BR65" i="26"/>
  <c r="CJ66" i="26"/>
  <c r="CR65" i="26"/>
  <c r="CF65" i="26"/>
  <c r="BT66" i="26"/>
  <c r="BZ66" i="26"/>
  <c r="DB65" i="26"/>
  <c r="BR66" i="26"/>
  <c r="CP65" i="26"/>
  <c r="BV65" i="26"/>
  <c r="CZ66" i="26"/>
  <c r="CV65" i="26"/>
  <c r="CB66" i="26"/>
  <c r="CJ65" i="26"/>
  <c r="CV66" i="26"/>
  <c r="BX66" i="26"/>
  <c r="CT65" i="26"/>
  <c r="BV66" i="26"/>
  <c r="CL66" i="26"/>
  <c r="CH66" i="26"/>
  <c r="CD65" i="26"/>
  <c r="CL65" i="26"/>
  <c r="CX66" i="26"/>
  <c r="CB65" i="26"/>
  <c r="CN66" i="26"/>
  <c r="BX65" i="26"/>
  <c r="H16" i="58"/>
  <c r="AZ9" i="58"/>
  <c r="L16" i="58"/>
  <c r="AZ7" i="58"/>
  <c r="AY10" i="58"/>
  <c r="BX99" i="26" l="1"/>
  <c r="BV102" i="26"/>
  <c r="BZ99" i="26"/>
  <c r="BX102" i="26"/>
  <c r="CJ119" i="26"/>
  <c r="CH121" i="26"/>
  <c r="HB155" i="26"/>
  <c r="GZ158" i="26"/>
  <c r="L16" i="26"/>
  <c r="T17" i="26"/>
  <c r="P16" i="26"/>
  <c r="T16" i="26"/>
  <c r="N17" i="26"/>
  <c r="P17" i="26"/>
  <c r="L17" i="26"/>
  <c r="R17" i="26"/>
  <c r="N16" i="26"/>
  <c r="V17" i="26"/>
  <c r="R16" i="26"/>
  <c r="V16" i="26"/>
  <c r="X17" i="26"/>
  <c r="X16" i="26"/>
  <c r="Z17" i="26"/>
  <c r="Z16" i="26"/>
  <c r="AP26" i="26"/>
  <c r="HB108" i="26"/>
  <c r="HB111" i="26" s="1"/>
  <c r="GZ111" i="26"/>
  <c r="CB42" i="26"/>
  <c r="BZ45" i="26"/>
  <c r="CF7" i="26"/>
  <c r="CG7" i="26" s="1"/>
  <c r="CH7" i="26" s="1"/>
  <c r="M48" i="166"/>
  <c r="J61" i="167"/>
  <c r="L40" i="167"/>
  <c r="L16" i="167"/>
  <c r="DD92" i="26"/>
  <c r="DB94" i="26"/>
  <c r="EB26" i="26"/>
  <c r="DX26" i="26"/>
  <c r="AD26" i="26"/>
  <c r="L25" i="26"/>
  <c r="ED26" i="26"/>
  <c r="AN25" i="26"/>
  <c r="BN25" i="26"/>
  <c r="AJ26" i="26"/>
  <c r="BJ25" i="26"/>
  <c r="AV26" i="26"/>
  <c r="AD25" i="26"/>
  <c r="DZ26" i="26"/>
  <c r="DF26" i="26"/>
  <c r="BH26" i="26"/>
  <c r="BJ26" i="26"/>
  <c r="P25" i="26"/>
  <c r="AT25" i="26"/>
  <c r="AL25" i="26"/>
  <c r="BF25" i="26"/>
  <c r="BN26" i="26"/>
  <c r="BD26" i="26"/>
  <c r="AB26" i="26"/>
  <c r="DR26" i="26"/>
  <c r="DV26" i="26"/>
  <c r="P26" i="26"/>
  <c r="N26" i="26"/>
  <c r="BB26" i="26"/>
  <c r="AH26" i="26"/>
  <c r="N25" i="26"/>
  <c r="AH25" i="26"/>
  <c r="R26" i="26"/>
  <c r="DJ26" i="26"/>
  <c r="DD26" i="26"/>
  <c r="L26" i="26"/>
  <c r="V25" i="26"/>
  <c r="BL25" i="26"/>
  <c r="AR25" i="26"/>
  <c r="AX26" i="26"/>
  <c r="AT26" i="26"/>
  <c r="AZ25" i="26"/>
  <c r="EH26" i="26"/>
  <c r="DP26" i="26"/>
  <c r="DN26" i="26"/>
  <c r="X25" i="26"/>
  <c r="BF26" i="26"/>
  <c r="AN26" i="26"/>
  <c r="AF26" i="26"/>
  <c r="Z26" i="26"/>
  <c r="V26" i="26"/>
  <c r="AB25" i="26"/>
  <c r="DH26" i="26"/>
  <c r="DT26" i="26"/>
  <c r="T25" i="26"/>
  <c r="BP25" i="26"/>
  <c r="AX25" i="26"/>
  <c r="AP25" i="26"/>
  <c r="BH25" i="26"/>
  <c r="AF25" i="26"/>
  <c r="AV25" i="26"/>
  <c r="BB25" i="26"/>
  <c r="EF26" i="26"/>
  <c r="DL26" i="26"/>
  <c r="BL26" i="26"/>
  <c r="R25" i="26"/>
  <c r="AL26" i="26"/>
  <c r="AZ26" i="26"/>
  <c r="AJ25" i="26"/>
  <c r="BP26" i="26"/>
  <c r="AR26" i="26"/>
  <c r="Z25" i="26"/>
  <c r="X26" i="26"/>
  <c r="T26" i="26"/>
  <c r="BD25" i="26"/>
  <c r="FT6" i="26"/>
  <c r="FV6" i="26" s="1"/>
  <c r="FX6" i="26" s="1"/>
  <c r="FZ6" i="26" s="1"/>
  <c r="GB6" i="26" s="1"/>
  <c r="BZ117" i="26"/>
  <c r="BZ90" i="26"/>
  <c r="BX93" i="26"/>
  <c r="BZ146" i="26"/>
  <c r="BX149" i="26"/>
  <c r="X51" i="26"/>
  <c r="V54" i="26"/>
  <c r="DP44" i="26"/>
  <c r="DN46" i="26"/>
  <c r="DN128" i="26"/>
  <c r="DL131" i="26"/>
  <c r="DN137" i="26"/>
  <c r="DL140" i="26"/>
  <c r="DL71" i="26"/>
  <c r="DJ74" i="26"/>
  <c r="EJ26" i="26"/>
  <c r="EL24" i="26"/>
  <c r="EH64" i="26"/>
  <c r="EF66" i="26"/>
  <c r="DZ36" i="26"/>
  <c r="EB34" i="26"/>
  <c r="DX62" i="26"/>
  <c r="DV65" i="26"/>
  <c r="BZ26" i="26"/>
  <c r="CZ26" i="26"/>
  <c r="CT26" i="26"/>
  <c r="DB26" i="26"/>
  <c r="CF26" i="26"/>
  <c r="BV26" i="26"/>
  <c r="CD26" i="26"/>
  <c r="CL26" i="26"/>
  <c r="CV26" i="26"/>
  <c r="CN26" i="26"/>
  <c r="CP26" i="26"/>
  <c r="CH26" i="26"/>
  <c r="BX26" i="26"/>
  <c r="CR26" i="26"/>
  <c r="BT26" i="26"/>
  <c r="BR26" i="26"/>
  <c r="CB26" i="26"/>
  <c r="CX26" i="26"/>
  <c r="CJ26" i="26"/>
  <c r="AZ16" i="58"/>
  <c r="BA7" i="58"/>
  <c r="Z16" i="58"/>
  <c r="AX12" i="58"/>
  <c r="AY9" i="58"/>
  <c r="CB99" i="26" l="1"/>
  <c r="BZ102" i="26"/>
  <c r="CI7" i="26"/>
  <c r="CL119" i="26"/>
  <c r="CJ121" i="26"/>
  <c r="HD155" i="26"/>
  <c r="HB158" i="26"/>
  <c r="HD108" i="26"/>
  <c r="CB45" i="26"/>
  <c r="CD42" i="26"/>
  <c r="M13" i="22"/>
  <c r="W13" i="22" s="1"/>
  <c r="W10" i="22" s="1"/>
  <c r="H39" i="107"/>
  <c r="G39" i="107" s="1"/>
  <c r="J63" i="167"/>
  <c r="J65" i="167" s="1"/>
  <c r="DF92" i="26"/>
  <c r="DD94" i="26"/>
  <c r="GD6" i="26"/>
  <c r="GF6" i="26" s="1"/>
  <c r="GH6" i="26" s="1"/>
  <c r="GJ6" i="26" s="1"/>
  <c r="CB146" i="26"/>
  <c r="BZ149" i="26"/>
  <c r="CB90" i="26"/>
  <c r="BZ93" i="26"/>
  <c r="CB117" i="26"/>
  <c r="BZ120" i="26"/>
  <c r="Z51" i="26"/>
  <c r="X54" i="26"/>
  <c r="DR44" i="26"/>
  <c r="DP46" i="26"/>
  <c r="DN71" i="26"/>
  <c r="DL74" i="26"/>
  <c r="DP137" i="26"/>
  <c r="DN140" i="26"/>
  <c r="DP128" i="26"/>
  <c r="DN131" i="26"/>
  <c r="DZ62" i="26"/>
  <c r="DX65" i="26"/>
  <c r="EH66" i="26"/>
  <c r="EJ64" i="26"/>
  <c r="EB36" i="26"/>
  <c r="ED34" i="26"/>
  <c r="EN24" i="26"/>
  <c r="EL26" i="26"/>
  <c r="W16" i="58"/>
  <c r="BA9" i="58"/>
  <c r="V16" i="58"/>
  <c r="AX7" i="58"/>
  <c r="AX16" i="58" s="1"/>
  <c r="CD99" i="26" l="1"/>
  <c r="CB102" i="26"/>
  <c r="CJ7" i="26"/>
  <c r="CK7" i="26" s="1"/>
  <c r="CL7" i="26" s="1"/>
  <c r="CM7" i="26"/>
  <c r="CN7" i="26" s="1"/>
  <c r="CO7" i="26" s="1"/>
  <c r="CN119" i="26"/>
  <c r="CL121" i="26"/>
  <c r="HF155" i="26"/>
  <c r="HD158" i="26"/>
  <c r="HD111" i="26"/>
  <c r="HF108" i="26"/>
  <c r="CF42" i="26"/>
  <c r="CD45" i="26"/>
  <c r="R13" i="22"/>
  <c r="R10" i="22" s="1"/>
  <c r="DH92" i="26"/>
  <c r="DF94" i="26"/>
  <c r="GL6" i="26"/>
  <c r="GN6" i="26" s="1"/>
  <c r="GP6" i="26" s="1"/>
  <c r="GR6" i="26" s="1"/>
  <c r="GT6" i="26" s="1"/>
  <c r="GV6" i="26" s="1"/>
  <c r="GX6" i="26" s="1"/>
  <c r="GZ6" i="26" s="1"/>
  <c r="HB6" i="26" s="1"/>
  <c r="HD6" i="26" s="1"/>
  <c r="HF6" i="26" s="1"/>
  <c r="HH6" i="26" s="1"/>
  <c r="HJ6" i="26" s="1"/>
  <c r="CD117" i="26"/>
  <c r="CB120" i="26"/>
  <c r="CD146" i="26"/>
  <c r="CB149" i="26"/>
  <c r="CD90" i="26"/>
  <c r="CB93" i="26"/>
  <c r="AB51" i="26"/>
  <c r="Z54" i="26"/>
  <c r="DT44" i="26"/>
  <c r="DR46" i="26"/>
  <c r="DP71" i="26"/>
  <c r="DN74" i="26"/>
  <c r="DR128" i="26"/>
  <c r="DP131" i="26"/>
  <c r="DR137" i="26"/>
  <c r="DP140" i="26"/>
  <c r="EF34" i="26"/>
  <c r="ED36" i="26"/>
  <c r="DZ65" i="26"/>
  <c r="EB62" i="26"/>
  <c r="EJ66" i="26"/>
  <c r="EL64" i="26"/>
  <c r="EP24" i="26"/>
  <c r="EN26" i="26"/>
  <c r="AY15" i="58"/>
  <c r="V17" i="58"/>
  <c r="V22" i="58" s="1"/>
  <c r="V23" i="58" s="1"/>
  <c r="V24" i="58" s="1"/>
  <c r="M16" i="58"/>
  <c r="L17" i="58" s="1"/>
  <c r="L22" i="58" s="1"/>
  <c r="L23" i="58" s="1"/>
  <c r="K16" i="58"/>
  <c r="J17" i="58" s="1"/>
  <c r="J22" i="58" s="1"/>
  <c r="J23" i="58" s="1"/>
  <c r="C16" i="58"/>
  <c r="B17" i="58" s="1"/>
  <c r="B22" i="58" s="1"/>
  <c r="B23" i="58" s="1"/>
  <c r="I16" i="58"/>
  <c r="H17" i="58" s="1"/>
  <c r="H22" i="58" s="1"/>
  <c r="H23" i="58" s="1"/>
  <c r="G16" i="58"/>
  <c r="F17" i="58" s="1"/>
  <c r="F22" i="58" s="1"/>
  <c r="F23" i="58" s="1"/>
  <c r="S16" i="58"/>
  <c r="R17" i="58" s="1"/>
  <c r="R22" i="58" s="1"/>
  <c r="CF99" i="26" l="1"/>
  <c r="CD102" i="26"/>
  <c r="J100" i="155"/>
  <c r="Q100" i="155" s="1"/>
  <c r="T66" i="135"/>
  <c r="AB65" i="135"/>
  <c r="X65" i="135"/>
  <c r="H66" i="135"/>
  <c r="AL65" i="135"/>
  <c r="AG65" i="135"/>
  <c r="W56" i="135"/>
  <c r="W55" i="135"/>
  <c r="W54" i="135"/>
  <c r="W57" i="135"/>
  <c r="Y65" i="135"/>
  <c r="AC65" i="135"/>
  <c r="AM65" i="135"/>
  <c r="AH65" i="135"/>
  <c r="W65" i="135"/>
  <c r="J101" i="155"/>
  <c r="Q101" i="155" s="1"/>
  <c r="Q103" i="155" s="1"/>
  <c r="D10" i="95"/>
  <c r="T96" i="135"/>
  <c r="H33" i="22" s="1"/>
  <c r="W85" i="135"/>
  <c r="H96" i="135"/>
  <c r="W95" i="135"/>
  <c r="W80" i="135"/>
  <c r="W84" i="135"/>
  <c r="W79" i="135"/>
  <c r="W81" i="135"/>
  <c r="W83" i="135"/>
  <c r="W82" i="135"/>
  <c r="W86" i="135"/>
  <c r="CP119" i="26"/>
  <c r="CN121" i="26"/>
  <c r="HH155" i="26"/>
  <c r="HF158" i="26"/>
  <c r="HF111" i="26"/>
  <c r="HH108" i="26"/>
  <c r="CH42" i="26"/>
  <c r="CF45" i="26"/>
  <c r="CP7" i="26"/>
  <c r="CQ7" i="26" s="1"/>
  <c r="CR7" i="26" s="1"/>
  <c r="L49" i="166"/>
  <c r="DJ92" i="26"/>
  <c r="DH94" i="26"/>
  <c r="CF90" i="26"/>
  <c r="CD93" i="26"/>
  <c r="CF117" i="26"/>
  <c r="CD120" i="26"/>
  <c r="CF146" i="26"/>
  <c r="CD149" i="26"/>
  <c r="AD51" i="26"/>
  <c r="AB54" i="26"/>
  <c r="DV44" i="26"/>
  <c r="DT46" i="26"/>
  <c r="DT128" i="26"/>
  <c r="DR131" i="26"/>
  <c r="DT137" i="26"/>
  <c r="DR140" i="26"/>
  <c r="DR71" i="26"/>
  <c r="DP74" i="26"/>
  <c r="EL66" i="26"/>
  <c r="EN64" i="26"/>
  <c r="ED62" i="26"/>
  <c r="EB65" i="26"/>
  <c r="EP26" i="26"/>
  <c r="ER24" i="26"/>
  <c r="EH34" i="26"/>
  <c r="EF36" i="26"/>
  <c r="F24" i="58"/>
  <c r="J24" i="58"/>
  <c r="BA15" i="58"/>
  <c r="BA16" i="58" s="1"/>
  <c r="AZ17" i="58" s="1"/>
  <c r="E16" i="58"/>
  <c r="D17" i="58" s="1"/>
  <c r="D22" i="58" s="1"/>
  <c r="AA16" i="58"/>
  <c r="Z17" i="58" s="1"/>
  <c r="Z22" i="58" s="1"/>
  <c r="Z23" i="58" s="1"/>
  <c r="Z24" i="58" s="1"/>
  <c r="AY7" i="58"/>
  <c r="AY16" i="58" s="1"/>
  <c r="AX17" i="58" s="1"/>
  <c r="R23" i="58"/>
  <c r="R24" i="58" s="1"/>
  <c r="CH99" i="26" l="1"/>
  <c r="CF102" i="26"/>
  <c r="M24" i="22"/>
  <c r="W24" i="22" s="1"/>
  <c r="R24" i="22"/>
  <c r="R33" i="22"/>
  <c r="M33" i="22"/>
  <c r="CR119" i="26"/>
  <c r="CP121" i="26"/>
  <c r="HJ155" i="26"/>
  <c r="HJ158" i="26" s="1"/>
  <c r="HH158" i="26"/>
  <c r="HJ108" i="26"/>
  <c r="HJ111" i="26" s="1"/>
  <c r="HH111" i="26"/>
  <c r="CJ42" i="26"/>
  <c r="CH45" i="26"/>
  <c r="C57" i="166"/>
  <c r="H40" i="107"/>
  <c r="G40" i="107" s="1"/>
  <c r="H75" i="107"/>
  <c r="G75" i="107" s="1"/>
  <c r="DL92" i="26"/>
  <c r="DJ94" i="26"/>
  <c r="H74" i="107"/>
  <c r="G74" i="107" s="1"/>
  <c r="CS7" i="26"/>
  <c r="M42" i="166" s="1"/>
  <c r="CH146" i="26"/>
  <c r="CF149" i="26"/>
  <c r="CH117" i="26"/>
  <c r="CF120" i="26"/>
  <c r="CH90" i="26"/>
  <c r="CF93" i="26"/>
  <c r="AF51" i="26"/>
  <c r="AD54" i="26"/>
  <c r="DX44" i="26"/>
  <c r="DV46" i="26"/>
  <c r="DV128" i="26"/>
  <c r="DT131" i="26"/>
  <c r="DT71" i="26"/>
  <c r="DR74" i="26"/>
  <c r="DV137" i="26"/>
  <c r="DT140" i="26"/>
  <c r="ET24" i="26"/>
  <c r="ER26" i="26"/>
  <c r="EP64" i="26"/>
  <c r="EN66" i="26"/>
  <c r="EH36" i="26"/>
  <c r="EJ34" i="26"/>
  <c r="EF62" i="26"/>
  <c r="ED65" i="26"/>
  <c r="D23" i="58"/>
  <c r="B24" i="58" s="1"/>
  <c r="AZ22" i="58"/>
  <c r="AZ23" i="58" s="1"/>
  <c r="CJ99" i="26" l="1"/>
  <c r="CH102" i="26"/>
  <c r="R23" i="22"/>
  <c r="W33" i="22"/>
  <c r="W23" i="22" s="1"/>
  <c r="CT119" i="26"/>
  <c r="CR121" i="26"/>
  <c r="CL42" i="26"/>
  <c r="CJ45" i="26"/>
  <c r="CT7" i="26"/>
  <c r="DN92" i="26"/>
  <c r="DL94" i="26"/>
  <c r="CJ146" i="26"/>
  <c r="CH149" i="26"/>
  <c r="CJ90" i="26"/>
  <c r="CH93" i="26"/>
  <c r="CJ117" i="26"/>
  <c r="CL116" i="26" s="1"/>
  <c r="CH120" i="26"/>
  <c r="AH51" i="26"/>
  <c r="AF54" i="26"/>
  <c r="DZ44" i="26"/>
  <c r="DX46" i="26"/>
  <c r="DV71" i="26"/>
  <c r="DT74" i="26"/>
  <c r="DX137" i="26"/>
  <c r="DV140" i="26"/>
  <c r="DX128" i="26"/>
  <c r="DV131" i="26"/>
  <c r="EH62" i="26"/>
  <c r="EF65" i="26"/>
  <c r="EP66" i="26"/>
  <c r="ER64" i="26"/>
  <c r="EV24" i="26"/>
  <c r="ET26" i="26"/>
  <c r="EJ36" i="26"/>
  <c r="EL34" i="26"/>
  <c r="O16" i="58"/>
  <c r="N17" i="58" s="1"/>
  <c r="N22" i="58" s="1"/>
  <c r="CL99" i="26" l="1"/>
  <c r="CJ102" i="26"/>
  <c r="CU7" i="26"/>
  <c r="CV7" i="26" s="1"/>
  <c r="CV119" i="26"/>
  <c r="CT121" i="26"/>
  <c r="CN42" i="26"/>
  <c r="CL45" i="26"/>
  <c r="CW7" i="26"/>
  <c r="CX7" i="26" s="1"/>
  <c r="CY7" i="26" s="1"/>
  <c r="CZ7" i="26" s="1"/>
  <c r="DA7" i="26" s="1"/>
  <c r="DB7" i="26" s="1"/>
  <c r="DP92" i="26"/>
  <c r="DN94" i="26"/>
  <c r="CL117" i="26"/>
  <c r="CJ120" i="26"/>
  <c r="CL90" i="26"/>
  <c r="CJ93" i="26"/>
  <c r="CL146" i="26"/>
  <c r="CJ149" i="26"/>
  <c r="AJ51" i="26"/>
  <c r="AL51" i="26" s="1"/>
  <c r="AL54" i="26" s="1"/>
  <c r="AH54" i="26"/>
  <c r="DZ46" i="26"/>
  <c r="EB44" i="26"/>
  <c r="DZ128" i="26"/>
  <c r="DX131" i="26"/>
  <c r="DX71" i="26"/>
  <c r="DV74" i="26"/>
  <c r="DZ137" i="26"/>
  <c r="DX140" i="26"/>
  <c r="EX24" i="26"/>
  <c r="EV26" i="26"/>
  <c r="EH65" i="26"/>
  <c r="EJ62" i="26"/>
  <c r="EN34" i="26"/>
  <c r="EL36" i="26"/>
  <c r="ET64" i="26"/>
  <c r="ER66" i="26"/>
  <c r="N23" i="58"/>
  <c r="N24" i="58" s="1"/>
  <c r="AX22" i="58"/>
  <c r="AX23" i="58" s="1"/>
  <c r="AX24" i="58" s="1"/>
  <c r="CN99" i="26" l="1"/>
  <c r="CL102" i="26"/>
  <c r="DC7" i="26"/>
  <c r="DD7" i="26" s="1"/>
  <c r="CX119" i="26"/>
  <c r="CV121" i="26"/>
  <c r="CN45" i="26"/>
  <c r="CP42" i="26"/>
  <c r="DR92" i="26"/>
  <c r="DP94" i="26"/>
  <c r="CN117" i="26"/>
  <c r="CL120" i="26"/>
  <c r="CN146" i="26"/>
  <c r="CL149" i="26"/>
  <c r="CN90" i="26"/>
  <c r="CL93" i="26"/>
  <c r="AJ54" i="26"/>
  <c r="EB46" i="26"/>
  <c r="ED44" i="26"/>
  <c r="EB128" i="26"/>
  <c r="DZ131" i="26"/>
  <c r="EB137" i="26"/>
  <c r="DZ140" i="26"/>
  <c r="DZ71" i="26"/>
  <c r="DX74" i="26"/>
  <c r="EV64" i="26"/>
  <c r="ET66" i="26"/>
  <c r="EL62" i="26"/>
  <c r="EJ65" i="26"/>
  <c r="EP34" i="26"/>
  <c r="EN36" i="26"/>
  <c r="EX26" i="26"/>
  <c r="EZ24" i="26"/>
  <c r="CP99" i="26" l="1"/>
  <c r="CN102" i="26"/>
  <c r="CZ119" i="26"/>
  <c r="CX121" i="26"/>
  <c r="DE7" i="26"/>
  <c r="CR42" i="26"/>
  <c r="CP45" i="26"/>
  <c r="DT92" i="26"/>
  <c r="DR94" i="26"/>
  <c r="CP90" i="26"/>
  <c r="CN93" i="26"/>
  <c r="CP146" i="26"/>
  <c r="CN149" i="26"/>
  <c r="CP117" i="26"/>
  <c r="CN120" i="26"/>
  <c r="AN51" i="26"/>
  <c r="EF44" i="26"/>
  <c r="ED46" i="26"/>
  <c r="ED128" i="26"/>
  <c r="EB131" i="26"/>
  <c r="ED137" i="26"/>
  <c r="EB140" i="26"/>
  <c r="EB71" i="26"/>
  <c r="DZ74" i="26"/>
  <c r="EN62" i="26"/>
  <c r="EL65" i="26"/>
  <c r="EX64" i="26"/>
  <c r="EV66" i="26"/>
  <c r="FB24" i="26"/>
  <c r="EZ26" i="26"/>
  <c r="EP36" i="26"/>
  <c r="ER34" i="26"/>
  <c r="CR99" i="26" l="1"/>
  <c r="CP102" i="26"/>
  <c r="DF7" i="26"/>
  <c r="DB119" i="26"/>
  <c r="CZ121" i="26"/>
  <c r="C59" i="166"/>
  <c r="DG7" i="26"/>
  <c r="DH7" i="26" s="1"/>
  <c r="CT42" i="26"/>
  <c r="CR45" i="26"/>
  <c r="DV92" i="26"/>
  <c r="DT94" i="26"/>
  <c r="CR117" i="26"/>
  <c r="CP120" i="26"/>
  <c r="CR146" i="26"/>
  <c r="CP149" i="26"/>
  <c r="CR90" i="26"/>
  <c r="CP93" i="26"/>
  <c r="AP51" i="26"/>
  <c r="AR48" i="26" s="1"/>
  <c r="AR50" i="26" s="1"/>
  <c r="AN54" i="26"/>
  <c r="EH44" i="26"/>
  <c r="EF46" i="26"/>
  <c r="ED71" i="26"/>
  <c r="EB74" i="26"/>
  <c r="EF137" i="26"/>
  <c r="ED140" i="26"/>
  <c r="EF128" i="26"/>
  <c r="ED131" i="26"/>
  <c r="ET34" i="26"/>
  <c r="ER36" i="26"/>
  <c r="EX66" i="26"/>
  <c r="EZ64" i="26"/>
  <c r="EP62" i="26"/>
  <c r="EN65" i="26"/>
  <c r="FD24" i="26"/>
  <c r="FB26" i="26"/>
  <c r="CT99" i="26" l="1"/>
  <c r="CR102" i="26"/>
  <c r="DI7" i="26"/>
  <c r="DJ7" i="26" s="1"/>
  <c r="DK7" i="26" s="1"/>
  <c r="DL7" i="26" s="1"/>
  <c r="DM7" i="26" s="1"/>
  <c r="DN7" i="26" s="1"/>
  <c r="DO7" i="26" s="1"/>
  <c r="DP7" i="26" s="1"/>
  <c r="DQ7" i="26" s="1"/>
  <c r="DR7" i="26" s="1"/>
  <c r="DS7" i="26" s="1"/>
  <c r="DT7" i="26" s="1"/>
  <c r="DU7" i="26" s="1"/>
  <c r="DV7" i="26" s="1"/>
  <c r="DD119" i="26"/>
  <c r="DB121" i="26"/>
  <c r="C58" i="166"/>
  <c r="Q102" i="135"/>
  <c r="Q100" i="135"/>
  <c r="CT45" i="26"/>
  <c r="CV42" i="26"/>
  <c r="DX92" i="26"/>
  <c r="DV94" i="26"/>
  <c r="CT90" i="26"/>
  <c r="CR93" i="26"/>
  <c r="CT146" i="26"/>
  <c r="CR149" i="26"/>
  <c r="CT117" i="26"/>
  <c r="CV117" i="26" s="1"/>
  <c r="CR120" i="26"/>
  <c r="AR51" i="26"/>
  <c r="AP54" i="26"/>
  <c r="EH46" i="26"/>
  <c r="EJ44" i="26"/>
  <c r="EH128" i="26"/>
  <c r="EF131" i="26"/>
  <c r="EF71" i="26"/>
  <c r="ED74" i="26"/>
  <c r="EH137" i="26"/>
  <c r="EF140" i="26"/>
  <c r="FF24" i="26"/>
  <c r="FD26" i="26"/>
  <c r="EP65" i="26"/>
  <c r="ER62" i="26"/>
  <c r="ET62" i="26" s="1"/>
  <c r="EV34" i="26"/>
  <c r="ET36" i="26"/>
  <c r="EZ66" i="26"/>
  <c r="FB64" i="26"/>
  <c r="CV99" i="26" l="1"/>
  <c r="CT102" i="26"/>
  <c r="D9" i="95"/>
  <c r="DW7" i="26"/>
  <c r="DF119" i="26"/>
  <c r="DD121" i="26"/>
  <c r="Q101" i="135"/>
  <c r="Q103" i="135"/>
  <c r="E46" i="135"/>
  <c r="F9" i="95" s="1"/>
  <c r="CX42" i="26"/>
  <c r="CZ42" i="26" s="1"/>
  <c r="CV45" i="26"/>
  <c r="DZ92" i="26"/>
  <c r="DX94" i="26"/>
  <c r="CT120" i="26"/>
  <c r="CV146" i="26"/>
  <c r="CT149" i="26"/>
  <c r="CV90" i="26"/>
  <c r="CT93" i="26"/>
  <c r="AT51" i="26"/>
  <c r="AR54" i="26"/>
  <c r="EJ46" i="26"/>
  <c r="EL44" i="26"/>
  <c r="EH71" i="26"/>
  <c r="EF74" i="26"/>
  <c r="EJ137" i="26"/>
  <c r="EH140" i="26"/>
  <c r="EJ128" i="26"/>
  <c r="EH131" i="26"/>
  <c r="EX34" i="26"/>
  <c r="EV36" i="26"/>
  <c r="FF26" i="26"/>
  <c r="FH24" i="26"/>
  <c r="FD64" i="26"/>
  <c r="FB66" i="26"/>
  <c r="ER65" i="26"/>
  <c r="CX99" i="26" l="1"/>
  <c r="CV102" i="26"/>
  <c r="DB42" i="26"/>
  <c r="DB45" i="26" s="1"/>
  <c r="CZ45" i="26"/>
  <c r="Q104" i="135"/>
  <c r="J73" i="135" s="1"/>
  <c r="E72" i="135" s="1"/>
  <c r="I9" i="95"/>
  <c r="DX7" i="26"/>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DH119" i="26"/>
  <c r="DF121" i="26"/>
  <c r="U46" i="135"/>
  <c r="W46" i="135" s="1"/>
  <c r="CX45" i="26"/>
  <c r="EB92" i="26"/>
  <c r="DZ94" i="26"/>
  <c r="CX90" i="26"/>
  <c r="CV93" i="26"/>
  <c r="CX117" i="26"/>
  <c r="CV120" i="26"/>
  <c r="CX146" i="26"/>
  <c r="CV149" i="26"/>
  <c r="AV51" i="26"/>
  <c r="AT54" i="26"/>
  <c r="EN44" i="26"/>
  <c r="EL46" i="26"/>
  <c r="EL128" i="26"/>
  <c r="EJ131" i="26"/>
  <c r="EL137" i="26"/>
  <c r="EJ140" i="26"/>
  <c r="EJ71" i="26"/>
  <c r="EH74" i="26"/>
  <c r="FH26" i="26"/>
  <c r="FJ24" i="26"/>
  <c r="EX36" i="26"/>
  <c r="EZ34" i="26"/>
  <c r="EV62" i="26"/>
  <c r="ET65" i="26"/>
  <c r="FF64" i="26"/>
  <c r="FD66" i="26"/>
  <c r="CZ99" i="26" l="1"/>
  <c r="CX102" i="26"/>
  <c r="F10" i="95"/>
  <c r="X64" i="135"/>
  <c r="AB64" i="135"/>
  <c r="AG64" i="135"/>
  <c r="AL64" i="135"/>
  <c r="FW7" i="26"/>
  <c r="FX7" i="26" s="1"/>
  <c r="FY7" i="26" s="1"/>
  <c r="FZ7" i="26" s="1"/>
  <c r="W8" i="188"/>
  <c r="DJ119" i="26"/>
  <c r="DH121" i="26"/>
  <c r="U9" i="157"/>
  <c r="O9" i="159"/>
  <c r="ED92" i="26"/>
  <c r="EB94" i="26"/>
  <c r="CZ146" i="26"/>
  <c r="CX149" i="26"/>
  <c r="CZ117" i="26"/>
  <c r="CX120" i="26"/>
  <c r="CZ90" i="26"/>
  <c r="CX93" i="26"/>
  <c r="AX51" i="26"/>
  <c r="AV54" i="26"/>
  <c r="EP44" i="26"/>
  <c r="EN46" i="26"/>
  <c r="EN137" i="26"/>
  <c r="EL140" i="26"/>
  <c r="EL71" i="26"/>
  <c r="EJ74" i="26"/>
  <c r="EN128" i="26"/>
  <c r="EL131" i="26"/>
  <c r="FF66" i="26"/>
  <c r="FH64" i="26"/>
  <c r="FB34" i="26"/>
  <c r="EZ36" i="26"/>
  <c r="FJ26" i="26"/>
  <c r="FL24" i="26"/>
  <c r="EX62" i="26"/>
  <c r="EV65" i="26"/>
  <c r="DB99" i="26" l="1"/>
  <c r="CZ102" i="26"/>
  <c r="S24" i="22"/>
  <c r="W73" i="135"/>
  <c r="O33" i="22"/>
  <c r="S33" i="22"/>
  <c r="Q40" i="159"/>
  <c r="W46" i="155"/>
  <c r="W34" i="155"/>
  <c r="W16" i="159"/>
  <c r="Y1" i="155"/>
  <c r="W20" i="159"/>
  <c r="O24" i="22"/>
  <c r="X24" i="22"/>
  <c r="R69" i="22"/>
  <c r="S22" i="22"/>
  <c r="O22" i="22"/>
  <c r="S17" i="22"/>
  <c r="O17" i="22"/>
  <c r="O12" i="22"/>
  <c r="S12" i="22"/>
  <c r="GA7" i="26"/>
  <c r="GB7" i="26" s="1"/>
  <c r="GC7" i="26" s="1"/>
  <c r="GD7" i="26" s="1"/>
  <c r="GE7" i="26" s="1"/>
  <c r="GF7" i="26" s="1"/>
  <c r="GG7" i="26" s="1"/>
  <c r="GH7" i="26" s="1"/>
  <c r="GI7" i="26" s="1"/>
  <c r="GJ7" i="26" s="1"/>
  <c r="GK7" i="26" s="1"/>
  <c r="GL7" i="26" s="1"/>
  <c r="W46" i="188"/>
  <c r="DL119" i="26"/>
  <c r="DJ121" i="26"/>
  <c r="M68" i="22"/>
  <c r="W68" i="22" s="1"/>
  <c r="M66" i="22"/>
  <c r="Q45" i="156"/>
  <c r="E9" i="156" s="1"/>
  <c r="U9" i="156" s="1"/>
  <c r="M69" i="22"/>
  <c r="W69" i="22" s="1"/>
  <c r="E6" i="96"/>
  <c r="DD42" i="26"/>
  <c r="EF92" i="26"/>
  <c r="ED94" i="26"/>
  <c r="DB90" i="26"/>
  <c r="CZ93" i="26"/>
  <c r="DB117" i="26"/>
  <c r="CZ120" i="26"/>
  <c r="DB146" i="26"/>
  <c r="CZ149" i="26"/>
  <c r="AZ51" i="26"/>
  <c r="AX54" i="26"/>
  <c r="EP46" i="26"/>
  <c r="ER44" i="26"/>
  <c r="EP128" i="26"/>
  <c r="EN131" i="26"/>
  <c r="EN71" i="26"/>
  <c r="EL74" i="26"/>
  <c r="EP137" i="26"/>
  <c r="EN140" i="26"/>
  <c r="FJ64" i="26"/>
  <c r="FH66" i="26"/>
  <c r="EX65" i="26"/>
  <c r="EZ62" i="26"/>
  <c r="FN24" i="26"/>
  <c r="FL26" i="26"/>
  <c r="FD34" i="26"/>
  <c r="FB36" i="26"/>
  <c r="DD99" i="26" l="1"/>
  <c r="DB102" i="26"/>
  <c r="S23" i="22"/>
  <c r="X33" i="22"/>
  <c r="Y33" i="22" s="1"/>
  <c r="T33" i="22"/>
  <c r="Y24" i="22"/>
  <c r="L9" i="95"/>
  <c r="T24" i="22"/>
  <c r="X17" i="22"/>
  <c r="Y17" i="22" s="1"/>
  <c r="T17" i="22"/>
  <c r="X22" i="22"/>
  <c r="Y22" i="22" s="1"/>
  <c r="T22" i="22"/>
  <c r="X12" i="22"/>
  <c r="Y12" i="22" s="1"/>
  <c r="T12" i="22"/>
  <c r="GM7" i="26"/>
  <c r="GN7" i="26" s="1"/>
  <c r="GO7" i="26" s="1"/>
  <c r="GP7" i="26" s="1"/>
  <c r="GQ7" i="26" s="1"/>
  <c r="GR7" i="26" s="1"/>
  <c r="GS7" i="26" s="1"/>
  <c r="GT7" i="26" s="1"/>
  <c r="GU7" i="26" s="1"/>
  <c r="GV7" i="26" s="1"/>
  <c r="GW7" i="26" s="1"/>
  <c r="GX7" i="26" s="1"/>
  <c r="GY7" i="26" s="1"/>
  <c r="GZ7" i="26" s="1"/>
  <c r="HA7" i="26" s="1"/>
  <c r="HB7" i="26" s="1"/>
  <c r="HC7" i="26" s="1"/>
  <c r="HD7" i="26" s="1"/>
  <c r="X8" i="188"/>
  <c r="Y8" i="188" s="1"/>
  <c r="Z8" i="188" s="1"/>
  <c r="O10" i="188" s="1"/>
  <c r="DN119" i="26"/>
  <c r="DL121" i="26"/>
  <c r="R68" i="22"/>
  <c r="E8" i="96"/>
  <c r="I68" i="22" s="1"/>
  <c r="N68" i="22" s="1"/>
  <c r="M67" i="22"/>
  <c r="W67" i="22" s="1"/>
  <c r="W65" i="22" s="1"/>
  <c r="R67" i="22"/>
  <c r="DD45" i="26"/>
  <c r="DF42" i="26"/>
  <c r="EH92" i="26"/>
  <c r="EF94" i="26"/>
  <c r="DD146" i="26"/>
  <c r="DB149" i="26"/>
  <c r="DD117" i="26"/>
  <c r="DB120" i="26"/>
  <c r="DD90" i="26"/>
  <c r="DB93" i="26"/>
  <c r="BB51" i="26"/>
  <c r="BD51" i="26" s="1"/>
  <c r="AZ54" i="26"/>
  <c r="ET44" i="26"/>
  <c r="ER46" i="26"/>
  <c r="EP71" i="26"/>
  <c r="EN74" i="26"/>
  <c r="ER137" i="26"/>
  <c r="EP140" i="26"/>
  <c r="ER128" i="26"/>
  <c r="EP131" i="26"/>
  <c r="EZ65" i="26"/>
  <c r="FB62" i="26"/>
  <c r="FF34" i="26"/>
  <c r="FD36" i="26"/>
  <c r="FN26" i="26"/>
  <c r="FP24" i="26"/>
  <c r="FL64" i="26"/>
  <c r="FJ66" i="26"/>
  <c r="DF99" i="26" l="1"/>
  <c r="DD102" i="26"/>
  <c r="X23" i="22"/>
  <c r="Y23" i="22"/>
  <c r="O36" i="22"/>
  <c r="S36" i="22"/>
  <c r="S37" i="22"/>
  <c r="O37" i="22"/>
  <c r="S39" i="22"/>
  <c r="O39" i="22"/>
  <c r="S38" i="22"/>
  <c r="O38" i="22"/>
  <c r="S35" i="22"/>
  <c r="O35" i="22"/>
  <c r="R65" i="22"/>
  <c r="G41" i="188"/>
  <c r="Q41" i="188" s="1"/>
  <c r="G39" i="188"/>
  <c r="Q39" i="188" s="1"/>
  <c r="G40" i="188"/>
  <c r="U10" i="188"/>
  <c r="HE7" i="26"/>
  <c r="HF7" i="26" s="1"/>
  <c r="HG7" i="26" s="1"/>
  <c r="HH7" i="26" s="1"/>
  <c r="HI7" i="26" s="1"/>
  <c r="HJ7" i="26" s="1"/>
  <c r="HK7" i="26" s="1"/>
  <c r="X46" i="188"/>
  <c r="Y46" i="188" s="1"/>
  <c r="Z46" i="188" s="1"/>
  <c r="O48" i="188" s="1"/>
  <c r="DP119" i="26"/>
  <c r="DN121" i="26"/>
  <c r="DH42" i="26"/>
  <c r="DF45" i="26"/>
  <c r="EJ92" i="26"/>
  <c r="EH94" i="26"/>
  <c r="DF146" i="26"/>
  <c r="DD149" i="26"/>
  <c r="DF117" i="26"/>
  <c r="DD120" i="26"/>
  <c r="DF90" i="26"/>
  <c r="DD93" i="26"/>
  <c r="BB54" i="26"/>
  <c r="EV44" i="26"/>
  <c r="ET46" i="26"/>
  <c r="ET128" i="26"/>
  <c r="ER131" i="26"/>
  <c r="ET137" i="26"/>
  <c r="ER140" i="26"/>
  <c r="ER71" i="26"/>
  <c r="EP74" i="26"/>
  <c r="FP26" i="26"/>
  <c r="FR24" i="26"/>
  <c r="FF36" i="26"/>
  <c r="FH34" i="26"/>
  <c r="FD62" i="26"/>
  <c r="FB65" i="26"/>
  <c r="FN64" i="26"/>
  <c r="FL66" i="26"/>
  <c r="Z31" i="22" l="1"/>
  <c r="Z32" i="22"/>
  <c r="Z30" i="22"/>
  <c r="Z28" i="22"/>
  <c r="Z29" i="22"/>
  <c r="Z24" i="22"/>
  <c r="Z27" i="22"/>
  <c r="Z25" i="22"/>
  <c r="Z26" i="22"/>
  <c r="Z33" i="22"/>
  <c r="DH99" i="26"/>
  <c r="DF102" i="26"/>
  <c r="R71" i="22"/>
  <c r="C22" i="96" s="1"/>
  <c r="X37" i="22"/>
  <c r="Y37" i="22" s="1"/>
  <c r="T37" i="22"/>
  <c r="X39" i="22"/>
  <c r="Y39" i="22" s="1"/>
  <c r="T39" i="22"/>
  <c r="X36" i="22"/>
  <c r="Y36" i="22" s="1"/>
  <c r="T36" i="22"/>
  <c r="T35" i="22"/>
  <c r="X35" i="22"/>
  <c r="X38" i="22"/>
  <c r="Y38" i="22" s="1"/>
  <c r="T38" i="22"/>
  <c r="G71" i="188"/>
  <c r="Q71" i="188" s="1"/>
  <c r="G70" i="188"/>
  <c r="Q70" i="188" s="1"/>
  <c r="G72" i="188"/>
  <c r="Q72" i="188" s="1"/>
  <c r="U48" i="188"/>
  <c r="G42" i="188"/>
  <c r="Q42" i="188" s="1"/>
  <c r="Q40" i="188"/>
  <c r="DR119" i="26"/>
  <c r="DP121" i="26"/>
  <c r="H34" i="107"/>
  <c r="G34" i="107" s="1"/>
  <c r="BF51" i="26"/>
  <c r="BH51" i="26" s="1"/>
  <c r="DJ42" i="26"/>
  <c r="DH45" i="26"/>
  <c r="EL92" i="26"/>
  <c r="EJ94" i="26"/>
  <c r="DH117" i="26"/>
  <c r="DF120" i="26"/>
  <c r="DH90" i="26"/>
  <c r="DF93" i="26"/>
  <c r="DH146" i="26"/>
  <c r="DF149" i="26"/>
  <c r="BD54" i="26"/>
  <c r="EX44" i="26"/>
  <c r="EV46" i="26"/>
  <c r="ET71" i="26"/>
  <c r="ER74" i="26"/>
  <c r="EV128" i="26"/>
  <c r="ET131" i="26"/>
  <c r="EV137" i="26"/>
  <c r="ET140" i="26"/>
  <c r="FH36" i="26"/>
  <c r="FJ34" i="26"/>
  <c r="FT24" i="26"/>
  <c r="FR26" i="26"/>
  <c r="FN66" i="26"/>
  <c r="FP64" i="26"/>
  <c r="FF62" i="26"/>
  <c r="FD65" i="26"/>
  <c r="X34" i="22" l="1"/>
  <c r="DJ99" i="26"/>
  <c r="DH102" i="26"/>
  <c r="Y35" i="22"/>
  <c r="Y34" i="22" s="1"/>
  <c r="L10" i="95"/>
  <c r="Q43" i="188"/>
  <c r="Q74" i="188"/>
  <c r="DT119" i="26"/>
  <c r="DR121" i="26"/>
  <c r="H32" i="107"/>
  <c r="G32" i="107" s="1"/>
  <c r="H28" i="107"/>
  <c r="G28" i="107" s="1"/>
  <c r="H31" i="107"/>
  <c r="G31" i="107" s="1"/>
  <c r="H35" i="107"/>
  <c r="G35" i="107" s="1"/>
  <c r="H30" i="107"/>
  <c r="G30" i="107" s="1"/>
  <c r="H29" i="107"/>
  <c r="G29" i="107" s="1"/>
  <c r="DL42" i="26"/>
  <c r="DJ45" i="26"/>
  <c r="EN92" i="26"/>
  <c r="EL94" i="26"/>
  <c r="DJ90" i="26"/>
  <c r="DH93" i="26"/>
  <c r="DJ117" i="26"/>
  <c r="DH120" i="26"/>
  <c r="DJ146" i="26"/>
  <c r="DH149" i="26"/>
  <c r="BF54" i="26"/>
  <c r="EX46" i="26"/>
  <c r="EZ44" i="26"/>
  <c r="EX137" i="26"/>
  <c r="EV140" i="26"/>
  <c r="EV71" i="26"/>
  <c r="ET74" i="26"/>
  <c r="EX128" i="26"/>
  <c r="EV131" i="26"/>
  <c r="FJ36" i="26"/>
  <c r="FL34" i="26"/>
  <c r="FF65" i="26"/>
  <c r="FH62" i="26"/>
  <c r="FR64" i="26"/>
  <c r="FP66" i="26"/>
  <c r="FV24" i="26"/>
  <c r="FT26" i="26"/>
  <c r="DL99" i="26" l="1"/>
  <c r="DJ102" i="26"/>
  <c r="DV119" i="26"/>
  <c r="DT121" i="26"/>
  <c r="DL45" i="26"/>
  <c r="DN42" i="26"/>
  <c r="EP92" i="26"/>
  <c r="EN94" i="26"/>
  <c r="DL117" i="26"/>
  <c r="DJ120" i="26"/>
  <c r="DL146" i="26"/>
  <c r="DJ149" i="26"/>
  <c r="DL90" i="26"/>
  <c r="DJ93" i="26"/>
  <c r="BJ51" i="26"/>
  <c r="BL51" i="26" s="1"/>
  <c r="BH54" i="26"/>
  <c r="EZ46" i="26"/>
  <c r="FB44" i="26"/>
  <c r="EZ137" i="26"/>
  <c r="EX140" i="26"/>
  <c r="EZ128" i="26"/>
  <c r="EX131" i="26"/>
  <c r="EX71" i="26"/>
  <c r="EV74" i="26"/>
  <c r="FJ62" i="26"/>
  <c r="FH65" i="26"/>
  <c r="FV26" i="26"/>
  <c r="FX24" i="26"/>
  <c r="FN34" i="26"/>
  <c r="FL36" i="26"/>
  <c r="FT64" i="26"/>
  <c r="FR66" i="26"/>
  <c r="DN99" i="26" l="1"/>
  <c r="DL102" i="26"/>
  <c r="DX119" i="26"/>
  <c r="DV121" i="26"/>
  <c r="DN45" i="26"/>
  <c r="DP42" i="26"/>
  <c r="ER92" i="26"/>
  <c r="EP94" i="26"/>
  <c r="DN90" i="26"/>
  <c r="DL93" i="26"/>
  <c r="DN117" i="26"/>
  <c r="DL120" i="26"/>
  <c r="DN146" i="26"/>
  <c r="DL149" i="26"/>
  <c r="BJ54" i="26"/>
  <c r="FD44" i="26"/>
  <c r="FB46" i="26"/>
  <c r="FB128" i="26"/>
  <c r="EZ131" i="26"/>
  <c r="EZ71" i="26"/>
  <c r="EX74" i="26"/>
  <c r="FB137" i="26"/>
  <c r="EZ140" i="26"/>
  <c r="FV64" i="26"/>
  <c r="FT66" i="26"/>
  <c r="FN36" i="26"/>
  <c r="FP34" i="26"/>
  <c r="FX26" i="26"/>
  <c r="FZ24" i="26"/>
  <c r="FL62" i="26"/>
  <c r="FJ65" i="26"/>
  <c r="DP99" i="26" l="1"/>
  <c r="DN102" i="26"/>
  <c r="DZ119" i="26"/>
  <c r="DX121" i="26"/>
  <c r="DR42" i="26"/>
  <c r="DP45" i="26"/>
  <c r="ET92" i="26"/>
  <c r="ER94" i="26"/>
  <c r="DP146" i="26"/>
  <c r="DN149" i="26"/>
  <c r="DP117" i="26"/>
  <c r="DN120" i="26"/>
  <c r="DP90" i="26"/>
  <c r="DN93" i="26"/>
  <c r="BN51" i="26"/>
  <c r="BL54" i="26"/>
  <c r="FD46" i="26"/>
  <c r="FF44" i="26"/>
  <c r="FB71" i="26"/>
  <c r="EZ74" i="26"/>
  <c r="FD137" i="26"/>
  <c r="FB140" i="26"/>
  <c r="FD128" i="26"/>
  <c r="FB131" i="26"/>
  <c r="FV66" i="26"/>
  <c r="FX64" i="26"/>
  <c r="GB24" i="26"/>
  <c r="FZ26" i="26"/>
  <c r="FP36" i="26"/>
  <c r="FR34" i="26"/>
  <c r="FN62" i="26"/>
  <c r="FL65" i="26"/>
  <c r="DR99" i="26" l="1"/>
  <c r="DP102" i="26"/>
  <c r="EB119" i="26"/>
  <c r="DZ121" i="26"/>
  <c r="DT42" i="26"/>
  <c r="DR45" i="26"/>
  <c r="EV92" i="26"/>
  <c r="ET94" i="26"/>
  <c r="DR90" i="26"/>
  <c r="DP93" i="26"/>
  <c r="DR146" i="26"/>
  <c r="DP149" i="26"/>
  <c r="DR117" i="26"/>
  <c r="DP120" i="26"/>
  <c r="BP51" i="26"/>
  <c r="BN54" i="26"/>
  <c r="FF46" i="26"/>
  <c r="FH44" i="26"/>
  <c r="FF128" i="26"/>
  <c r="FD131" i="26"/>
  <c r="FF137" i="26"/>
  <c r="FD140" i="26"/>
  <c r="FD71" i="26"/>
  <c r="FB74" i="26"/>
  <c r="FT34" i="26"/>
  <c r="FR36" i="26"/>
  <c r="FX66" i="26"/>
  <c r="FZ64" i="26"/>
  <c r="FN65" i="26"/>
  <c r="FP62" i="26"/>
  <c r="GD24" i="26"/>
  <c r="GB26" i="26"/>
  <c r="DT99" i="26" l="1"/>
  <c r="DR102" i="26"/>
  <c r="ED119" i="26"/>
  <c r="EB121" i="26"/>
  <c r="DV42" i="26"/>
  <c r="DT45" i="26"/>
  <c r="EX92" i="26"/>
  <c r="EV94" i="26"/>
  <c r="DT117" i="26"/>
  <c r="DR120" i="26"/>
  <c r="DT146" i="26"/>
  <c r="DR149" i="26"/>
  <c r="DT90" i="26"/>
  <c r="DR93" i="26"/>
  <c r="BP54" i="26"/>
  <c r="BR51" i="26"/>
  <c r="FJ44" i="26"/>
  <c r="FH46" i="26"/>
  <c r="FF71" i="26"/>
  <c r="FD74" i="26"/>
  <c r="FH137" i="26"/>
  <c r="FF140" i="26"/>
  <c r="FH128" i="26"/>
  <c r="FF131" i="26"/>
  <c r="FR62" i="26"/>
  <c r="FP65" i="26"/>
  <c r="GD26" i="26"/>
  <c r="GF24" i="26"/>
  <c r="FV34" i="26"/>
  <c r="FT36" i="26"/>
  <c r="GB64" i="26"/>
  <c r="FZ66" i="26"/>
  <c r="BR164" i="26"/>
  <c r="DV99" i="26" l="1"/>
  <c r="DT102" i="26"/>
  <c r="EF119" i="26"/>
  <c r="ED121" i="26"/>
  <c r="DX42" i="26"/>
  <c r="DV45" i="26"/>
  <c r="EZ92" i="26"/>
  <c r="EX94" i="26"/>
  <c r="DV146" i="26"/>
  <c r="DT149" i="26"/>
  <c r="DV117" i="26"/>
  <c r="DT120" i="26"/>
  <c r="DV90" i="26"/>
  <c r="DT93" i="26"/>
  <c r="BT51" i="26"/>
  <c r="BR54" i="26"/>
  <c r="FL44" i="26"/>
  <c r="FJ46" i="26"/>
  <c r="FJ128" i="26"/>
  <c r="FH131" i="26"/>
  <c r="FJ137" i="26"/>
  <c r="FH140" i="26"/>
  <c r="FH71" i="26"/>
  <c r="FF74" i="26"/>
  <c r="GH24" i="26"/>
  <c r="GF26" i="26"/>
  <c r="GD64" i="26"/>
  <c r="GB66" i="26"/>
  <c r="FV36" i="26"/>
  <c r="FX34" i="26"/>
  <c r="FT62" i="26"/>
  <c r="FR65" i="26"/>
  <c r="BT164" i="26"/>
  <c r="BR167" i="26"/>
  <c r="BR32" i="26"/>
  <c r="BR22" i="26"/>
  <c r="DX99" i="26" l="1"/>
  <c r="DV102" i="26"/>
  <c r="EH119" i="26"/>
  <c r="EF121" i="26"/>
  <c r="BR53" i="26"/>
  <c r="BR55" i="26" s="1"/>
  <c r="DX45" i="26"/>
  <c r="DZ42" i="26"/>
  <c r="FB92" i="26"/>
  <c r="EZ94" i="26"/>
  <c r="DX90" i="26"/>
  <c r="DV93" i="26"/>
  <c r="DX146" i="26"/>
  <c r="DV149" i="26"/>
  <c r="DX117" i="26"/>
  <c r="DV120" i="26"/>
  <c r="BV51" i="26"/>
  <c r="BX51" i="26" s="1"/>
  <c r="BT54" i="26"/>
  <c r="FN44" i="26"/>
  <c r="FL46" i="26"/>
  <c r="FJ71" i="26"/>
  <c r="FH74" i="26"/>
  <c r="FL137" i="26"/>
  <c r="FJ140" i="26"/>
  <c r="FL128" i="26"/>
  <c r="FJ131" i="26"/>
  <c r="FX36" i="26"/>
  <c r="FZ34" i="26"/>
  <c r="FV62" i="26"/>
  <c r="FT65" i="26"/>
  <c r="GD66" i="26"/>
  <c r="GF64" i="26"/>
  <c r="GH26" i="26"/>
  <c r="GJ24" i="26"/>
  <c r="BV164" i="26"/>
  <c r="BT167" i="26"/>
  <c r="BT32" i="26"/>
  <c r="BR35" i="26"/>
  <c r="BT22" i="26"/>
  <c r="BR25" i="26"/>
  <c r="DZ99" i="26" l="1"/>
  <c r="DX102" i="26"/>
  <c r="EJ119" i="26"/>
  <c r="EH121" i="26"/>
  <c r="EB42" i="26"/>
  <c r="DZ45" i="26"/>
  <c r="BT35" i="26"/>
  <c r="BT53" i="26"/>
  <c r="FD92" i="26"/>
  <c r="FB94" i="26"/>
  <c r="DZ90" i="26"/>
  <c r="DX93" i="26"/>
  <c r="DZ117" i="26"/>
  <c r="DX120" i="26"/>
  <c r="DZ146" i="26"/>
  <c r="DX149" i="26"/>
  <c r="BV54" i="26"/>
  <c r="FN46" i="26"/>
  <c r="FP44" i="26"/>
  <c r="FN128" i="26"/>
  <c r="FL131" i="26"/>
  <c r="FL71" i="26"/>
  <c r="FJ74" i="26"/>
  <c r="FN137" i="26"/>
  <c r="FL140" i="26"/>
  <c r="GL24" i="26"/>
  <c r="GJ26" i="26"/>
  <c r="FV65" i="26"/>
  <c r="FX62" i="26"/>
  <c r="GF66" i="26"/>
  <c r="GH64" i="26"/>
  <c r="GB34" i="26"/>
  <c r="FZ36" i="26"/>
  <c r="BX164" i="26"/>
  <c r="BV167" i="26"/>
  <c r="BV32" i="26"/>
  <c r="BV22" i="26"/>
  <c r="BT25" i="26"/>
  <c r="EB99" i="26" l="1"/>
  <c r="DZ102" i="26"/>
  <c r="EL119" i="26"/>
  <c r="EJ121" i="26"/>
  <c r="ED42" i="26"/>
  <c r="EB45" i="26"/>
  <c r="BV53" i="26"/>
  <c r="BT55" i="26"/>
  <c r="BV35" i="26"/>
  <c r="FF92" i="26"/>
  <c r="FD94" i="26"/>
  <c r="EB146" i="26"/>
  <c r="DZ149" i="26"/>
  <c r="EB117" i="26"/>
  <c r="DZ120" i="26"/>
  <c r="EB90" i="26"/>
  <c r="DZ93" i="26"/>
  <c r="BZ51" i="26"/>
  <c r="BX54" i="26"/>
  <c r="FR44" i="26"/>
  <c r="FP46" i="26"/>
  <c r="FP137" i="26"/>
  <c r="FN140" i="26"/>
  <c r="FN71" i="26"/>
  <c r="FL74" i="26"/>
  <c r="FP128" i="26"/>
  <c r="FN131" i="26"/>
  <c r="GD34" i="26"/>
  <c r="GB36" i="26"/>
  <c r="GH66" i="26"/>
  <c r="GJ64" i="26"/>
  <c r="FZ62" i="26"/>
  <c r="FX65" i="26"/>
  <c r="GL26" i="26"/>
  <c r="GN24" i="26"/>
  <c r="BZ164" i="26"/>
  <c r="BX167" i="26"/>
  <c r="BX32" i="26"/>
  <c r="BX22" i="26"/>
  <c r="BV25" i="26"/>
  <c r="ED99" i="26" l="1"/>
  <c r="EB102" i="26"/>
  <c r="EN119" i="26"/>
  <c r="EL121" i="26"/>
  <c r="BX53" i="26"/>
  <c r="BV55" i="26"/>
  <c r="ED45" i="26"/>
  <c r="EF42" i="26"/>
  <c r="FH92" i="26"/>
  <c r="FF94" i="26"/>
  <c r="ED90" i="26"/>
  <c r="EB93" i="26"/>
  <c r="ED117" i="26"/>
  <c r="EB120" i="26"/>
  <c r="ED146" i="26"/>
  <c r="EF146" i="26" s="1"/>
  <c r="EH146" i="26" s="1"/>
  <c r="EB149" i="26"/>
  <c r="CB51" i="26"/>
  <c r="BZ54" i="26"/>
  <c r="FR46" i="26"/>
  <c r="FT44" i="26"/>
  <c r="FR128" i="26"/>
  <c r="FP131" i="26"/>
  <c r="FP71" i="26"/>
  <c r="FN74" i="26"/>
  <c r="FR137" i="26"/>
  <c r="FP140" i="26"/>
  <c r="GN26" i="26"/>
  <c r="GP24" i="26"/>
  <c r="GB62" i="26"/>
  <c r="FZ65" i="26"/>
  <c r="GL64" i="26"/>
  <c r="GJ66" i="26"/>
  <c r="GD36" i="26"/>
  <c r="GF34" i="26"/>
  <c r="CB164" i="26"/>
  <c r="BZ167" i="26"/>
  <c r="BX35" i="26"/>
  <c r="BZ32" i="26"/>
  <c r="BZ22" i="26"/>
  <c r="BX25" i="26"/>
  <c r="EF99" i="26" l="1"/>
  <c r="ED102" i="26"/>
  <c r="EP119" i="26"/>
  <c r="EN121" i="26"/>
  <c r="EF45" i="26"/>
  <c r="EH42" i="26"/>
  <c r="BZ53" i="26"/>
  <c r="BX55" i="26"/>
  <c r="FJ92" i="26"/>
  <c r="FH94" i="26"/>
  <c r="EF117" i="26"/>
  <c r="ED120" i="26"/>
  <c r="ED149" i="26"/>
  <c r="EF90" i="26"/>
  <c r="ED93" i="26"/>
  <c r="CD51" i="26"/>
  <c r="CB54" i="26"/>
  <c r="FV44" i="26"/>
  <c r="FT46" i="26"/>
  <c r="FT137" i="26"/>
  <c r="FR140" i="26"/>
  <c r="FR71" i="26"/>
  <c r="FP74" i="26"/>
  <c r="FT128" i="26"/>
  <c r="FR131" i="26"/>
  <c r="GH34" i="26"/>
  <c r="GF36" i="26"/>
  <c r="GL66" i="26"/>
  <c r="GN64" i="26"/>
  <c r="GR24" i="26"/>
  <c r="GP26" i="26"/>
  <c r="GD62" i="26"/>
  <c r="GB65" i="26"/>
  <c r="CD164" i="26"/>
  <c r="CB167" i="26"/>
  <c r="BZ35" i="26"/>
  <c r="CB32" i="26"/>
  <c r="CB22" i="26"/>
  <c r="BZ25" i="26"/>
  <c r="EH99" i="26" l="1"/>
  <c r="EF102" i="26"/>
  <c r="ER119" i="26"/>
  <c r="EP121" i="26"/>
  <c r="CB53" i="26"/>
  <c r="BZ55" i="26"/>
  <c r="EJ42" i="26"/>
  <c r="EH45" i="26"/>
  <c r="FL92" i="26"/>
  <c r="FJ94" i="26"/>
  <c r="EH117" i="26"/>
  <c r="EF120" i="26"/>
  <c r="EH90" i="26"/>
  <c r="EF93" i="26"/>
  <c r="EF149" i="26"/>
  <c r="CF51" i="26"/>
  <c r="CH51" i="26" s="1"/>
  <c r="CD54" i="26"/>
  <c r="FV46" i="26"/>
  <c r="FX44" i="26"/>
  <c r="FV128" i="26"/>
  <c r="FT131" i="26"/>
  <c r="FT71" i="26"/>
  <c r="FR74" i="26"/>
  <c r="FV137" i="26"/>
  <c r="FT140" i="26"/>
  <c r="GD65" i="26"/>
  <c r="GF62" i="26"/>
  <c r="GT24" i="26"/>
  <c r="GR26" i="26"/>
  <c r="GH36" i="26"/>
  <c r="GJ34" i="26"/>
  <c r="GP64" i="26"/>
  <c r="GN66" i="26"/>
  <c r="CF164" i="26"/>
  <c r="CD167" i="26"/>
  <c r="CD32" i="26"/>
  <c r="CB35" i="26"/>
  <c r="CD22" i="26"/>
  <c r="CB25" i="26"/>
  <c r="EJ99" i="26" l="1"/>
  <c r="EH102" i="26"/>
  <c r="ET119" i="26"/>
  <c r="ER121" i="26"/>
  <c r="GT26" i="26"/>
  <c r="GV24" i="26"/>
  <c r="EJ45" i="26"/>
  <c r="EL42" i="26"/>
  <c r="CD53" i="26"/>
  <c r="CB55" i="26"/>
  <c r="L41" i="166"/>
  <c r="FN92" i="26"/>
  <c r="FL94" i="26"/>
  <c r="EJ117" i="26"/>
  <c r="EH120" i="26"/>
  <c r="EJ146" i="26"/>
  <c r="EH149" i="26"/>
  <c r="EJ90" i="26"/>
  <c r="EH93" i="26"/>
  <c r="CF54" i="26"/>
  <c r="FX46" i="26"/>
  <c r="FZ44" i="26"/>
  <c r="FV71" i="26"/>
  <c r="FT74" i="26"/>
  <c r="FX128" i="26"/>
  <c r="FV131" i="26"/>
  <c r="FX137" i="26"/>
  <c r="FV140" i="26"/>
  <c r="GL34" i="26"/>
  <c r="GJ36" i="26"/>
  <c r="GH62" i="26"/>
  <c r="GF65" i="26"/>
  <c r="GR64" i="26"/>
  <c r="GP66" i="26"/>
  <c r="CH164" i="26"/>
  <c r="CF167" i="26"/>
  <c r="CF32" i="26"/>
  <c r="CD35" i="26"/>
  <c r="CF22" i="26"/>
  <c r="CD25" i="26"/>
  <c r="EL99" i="26" l="1"/>
  <c r="EJ102" i="26"/>
  <c r="EV119" i="26"/>
  <c r="ET121" i="26"/>
  <c r="GX24" i="26"/>
  <c r="GV26" i="26"/>
  <c r="CF53" i="26"/>
  <c r="CD55" i="26"/>
  <c r="EN42" i="26"/>
  <c r="EL45" i="26"/>
  <c r="FP92" i="26"/>
  <c r="FN94" i="26"/>
  <c r="EL146" i="26"/>
  <c r="EJ149" i="26"/>
  <c r="EL117" i="26"/>
  <c r="EJ120" i="26"/>
  <c r="EL90" i="26"/>
  <c r="EJ93" i="26"/>
  <c r="CJ51" i="26"/>
  <c r="CH54" i="26"/>
  <c r="GB44" i="26"/>
  <c r="FZ46" i="26"/>
  <c r="FZ137" i="26"/>
  <c r="FX140" i="26"/>
  <c r="FZ128" i="26"/>
  <c r="FX131" i="26"/>
  <c r="FX71" i="26"/>
  <c r="FV74" i="26"/>
  <c r="GT64" i="26"/>
  <c r="GR66" i="26"/>
  <c r="GJ62" i="26"/>
  <c r="GH65" i="26"/>
  <c r="GL36" i="26"/>
  <c r="GN34" i="26"/>
  <c r="CJ164" i="26"/>
  <c r="CH167" i="26"/>
  <c r="CH32" i="26"/>
  <c r="CF35" i="26"/>
  <c r="CH22" i="26"/>
  <c r="CF25" i="26"/>
  <c r="EN99" i="26" l="1"/>
  <c r="EL102" i="26"/>
  <c r="EX119" i="26"/>
  <c r="EV121" i="26"/>
  <c r="GZ24" i="26"/>
  <c r="GX26" i="26"/>
  <c r="GT66" i="26"/>
  <c r="GV64" i="26"/>
  <c r="CH35" i="26"/>
  <c r="CH53" i="26"/>
  <c r="EN45" i="26"/>
  <c r="EP42" i="26"/>
  <c r="CF55" i="26"/>
  <c r="FR92" i="26"/>
  <c r="FP94" i="26"/>
  <c r="EN90" i="26"/>
  <c r="EL93" i="26"/>
  <c r="EN117" i="26"/>
  <c r="EL120" i="26"/>
  <c r="EN146" i="26"/>
  <c r="EL149" i="26"/>
  <c r="CL51" i="26"/>
  <c r="CJ54" i="26"/>
  <c r="GD44" i="26"/>
  <c r="GB46" i="26"/>
  <c r="FZ71" i="26"/>
  <c r="FX74" i="26"/>
  <c r="GB128" i="26"/>
  <c r="FZ131" i="26"/>
  <c r="GB137" i="26"/>
  <c r="FZ140" i="26"/>
  <c r="GN36" i="26"/>
  <c r="GP34" i="26"/>
  <c r="GL62" i="26"/>
  <c r="GJ65" i="26"/>
  <c r="CL164" i="26"/>
  <c r="CJ167" i="26"/>
  <c r="CJ32" i="26"/>
  <c r="CJ22" i="26"/>
  <c r="CH25" i="26"/>
  <c r="EP99" i="26" l="1"/>
  <c r="EN102" i="26"/>
  <c r="EZ119" i="26"/>
  <c r="EX121" i="26"/>
  <c r="GX64" i="26"/>
  <c r="GV66" i="26"/>
  <c r="HB24" i="26"/>
  <c r="GZ26" i="26"/>
  <c r="ER42" i="26"/>
  <c r="EP45" i="26"/>
  <c r="CJ35" i="26"/>
  <c r="CJ53" i="26"/>
  <c r="CH55" i="26"/>
  <c r="FT92" i="26"/>
  <c r="FR94" i="26"/>
  <c r="EP146" i="26"/>
  <c r="EN149" i="26"/>
  <c r="EP117" i="26"/>
  <c r="EN120" i="26"/>
  <c r="EP90" i="26"/>
  <c r="EN93" i="26"/>
  <c r="CN51" i="26"/>
  <c r="CL54" i="26"/>
  <c r="GD46" i="26"/>
  <c r="GF44" i="26"/>
  <c r="GD137" i="26"/>
  <c r="GB140" i="26"/>
  <c r="GD128" i="26"/>
  <c r="GB131" i="26"/>
  <c r="GB71" i="26"/>
  <c r="FZ74" i="26"/>
  <c r="GR34" i="26"/>
  <c r="GP36" i="26"/>
  <c r="GL65" i="26"/>
  <c r="GN62" i="26"/>
  <c r="CN164" i="26"/>
  <c r="CL167" i="26"/>
  <c r="CL32" i="26"/>
  <c r="CL22" i="26"/>
  <c r="CJ25" i="26"/>
  <c r="ER99" i="26" l="1"/>
  <c r="EP102" i="26"/>
  <c r="FB119" i="26"/>
  <c r="EZ121" i="26"/>
  <c r="HD24" i="26"/>
  <c r="HB26" i="26"/>
  <c r="GZ64" i="26"/>
  <c r="GX66" i="26"/>
  <c r="CL35" i="26"/>
  <c r="CL53" i="26"/>
  <c r="CJ55" i="26"/>
  <c r="ET42" i="26"/>
  <c r="ER45" i="26"/>
  <c r="F41" i="166"/>
  <c r="FV92" i="26"/>
  <c r="FT94" i="26"/>
  <c r="ER146" i="26"/>
  <c r="EP149" i="26"/>
  <c r="ER90" i="26"/>
  <c r="EP93" i="26"/>
  <c r="ER117" i="26"/>
  <c r="EP120" i="26"/>
  <c r="CP51" i="26"/>
  <c r="CN54" i="26"/>
  <c r="GF46" i="26"/>
  <c r="GH44" i="26"/>
  <c r="GF137" i="26"/>
  <c r="GD140" i="26"/>
  <c r="GD71" i="26"/>
  <c r="GB74" i="26"/>
  <c r="GF128" i="26"/>
  <c r="GD131" i="26"/>
  <c r="GT34" i="26"/>
  <c r="GR36" i="26"/>
  <c r="GP62" i="26"/>
  <c r="GN65" i="26"/>
  <c r="CP164" i="26"/>
  <c r="CN167" i="26"/>
  <c r="CN32" i="26"/>
  <c r="CN22" i="26"/>
  <c r="CL25" i="26"/>
  <c r="ET99" i="26" l="1"/>
  <c r="ER102" i="26"/>
  <c r="FD119" i="26"/>
  <c r="FB121" i="26"/>
  <c r="GT36" i="26"/>
  <c r="GV34" i="26"/>
  <c r="HB64" i="26"/>
  <c r="GZ66" i="26"/>
  <c r="HF24" i="26"/>
  <c r="HD26" i="26"/>
  <c r="CN35" i="26"/>
  <c r="CN53" i="26"/>
  <c r="CL55" i="26"/>
  <c r="ET45" i="26"/>
  <c r="EV42" i="26"/>
  <c r="FX92" i="26"/>
  <c r="FV94" i="26"/>
  <c r="ET117" i="26"/>
  <c r="ER120" i="26"/>
  <c r="ET90" i="26"/>
  <c r="ER93" i="26"/>
  <c r="ET146" i="26"/>
  <c r="ER149" i="26"/>
  <c r="CR51" i="26"/>
  <c r="CP54" i="26"/>
  <c r="GH46" i="26"/>
  <c r="GJ44" i="26"/>
  <c r="GH128" i="26"/>
  <c r="GF131" i="26"/>
  <c r="GH137" i="26"/>
  <c r="GF140" i="26"/>
  <c r="GF71" i="26"/>
  <c r="GD74" i="26"/>
  <c r="GR62" i="26"/>
  <c r="GP65" i="26"/>
  <c r="CR164" i="26"/>
  <c r="CP167" i="26"/>
  <c r="CP32" i="26"/>
  <c r="CP22" i="26"/>
  <c r="CN25" i="26"/>
  <c r="EV99" i="26" l="1"/>
  <c r="ET102" i="26"/>
  <c r="FF119" i="26"/>
  <c r="FD121" i="26"/>
  <c r="HH24" i="26"/>
  <c r="HF26" i="26"/>
  <c r="HD64" i="26"/>
  <c r="HB66" i="26"/>
  <c r="GX34" i="26"/>
  <c r="GV36" i="26"/>
  <c r="EV45" i="26"/>
  <c r="EX42" i="26"/>
  <c r="CP53" i="26"/>
  <c r="CN55" i="26"/>
  <c r="CR32" i="26"/>
  <c r="CP35" i="26"/>
  <c r="FZ92" i="26"/>
  <c r="FX94" i="26"/>
  <c r="EV146" i="26"/>
  <c r="ET149" i="26"/>
  <c r="EV117" i="26"/>
  <c r="ET120" i="26"/>
  <c r="EV90" i="26"/>
  <c r="ET93" i="26"/>
  <c r="CT51" i="26"/>
  <c r="CR54" i="26"/>
  <c r="GL44" i="26"/>
  <c r="GJ46" i="26"/>
  <c r="GH71" i="26"/>
  <c r="GF74" i="26"/>
  <c r="GJ137" i="26"/>
  <c r="GH140" i="26"/>
  <c r="GJ128" i="26"/>
  <c r="GH131" i="26"/>
  <c r="GT62" i="26"/>
  <c r="GR65" i="26"/>
  <c r="CT164" i="26"/>
  <c r="CR167" i="26"/>
  <c r="CR22" i="26"/>
  <c r="CP25" i="26"/>
  <c r="EX99" i="26" l="1"/>
  <c r="EV102" i="26"/>
  <c r="FH119" i="26"/>
  <c r="FF121" i="26"/>
  <c r="GT65" i="26"/>
  <c r="GV62" i="26"/>
  <c r="GZ34" i="26"/>
  <c r="GX36" i="26"/>
  <c r="HF64" i="26"/>
  <c r="HD66" i="26"/>
  <c r="HJ24" i="26"/>
  <c r="HJ26" i="26" s="1"/>
  <c r="HH26" i="26"/>
  <c r="CR35" i="26"/>
  <c r="CR53" i="26"/>
  <c r="CP55" i="26"/>
  <c r="EX45" i="26"/>
  <c r="EZ42" i="26"/>
  <c r="GB92" i="26"/>
  <c r="FZ94" i="26"/>
  <c r="EX146" i="26"/>
  <c r="EV149" i="26"/>
  <c r="EX90" i="26"/>
  <c r="EV93" i="26"/>
  <c r="EX117" i="26"/>
  <c r="EV120" i="26"/>
  <c r="CV51" i="26"/>
  <c r="CX51" i="26" s="1"/>
  <c r="CZ51" i="26" s="1"/>
  <c r="CT54" i="26"/>
  <c r="GL46" i="26"/>
  <c r="GN44" i="26"/>
  <c r="GL128" i="26"/>
  <c r="GJ131" i="26"/>
  <c r="GJ71" i="26"/>
  <c r="GH74" i="26"/>
  <c r="GL137" i="26"/>
  <c r="GJ140" i="26"/>
  <c r="CV164" i="26"/>
  <c r="CT167" i="26"/>
  <c r="CT32" i="26"/>
  <c r="CT22" i="26"/>
  <c r="CR25" i="26"/>
  <c r="EZ99" i="26" l="1"/>
  <c r="EX102" i="26"/>
  <c r="FJ119" i="26"/>
  <c r="FH121" i="26"/>
  <c r="HH64" i="26"/>
  <c r="HF66" i="26"/>
  <c r="HB34" i="26"/>
  <c r="GZ36" i="26"/>
  <c r="GX62" i="26"/>
  <c r="GV65" i="26"/>
  <c r="CX54" i="26"/>
  <c r="FB42" i="26"/>
  <c r="EZ45" i="26"/>
  <c r="CT53" i="26"/>
  <c r="CR55" i="26"/>
  <c r="F42" i="166"/>
  <c r="CT35" i="26"/>
  <c r="GD92" i="26"/>
  <c r="GB94" i="26"/>
  <c r="EZ117" i="26"/>
  <c r="EX120" i="26"/>
  <c r="EZ90" i="26"/>
  <c r="EX93" i="26"/>
  <c r="EZ146" i="26"/>
  <c r="EX149" i="26"/>
  <c r="CV54" i="26"/>
  <c r="GN46" i="26"/>
  <c r="GP44" i="26"/>
  <c r="GN137" i="26"/>
  <c r="GL140" i="26"/>
  <c r="GL71" i="26"/>
  <c r="GJ74" i="26"/>
  <c r="GN128" i="26"/>
  <c r="GL131" i="26"/>
  <c r="CX164" i="26"/>
  <c r="CV167" i="26"/>
  <c r="CV32" i="26"/>
  <c r="CV22" i="26"/>
  <c r="CT25" i="26"/>
  <c r="FB99" i="26" l="1"/>
  <c r="EZ102" i="26"/>
  <c r="FL119" i="26"/>
  <c r="FJ121" i="26"/>
  <c r="GZ62" i="26"/>
  <c r="GX65" i="26"/>
  <c r="HD34" i="26"/>
  <c r="HB36" i="26"/>
  <c r="HJ64" i="26"/>
  <c r="HJ66" i="26" s="1"/>
  <c r="HH66" i="26"/>
  <c r="CT55" i="26"/>
  <c r="CV35" i="26"/>
  <c r="CV53" i="26"/>
  <c r="FB45" i="26"/>
  <c r="FD42" i="26"/>
  <c r="GF92" i="26"/>
  <c r="GD94" i="26"/>
  <c r="FB117" i="26"/>
  <c r="EZ120" i="26"/>
  <c r="FB146" i="26"/>
  <c r="EZ149" i="26"/>
  <c r="FB90" i="26"/>
  <c r="EZ93" i="26"/>
  <c r="GR44" i="26"/>
  <c r="GP46" i="26"/>
  <c r="GP128" i="26"/>
  <c r="GN131" i="26"/>
  <c r="GN71" i="26"/>
  <c r="GL74" i="26"/>
  <c r="GP137" i="26"/>
  <c r="GN140" i="26"/>
  <c r="CZ164" i="26"/>
  <c r="CX167" i="26"/>
  <c r="CX32" i="26"/>
  <c r="CX22" i="26"/>
  <c r="CV25" i="26"/>
  <c r="FD99" i="26" l="1"/>
  <c r="FB102" i="26"/>
  <c r="FN119" i="26"/>
  <c r="FL121" i="26"/>
  <c r="HF34" i="26"/>
  <c r="HD36" i="26"/>
  <c r="HB62" i="26"/>
  <c r="GZ65" i="26"/>
  <c r="CV55" i="26"/>
  <c r="FD45" i="26"/>
  <c r="FF42" i="26"/>
  <c r="CX35" i="26"/>
  <c r="CX53" i="26"/>
  <c r="GH92" i="26"/>
  <c r="GF94" i="26"/>
  <c r="FD90" i="26"/>
  <c r="FB93" i="26"/>
  <c r="FD117" i="26"/>
  <c r="FB120" i="26"/>
  <c r="FD146" i="26"/>
  <c r="FB149" i="26"/>
  <c r="DB51" i="26"/>
  <c r="CZ54" i="26"/>
  <c r="GT44" i="26"/>
  <c r="GR46" i="26"/>
  <c r="GR137" i="26"/>
  <c r="GP140" i="26"/>
  <c r="GP71" i="26"/>
  <c r="GN74" i="26"/>
  <c r="GR128" i="26"/>
  <c r="GP131" i="26"/>
  <c r="DB164" i="26"/>
  <c r="CZ167" i="26"/>
  <c r="CZ32" i="26"/>
  <c r="CZ22" i="26"/>
  <c r="CX25" i="26"/>
  <c r="FF99" i="26" l="1"/>
  <c r="FD102" i="26"/>
  <c r="FP119" i="26"/>
  <c r="FN121" i="26"/>
  <c r="HD62" i="26"/>
  <c r="HB65" i="26"/>
  <c r="HH34" i="26"/>
  <c r="HF36" i="26"/>
  <c r="GT46" i="26"/>
  <c r="GV44" i="26"/>
  <c r="CX55" i="26"/>
  <c r="FH42" i="26"/>
  <c r="FF45" i="26"/>
  <c r="CZ35" i="26"/>
  <c r="CZ53" i="26"/>
  <c r="GJ92" i="26"/>
  <c r="GH94" i="26"/>
  <c r="FF146" i="26"/>
  <c r="FD149" i="26"/>
  <c r="FF90" i="26"/>
  <c r="FD93" i="26"/>
  <c r="FF117" i="26"/>
  <c r="FD120" i="26"/>
  <c r="DD51" i="26"/>
  <c r="DB54" i="26"/>
  <c r="GT128" i="26"/>
  <c r="GR131" i="26"/>
  <c r="GR71" i="26"/>
  <c r="GP74" i="26"/>
  <c r="GT137" i="26"/>
  <c r="GR140" i="26"/>
  <c r="DB167" i="26"/>
  <c r="DD164" i="26"/>
  <c r="DB32" i="26"/>
  <c r="DB22" i="26"/>
  <c r="CZ25" i="26"/>
  <c r="FH99" i="26" l="1"/>
  <c r="FF102" i="26"/>
  <c r="FR119" i="26"/>
  <c r="FP121" i="26"/>
  <c r="HJ34" i="26"/>
  <c r="HJ36" i="26" s="1"/>
  <c r="HH36" i="26"/>
  <c r="HF62" i="26"/>
  <c r="HD65" i="26"/>
  <c r="GT140" i="26"/>
  <c r="GV137" i="26"/>
  <c r="GX44" i="26"/>
  <c r="GV46" i="26"/>
  <c r="GT131" i="26"/>
  <c r="GV128" i="26"/>
  <c r="CZ55" i="26"/>
  <c r="DB35" i="26"/>
  <c r="DB53" i="26"/>
  <c r="FH45" i="26"/>
  <c r="FJ42" i="26"/>
  <c r="GL92" i="26"/>
  <c r="GJ94" i="26"/>
  <c r="FH90" i="26"/>
  <c r="FF93" i="26"/>
  <c r="FH146" i="26"/>
  <c r="FF149" i="26"/>
  <c r="DF164" i="26"/>
  <c r="DD167" i="26"/>
  <c r="FH117" i="26"/>
  <c r="FF120" i="26"/>
  <c r="DF51" i="26"/>
  <c r="DD54" i="26"/>
  <c r="GT71" i="26"/>
  <c r="GR74" i="26"/>
  <c r="DB25" i="26"/>
  <c r="DD22" i="26"/>
  <c r="DD32" i="26"/>
  <c r="FJ99" i="26" l="1"/>
  <c r="FH102" i="26"/>
  <c r="FT119" i="26"/>
  <c r="FR121" i="26"/>
  <c r="HH62" i="26"/>
  <c r="HF65" i="26"/>
  <c r="GX137" i="26"/>
  <c r="GV140" i="26"/>
  <c r="GZ44" i="26"/>
  <c r="GX46" i="26"/>
  <c r="GT74" i="26"/>
  <c r="GV71" i="26"/>
  <c r="GX128" i="26"/>
  <c r="GV131" i="26"/>
  <c r="DB55" i="26"/>
  <c r="FJ45" i="26"/>
  <c r="FL42" i="26"/>
  <c r="DD35" i="26"/>
  <c r="DD53" i="26"/>
  <c r="GN92" i="26"/>
  <c r="GL94" i="26"/>
  <c r="FJ117" i="26"/>
  <c r="FH120" i="26"/>
  <c r="DH164" i="26"/>
  <c r="DF167" i="26"/>
  <c r="FJ146" i="26"/>
  <c r="FH149" i="26"/>
  <c r="FJ90" i="26"/>
  <c r="FH93" i="26"/>
  <c r="DH51" i="26"/>
  <c r="DF54" i="26"/>
  <c r="DF22" i="26"/>
  <c r="DD25" i="26"/>
  <c r="DF32" i="26"/>
  <c r="FL99" i="26" l="1"/>
  <c r="FJ102" i="26"/>
  <c r="FV119" i="26"/>
  <c r="FT121" i="26"/>
  <c r="HJ62" i="26"/>
  <c r="HJ65" i="26" s="1"/>
  <c r="HH65" i="26"/>
  <c r="GZ137" i="26"/>
  <c r="GX140" i="26"/>
  <c r="HB44" i="26"/>
  <c r="GZ46" i="26"/>
  <c r="GX71" i="26"/>
  <c r="GV74" i="26"/>
  <c r="GZ128" i="26"/>
  <c r="GX131" i="26"/>
  <c r="DD55" i="26"/>
  <c r="DF35" i="26"/>
  <c r="DF53" i="26"/>
  <c r="FL45" i="26"/>
  <c r="FN42" i="26"/>
  <c r="GP92" i="26"/>
  <c r="GN94" i="26"/>
  <c r="DJ164" i="26"/>
  <c r="DH167" i="26"/>
  <c r="FL117" i="26"/>
  <c r="FJ120" i="26"/>
  <c r="FL90" i="26"/>
  <c r="FJ93" i="26"/>
  <c r="FL146" i="26"/>
  <c r="FJ149" i="26"/>
  <c r="DJ51" i="26"/>
  <c r="DL51" i="26" s="1"/>
  <c r="DN51" i="26" s="1"/>
  <c r="DN54" i="26" s="1"/>
  <c r="DH54" i="26"/>
  <c r="DH22" i="26"/>
  <c r="DF25" i="26"/>
  <c r="DH32" i="26"/>
  <c r="DH35" i="26" s="1"/>
  <c r="FN99" i="26" l="1"/>
  <c r="FL102" i="26"/>
  <c r="FX119" i="26"/>
  <c r="FV121" i="26"/>
  <c r="HB137" i="26"/>
  <c r="GZ140" i="26"/>
  <c r="HD44" i="26"/>
  <c r="HB46" i="26"/>
  <c r="GZ71" i="26"/>
  <c r="GX74" i="26"/>
  <c r="HB128" i="26"/>
  <c r="GZ131" i="26"/>
  <c r="DH53" i="26"/>
  <c r="DF55" i="26"/>
  <c r="FP42" i="26"/>
  <c r="FN45" i="26"/>
  <c r="GR92" i="26"/>
  <c r="GP94" i="26"/>
  <c r="FN90" i="26"/>
  <c r="FL93" i="26"/>
  <c r="DL164" i="26"/>
  <c r="DJ167" i="26"/>
  <c r="FN146" i="26"/>
  <c r="FL149" i="26"/>
  <c r="FN117" i="26"/>
  <c r="FL120" i="26"/>
  <c r="DJ54" i="26"/>
  <c r="DJ22" i="26"/>
  <c r="DH25" i="26"/>
  <c r="DJ32" i="26"/>
  <c r="DJ35" i="26" s="1"/>
  <c r="FP99" i="26" l="1"/>
  <c r="FN102" i="26"/>
  <c r="FZ119" i="26"/>
  <c r="FX121" i="26"/>
  <c r="HD137" i="26"/>
  <c r="HB140" i="26"/>
  <c r="HF44" i="26"/>
  <c r="HD46" i="26"/>
  <c r="HB71" i="26"/>
  <c r="GZ74" i="26"/>
  <c r="HD128" i="26"/>
  <c r="HB131" i="26"/>
  <c r="FP45" i="26"/>
  <c r="FR42" i="26"/>
  <c r="DJ53" i="26"/>
  <c r="DH55" i="26"/>
  <c r="GT92" i="26"/>
  <c r="GR94" i="26"/>
  <c r="FP146" i="26"/>
  <c r="FN149" i="26"/>
  <c r="DN164" i="26"/>
  <c r="DL167" i="26"/>
  <c r="FP117" i="26"/>
  <c r="FN120" i="26"/>
  <c r="FP90" i="26"/>
  <c r="FN93" i="26"/>
  <c r="DL54" i="26"/>
  <c r="DL32" i="26"/>
  <c r="DL22" i="26"/>
  <c r="DJ25" i="26"/>
  <c r="FR99" i="26" l="1"/>
  <c r="FP102" i="26"/>
  <c r="GB119" i="26"/>
  <c r="FZ121" i="26"/>
  <c r="GT94" i="26"/>
  <c r="GV92" i="26"/>
  <c r="HF137" i="26"/>
  <c r="HD140" i="26"/>
  <c r="HH44" i="26"/>
  <c r="HF46" i="26"/>
  <c r="HD71" i="26"/>
  <c r="HB74" i="26"/>
  <c r="HF128" i="26"/>
  <c r="HD131" i="26"/>
  <c r="DJ55" i="26"/>
  <c r="DL35" i="26"/>
  <c r="DN32" i="26"/>
  <c r="DN52" i="26" s="1"/>
  <c r="DL52" i="26"/>
  <c r="DL53" i="26" s="1"/>
  <c r="DL55" i="26" s="1"/>
  <c r="FR45" i="26"/>
  <c r="FT42" i="26"/>
  <c r="FR90" i="26"/>
  <c r="FP93" i="26"/>
  <c r="FR117" i="26"/>
  <c r="FP120" i="26"/>
  <c r="DP164" i="26"/>
  <c r="DN167" i="26"/>
  <c r="FR146" i="26"/>
  <c r="FP149" i="26"/>
  <c r="DP51" i="26"/>
  <c r="DR51" i="26" s="1"/>
  <c r="DN22" i="26"/>
  <c r="DL25" i="26"/>
  <c r="FT99" i="26" l="1"/>
  <c r="FR102" i="26"/>
  <c r="GD119" i="26"/>
  <c r="GB121" i="26"/>
  <c r="GX92" i="26"/>
  <c r="GV94" i="26"/>
  <c r="HH137" i="26"/>
  <c r="HF140" i="26"/>
  <c r="HJ44" i="26"/>
  <c r="HJ46" i="26" s="1"/>
  <c r="HH46" i="26"/>
  <c r="HF71" i="26"/>
  <c r="HD74" i="26"/>
  <c r="DN35" i="26"/>
  <c r="HH128" i="26"/>
  <c r="HF131" i="26"/>
  <c r="DN53" i="26"/>
  <c r="FV42" i="26"/>
  <c r="FT45" i="26"/>
  <c r="FT90" i="26"/>
  <c r="FR93" i="26"/>
  <c r="FT146" i="26"/>
  <c r="FR149" i="26"/>
  <c r="DR164" i="26"/>
  <c r="DP167" i="26"/>
  <c r="FT117" i="26"/>
  <c r="FR120" i="26"/>
  <c r="DP54" i="26"/>
  <c r="DP32" i="26"/>
  <c r="DP22" i="26"/>
  <c r="DN25" i="26"/>
  <c r="FV99" i="26" l="1"/>
  <c r="FT102" i="26"/>
  <c r="GF119" i="26"/>
  <c r="GD121" i="26"/>
  <c r="GZ92" i="26"/>
  <c r="GX94" i="26"/>
  <c r="HJ137" i="26"/>
  <c r="HJ140" i="26" s="1"/>
  <c r="HH140" i="26"/>
  <c r="HH71" i="26"/>
  <c r="HF74" i="26"/>
  <c r="HJ128" i="26"/>
  <c r="HJ131" i="26" s="1"/>
  <c r="HH131" i="26"/>
  <c r="DP35" i="26"/>
  <c r="DP52" i="26"/>
  <c r="DP53" i="26" s="1"/>
  <c r="DP55" i="26" s="1"/>
  <c r="FX42" i="26"/>
  <c r="FV45" i="26"/>
  <c r="DN55" i="26"/>
  <c r="FV117" i="26"/>
  <c r="FT120" i="26"/>
  <c r="DT164" i="26"/>
  <c r="DR167" i="26"/>
  <c r="FV146" i="26"/>
  <c r="FT149" i="26"/>
  <c r="FV90" i="26"/>
  <c r="FT93" i="26"/>
  <c r="DT51" i="26"/>
  <c r="DR54" i="26"/>
  <c r="DR32" i="26"/>
  <c r="DR52" i="26" s="1"/>
  <c r="DR22" i="26"/>
  <c r="DP25" i="26"/>
  <c r="FX99" i="26" l="1"/>
  <c r="FV102" i="26"/>
  <c r="GH119" i="26"/>
  <c r="GF121" i="26"/>
  <c r="HB92" i="26"/>
  <c r="GZ94" i="26"/>
  <c r="HJ71" i="26"/>
  <c r="HJ74" i="26" s="1"/>
  <c r="HH74" i="26"/>
  <c r="FZ42" i="26"/>
  <c r="FX45" i="26"/>
  <c r="DR35" i="26"/>
  <c r="DR53" i="26"/>
  <c r="DR55" i="26" s="1"/>
  <c r="FX90" i="26"/>
  <c r="FV93" i="26"/>
  <c r="FX117" i="26"/>
  <c r="FV120" i="26"/>
  <c r="FX146" i="26"/>
  <c r="FV149" i="26"/>
  <c r="DV164" i="26"/>
  <c r="DT167" i="26"/>
  <c r="DV51" i="26"/>
  <c r="DT54" i="26"/>
  <c r="DR25" i="26"/>
  <c r="DT22" i="26"/>
  <c r="DT32" i="26"/>
  <c r="FZ99" i="26" l="1"/>
  <c r="FX102" i="26"/>
  <c r="GJ119" i="26"/>
  <c r="GH121" i="26"/>
  <c r="HD92" i="26"/>
  <c r="HB94" i="26"/>
  <c r="DT35" i="26"/>
  <c r="DT52" i="26"/>
  <c r="DT53" i="26" s="1"/>
  <c r="DT55" i="26" s="1"/>
  <c r="FZ45" i="26"/>
  <c r="GB42" i="26"/>
  <c r="DX164" i="26"/>
  <c r="DV167" i="26"/>
  <c r="FZ146" i="26"/>
  <c r="FX149" i="26"/>
  <c r="FZ90" i="26"/>
  <c r="FX93" i="26"/>
  <c r="FZ117" i="26"/>
  <c r="FX120" i="26"/>
  <c r="DX51" i="26"/>
  <c r="DV54" i="26"/>
  <c r="DV32" i="26"/>
  <c r="DV52" i="26" s="1"/>
  <c r="DV22" i="26"/>
  <c r="DT25" i="26"/>
  <c r="GB99" i="26" l="1"/>
  <c r="FZ102" i="26"/>
  <c r="GL119" i="26"/>
  <c r="GJ121" i="26"/>
  <c r="HF92" i="26"/>
  <c r="HD94" i="26"/>
  <c r="DV53" i="26"/>
  <c r="DV55" i="26" s="1"/>
  <c r="GB45" i="26"/>
  <c r="GD42" i="26"/>
  <c r="DX32" i="26"/>
  <c r="DV35" i="26"/>
  <c r="GB90" i="26"/>
  <c r="FZ93" i="26"/>
  <c r="GB146" i="26"/>
  <c r="FZ149" i="26"/>
  <c r="DZ164" i="26"/>
  <c r="DX167" i="26"/>
  <c r="GB117" i="26"/>
  <c r="FZ120" i="26"/>
  <c r="DZ51" i="26"/>
  <c r="DX54" i="26"/>
  <c r="DX22" i="26"/>
  <c r="DV25" i="26"/>
  <c r="GD99" i="26" l="1"/>
  <c r="GB102" i="26"/>
  <c r="GN119" i="26"/>
  <c r="GL121" i="26"/>
  <c r="HH92" i="26"/>
  <c r="HF94" i="26"/>
  <c r="DX35" i="26"/>
  <c r="DX52" i="26"/>
  <c r="DX53" i="26" s="1"/>
  <c r="DX55" i="26" s="1"/>
  <c r="GF42" i="26"/>
  <c r="GD45" i="26"/>
  <c r="GD117" i="26"/>
  <c r="GB120" i="26"/>
  <c r="EB164" i="26"/>
  <c r="DZ167" i="26"/>
  <c r="GD146" i="26"/>
  <c r="GB149" i="26"/>
  <c r="GD90" i="26"/>
  <c r="GB93" i="26"/>
  <c r="EB51" i="26"/>
  <c r="DZ54" i="26"/>
  <c r="DZ22" i="26"/>
  <c r="DX25" i="26"/>
  <c r="DZ32" i="26"/>
  <c r="GF99" i="26" l="1"/>
  <c r="GD102" i="26"/>
  <c r="GP119" i="26"/>
  <c r="GN121" i="26"/>
  <c r="HJ92" i="26"/>
  <c r="HJ94" i="26" s="1"/>
  <c r="HH94" i="26"/>
  <c r="GH42" i="26"/>
  <c r="GF45" i="26"/>
  <c r="DZ35" i="26"/>
  <c r="DZ52" i="26"/>
  <c r="DZ53" i="26" s="1"/>
  <c r="DZ55" i="26" s="1"/>
  <c r="GF90" i="26"/>
  <c r="GD93" i="26"/>
  <c r="GF146" i="26"/>
  <c r="GD149" i="26"/>
  <c r="ED164" i="26"/>
  <c r="EB167" i="26"/>
  <c r="GF117" i="26"/>
  <c r="GD120" i="26"/>
  <c r="ED51" i="26"/>
  <c r="EB54" i="26"/>
  <c r="EB32" i="26"/>
  <c r="DZ25" i="26"/>
  <c r="EB22" i="26"/>
  <c r="GH99" i="26" l="1"/>
  <c r="GF102" i="26"/>
  <c r="GR119" i="26"/>
  <c r="GP121" i="26"/>
  <c r="EB35" i="26"/>
  <c r="EB52" i="26"/>
  <c r="EB53" i="26" s="1"/>
  <c r="EB55" i="26" s="1"/>
  <c r="GJ42" i="26"/>
  <c r="GH45" i="26"/>
  <c r="EF164" i="26"/>
  <c r="ED167" i="26"/>
  <c r="GH90" i="26"/>
  <c r="GF93" i="26"/>
  <c r="GH117" i="26"/>
  <c r="GF120" i="26"/>
  <c r="GH146" i="26"/>
  <c r="GF149" i="26"/>
  <c r="EF51" i="26"/>
  <c r="ED54" i="26"/>
  <c r="EB25" i="26"/>
  <c r="ED22" i="26"/>
  <c r="ED32" i="26"/>
  <c r="ED35" i="26" s="1"/>
  <c r="GJ99" i="26" l="1"/>
  <c r="GH102" i="26"/>
  <c r="GT119" i="26"/>
  <c r="GR121" i="26"/>
  <c r="GL42" i="26"/>
  <c r="GJ45" i="26"/>
  <c r="ED52" i="26"/>
  <c r="ED53" i="26" s="1"/>
  <c r="ED55" i="26" s="1"/>
  <c r="GJ117" i="26"/>
  <c r="GH120" i="26"/>
  <c r="GJ90" i="26"/>
  <c r="GH93" i="26"/>
  <c r="EH164" i="26"/>
  <c r="EF167" i="26"/>
  <c r="GJ146" i="26"/>
  <c r="GH149" i="26"/>
  <c r="EH51" i="26"/>
  <c r="EF54" i="26"/>
  <c r="EF32" i="26"/>
  <c r="EF22" i="26"/>
  <c r="ED25" i="26"/>
  <c r="GL99" i="26" l="1"/>
  <c r="GJ102" i="26"/>
  <c r="GV119" i="26"/>
  <c r="GT121" i="26"/>
  <c r="EF35" i="26"/>
  <c r="EF52" i="26"/>
  <c r="EF53" i="26" s="1"/>
  <c r="EF55" i="26" s="1"/>
  <c r="GN42" i="26"/>
  <c r="GL45" i="26"/>
  <c r="EJ164" i="26"/>
  <c r="EH167" i="26"/>
  <c r="GL117" i="26"/>
  <c r="GJ120" i="26"/>
  <c r="GL146" i="26"/>
  <c r="GJ149" i="26"/>
  <c r="GL90" i="26"/>
  <c r="GJ93" i="26"/>
  <c r="EJ51" i="26"/>
  <c r="EH54" i="26"/>
  <c r="EH32" i="26"/>
  <c r="EH22" i="26"/>
  <c r="EF25" i="26"/>
  <c r="GN99" i="26" l="1"/>
  <c r="GL102" i="26"/>
  <c r="GX119" i="26"/>
  <c r="GV121" i="26"/>
  <c r="EH35" i="26"/>
  <c r="EH52" i="26"/>
  <c r="GN45" i="26"/>
  <c r="GP42" i="26"/>
  <c r="GN90" i="26"/>
  <c r="GL93" i="26"/>
  <c r="GN146" i="26"/>
  <c r="GL149" i="26"/>
  <c r="GN117" i="26"/>
  <c r="GL120" i="26"/>
  <c r="EL164" i="26"/>
  <c r="EJ167" i="26"/>
  <c r="EL51" i="26"/>
  <c r="EJ54" i="26"/>
  <c r="EH25" i="26"/>
  <c r="EJ22" i="26"/>
  <c r="EJ32" i="26"/>
  <c r="GP99" i="26" l="1"/>
  <c r="GN102" i="26"/>
  <c r="GZ119" i="26"/>
  <c r="GX121" i="26"/>
  <c r="EH53" i="26"/>
  <c r="EH55" i="26" s="1"/>
  <c r="GR42" i="26"/>
  <c r="GP45" i="26"/>
  <c r="EJ35" i="26"/>
  <c r="EJ52" i="26"/>
  <c r="GP146" i="26"/>
  <c r="GN149" i="26"/>
  <c r="GP90" i="26"/>
  <c r="GN93" i="26"/>
  <c r="EN164" i="26"/>
  <c r="EL167" i="26"/>
  <c r="GP117" i="26"/>
  <c r="GN120" i="26"/>
  <c r="EN51" i="26"/>
  <c r="EL54" i="26"/>
  <c r="EL32" i="26"/>
  <c r="EL52" i="26" s="1"/>
  <c r="EL22" i="26"/>
  <c r="EJ25" i="26"/>
  <c r="GR99" i="26" l="1"/>
  <c r="GP102" i="26"/>
  <c r="HB119" i="26"/>
  <c r="GZ121" i="26"/>
  <c r="EJ53" i="26"/>
  <c r="EJ55" i="26" s="1"/>
  <c r="GT42" i="26"/>
  <c r="GR45" i="26"/>
  <c r="EP164" i="26"/>
  <c r="EN167" i="26"/>
  <c r="GR117" i="26"/>
  <c r="GP120" i="26"/>
  <c r="GR90" i="26"/>
  <c r="GP93" i="26"/>
  <c r="GR146" i="26"/>
  <c r="GP149" i="26"/>
  <c r="EP51" i="26"/>
  <c r="EN54" i="26"/>
  <c r="EN22" i="26"/>
  <c r="EL25" i="26"/>
  <c r="EN32" i="26"/>
  <c r="EN52" i="26" s="1"/>
  <c r="EL35" i="26"/>
  <c r="GT99" i="26" l="1"/>
  <c r="GR102" i="26"/>
  <c r="HD119" i="26"/>
  <c r="HB121" i="26"/>
  <c r="EL53" i="26"/>
  <c r="EL55" i="26" s="1"/>
  <c r="GT45" i="26"/>
  <c r="GV42" i="26"/>
  <c r="GT90" i="26"/>
  <c r="GR93" i="26"/>
  <c r="ER164" i="26"/>
  <c r="EP167" i="26"/>
  <c r="GT146" i="26"/>
  <c r="GR149" i="26"/>
  <c r="GT117" i="26"/>
  <c r="GR120" i="26"/>
  <c r="ER51" i="26"/>
  <c r="EP54" i="26"/>
  <c r="EP32" i="26"/>
  <c r="EP52" i="26" s="1"/>
  <c r="EN35" i="26"/>
  <c r="EP22" i="26"/>
  <c r="EN25" i="26"/>
  <c r="GT102" i="26" l="1"/>
  <c r="GV99" i="26"/>
  <c r="HF119" i="26"/>
  <c r="HD121" i="26"/>
  <c r="GT149" i="26"/>
  <c r="GV146" i="26"/>
  <c r="EN53" i="26"/>
  <c r="EN55" i="26" s="1"/>
  <c r="GX42" i="26"/>
  <c r="GV45" i="26"/>
  <c r="GT120" i="26"/>
  <c r="GV117" i="26"/>
  <c r="GT93" i="26"/>
  <c r="GV90" i="26"/>
  <c r="ET164" i="26"/>
  <c r="ER167" i="26"/>
  <c r="ET51" i="26"/>
  <c r="ER54" i="26"/>
  <c r="EP25" i="26"/>
  <c r="ER22" i="26"/>
  <c r="EP35" i="26"/>
  <c r="ER32" i="26"/>
  <c r="ER52" i="26" s="1"/>
  <c r="GX99" i="26" l="1"/>
  <c r="GV102" i="26"/>
  <c r="HH119" i="26"/>
  <c r="HF121" i="26"/>
  <c r="GX146" i="26"/>
  <c r="GV149" i="26"/>
  <c r="EP53" i="26"/>
  <c r="EP55" i="26" s="1"/>
  <c r="GZ42" i="26"/>
  <c r="GX45" i="26"/>
  <c r="GX117" i="26"/>
  <c r="GV120" i="26"/>
  <c r="GX90" i="26"/>
  <c r="GV93" i="26"/>
  <c r="EV164" i="26"/>
  <c r="ET167" i="26"/>
  <c r="EV51" i="26"/>
  <c r="ET54" i="26"/>
  <c r="ET32" i="26"/>
  <c r="ET52" i="26" s="1"/>
  <c r="ER35" i="26"/>
  <c r="ET22" i="26"/>
  <c r="ER25" i="26"/>
  <c r="GX102" i="26" l="1"/>
  <c r="GZ99" i="26"/>
  <c r="HJ119" i="26"/>
  <c r="HJ121" i="26" s="1"/>
  <c r="HH121" i="26"/>
  <c r="GZ146" i="26"/>
  <c r="GX149" i="26"/>
  <c r="ER53" i="26"/>
  <c r="ER55" i="26" s="1"/>
  <c r="HB42" i="26"/>
  <c r="GZ45" i="26"/>
  <c r="GZ117" i="26"/>
  <c r="GX120" i="26"/>
  <c r="GZ90" i="26"/>
  <c r="GX93" i="26"/>
  <c r="EX164" i="26"/>
  <c r="EV167" i="26"/>
  <c r="EX51" i="26"/>
  <c r="EV54" i="26"/>
  <c r="EV22" i="26"/>
  <c r="ET25" i="26"/>
  <c r="EV32" i="26"/>
  <c r="EV52" i="26" s="1"/>
  <c r="ET35" i="26"/>
  <c r="GZ102" i="26" l="1"/>
  <c r="HB99" i="26"/>
  <c r="HB146" i="26"/>
  <c r="GZ149" i="26"/>
  <c r="ET53" i="26"/>
  <c r="ET55" i="26" s="1"/>
  <c r="HD42" i="26"/>
  <c r="HB45" i="26"/>
  <c r="HB117" i="26"/>
  <c r="HB120" i="26" s="1"/>
  <c r="GZ120" i="26"/>
  <c r="HB90" i="26"/>
  <c r="GZ93" i="26"/>
  <c r="EZ164" i="26"/>
  <c r="EX167" i="26"/>
  <c r="EZ51" i="26"/>
  <c r="EX54" i="26"/>
  <c r="EX22" i="26"/>
  <c r="EV25" i="26"/>
  <c r="EX32" i="26"/>
  <c r="EX52" i="26" s="1"/>
  <c r="EV35" i="26"/>
  <c r="HB102" i="26" l="1"/>
  <c r="HD99" i="26"/>
  <c r="HD146" i="26"/>
  <c r="HB149" i="26"/>
  <c r="EV53" i="26"/>
  <c r="EV55" i="26" s="1"/>
  <c r="HF42" i="26"/>
  <c r="HD45" i="26"/>
  <c r="HD117" i="26"/>
  <c r="HD90" i="26"/>
  <c r="HB93" i="26"/>
  <c r="FB164" i="26"/>
  <c r="EZ167" i="26"/>
  <c r="FB51" i="26"/>
  <c r="EZ54" i="26"/>
  <c r="EX35" i="26"/>
  <c r="EZ32" i="26"/>
  <c r="EZ52" i="26" s="1"/>
  <c r="EX25" i="26"/>
  <c r="EZ22" i="26"/>
  <c r="HD102" i="26" l="1"/>
  <c r="HF99" i="26"/>
  <c r="HF146" i="26"/>
  <c r="HD149" i="26"/>
  <c r="EX53" i="26"/>
  <c r="EX55" i="26" s="1"/>
  <c r="HH42" i="26"/>
  <c r="HF45" i="26"/>
  <c r="HF117" i="26"/>
  <c r="HD120" i="26"/>
  <c r="HF90" i="26"/>
  <c r="HD93" i="26"/>
  <c r="FD164" i="26"/>
  <c r="FB167" i="26"/>
  <c r="FD51" i="26"/>
  <c r="FB54" i="26"/>
  <c r="FB32" i="26"/>
  <c r="FB52" i="26" s="1"/>
  <c r="EZ35" i="26"/>
  <c r="FB22" i="26"/>
  <c r="EZ25" i="26"/>
  <c r="HH99" i="26" l="1"/>
  <c r="HF102" i="26"/>
  <c r="HH146" i="26"/>
  <c r="HF149" i="26"/>
  <c r="EZ53" i="26"/>
  <c r="EZ55" i="26" s="1"/>
  <c r="HJ42" i="26"/>
  <c r="HJ45" i="26" s="1"/>
  <c r="HH45" i="26"/>
  <c r="HH117" i="26"/>
  <c r="HF120" i="26"/>
  <c r="HH90" i="26"/>
  <c r="HF93" i="26"/>
  <c r="FF164" i="26"/>
  <c r="FD167" i="26"/>
  <c r="FF51" i="26"/>
  <c r="FD54" i="26"/>
  <c r="FD22" i="26"/>
  <c r="FB25" i="26"/>
  <c r="FD32" i="26"/>
  <c r="FD52" i="26" s="1"/>
  <c r="FB35" i="26"/>
  <c r="HJ99" i="26" l="1"/>
  <c r="HJ102" i="26" s="1"/>
  <c r="HH102" i="26"/>
  <c r="HJ146" i="26"/>
  <c r="HJ149" i="26" s="1"/>
  <c r="HH149" i="26"/>
  <c r="FB53" i="26"/>
  <c r="FB55" i="26" s="1"/>
  <c r="HJ117" i="26"/>
  <c r="HJ120" i="26" s="1"/>
  <c r="HH120" i="26"/>
  <c r="HJ90" i="26"/>
  <c r="HJ93" i="26" s="1"/>
  <c r="HH93" i="26"/>
  <c r="FH164" i="26"/>
  <c r="FF167" i="26"/>
  <c r="FH51" i="26"/>
  <c r="FF54" i="26"/>
  <c r="FF32" i="26"/>
  <c r="FF52" i="26" s="1"/>
  <c r="FD35" i="26"/>
  <c r="FF22" i="26"/>
  <c r="FD25" i="26"/>
  <c r="FD53" i="26" l="1"/>
  <c r="FD55" i="26" s="1"/>
  <c r="FJ164" i="26"/>
  <c r="FH167" i="26"/>
  <c r="FJ51" i="26"/>
  <c r="FH54" i="26"/>
  <c r="FF25" i="26"/>
  <c r="FH22" i="26"/>
  <c r="FF35" i="26"/>
  <c r="FH32" i="26"/>
  <c r="FH52" i="26" s="1"/>
  <c r="FF53" i="26" l="1"/>
  <c r="FF55" i="26" s="1"/>
  <c r="FL164" i="26"/>
  <c r="FJ167" i="26"/>
  <c r="FL51" i="26"/>
  <c r="FJ54" i="26"/>
  <c r="FJ32" i="26"/>
  <c r="FJ52" i="26" s="1"/>
  <c r="FH35" i="26"/>
  <c r="FJ22" i="26"/>
  <c r="FH25" i="26"/>
  <c r="FH53" i="26" l="1"/>
  <c r="FH55" i="26" s="1"/>
  <c r="FN164" i="26"/>
  <c r="FL167" i="26"/>
  <c r="FN51" i="26"/>
  <c r="FL54" i="26"/>
  <c r="FL22" i="26"/>
  <c r="FJ25" i="26"/>
  <c r="FL32" i="26"/>
  <c r="FL52" i="26" s="1"/>
  <c r="FJ35" i="26"/>
  <c r="FJ53" i="26" l="1"/>
  <c r="FJ55" i="26" s="1"/>
  <c r="FP164" i="26"/>
  <c r="FN167" i="26"/>
  <c r="FP51" i="26"/>
  <c r="FN54" i="26"/>
  <c r="FN32" i="26"/>
  <c r="FN52" i="26" s="1"/>
  <c r="FL35" i="26"/>
  <c r="FN22" i="26"/>
  <c r="FL25" i="26"/>
  <c r="FL53" i="26" l="1"/>
  <c r="FL55" i="26" s="1"/>
  <c r="FR164" i="26"/>
  <c r="FP167" i="26"/>
  <c r="FR51" i="26"/>
  <c r="FP54" i="26"/>
  <c r="FN35" i="26"/>
  <c r="FP32" i="26"/>
  <c r="FP52" i="26" s="1"/>
  <c r="FN25" i="26"/>
  <c r="FP22" i="26"/>
  <c r="FN53" i="26" l="1"/>
  <c r="FN55" i="26" s="1"/>
  <c r="FT164" i="26"/>
  <c r="FR167" i="26"/>
  <c r="FT51" i="26"/>
  <c r="FR54" i="26"/>
  <c r="FR32" i="26"/>
  <c r="FR52" i="26" s="1"/>
  <c r="FP35" i="26"/>
  <c r="FR22" i="26"/>
  <c r="FP25" i="26"/>
  <c r="FP53" i="26" l="1"/>
  <c r="FP55" i="26" s="1"/>
  <c r="FV164" i="26"/>
  <c r="FT167" i="26"/>
  <c r="FV51" i="26"/>
  <c r="FT54" i="26"/>
  <c r="FT32" i="26"/>
  <c r="FT52" i="26" s="1"/>
  <c r="FR35" i="26"/>
  <c r="FT22" i="26"/>
  <c r="FR25" i="26"/>
  <c r="FR53" i="26" l="1"/>
  <c r="FR55" i="26" s="1"/>
  <c r="FX164" i="26"/>
  <c r="FV167" i="26"/>
  <c r="FX51" i="26"/>
  <c r="FZ51" i="26" s="1"/>
  <c r="FV54" i="26"/>
  <c r="FV22" i="26"/>
  <c r="FT25" i="26"/>
  <c r="FV32" i="26"/>
  <c r="FV52" i="26" s="1"/>
  <c r="FT35" i="26"/>
  <c r="FT53" i="26" l="1"/>
  <c r="FT55" i="26" s="1"/>
  <c r="FZ164" i="26"/>
  <c r="FX167" i="26"/>
  <c r="FX54" i="26"/>
  <c r="FV25" i="26"/>
  <c r="FX22" i="26"/>
  <c r="FV35" i="26"/>
  <c r="FX32" i="26"/>
  <c r="FX52" i="26" s="1"/>
  <c r="FV53" i="26" l="1"/>
  <c r="FV55" i="26" s="1"/>
  <c r="GB164" i="26"/>
  <c r="FZ167" i="26"/>
  <c r="GB51" i="26"/>
  <c r="FZ54" i="26"/>
  <c r="FZ32" i="26"/>
  <c r="FZ52" i="26" s="1"/>
  <c r="FX35" i="26"/>
  <c r="FZ22" i="26"/>
  <c r="FX25" i="26"/>
  <c r="FX53" i="26" l="1"/>
  <c r="FX55" i="26" s="1"/>
  <c r="GD164" i="26"/>
  <c r="GB167" i="26"/>
  <c r="GD51" i="26"/>
  <c r="GB54" i="26"/>
  <c r="GB22" i="26"/>
  <c r="FZ25" i="26"/>
  <c r="GB32" i="26"/>
  <c r="FZ35" i="26"/>
  <c r="FZ53" i="26" l="1"/>
  <c r="GF164" i="26"/>
  <c r="GD167" i="26"/>
  <c r="GF51" i="26"/>
  <c r="GD54" i="26"/>
  <c r="GD32" i="26"/>
  <c r="GB35" i="26"/>
  <c r="GD22" i="26"/>
  <c r="GB25" i="26"/>
  <c r="GB53" i="26" l="1"/>
  <c r="FZ55" i="26"/>
  <c r="GH164" i="26"/>
  <c r="GF167" i="26"/>
  <c r="GH51" i="26"/>
  <c r="GF54" i="26"/>
  <c r="GD25" i="26"/>
  <c r="GF22" i="26"/>
  <c r="GD35" i="26"/>
  <c r="GF32" i="26"/>
  <c r="GD53" i="26" l="1"/>
  <c r="GB55" i="26"/>
  <c r="GJ164" i="26"/>
  <c r="GH167" i="26"/>
  <c r="GJ51" i="26"/>
  <c r="GH54" i="26"/>
  <c r="GH32" i="26"/>
  <c r="GF35" i="26"/>
  <c r="GH22" i="26"/>
  <c r="GF25" i="26"/>
  <c r="GD55" i="26" l="1"/>
  <c r="GF53" i="26"/>
  <c r="GL164" i="26"/>
  <c r="GJ167" i="26"/>
  <c r="GL51" i="26"/>
  <c r="GJ54" i="26"/>
  <c r="GJ22" i="26"/>
  <c r="GH25" i="26"/>
  <c r="GJ32" i="26"/>
  <c r="GH35" i="26"/>
  <c r="GF55" i="26" l="1"/>
  <c r="GH53" i="26"/>
  <c r="GN164" i="26"/>
  <c r="GL167" i="26"/>
  <c r="GN51" i="26"/>
  <c r="GL54" i="26"/>
  <c r="GL22" i="26"/>
  <c r="GJ25" i="26"/>
  <c r="GL32" i="26"/>
  <c r="GJ35" i="26"/>
  <c r="GJ53" i="26" l="1"/>
  <c r="GH55" i="26"/>
  <c r="GP164" i="26"/>
  <c r="GN167" i="26"/>
  <c r="GP51" i="26"/>
  <c r="GN54" i="26"/>
  <c r="GL35" i="26"/>
  <c r="GN32" i="26"/>
  <c r="GL25" i="26"/>
  <c r="GN22" i="26"/>
  <c r="GJ55" i="26" l="1"/>
  <c r="GL53" i="26"/>
  <c r="GR164" i="26"/>
  <c r="GP167" i="26"/>
  <c r="GR51" i="26"/>
  <c r="GP54" i="26"/>
  <c r="GP32" i="26"/>
  <c r="GN35" i="26"/>
  <c r="GP22" i="26"/>
  <c r="GN25" i="26"/>
  <c r="GN53" i="26" l="1"/>
  <c r="GL55" i="26"/>
  <c r="GT164" i="26"/>
  <c r="GR167" i="26"/>
  <c r="GT51" i="26"/>
  <c r="GR54" i="26"/>
  <c r="GR22" i="26"/>
  <c r="GP25" i="26"/>
  <c r="GR32" i="26"/>
  <c r="GP35" i="26"/>
  <c r="GT167" i="26" l="1"/>
  <c r="GV164" i="26"/>
  <c r="GP53" i="26"/>
  <c r="GN55" i="26"/>
  <c r="GT54" i="26"/>
  <c r="GV51" i="26"/>
  <c r="GT32" i="26"/>
  <c r="GR35" i="26"/>
  <c r="GT22" i="26"/>
  <c r="GR25" i="26"/>
  <c r="GX164" i="26" l="1"/>
  <c r="GV167" i="26"/>
  <c r="GT25" i="26"/>
  <c r="GV22" i="26"/>
  <c r="GR53" i="26"/>
  <c r="GP55" i="26"/>
  <c r="GX51" i="26"/>
  <c r="GV54" i="26"/>
  <c r="GT35" i="26"/>
  <c r="GV32" i="26"/>
  <c r="H85" i="107"/>
  <c r="GZ164" i="26" l="1"/>
  <c r="GX167" i="26"/>
  <c r="GX22" i="26"/>
  <c r="GV25" i="26"/>
  <c r="GT53" i="26"/>
  <c r="GR55" i="26"/>
  <c r="GZ51" i="26"/>
  <c r="GX54" i="26"/>
  <c r="GX32" i="26"/>
  <c r="GV35" i="26"/>
  <c r="G85" i="107"/>
  <c r="H81" i="107"/>
  <c r="HB164" i="26" l="1"/>
  <c r="GZ167" i="26"/>
  <c r="GZ22" i="26"/>
  <c r="GX25" i="26"/>
  <c r="GT55" i="26"/>
  <c r="GV53" i="26"/>
  <c r="HB51" i="26"/>
  <c r="GZ54" i="26"/>
  <c r="GZ32" i="26"/>
  <c r="GX35" i="26"/>
  <c r="HD164" i="26" l="1"/>
  <c r="HB167" i="26"/>
  <c r="HB22" i="26"/>
  <c r="GZ25" i="26"/>
  <c r="GV55" i="26"/>
  <c r="GX53" i="26"/>
  <c r="HD51" i="26"/>
  <c r="HB54" i="26"/>
  <c r="HB32" i="26"/>
  <c r="GZ35" i="26"/>
  <c r="HF164" i="26" l="1"/>
  <c r="HD167" i="26"/>
  <c r="HD22" i="26"/>
  <c r="HB25" i="26"/>
  <c r="GZ53" i="26"/>
  <c r="GX55" i="26"/>
  <c r="HF51" i="26"/>
  <c r="HD54" i="26"/>
  <c r="HD32" i="26"/>
  <c r="HB35" i="26"/>
  <c r="H59" i="107"/>
  <c r="HH164" i="26" l="1"/>
  <c r="HF167" i="26"/>
  <c r="HF22" i="26"/>
  <c r="HD25" i="26"/>
  <c r="HB53" i="26"/>
  <c r="GZ55" i="26"/>
  <c r="HH51" i="26"/>
  <c r="HF54" i="26"/>
  <c r="HF32" i="26"/>
  <c r="HD35" i="26"/>
  <c r="G59" i="107"/>
  <c r="HJ164" i="26" l="1"/>
  <c r="HJ167" i="26" s="1"/>
  <c r="HH167" i="26"/>
  <c r="HH22" i="26"/>
  <c r="HF25" i="26"/>
  <c r="HD53" i="26"/>
  <c r="HB55" i="26"/>
  <c r="HJ51" i="26"/>
  <c r="HJ54" i="26" s="1"/>
  <c r="HH54" i="26"/>
  <c r="HH32" i="26"/>
  <c r="HF35" i="26"/>
  <c r="HJ22" i="26" l="1"/>
  <c r="HJ25" i="26" s="1"/>
  <c r="HH25" i="26"/>
  <c r="HF53" i="26"/>
  <c r="HD55" i="26"/>
  <c r="HJ32" i="26"/>
  <c r="HJ35" i="26" s="1"/>
  <c r="HH35" i="26"/>
  <c r="HF55" i="26" l="1"/>
  <c r="HH53" i="26"/>
  <c r="HJ53" i="26" l="1"/>
  <c r="HJ55" i="26" s="1"/>
  <c r="HH55" i="26"/>
  <c r="H47" i="107" l="1"/>
  <c r="G47" i="107" s="1"/>
  <c r="H53" i="107"/>
  <c r="G53" i="107" s="1"/>
  <c r="AP39" i="101" l="1"/>
  <c r="G21" i="135"/>
  <c r="C8" i="95" l="1"/>
  <c r="Q37" i="135"/>
  <c r="Q39" i="135" s="1"/>
  <c r="J10" i="135"/>
  <c r="J11" i="135" l="1"/>
  <c r="J10" i="159"/>
  <c r="E9" i="159" s="1"/>
  <c r="U9" i="159" s="1"/>
  <c r="B37" i="159"/>
  <c r="B54" i="155" l="1"/>
  <c r="J9" i="135" l="1"/>
  <c r="E7" i="96"/>
  <c r="I69" i="22" s="1"/>
  <c r="N69" i="22" s="1"/>
  <c r="X69" i="22" l="1"/>
  <c r="Y69" i="22" s="1"/>
  <c r="O69" i="22"/>
  <c r="S69" i="22"/>
  <c r="E10" i="135"/>
  <c r="I8" i="95" s="1"/>
  <c r="T69" i="22" l="1"/>
  <c r="U10" i="135"/>
  <c r="W11" i="135" s="1"/>
  <c r="S11" i="22"/>
  <c r="X11" i="22"/>
  <c r="J147" i="164"/>
  <c r="J160" i="164" s="1"/>
  <c r="J174" i="164" l="1"/>
  <c r="J176" i="164" s="1"/>
  <c r="J178" i="164" s="1"/>
  <c r="I13" i="22" s="1"/>
  <c r="N13" i="22" s="1"/>
  <c r="S13" i="22" l="1"/>
  <c r="S10" i="22" s="1"/>
  <c r="X13" i="22"/>
  <c r="L8" i="95" s="1"/>
  <c r="M8" i="95" l="1"/>
  <c r="X10" i="22"/>
  <c r="M9" i="95"/>
  <c r="L14" i="95" l="1"/>
  <c r="H38" i="107"/>
  <c r="G38" i="107" s="1"/>
  <c r="H14" i="107"/>
  <c r="G14" i="107" s="1"/>
  <c r="H27" i="107" l="1"/>
  <c r="G27" i="107" s="1"/>
  <c r="H55" i="107" l="1"/>
  <c r="G55" i="107" s="1"/>
  <c r="H21" i="107"/>
  <c r="G21" i="107" s="1"/>
  <c r="H22" i="107" l="1"/>
  <c r="G22" i="107" s="1"/>
  <c r="H18" i="107"/>
  <c r="G18" i="107" s="1"/>
  <c r="H23" i="107" l="1"/>
  <c r="G23" i="107" s="1"/>
  <c r="V128" i="135" l="1"/>
  <c r="V133" i="135" s="1"/>
  <c r="G123" i="135"/>
  <c r="C14" i="95" s="1"/>
  <c r="C17" i="95" s="1"/>
  <c r="C18" i="95" s="1"/>
  <c r="I55" i="155" s="1"/>
  <c r="Q55" i="155" l="1"/>
  <c r="I56" i="155"/>
  <c r="B55" i="155"/>
  <c r="P11" i="94"/>
  <c r="M32" i="101"/>
  <c r="AH32" i="101" s="1"/>
  <c r="H47" i="101"/>
  <c r="P24" i="94"/>
  <c r="P27" i="94" s="1"/>
  <c r="Q66" i="155"/>
  <c r="P15" i="94"/>
  <c r="P17" i="94" s="1"/>
  <c r="AB17" i="94" s="1"/>
  <c r="P7" i="94"/>
  <c r="P23" i="94"/>
  <c r="P30" i="94" s="1"/>
  <c r="P6" i="94"/>
  <c r="P10" i="94"/>
  <c r="P12" i="94" s="1"/>
  <c r="AB13" i="94"/>
  <c r="B93" i="155"/>
  <c r="I59" i="155"/>
  <c r="B57" i="101"/>
  <c r="S116" i="135"/>
  <c r="I57" i="155" l="1"/>
  <c r="Q56" i="155"/>
  <c r="B56" i="155"/>
  <c r="P14" i="94"/>
  <c r="AB10" i="94"/>
  <c r="B68" i="155"/>
  <c r="B70" i="155"/>
  <c r="P9" i="94"/>
  <c r="AB24" i="94"/>
  <c r="AB23" i="94"/>
  <c r="Q93" i="155"/>
  <c r="B94" i="155"/>
  <c r="B69" i="155"/>
  <c r="B64" i="155"/>
  <c r="B65" i="155"/>
  <c r="B67" i="155"/>
  <c r="B66" i="155"/>
  <c r="U116" i="135"/>
  <c r="U123" i="135" s="1"/>
  <c r="S123" i="135"/>
  <c r="J109" i="135"/>
  <c r="O37" i="141"/>
  <c r="B57" i="155" l="1"/>
  <c r="Q57" i="155"/>
  <c r="AB9" i="94"/>
  <c r="B60" i="155"/>
  <c r="AB6" i="94"/>
  <c r="BD47" i="101"/>
  <c r="B49" i="101" s="1"/>
  <c r="J108" i="135"/>
  <c r="E109" i="135" s="1"/>
  <c r="F3" i="140"/>
  <c r="F27" i="140"/>
  <c r="F22" i="140"/>
  <c r="O26" i="141"/>
  <c r="F58" i="140"/>
  <c r="O43" i="141"/>
  <c r="F49" i="140"/>
  <c r="F4" i="140"/>
  <c r="F12" i="140"/>
  <c r="O12" i="141"/>
  <c r="F28" i="140"/>
  <c r="O20" i="141"/>
  <c r="F18" i="140"/>
  <c r="F65" i="140"/>
  <c r="O28" i="141"/>
  <c r="O21" i="141"/>
  <c r="F66" i="140"/>
  <c r="O34" i="141"/>
  <c r="O19" i="141"/>
  <c r="F15" i="140"/>
  <c r="F23" i="140"/>
  <c r="O35" i="141"/>
  <c r="O31" i="141"/>
  <c r="F7" i="140"/>
  <c r="O45" i="141"/>
  <c r="F59" i="140"/>
  <c r="O14" i="141"/>
  <c r="O30" i="141"/>
  <c r="F54" i="140"/>
  <c r="O44" i="141"/>
  <c r="F43" i="140"/>
  <c r="F53" i="140"/>
  <c r="F8" i="140"/>
  <c r="F62" i="140"/>
  <c r="F73" i="140"/>
  <c r="O7" i="141"/>
  <c r="O33" i="141"/>
  <c r="O17" i="141"/>
  <c r="F14" i="140"/>
  <c r="F52" i="140"/>
  <c r="F71" i="140"/>
  <c r="F75" i="140"/>
  <c r="F55" i="140"/>
  <c r="F31" i="140"/>
  <c r="O42" i="141"/>
  <c r="F74" i="140"/>
  <c r="F64" i="140"/>
  <c r="F24" i="140"/>
  <c r="O38" i="141"/>
  <c r="F13" i="140"/>
  <c r="F57" i="140"/>
  <c r="F11" i="140"/>
  <c r="F69" i="140"/>
  <c r="O40" i="141"/>
  <c r="F32" i="140"/>
  <c r="O39" i="141"/>
  <c r="F47" i="140"/>
  <c r="F21" i="140"/>
  <c r="F46" i="140"/>
  <c r="F38" i="140"/>
  <c r="F10" i="140"/>
  <c r="O15" i="141"/>
  <c r="O23" i="141"/>
  <c r="F48" i="140"/>
  <c r="F9" i="140"/>
  <c r="O13" i="141"/>
  <c r="F70" i="140"/>
  <c r="F40" i="140"/>
  <c r="O3" i="141"/>
  <c r="F39" i="140"/>
  <c r="F26" i="140"/>
  <c r="O6" i="141"/>
  <c r="F25" i="140"/>
  <c r="F19" i="140"/>
  <c r="F41" i="140"/>
  <c r="F6" i="140"/>
  <c r="F56" i="140"/>
  <c r="F30" i="140"/>
  <c r="O11" i="141"/>
  <c r="F60" i="140"/>
  <c r="O47" i="141"/>
  <c r="O22" i="141"/>
  <c r="F34" i="140"/>
  <c r="O25" i="141"/>
  <c r="F17" i="140"/>
  <c r="F51" i="140"/>
  <c r="O10" i="141"/>
  <c r="F20" i="140"/>
  <c r="O29" i="141"/>
  <c r="F63" i="140"/>
  <c r="F36" i="140"/>
  <c r="F68" i="140"/>
  <c r="O8" i="141"/>
  <c r="F29" i="140"/>
  <c r="F16" i="140"/>
  <c r="O27" i="141"/>
  <c r="O4" i="141"/>
  <c r="O9" i="141"/>
  <c r="F45" i="140"/>
  <c r="F76" i="140"/>
  <c r="F72" i="140"/>
  <c r="O46" i="141"/>
  <c r="F35" i="140"/>
  <c r="F50" i="140"/>
  <c r="O24" i="141"/>
  <c r="F33" i="140"/>
  <c r="F67" i="140"/>
  <c r="O18" i="141"/>
  <c r="O41" i="141"/>
  <c r="F44" i="140"/>
  <c r="F37" i="140"/>
  <c r="F5" i="140"/>
  <c r="O32" i="141"/>
  <c r="F42" i="140"/>
  <c r="O5" i="141"/>
  <c r="M33" i="101"/>
  <c r="AH33" i="101" s="1"/>
  <c r="AH34" i="101" s="1"/>
  <c r="B63" i="155"/>
  <c r="BG49" i="101" l="1"/>
  <c r="B61" i="155"/>
  <c r="B59" i="155"/>
  <c r="B62" i="155"/>
  <c r="U109" i="135"/>
  <c r="I10" i="95"/>
  <c r="M10" i="95" s="1"/>
  <c r="Q59" i="155"/>
  <c r="Q71" i="155" s="1"/>
  <c r="AP38" i="101"/>
  <c r="AP40" i="101" s="1"/>
  <c r="X10" i="101"/>
  <c r="X11" i="101" l="1"/>
  <c r="AG10" i="101" s="1"/>
  <c r="BG1" i="101" s="1"/>
  <c r="I14" i="95"/>
  <c r="G60" i="140"/>
  <c r="G30" i="140"/>
  <c r="G15" i="140"/>
  <c r="G17" i="140"/>
  <c r="P10" i="141"/>
  <c r="G35" i="140"/>
  <c r="P37" i="141"/>
  <c r="P27" i="141"/>
  <c r="G42" i="140"/>
  <c r="G29" i="140"/>
  <c r="P33" i="141"/>
  <c r="G28" i="140"/>
  <c r="G23" i="140"/>
  <c r="P26" i="141"/>
  <c r="G9" i="140"/>
  <c r="G65" i="140"/>
  <c r="G62" i="140"/>
  <c r="G49" i="140"/>
  <c r="G63" i="140"/>
  <c r="P45" i="141"/>
  <c r="P41" i="141"/>
  <c r="G73" i="140"/>
  <c r="G39" i="140"/>
  <c r="P17" i="141"/>
  <c r="P18" i="141"/>
  <c r="P47" i="141"/>
  <c r="G59" i="140"/>
  <c r="G67" i="140"/>
  <c r="G74" i="140"/>
  <c r="G75" i="140"/>
  <c r="G37" i="140"/>
  <c r="P44" i="141"/>
  <c r="G25" i="140"/>
  <c r="P15" i="141"/>
  <c r="G33" i="140"/>
  <c r="P46" i="141"/>
  <c r="G45" i="140"/>
  <c r="G31" i="140"/>
  <c r="G12" i="140"/>
  <c r="P20" i="141"/>
  <c r="G11" i="140"/>
  <c r="P12" i="141"/>
  <c r="P28" i="141"/>
  <c r="AB7" i="94"/>
  <c r="G56" i="140"/>
  <c r="G22" i="140"/>
  <c r="G19" i="140"/>
  <c r="G70" i="140"/>
  <c r="P35" i="141"/>
  <c r="P34" i="141"/>
  <c r="P25" i="141"/>
  <c r="P4" i="141"/>
  <c r="P11" i="141"/>
  <c r="P9" i="141"/>
  <c r="G66" i="140"/>
  <c r="P8" i="141"/>
  <c r="G16" i="140"/>
  <c r="G52" i="140"/>
  <c r="G44" i="140"/>
  <c r="P31" i="141"/>
  <c r="P40" i="141"/>
  <c r="G72" i="140"/>
  <c r="P38" i="141"/>
  <c r="P21" i="141"/>
  <c r="P19" i="141"/>
  <c r="P13" i="141"/>
  <c r="G43" i="140"/>
  <c r="G4" i="140"/>
  <c r="G71" i="140"/>
  <c r="G54" i="140"/>
  <c r="G38" i="140"/>
  <c r="G58" i="140"/>
  <c r="G21" i="140"/>
  <c r="G48" i="140"/>
  <c r="G51" i="140"/>
  <c r="P7" i="141"/>
  <c r="G24" i="140"/>
  <c r="P6" i="141"/>
  <c r="P24" i="141"/>
  <c r="G8" i="140"/>
  <c r="G26" i="140"/>
  <c r="P23" i="141"/>
  <c r="G32" i="140"/>
  <c r="P30" i="141"/>
  <c r="P43" i="141"/>
  <c r="P3" i="141"/>
  <c r="G41" i="140"/>
  <c r="G18" i="140"/>
  <c r="G50" i="140"/>
  <c r="G64" i="140"/>
  <c r="G53" i="140"/>
  <c r="G36" i="140"/>
  <c r="P14" i="141"/>
  <c r="G76" i="140"/>
  <c r="G40" i="140"/>
  <c r="P22" i="141"/>
  <c r="P29" i="141"/>
  <c r="G68" i="140"/>
  <c r="G3" i="140"/>
  <c r="G55" i="140"/>
  <c r="G57" i="140"/>
  <c r="P42" i="141"/>
  <c r="G46" i="140"/>
  <c r="G7" i="140"/>
  <c r="G5" i="140"/>
  <c r="G14" i="140"/>
  <c r="G27" i="140"/>
  <c r="G69" i="140"/>
  <c r="G34" i="140"/>
  <c r="G20" i="140"/>
  <c r="P5" i="141"/>
  <c r="G10" i="140"/>
  <c r="P32" i="141"/>
  <c r="P39" i="141"/>
  <c r="G47" i="140"/>
  <c r="G6" i="140"/>
  <c r="G13" i="140"/>
  <c r="AB27" i="94" l="1"/>
  <c r="P28" i="94"/>
  <c r="M14" i="95"/>
  <c r="E10" i="96"/>
  <c r="I67" i="22" s="1"/>
  <c r="N67" i="22" s="1"/>
  <c r="S67" i="22" l="1"/>
  <c r="O67" i="22"/>
  <c r="O68" i="22"/>
  <c r="S68" i="22"/>
  <c r="P29" i="94"/>
  <c r="AB28" i="94"/>
  <c r="AB30" i="94" l="1"/>
  <c r="P33" i="94"/>
  <c r="X67" i="22"/>
  <c r="Y67" i="22" s="1"/>
  <c r="T67" i="22"/>
  <c r="X68" i="22"/>
  <c r="Y68" i="22" s="1"/>
  <c r="T68" i="22"/>
  <c r="AB29" i="94"/>
  <c r="AB31" i="94"/>
  <c r="P13" i="22"/>
  <c r="P34" i="94" l="1"/>
  <c r="AB34" i="94" s="1"/>
  <c r="AB33" i="94"/>
  <c r="AB11" i="94"/>
  <c r="H12" i="107"/>
  <c r="G12" i="107" s="1"/>
  <c r="O13" i="22"/>
  <c r="K13" i="22"/>
  <c r="U13" i="22" s="1"/>
  <c r="AB35" i="94" l="1"/>
  <c r="AB12" i="94"/>
  <c r="Y13" i="22"/>
  <c r="T13" i="22"/>
  <c r="H19" i="107" l="1"/>
  <c r="G19" i="107" s="1"/>
  <c r="AB15" i="94"/>
  <c r="AB14" i="94"/>
  <c r="H13" i="107"/>
  <c r="G13" i="107" s="1"/>
  <c r="AB20" i="94" l="1"/>
  <c r="AB8" i="22" s="1"/>
  <c r="AB31" i="22" l="1"/>
  <c r="AC31" i="22" s="1"/>
  <c r="AB32" i="22"/>
  <c r="AC32" i="22" s="1"/>
  <c r="AB30" i="22"/>
  <c r="AC30" i="22" s="1"/>
  <c r="AB29" i="22"/>
  <c r="AC29" i="22" s="1"/>
  <c r="AB28" i="22"/>
  <c r="AC28" i="22" s="1"/>
  <c r="AB21" i="22"/>
  <c r="AC21" i="22" s="1"/>
  <c r="AB25" i="22"/>
  <c r="AC25" i="22" s="1"/>
  <c r="AB27" i="22"/>
  <c r="AC27" i="22" s="1"/>
  <c r="AB26" i="22"/>
  <c r="AC26" i="22" s="1"/>
  <c r="AB20" i="22"/>
  <c r="AC20" i="22" s="1"/>
  <c r="AB18" i="22"/>
  <c r="AC18" i="22" s="1"/>
  <c r="AB19" i="22"/>
  <c r="AC19" i="22" s="1"/>
  <c r="AB33" i="22"/>
  <c r="AC33" i="22" s="1"/>
  <c r="AB16" i="22"/>
  <c r="AC16" i="22" s="1"/>
  <c r="AB15" i="22"/>
  <c r="AC15" i="22" s="1"/>
  <c r="AB14" i="22"/>
  <c r="AC14" i="22" s="1"/>
  <c r="L91" i="155"/>
  <c r="Q91" i="155" s="1"/>
  <c r="Q95" i="155" s="1"/>
  <c r="J10" i="155" s="1"/>
  <c r="E9" i="155" s="1"/>
  <c r="U9" i="155" s="1"/>
  <c r="AB11" i="22"/>
  <c r="AB24" i="22" l="1"/>
  <c r="AC24" i="22" s="1"/>
  <c r="AB22" i="22"/>
  <c r="AC22" i="22" s="1"/>
  <c r="AC11" i="22"/>
  <c r="AB12" i="22"/>
  <c r="AC12" i="22" s="1"/>
  <c r="AB13" i="22"/>
  <c r="AC13" i="22" s="1"/>
  <c r="AB17" i="22"/>
  <c r="AC17" i="22" s="1"/>
  <c r="E5" i="96"/>
  <c r="I66" i="22" s="1"/>
  <c r="N66" i="22" s="1"/>
  <c r="E11" i="96" l="1"/>
  <c r="X66" i="22"/>
  <c r="X65" i="22" s="1"/>
  <c r="X71" i="22" s="1"/>
  <c r="S66" i="22" l="1"/>
  <c r="S65" i="22" s="1"/>
  <c r="S71" i="22" s="1"/>
  <c r="O66" i="22"/>
  <c r="T66" i="22" s="1"/>
  <c r="Y66" i="22"/>
  <c r="Y65" i="22" s="1"/>
  <c r="L18" i="95" l="1"/>
  <c r="L19" i="95" s="1"/>
  <c r="Z69" i="22"/>
  <c r="Z66" i="22" l="1"/>
  <c r="Z68" i="22"/>
  <c r="Z67" i="22"/>
  <c r="Z65" i="22" l="1"/>
  <c r="P11" i="22"/>
  <c r="O11" i="22"/>
  <c r="K11" i="22"/>
  <c r="P10" i="22" l="1"/>
  <c r="P71" i="22" s="1"/>
  <c r="E12" i="96" s="1"/>
  <c r="T11" i="22"/>
  <c r="U11" i="22"/>
  <c r="U10" i="22" s="1"/>
  <c r="E13" i="96" l="1"/>
  <c r="C21" i="96"/>
  <c r="Y11" i="22"/>
  <c r="AD30" i="22" l="1"/>
  <c r="AD32" i="22"/>
  <c r="AD31" i="22"/>
  <c r="AD28" i="22"/>
  <c r="AD29" i="22"/>
  <c r="AD21" i="22"/>
  <c r="AD26" i="22"/>
  <c r="AD27" i="22"/>
  <c r="AD25" i="22"/>
  <c r="AD19" i="22"/>
  <c r="AD20" i="22"/>
  <c r="AD18" i="22"/>
  <c r="AD15" i="22"/>
  <c r="AD16" i="22"/>
  <c r="AD14" i="22"/>
  <c r="AD33" i="22"/>
  <c r="Y10" i="22"/>
  <c r="AD11" i="22"/>
  <c r="H17" i="107"/>
  <c r="G17" i="107" s="1"/>
  <c r="AD23" i="22"/>
  <c r="AD24" i="22"/>
  <c r="AD12" i="22"/>
  <c r="AD22" i="22"/>
  <c r="AD17" i="22"/>
  <c r="AD13" i="22"/>
  <c r="H11" i="107"/>
  <c r="Y71" i="22" l="1"/>
  <c r="Z58" i="22"/>
  <c r="Z53" i="22"/>
  <c r="Z50" i="22"/>
  <c r="Z51" i="22"/>
  <c r="Z54" i="22"/>
  <c r="Z57" i="22"/>
  <c r="Z55" i="22"/>
  <c r="Z56" i="22"/>
  <c r="Z52" i="22"/>
  <c r="Z49" i="22"/>
  <c r="Z48" i="22" s="1"/>
  <c r="Z21" i="22"/>
  <c r="Z43" i="22"/>
  <c r="Z20" i="22"/>
  <c r="Z19" i="22"/>
  <c r="Z18" i="22"/>
  <c r="Z16" i="22"/>
  <c r="Z14" i="22"/>
  <c r="Z15" i="22"/>
  <c r="Z22" i="22"/>
  <c r="Z17" i="22"/>
  <c r="Z13" i="22"/>
  <c r="Z12" i="22"/>
  <c r="Z11" i="22"/>
  <c r="Z42" i="22"/>
  <c r="Z23" i="22"/>
  <c r="Z41" i="22"/>
  <c r="Z44" i="22"/>
  <c r="Z45" i="22"/>
  <c r="Z40" i="22"/>
  <c r="Z46" i="22"/>
  <c r="G11" i="107"/>
  <c r="H10" i="107"/>
  <c r="H91" i="107" s="1"/>
  <c r="Z10" i="22" l="1"/>
  <c r="AT80" i="26" l="1"/>
  <c r="F46" i="166" s="1"/>
  <c r="AT81" i="26" l="1"/>
  <c r="AT84" i="26" s="1"/>
  <c r="AV81" i="26" l="1"/>
  <c r="AX81" i="26"/>
  <c r="AV84" i="26"/>
  <c r="AZ81" i="26" l="1"/>
  <c r="AX84" i="26"/>
  <c r="BB81" i="26" l="1"/>
  <c r="BD80" i="26" s="1"/>
  <c r="AZ84" i="26"/>
  <c r="BD81" i="26" l="1"/>
  <c r="BB84" i="26"/>
  <c r="BD84" i="26" l="1"/>
  <c r="BF81" i="26"/>
  <c r="BH81" i="26" l="1"/>
  <c r="BF84" i="26"/>
  <c r="BJ81" i="26" l="1"/>
  <c r="BH84" i="26"/>
  <c r="BJ84" i="26" l="1"/>
  <c r="BL81" i="26"/>
  <c r="BN81" i="26" l="1"/>
  <c r="F47" i="166"/>
  <c r="K47" i="166"/>
  <c r="BL84" i="26"/>
  <c r="BP81" i="26" l="1"/>
  <c r="BN84" i="26"/>
  <c r="BP84" i="26" l="1"/>
  <c r="BR81" i="26"/>
  <c r="BT81" i="26" l="1"/>
  <c r="BR84" i="26"/>
  <c r="BV81" i="26" l="1"/>
  <c r="BT84" i="26"/>
  <c r="BX81" i="26" l="1"/>
  <c r="BV84" i="26"/>
  <c r="BX84" i="26" l="1"/>
  <c r="BZ81" i="26"/>
  <c r="CB81" i="26" l="1"/>
  <c r="BZ84" i="26"/>
  <c r="CB84" i="26" l="1"/>
  <c r="CD81" i="26"/>
  <c r="CF81" i="26" l="1"/>
  <c r="L48" i="166"/>
  <c r="CD84" i="26"/>
  <c r="CH81" i="26" l="1"/>
  <c r="K48" i="166"/>
  <c r="CF84" i="26"/>
  <c r="CH84" i="26" l="1"/>
  <c r="CJ81" i="26"/>
  <c r="F48" i="166"/>
  <c r="CJ84" i="26" l="1"/>
  <c r="CL81" i="26"/>
  <c r="CL84" i="26" l="1"/>
  <c r="CN81" i="26"/>
  <c r="CP81" i="26" l="1"/>
  <c r="CN84" i="26"/>
  <c r="K49" i="166"/>
  <c r="CR81" i="26" l="1"/>
  <c r="F49" i="166"/>
  <c r="CP84" i="26"/>
  <c r="CT81" i="26" l="1"/>
  <c r="CR84" i="26"/>
  <c r="CT84" i="26" l="1"/>
  <c r="CV81" i="26"/>
  <c r="CV84" i="26" l="1"/>
  <c r="CX81" i="26"/>
  <c r="CZ81" i="26" l="1"/>
  <c r="CX84" i="26"/>
  <c r="DB81" i="26" l="1"/>
  <c r="CZ84" i="26"/>
  <c r="DD81" i="26" l="1"/>
  <c r="DB84" i="26"/>
  <c r="DF81" i="26" l="1"/>
  <c r="DD84" i="26"/>
  <c r="DF84" i="26" l="1"/>
  <c r="DH81" i="26"/>
  <c r="DH84" i="26" l="1"/>
  <c r="DJ81" i="26"/>
  <c r="DL81" i="26" l="1"/>
  <c r="DJ84" i="26"/>
  <c r="DN81" i="26" l="1"/>
  <c r="DL84" i="26"/>
  <c r="DP81" i="26" l="1"/>
  <c r="DN84" i="26"/>
  <c r="DR81" i="26" l="1"/>
  <c r="DP84" i="26"/>
  <c r="DR84" i="26" l="1"/>
  <c r="DT81" i="26"/>
  <c r="DT84" i="26" l="1"/>
  <c r="DV81" i="26"/>
  <c r="DX81" i="26" l="1"/>
  <c r="DV84" i="26"/>
  <c r="DZ81" i="26" l="1"/>
  <c r="DX84" i="26"/>
  <c r="EB81" i="26" l="1"/>
  <c r="DZ84" i="26"/>
  <c r="ED81" i="26" l="1"/>
  <c r="EB84" i="26"/>
  <c r="ED84" i="26" l="1"/>
  <c r="EF81" i="26"/>
  <c r="EF84" i="26" l="1"/>
  <c r="EH81" i="26"/>
  <c r="EJ81" i="26" l="1"/>
  <c r="EH84" i="26"/>
  <c r="EL81" i="26" l="1"/>
  <c r="EJ84" i="26"/>
  <c r="EN81" i="26" l="1"/>
  <c r="EL84" i="26"/>
  <c r="EP81" i="26" l="1"/>
  <c r="EN84" i="26"/>
  <c r="EP84" i="26" l="1"/>
  <c r="ER81" i="26"/>
  <c r="ER84" i="26" l="1"/>
  <c r="ET81" i="26"/>
  <c r="EV81" i="26" l="1"/>
  <c r="ET84" i="26"/>
  <c r="EX81" i="26" l="1"/>
  <c r="EV84" i="26"/>
  <c r="EZ81" i="26" l="1"/>
  <c r="EX84" i="26"/>
  <c r="FB81" i="26" l="1"/>
  <c r="EZ84" i="26"/>
  <c r="FB84" i="26" l="1"/>
  <c r="FD81" i="26"/>
  <c r="FD84" i="26" l="1"/>
  <c r="FF81" i="26"/>
  <c r="FH81" i="26" l="1"/>
  <c r="FF84" i="26"/>
  <c r="FJ81" i="26" l="1"/>
  <c r="FH84" i="26"/>
  <c r="FL81" i="26" l="1"/>
  <c r="FJ84" i="26"/>
  <c r="FN81" i="26" l="1"/>
  <c r="FL84" i="26"/>
  <c r="FN84" i="26" l="1"/>
  <c r="FP81" i="26"/>
  <c r="FP84" i="26" l="1"/>
  <c r="FR81" i="26"/>
  <c r="FT81" i="26" l="1"/>
  <c r="FR84" i="26"/>
  <c r="FV81" i="26" l="1"/>
  <c r="FT84" i="26"/>
  <c r="FX81" i="26" l="1"/>
  <c r="FV84" i="26"/>
  <c r="FZ81" i="26" l="1"/>
  <c r="FX84" i="26"/>
  <c r="FZ84" i="26" l="1"/>
  <c r="GB81" i="26"/>
  <c r="GB84" i="26" l="1"/>
  <c r="GD81" i="26"/>
  <c r="GF81" i="26" l="1"/>
  <c r="GD84" i="26"/>
  <c r="GH81" i="26" l="1"/>
  <c r="GF84" i="26"/>
  <c r="GJ81" i="26" l="1"/>
  <c r="GH84" i="26"/>
  <c r="GL81" i="26" l="1"/>
  <c r="GJ84" i="26"/>
  <c r="GL84" i="26" l="1"/>
  <c r="GN81" i="26"/>
  <c r="GN84" i="26" l="1"/>
  <c r="GP81" i="26"/>
  <c r="GR81" i="26" l="1"/>
  <c r="GP84" i="26"/>
  <c r="GT81" i="26" l="1"/>
  <c r="GR84" i="26"/>
  <c r="GV81" i="26" l="1"/>
  <c r="GT84" i="26"/>
  <c r="GX81" i="26" l="1"/>
  <c r="GV84" i="26"/>
  <c r="GX84" i="26" l="1"/>
  <c r="GZ81" i="26"/>
  <c r="GZ84" i="26" l="1"/>
  <c r="HB81" i="26"/>
  <c r="HD81" i="26" l="1"/>
  <c r="HB84" i="26"/>
  <c r="HF81" i="26" l="1"/>
  <c r="HD84" i="26"/>
  <c r="HH81" i="26" l="1"/>
  <c r="HF84" i="26"/>
  <c r="HH84" i="26" l="1"/>
  <c r="HJ81" i="26"/>
  <c r="HJ84" i="26" s="1"/>
  <c r="U71" i="22"/>
  <c r="Z36" i="22"/>
  <c r="W71" i="22"/>
  <c r="V71" i="22"/>
  <c r="Z35" i="22"/>
  <c r="Z37" i="22" l="1"/>
  <c r="Z39" i="22"/>
  <c r="Z38" i="22"/>
  <c r="Z34" i="22" l="1"/>
  <c r="E14" i="96"/>
  <c r="AA65" i="22"/>
  <c r="AA10" i="22"/>
  <c r="E15" i="96" l="1"/>
  <c r="C20" i="96"/>
  <c r="C27" i="96"/>
  <c r="C29" i="96" l="1"/>
  <c r="D29" i="96" s="1"/>
  <c r="C32" i="96"/>
  <c r="F22" i="96"/>
  <c r="D24" i="96"/>
  <c r="D30" i="96" l="1"/>
  <c r="C33"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H18" authorId="0" shapeId="0" xr:uid="{01388F81-4405-4534-8079-52840208C81E}">
      <text>
        <r>
          <rPr>
            <b/>
            <sz val="9"/>
            <color indexed="81"/>
            <rFont val="Segoe UI"/>
            <family val="2"/>
          </rPr>
          <t>aquisição</t>
        </r>
      </text>
    </comment>
    <comment ref="H45" authorId="0" shapeId="0" xr:uid="{68BF1656-46E3-4C26-ABB8-EDE2852673FF}">
      <text>
        <r>
          <rPr>
            <b/>
            <sz val="9"/>
            <color indexed="81"/>
            <rFont val="Segoe UI"/>
            <family val="2"/>
          </rPr>
          <t>aquisição</t>
        </r>
      </text>
    </comment>
  </commentList>
</comments>
</file>

<file path=xl/sharedStrings.xml><?xml version="1.0" encoding="utf-8"?>
<sst xmlns="http://schemas.openxmlformats.org/spreadsheetml/2006/main" count="13385" uniqueCount="1556">
  <si>
    <t>EMPRESA :</t>
  </si>
  <si>
    <t>MENDES LÔBO CONSTRUÇÃO</t>
  </si>
  <si>
    <t>CLIENTE :</t>
  </si>
  <si>
    <t>-</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</si>
  <si>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</si>
  <si>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</si>
  <si>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</si>
  <si>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</si>
  <si>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</si>
  <si>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</si>
  <si>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</si>
  <si>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</si>
  <si>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</si>
  <si>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</si>
  <si>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</si>
  <si>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</si>
  <si>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</si>
  <si>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</si>
  <si>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</si>
  <si>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</si>
  <si>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</si>
  <si>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</si>
  <si>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</si>
  <si>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</si>
  <si>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</si>
  <si>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</si>
  <si>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</si>
  <si>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</si>
  <si>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</si>
  <si>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</si>
  <si>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</si>
  <si>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</si>
  <si>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</si>
  <si>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</si>
  <si>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</si>
  <si>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</si>
  <si>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</si>
  <si>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</si>
  <si>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</si>
  <si>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</si>
  <si>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</si>
  <si>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</si>
  <si>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</si>
  <si>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</si>
  <si>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</si>
  <si>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</si>
  <si>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</si>
  <si>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</si>
  <si>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</si>
  <si>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</si>
  <si>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</si>
  <si>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</si>
  <si>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</si>
  <si>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</si>
  <si>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</si>
  <si>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</si>
  <si>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</si>
  <si>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</si>
  <si>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</si>
  <si>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</si>
  <si>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</si>
  <si>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</si>
  <si>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</si>
  <si>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</si>
  <si>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</si>
  <si>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</si>
  <si>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</si>
  <si>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</si>
  <si>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</si>
  <si>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</si>
  <si>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</si>
  <si>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</si>
  <si>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</si>
  <si>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</si>
  <si>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</si>
  <si>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</si>
  <si>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</si>
  <si>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</si>
  <si>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</si>
  <si>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</si>
  <si>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</si>
  <si>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</si>
  <si>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</si>
  <si>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</si>
  <si>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</si>
  <si>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</si>
  <si>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</si>
  <si>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</si>
  <si>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</si>
  <si>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</si>
  <si>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</si>
  <si>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</si>
  <si>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</si>
  <si>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</si>
  <si>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</si>
  <si>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</si>
  <si>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</si>
  <si>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</si>
  <si>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</si>
  <si>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</si>
  <si>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 xml:space="preserve"> SISTEMA DA GESTÃO DA QUALIDADE</t>
  </si>
  <si>
    <t>Ref: Mês:</t>
  </si>
  <si>
    <t xml:space="preserve"> </t>
  </si>
  <si>
    <t>ORÇAMENTO INFRAESTRUTURA</t>
  </si>
  <si>
    <t>Período de execução dos serviços:</t>
  </si>
  <si>
    <t>Nome da Obra.:</t>
  </si>
  <si>
    <t>BARRAGEM DE REJEITO</t>
  </si>
  <si>
    <t xml:space="preserve">Data de Emissão:                          </t>
  </si>
  <si>
    <t>Vencimento:</t>
  </si>
  <si>
    <t>REVISÃO 00</t>
  </si>
  <si>
    <t>PILAR GOLD - GO</t>
  </si>
  <si>
    <t>LINHA</t>
  </si>
  <si>
    <t>SERVIÇOS</t>
  </si>
  <si>
    <t>QTD TOTAL</t>
  </si>
  <si>
    <t>Unidade</t>
  </si>
  <si>
    <t>Valores</t>
  </si>
  <si>
    <t>R$ Unitário</t>
  </si>
  <si>
    <t>R$ Total</t>
  </si>
  <si>
    <t>1.1</t>
  </si>
  <si>
    <t>1.2</t>
  </si>
  <si>
    <t>1.3</t>
  </si>
  <si>
    <t>1.4</t>
  </si>
  <si>
    <t>2.1</t>
  </si>
  <si>
    <t>2.2</t>
  </si>
  <si>
    <t>2.3</t>
  </si>
  <si>
    <t>3.1</t>
  </si>
  <si>
    <t>3.2</t>
  </si>
  <si>
    <t>3.3</t>
  </si>
  <si>
    <t>4.0</t>
  </si>
  <si>
    <t>4.1</t>
  </si>
  <si>
    <t>4.2</t>
  </si>
  <si>
    <t>4.3</t>
  </si>
  <si>
    <t>4.4</t>
  </si>
  <si>
    <t>4.5</t>
  </si>
  <si>
    <t>4.6</t>
  </si>
  <si>
    <t>4.7</t>
  </si>
  <si>
    <t>4.8</t>
  </si>
  <si>
    <t>4.9</t>
  </si>
  <si>
    <t>5.1</t>
  </si>
  <si>
    <t>5.2</t>
  </si>
  <si>
    <t>5.3</t>
  </si>
  <si>
    <t>5.4</t>
  </si>
  <si>
    <t>5.5</t>
  </si>
  <si>
    <t>5.6</t>
  </si>
  <si>
    <t>6.1</t>
  </si>
  <si>
    <t>6.2</t>
  </si>
  <si>
    <t>6.3</t>
  </si>
  <si>
    <t>7.1</t>
  </si>
  <si>
    <t>7.2</t>
  </si>
  <si>
    <t>7.3</t>
  </si>
  <si>
    <t>8.1</t>
  </si>
  <si>
    <t>8.2</t>
  </si>
  <si>
    <t>8.3</t>
  </si>
  <si>
    <t>8.4</t>
  </si>
  <si>
    <t>9.1</t>
  </si>
  <si>
    <t>9.2</t>
  </si>
  <si>
    <t>9.3</t>
  </si>
  <si>
    <t>9.4</t>
  </si>
  <si>
    <t>9.5</t>
  </si>
  <si>
    <t>9.6</t>
  </si>
  <si>
    <t>9.7</t>
  </si>
  <si>
    <t>9.8</t>
  </si>
  <si>
    <t>10.1</t>
  </si>
  <si>
    <t>10.2</t>
  </si>
  <si>
    <t>10.3</t>
  </si>
  <si>
    <t>10.4</t>
  </si>
  <si>
    <t>10.5</t>
  </si>
  <si>
    <t>10.6</t>
  </si>
  <si>
    <t>11.1</t>
  </si>
  <si>
    <t>11.2</t>
  </si>
  <si>
    <t>11.3</t>
  </si>
  <si>
    <t>11.4</t>
  </si>
  <si>
    <t>11.5</t>
  </si>
  <si>
    <t>11.6</t>
  </si>
  <si>
    <t>11.7</t>
  </si>
  <si>
    <t>TOTAL</t>
  </si>
  <si>
    <t>________________________________________________________________________</t>
  </si>
  <si>
    <t xml:space="preserve">MENDES LÔBO CONSTRUÇÃO </t>
  </si>
  <si>
    <t>OBRA:</t>
  </si>
  <si>
    <t xml:space="preserve">LOCAL: </t>
  </si>
  <si>
    <t>DATA:</t>
  </si>
  <si>
    <t>ORÇAMENTO FINANCEIRO</t>
  </si>
  <si>
    <t>COMPOSIÇÃO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</si>
  <si>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</si>
  <si>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</si>
  <si>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</si>
  <si>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</si>
  <si>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</si>
  <si>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</si>
  <si>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</si>
  <si>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</si>
  <si>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</si>
  <si>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</si>
  <si>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</si>
  <si>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</si>
  <si>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</si>
  <si>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MATERIAL</t>
  </si>
  <si>
    <t>DIESEL</t>
  </si>
  <si>
    <t>BDI</t>
  </si>
  <si>
    <t>M.O</t>
  </si>
  <si>
    <t>SER/MAT/M.O/COMB/EQUIP</t>
  </si>
  <si>
    <t>MATERIAL/M.O/EQUIP</t>
  </si>
  <si>
    <t>TERRAPLANAGEM</t>
  </si>
  <si>
    <t>m²</t>
  </si>
  <si>
    <t>LIM</t>
  </si>
  <si>
    <t>Carga, manobra e descarga de agregados ou solos em caminhão basculante de 14 m³-carga com carregadeira de 3,40 m³ e descarga livre</t>
  </si>
  <si>
    <t>Transporte com caminhão basculante de 14 m³ - rodovia pavimentada</t>
  </si>
  <si>
    <t>Escavação, carga e transporte de material de 1ª categoria - DMT de 50 a 200 m - caminho de serviço pavimentado - com escavadeira e caminhão basculante de 14 m³</t>
  </si>
  <si>
    <t>m³</t>
  </si>
  <si>
    <t>1.5</t>
  </si>
  <si>
    <t>Escavação, carga e transporte de material de 1ª categoria - DMT de 200 a 400 m - caminho de serviço pavimentado - com escavadeira e caminhão basculante de 14 m³</t>
  </si>
  <si>
    <t>1.6</t>
  </si>
  <si>
    <t>Escavação, carga e transporte de material de 1ª categoria - DMT de 3.000 m - caminho de serviço pavimentado - com escavadeira e caminhão basculante de 14 m³</t>
  </si>
  <si>
    <t>1.7</t>
  </si>
  <si>
    <t>1.8</t>
  </si>
  <si>
    <t>Compactação de aterros a 100% do Proctor intermediário</t>
  </si>
  <si>
    <t>1.9</t>
  </si>
  <si>
    <t>Compactação de aterros a 100% do Proctor normal</t>
  </si>
  <si>
    <t>Regularização de bota fora com espalhamento e compactação</t>
  </si>
  <si>
    <t>DRENAGEM</t>
  </si>
  <si>
    <t>Reaterro e compactação com soquete vibratório</t>
  </si>
  <si>
    <t>Compactação manual</t>
  </si>
  <si>
    <t>2.4</t>
  </si>
  <si>
    <t>2.5</t>
  </si>
  <si>
    <t>2.6</t>
  </si>
  <si>
    <t>m</t>
  </si>
  <si>
    <t>2.7</t>
  </si>
  <si>
    <t>Boca BSTC D = 0,60 m - esconsidade 0° - areia e brita comerciais - alas retas</t>
  </si>
  <si>
    <t>2.8</t>
  </si>
  <si>
    <t>2.9</t>
  </si>
  <si>
    <t>PAVIMENTAÇÃO</t>
  </si>
  <si>
    <t>3.4</t>
  </si>
  <si>
    <t>3.5</t>
  </si>
  <si>
    <t>3.6</t>
  </si>
  <si>
    <t>Base de solo melhorado com 3,0% de cimento e mistura na pista com material de jazida</t>
  </si>
  <si>
    <t>Base de solo estabilizado granulometricamente sem mistura com material de jazida</t>
  </si>
  <si>
    <t>Sub-base de solo estabilizado granulometricamente sem mistura com material de jazida</t>
  </si>
  <si>
    <t>Remoção mecanizada de revestimento betuminoso</t>
  </si>
  <si>
    <t>TERRAPLENAGEM</t>
  </si>
  <si>
    <t>Escavação, carga e transporte de material de 1ª categoria - DMT de 400 a 600 m - caminho de serviço pavimentado - com escavadeira e caminhão basculante de 14 m³</t>
  </si>
  <si>
    <t>Escavação, carga e transporte de material de 1ª categoria - DMT de 1600 a 1800 m - caminho de serviço pavimentado - com escavadeira e caminhão basculante de 14 m³</t>
  </si>
  <si>
    <t>Escavação, carga e transporte de material de 1ª categoria - DMT de 1800 a 2000 m - caminho de serviço pavimentado - com escavadeira e caminhão basculante de 14 m³</t>
  </si>
  <si>
    <t>Escavação, carga e transporte de material de 1ª categoria - DMT de 2000 a 2500 m - caminho de serviço pavimentado - com escavadeira e caminhão basculante de 14 m³</t>
  </si>
  <si>
    <t>Escavação, carga e transporte de material de 1ª categoria - DMT de 2500 a 3000 m - caminho de serviço pavimentado - com escavadeira e caminhão basculante de 14 m³</t>
  </si>
  <si>
    <t>INDIRETOS</t>
  </si>
  <si>
    <t>IND</t>
  </si>
  <si>
    <t>QSMS</t>
  </si>
  <si>
    <t>B D I</t>
  </si>
  <si>
    <t>APLICAÇÃO</t>
  </si>
  <si>
    <t>SIGLA</t>
  </si>
  <si>
    <t>SERVIÇO</t>
  </si>
  <si>
    <t>Limpeza e Desmatamento</t>
  </si>
  <si>
    <t>Terraplenagem</t>
  </si>
  <si>
    <t>TER</t>
  </si>
  <si>
    <t>Drenagem Pluvial</t>
  </si>
  <si>
    <t>DRN</t>
  </si>
  <si>
    <t>Sistema de Água</t>
  </si>
  <si>
    <t>SAA</t>
  </si>
  <si>
    <t>Sistema de Esgoto</t>
  </si>
  <si>
    <t>SES</t>
  </si>
  <si>
    <t>Pavimentação</t>
  </si>
  <si>
    <t>PAV</t>
  </si>
  <si>
    <t>Despesas Indiretas</t>
  </si>
  <si>
    <t>Serviços terceirizados</t>
  </si>
  <si>
    <t>EMP</t>
  </si>
  <si>
    <t>Obra Civil</t>
  </si>
  <si>
    <t>CIV</t>
  </si>
  <si>
    <t>UNIDADE</t>
  </si>
  <si>
    <t>INICIO: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</si>
  <si>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</si>
  <si>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</si>
  <si>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</si>
  <si>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</si>
  <si>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</si>
  <si>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</si>
  <si>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</si>
  <si>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</si>
  <si>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</si>
  <si>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</si>
  <si>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</si>
  <si>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</si>
  <si>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</si>
  <si>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</si>
  <si>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</si>
  <si>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</si>
  <si>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</si>
  <si>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</si>
  <si>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</si>
  <si>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</si>
  <si>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</si>
  <si>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Produtividade/mês</t>
  </si>
  <si>
    <t>Dias trabalhados</t>
  </si>
  <si>
    <t>Nº De Equipes</t>
  </si>
  <si>
    <t>Qtd. Planejada</t>
  </si>
  <si>
    <t>Qtd Plan. Acumulada</t>
  </si>
  <si>
    <t>Qtd. Executada</t>
  </si>
  <si>
    <t>Qtd Exec. Acumulada</t>
  </si>
  <si>
    <t>Quant. Plan/Planejado. (%)</t>
  </si>
  <si>
    <t>Quant. Exec/Planejado. (%)</t>
  </si>
  <si>
    <t>RESUMO DO CUSTO FIXO</t>
  </si>
  <si>
    <t>EQUIPE</t>
  </si>
  <si>
    <t>HC</t>
  </si>
  <si>
    <t>PERMANÊNCIA
(meses)</t>
  </si>
  <si>
    <t>CUSTO FIXO MENSAL</t>
  </si>
  <si>
    <t>CUSTO FIXO TOTAL</t>
  </si>
  <si>
    <t>CUSTO DE VENDA</t>
  </si>
  <si>
    <t>ADMINISTRAÇÃO</t>
  </si>
  <si>
    <t>LABORATORIO</t>
  </si>
  <si>
    <t>TOPOGRAFIA</t>
  </si>
  <si>
    <t>MECÂNICA</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</si>
  <si>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</si>
  <si>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</si>
  <si>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</si>
  <si>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</si>
  <si>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</si>
  <si>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</si>
  <si>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</si>
  <si>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</si>
  <si>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</si>
  <si>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FATURAMENTO DIRETO</t>
  </si>
  <si>
    <t>IMPOSTOS</t>
  </si>
  <si>
    <t xml:space="preserve">VALOR FINAL </t>
  </si>
  <si>
    <t>RESULTADO</t>
  </si>
  <si>
    <t>CRONOGRAMA DE DESEMBOLSO - PREVISÃO</t>
  </si>
  <si>
    <t>DESCRIÇÃO</t>
  </si>
  <si>
    <t>ACUMULADO</t>
  </si>
  <si>
    <t>PREVISTO</t>
  </si>
  <si>
    <t>REALIZADO</t>
  </si>
  <si>
    <t>MO / EQUIP</t>
  </si>
  <si>
    <t>DESMATAMENTO</t>
  </si>
  <si>
    <t>DRENAGEM E OAC</t>
  </si>
  <si>
    <t>REDE DE ESGOTO</t>
  </si>
  <si>
    <t>REDE DE ÁGUA</t>
  </si>
  <si>
    <t>REDE DE ENERGIA ELETRICA</t>
  </si>
  <si>
    <t>ARBORIZAÇÃO E AJARDINAMENTO</t>
  </si>
  <si>
    <t>SINALIZAÇÃO</t>
  </si>
  <si>
    <t xml:space="preserve">LIMPEZA GERAL DA OBRA </t>
  </si>
  <si>
    <t>DESPESAS INDIRETAS</t>
  </si>
  <si>
    <t>SUB TOTAL</t>
  </si>
  <si>
    <t>RESUMO DE DESEMBOLSO</t>
  </si>
  <si>
    <t>DESPESA ANO ANTERIOR - 2017</t>
  </si>
  <si>
    <t>DESPESA ANO ATUAL - 2018</t>
  </si>
  <si>
    <t>DIFERENÇA</t>
  </si>
  <si>
    <t>EQUIPE:</t>
  </si>
  <si>
    <t>MÃO DE OBRA</t>
  </si>
  <si>
    <t>PERMANÊNCIA - MÊS</t>
  </si>
  <si>
    <t>CUSTO TOTAL</t>
  </si>
  <si>
    <t>EQUIPAMENTOS</t>
  </si>
  <si>
    <t>VERBAS</t>
  </si>
  <si>
    <t>FUNÇÃO</t>
  </si>
  <si>
    <t>QT.</t>
  </si>
  <si>
    <t>SALARIO BASE</t>
  </si>
  <si>
    <t>HORAS EXTRAS</t>
  </si>
  <si>
    <t>ENCARGOS E PROVISÃO</t>
  </si>
  <si>
    <t>D</t>
  </si>
  <si>
    <t>OPERADOR DE ESCAVADEIRA</t>
  </si>
  <si>
    <t>AJUDANTE</t>
  </si>
  <si>
    <t>TIPO</t>
  </si>
  <si>
    <t>EQUIPAMENTO</t>
  </si>
  <si>
    <t>ALUGUEL MENSAL</t>
  </si>
  <si>
    <t>H OU KM
MÊS</t>
  </si>
  <si>
    <t>CONSUMO</t>
  </si>
  <si>
    <t>COMBUSTÍVEL</t>
  </si>
  <si>
    <t>CUSTO UNITÁRIO</t>
  </si>
  <si>
    <t>TOTAL GERAL</t>
  </si>
  <si>
    <t>KM/L ou L/H</t>
  </si>
  <si>
    <t>ESCAVADEIRA HIDRÁULICA SOBRE ESTEIRA 22T</t>
  </si>
  <si>
    <t>h</t>
  </si>
  <si>
    <t>s1</t>
  </si>
  <si>
    <t>CAMINHÃO BASCULANTE, TRAÇADO 4X4, CARGA DE 25T</t>
  </si>
  <si>
    <t>km</t>
  </si>
  <si>
    <t>UNID.</t>
  </si>
  <si>
    <t>QUANTIDADE</t>
  </si>
  <si>
    <t>VALOR</t>
  </si>
  <si>
    <t>OPERADOR DE RETRO ESCAVADEIRA</t>
  </si>
  <si>
    <t>RETROESCAVADEIRA</t>
  </si>
  <si>
    <t>G</t>
  </si>
  <si>
    <t>OPERADOR DE ROLO COMPACTADOR</t>
  </si>
  <si>
    <t>OPERADOR DE MOTONIVELADORA</t>
  </si>
  <si>
    <t>MOTONIVELADORA 140K</t>
  </si>
  <si>
    <t>S1</t>
  </si>
  <si>
    <t>KM</t>
  </si>
  <si>
    <t>GREDISTA</t>
  </si>
  <si>
    <t>OFICIAL</t>
  </si>
  <si>
    <t>ROLO COMPACTADOR PÉ DE CARNEIRO 10T</t>
  </si>
  <si>
    <t>CARPINTEIRO</t>
  </si>
  <si>
    <t>ARMADOR</t>
  </si>
  <si>
    <t>MONTADOR</t>
  </si>
  <si>
    <t>REMOÇÃO DA TRAVESSIA EXISTENTE</t>
  </si>
  <si>
    <t>,</t>
  </si>
  <si>
    <t xml:space="preserve">GUINDASTE </t>
  </si>
  <si>
    <t>MARTELETE PNEUMATICO</t>
  </si>
  <si>
    <t>APONTADOR</t>
  </si>
  <si>
    <t>OPERADOR DE TRATOR DE PNEU</t>
  </si>
  <si>
    <t>MOTORISTA DE CAMINHÃO PIPA</t>
  </si>
  <si>
    <t>AGUA_REDE</t>
  </si>
  <si>
    <t>MONTADOR DE ÁGUA/ESGOTO</t>
  </si>
  <si>
    <t>ROLO COMPACTADOR PEQUENO</t>
  </si>
  <si>
    <t>SAPO COMPACTADOR</t>
  </si>
  <si>
    <t>MONTADOR DE MEIO FIO</t>
  </si>
  <si>
    <t>EXTRUSORA</t>
  </si>
  <si>
    <t>ALIMENTAÇÃO</t>
  </si>
  <si>
    <t>PJ</t>
  </si>
  <si>
    <t>ADMINISTRATIVO</t>
  </si>
  <si>
    <t>J</t>
  </si>
  <si>
    <t>AUXILIAR ADMINISTRATIVO</t>
  </si>
  <si>
    <t>ENCARREGADO GERAL</t>
  </si>
  <si>
    <t>MOTORISTA DE ÔNIBUS</t>
  </si>
  <si>
    <t>MOTORISTA DE CAMINHÃO COMBOIO</t>
  </si>
  <si>
    <t>Caminhão prancha</t>
  </si>
  <si>
    <t>VERBAS - MENSAIS</t>
  </si>
  <si>
    <t>CONTEINER 6X2,4X2,6 PARA BANHEIRO</t>
  </si>
  <si>
    <t>VB</t>
  </si>
  <si>
    <t>CONTEINER VESTIÁRIO</t>
  </si>
  <si>
    <t xml:space="preserve">ÁGUA MINERAL </t>
  </si>
  <si>
    <t>L</t>
  </si>
  <si>
    <t>MATERIAL DE EXPEDIENTE</t>
  </si>
  <si>
    <t>DESPESAS COM MALOTE</t>
  </si>
  <si>
    <t>VISITA GERÊNCIA</t>
  </si>
  <si>
    <t>ENERGIA ELÉTRICA - ALOJAMENTO</t>
  </si>
  <si>
    <t>ÁGUA - ALOJAMENTO</t>
  </si>
  <si>
    <t>GERADOR - DIESEL</t>
  </si>
  <si>
    <t xml:space="preserve">VERBAS </t>
  </si>
  <si>
    <t>INSTALAÇÕS PROVISÓRIAS DE CANTEIRO</t>
  </si>
  <si>
    <t>GERADOR 50KVA</t>
  </si>
  <si>
    <t>FERRAMENTAS</t>
  </si>
  <si>
    <t>MATERIAL DE DESGASTE</t>
  </si>
  <si>
    <t>QUANT</t>
  </si>
  <si>
    <t>Topógrafo</t>
  </si>
  <si>
    <t>j</t>
  </si>
  <si>
    <t>Auxiliar de topografia</t>
  </si>
  <si>
    <t>Sala técnica</t>
  </si>
  <si>
    <t>Laboratorista</t>
  </si>
  <si>
    <t>Auxiliar de laboratório</t>
  </si>
  <si>
    <t>Técnico de Segurança</t>
  </si>
  <si>
    <t>Engenheiro de Segurança</t>
  </si>
  <si>
    <t>Técnico de QSMS</t>
  </si>
  <si>
    <t>CUSTO TOTAL MOBILIZAÇÃO/DESMOBILIZAÇÃO</t>
  </si>
  <si>
    <t>MOBILIZAÇÃO DE EQUIPAMENTOS</t>
  </si>
  <si>
    <t>TRANSPORTE</t>
  </si>
  <si>
    <t>ORIGEM</t>
  </si>
  <si>
    <t>DESTINO</t>
  </si>
  <si>
    <t>DISTÂNCIA
(ida e volta)
(km)</t>
  </si>
  <si>
    <t>CUSTO UNIT.
(R$/km)</t>
  </si>
  <si>
    <t>CUSTO MOB.
(R$)</t>
  </si>
  <si>
    <t>OBSERVAÇÕES</t>
  </si>
  <si>
    <t xml:space="preserve">MOBILIZAÇÃO DE EQUIPAMENTOS </t>
  </si>
  <si>
    <t>DESMOBILIZAÇÃO DE EQUIPAMENTOS</t>
  </si>
  <si>
    <t>Equipe</t>
  </si>
  <si>
    <t>DESPESAS COM VIAGEM</t>
  </si>
  <si>
    <t>ADMINISTRATIVO (60 dias)</t>
  </si>
  <si>
    <t>ENCARREGADO (60 dias)</t>
  </si>
  <si>
    <t>EQUIPE DIRETA</t>
  </si>
  <si>
    <t>EQUIPE INDIRETA</t>
  </si>
  <si>
    <t>ALIMENTAÇÃO/PLANO DE SAUDE/CESTA BÁSICA</t>
  </si>
  <si>
    <t>MECANICA</t>
  </si>
  <si>
    <t>ENGENHEIRO MECANICO</t>
  </si>
  <si>
    <t>MECÂNICO</t>
  </si>
  <si>
    <t>OFICINA</t>
  </si>
  <si>
    <t>BAIA DE RESIDUOS</t>
  </si>
  <si>
    <t>RAMPA DE LAVAGEM</t>
  </si>
  <si>
    <t>CAIXA DE FERRAMENTAS</t>
  </si>
  <si>
    <t>Descrição</t>
  </si>
  <si>
    <t>Código</t>
  </si>
  <si>
    <t>Salário (R$)</t>
  </si>
  <si>
    <t>Custo C/ Encargos (R$)</t>
  </si>
  <si>
    <t>QUANT.   (CUSTO DIRETO)</t>
  </si>
  <si>
    <t>QUANT.         (CUSTO INDIRETO)</t>
  </si>
  <si>
    <t>Função</t>
  </si>
  <si>
    <t xml:space="preserve">Valor Mensal </t>
  </si>
  <si>
    <t>Valor por hora</t>
  </si>
  <si>
    <t>Valor da Hora c/ impostos</t>
  </si>
  <si>
    <t>Ajudante</t>
  </si>
  <si>
    <t>P0001</t>
  </si>
  <si>
    <t>mês</t>
  </si>
  <si>
    <t>Ajudante especializado</t>
  </si>
  <si>
    <t>P0002</t>
  </si>
  <si>
    <t>Almoxarife</t>
  </si>
  <si>
    <t>P0003</t>
  </si>
  <si>
    <t>Apontador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</si>
  <si>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</si>
  <si>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</si>
  <si>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</si>
  <si>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</si>
  <si>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</si>
  <si>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</si>
  <si>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</si>
  <si>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</si>
  <si>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</si>
  <si>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</si>
  <si>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</si>
  <si>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</si>
  <si>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</si>
  <si>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</si>
  <si>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</si>
  <si>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</si>
  <si>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</si>
  <si>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</si>
  <si>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</si>
  <si>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</si>
  <si>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</si>
  <si>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</si>
  <si>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</si>
  <si>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</si>
  <si>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</si>
  <si>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</si>
  <si>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</si>
  <si>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</si>
  <si>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</si>
  <si>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</si>
  <si>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</si>
  <si>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</si>
  <si>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</si>
  <si>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</si>
  <si>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</si>
  <si>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</si>
  <si>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</si>
  <si>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</si>
  <si>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</si>
  <si>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</si>
  <si>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</si>
  <si>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</si>
  <si>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</si>
  <si>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</si>
  <si>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</si>
  <si>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</si>
  <si>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</si>
  <si>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P0025</t>
  </si>
  <si>
    <t>Engenheiro Trainee</t>
  </si>
  <si>
    <t>P0026</t>
  </si>
  <si>
    <t>Gerente de Contrato</t>
  </si>
  <si>
    <t>P0027</t>
  </si>
  <si>
    <t xml:space="preserve">Gerente de Contrato Senior </t>
  </si>
  <si>
    <t>P0028</t>
  </si>
  <si>
    <t>Gredista</t>
  </si>
  <si>
    <t>P0029</t>
  </si>
  <si>
    <t>OBS: com laboratório incluído + carro</t>
  </si>
  <si>
    <t>P0030</t>
  </si>
  <si>
    <t>Lubrificador</t>
  </si>
  <si>
    <t>P0031</t>
  </si>
  <si>
    <t>Motorista de Caminhão Basculante</t>
  </si>
  <si>
    <t>P0032</t>
  </si>
  <si>
    <t>Motorista de Caminhão Pipa</t>
  </si>
  <si>
    <t>P0033</t>
  </si>
  <si>
    <t>Motorista de Caminhão Comboio</t>
  </si>
  <si>
    <t>P0034</t>
  </si>
  <si>
    <t>P0035</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</si>
  <si>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</si>
  <si>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</si>
  <si>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</si>
  <si>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</si>
  <si>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</si>
  <si>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</si>
  <si>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</si>
  <si>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</si>
  <si>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</si>
  <si>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</si>
  <si>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</si>
  <si>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</si>
  <si>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</si>
  <si>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</si>
  <si>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</si>
  <si>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</si>
  <si>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</si>
  <si>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</si>
  <si>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</si>
  <si>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</si>
  <si>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</si>
  <si>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</si>
  <si>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</si>
  <si>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</si>
  <si>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</si>
  <si>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Operador de Trator de Esteiras</t>
  </si>
  <si>
    <t>P0048</t>
  </si>
  <si>
    <t>Operador de Trator de Pneu</t>
  </si>
  <si>
    <t>P0049</t>
  </si>
  <si>
    <t>Operador de Betoneira</t>
  </si>
  <si>
    <t>P0050</t>
  </si>
  <si>
    <t>Pedreiro</t>
  </si>
  <si>
    <t>Operador de Valetadeira</t>
  </si>
  <si>
    <t>P0051</t>
  </si>
  <si>
    <t>Pintor</t>
  </si>
  <si>
    <t>P0052</t>
  </si>
  <si>
    <t>Vigia</t>
  </si>
  <si>
    <t>P0053</t>
  </si>
  <si>
    <t>Servente</t>
  </si>
  <si>
    <t>P0054</t>
  </si>
  <si>
    <t>P0055</t>
  </si>
  <si>
    <t>P0056</t>
  </si>
  <si>
    <t>Sala Técnica</t>
  </si>
  <si>
    <t>P0057</t>
  </si>
  <si>
    <t>Operador de Motoscraper</t>
  </si>
  <si>
    <t>P0058</t>
  </si>
  <si>
    <t>P0059</t>
  </si>
  <si>
    <t>P0060</t>
  </si>
  <si>
    <t>Suprimentos</t>
  </si>
  <si>
    <t>P0061</t>
  </si>
  <si>
    <t>Operador de motosserra</t>
  </si>
  <si>
    <t>P0062</t>
  </si>
  <si>
    <t>P0063</t>
  </si>
  <si>
    <t>Valor de Aquisição (R$)</t>
  </si>
  <si>
    <t>Depreciação (R$/h)</t>
  </si>
  <si>
    <t>Oportunidade de Capital (R$/h)</t>
  </si>
  <si>
    <t>Seguros e Impostos (R$/h)</t>
  </si>
  <si>
    <t>Manutenção (R$/h)</t>
  </si>
  <si>
    <t>Operação (R$/h)</t>
  </si>
  <si>
    <t>Mão de Obra de Operação (R$/h)</t>
  </si>
  <si>
    <t>Custo Produtivo (R$/h)</t>
  </si>
  <si>
    <t>Custo Improdutivo (R$/h)</t>
  </si>
  <si>
    <t>Combustível</t>
  </si>
  <si>
    <t>Valor
(R$/l)</t>
  </si>
  <si>
    <t>Consumo
(l/h)</t>
  </si>
  <si>
    <t>E0001</t>
  </si>
  <si>
    <t>Gasolina</t>
  </si>
  <si>
    <t>Caçamba basculante com capacidade de 14 m³</t>
  </si>
  <si>
    <t>E0002</t>
  </si>
  <si>
    <t>Diesel S10</t>
  </si>
  <si>
    <t>E0003</t>
  </si>
  <si>
    <t>E0004</t>
  </si>
  <si>
    <t xml:space="preserve">Caminhão carroceria </t>
  </si>
  <si>
    <t>E0005</t>
  </si>
  <si>
    <t>Caminhão carroceria cabinado</t>
  </si>
  <si>
    <t>E0006</t>
  </si>
  <si>
    <t>E0007</t>
  </si>
  <si>
    <t>E0008</t>
  </si>
  <si>
    <t>Caminhão munck</t>
  </si>
  <si>
    <t>E0009</t>
  </si>
  <si>
    <t xml:space="preserve">Caminhão Pipa 10.000 l </t>
  </si>
  <si>
    <t>E0010</t>
  </si>
  <si>
    <t>Caminhão Pipa 20.000 l, traçado, rabo de pavão e barra</t>
  </si>
  <si>
    <t>E0011</t>
  </si>
  <si>
    <t>Escavadeira hidráulica sobre esteira 22T</t>
  </si>
  <si>
    <t>E0012</t>
  </si>
  <si>
    <t>Escavadeira hidráulica sobre esteira 35T</t>
  </si>
  <si>
    <t>E0013</t>
  </si>
  <si>
    <t>Extrusora</t>
  </si>
  <si>
    <t>E0014</t>
  </si>
  <si>
    <t>Motosserra a gasolina</t>
  </si>
  <si>
    <t>E0015</t>
  </si>
  <si>
    <t>E0016</t>
  </si>
  <si>
    <t>Motoniveladora 120K</t>
  </si>
  <si>
    <t>E0017</t>
  </si>
  <si>
    <t>Motoniveladora 140K</t>
  </si>
  <si>
    <t>E0018</t>
  </si>
  <si>
    <t>E0019</t>
  </si>
  <si>
    <t xml:space="preserve">Ônibus com capacidade para 52 passageiros </t>
  </si>
  <si>
    <t>E0020</t>
  </si>
  <si>
    <t>Pá carregadeira</t>
  </si>
  <si>
    <t>E0021</t>
  </si>
  <si>
    <t>Placa vibratória</t>
  </si>
  <si>
    <t>E0022</t>
  </si>
  <si>
    <t>Retroescavadeira</t>
  </si>
  <si>
    <t>E0023</t>
  </si>
  <si>
    <t>Rolo compactador liso</t>
  </si>
  <si>
    <t>E0024</t>
  </si>
  <si>
    <t>Rolo compactador pé de carneiro 10T</t>
  </si>
  <si>
    <t>E0025</t>
  </si>
  <si>
    <t>Rolo compactador pequeno</t>
  </si>
  <si>
    <t>E0026</t>
  </si>
  <si>
    <t>Sapo compactador</t>
  </si>
  <si>
    <t>E0027</t>
  </si>
  <si>
    <t>Spread</t>
  </si>
  <si>
    <t>E0028</t>
  </si>
  <si>
    <t>Tanque de estocagem de material betuminoso</t>
  </si>
  <si>
    <t>E0029</t>
  </si>
  <si>
    <t>Torre De Iluminação</t>
  </si>
  <si>
    <t>E0030</t>
  </si>
  <si>
    <t>Trator de pneus com grade</t>
  </si>
  <si>
    <t>E0031</t>
  </si>
  <si>
    <t>Trator de esteiras 20T</t>
  </si>
  <si>
    <t>E0032</t>
  </si>
  <si>
    <t>Trator de esteiras 40T</t>
  </si>
  <si>
    <t>E0033</t>
  </si>
  <si>
    <t>Vassoura mecânica</t>
  </si>
  <si>
    <t>E0034</t>
  </si>
  <si>
    <t xml:space="preserve">Veículo leve </t>
  </si>
  <si>
    <t>E0035</t>
  </si>
  <si>
    <t>E0036</t>
  </si>
  <si>
    <t>Vibroacabadora de asfalto sobre esteiras - 82 kW</t>
  </si>
  <si>
    <t>E0037</t>
  </si>
  <si>
    <t>Vibroacabadora de asfalto sobre pneus - 82 kW</t>
  </si>
  <si>
    <t>E0038</t>
  </si>
  <si>
    <t>Caminhão espargidor</t>
  </si>
  <si>
    <t>E0039</t>
  </si>
  <si>
    <t>E0040</t>
  </si>
  <si>
    <t>E0041</t>
  </si>
  <si>
    <t>E0042</t>
  </si>
  <si>
    <t>E0043</t>
  </si>
  <si>
    <t>CÓDIGO</t>
  </si>
  <si>
    <t>R$ UNITÁRIO</t>
  </si>
  <si>
    <t>QUANT. TOTAL</t>
  </si>
  <si>
    <t>R$ TOTAL</t>
  </si>
  <si>
    <t>M0001</t>
  </si>
  <si>
    <t>M0002</t>
  </si>
  <si>
    <t>M0009</t>
  </si>
  <si>
    <t>M0010</t>
  </si>
  <si>
    <t>M0012</t>
  </si>
  <si>
    <t>M0013</t>
  </si>
  <si>
    <t>M0014</t>
  </si>
  <si>
    <t>M0015</t>
  </si>
  <si>
    <t>M0023</t>
  </si>
  <si>
    <t>M0024</t>
  </si>
  <si>
    <t>M0025</t>
  </si>
  <si>
    <t>M0026</t>
  </si>
  <si>
    <t>M0027</t>
  </si>
  <si>
    <t>M0028</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</si>
  <si>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</si>
  <si>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</si>
  <si>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</si>
  <si>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</si>
  <si>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</si>
  <si>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</si>
  <si>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</si>
  <si>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</si>
  <si>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</si>
  <si>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</si>
  <si>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</si>
  <si>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</si>
  <si>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</si>
  <si>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</si>
  <si>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</si>
  <si>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</si>
  <si>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</si>
  <si>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</si>
  <si>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</si>
  <si>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</si>
  <si>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</si>
  <si>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</si>
  <si>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</si>
  <si>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</si>
  <si>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</si>
  <si>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</si>
  <si>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</si>
  <si>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</si>
  <si>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</si>
  <si>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</si>
  <si>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</si>
  <si>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</si>
  <si>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</si>
  <si>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</si>
  <si>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</si>
  <si>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</si>
  <si>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</si>
  <si>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</si>
  <si>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</si>
  <si>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</si>
  <si>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</si>
  <si>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</si>
  <si>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</si>
  <si>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</si>
  <si>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</si>
  <si>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</si>
  <si>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</si>
  <si>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</si>
  <si>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</si>
  <si>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</si>
  <si>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</si>
  <si>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</si>
  <si>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</si>
  <si>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</si>
  <si>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</si>
  <si>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</si>
  <si>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</si>
  <si>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</si>
  <si>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</si>
  <si>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</si>
  <si>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</si>
  <si>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</si>
  <si>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</si>
  <si>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</si>
  <si>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</si>
  <si>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</si>
  <si>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</si>
  <si>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</si>
  <si>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</si>
  <si>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</si>
  <si>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</si>
  <si>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</si>
  <si>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</si>
  <si>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</si>
  <si>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</si>
  <si>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</si>
  <si>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</si>
  <si>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</si>
  <si>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</si>
  <si>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</si>
  <si>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</si>
  <si>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</si>
  <si>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</si>
  <si>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</si>
  <si>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</si>
  <si>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</si>
  <si>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</si>
  <si>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</si>
  <si>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</si>
  <si>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</si>
  <si>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</si>
  <si>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</si>
  <si>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</si>
  <si>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</si>
  <si>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</si>
  <si>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</si>
  <si>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</si>
  <si>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</si>
  <si>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</si>
  <si>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</si>
  <si>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</si>
  <si>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</si>
  <si>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</si>
  <si>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</si>
  <si>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</si>
  <si>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</si>
  <si>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</si>
  <si>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</si>
  <si>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</si>
  <si>
    <t>PRATICABILIDADE</t>
  </si>
  <si>
    <t xml:space="preserve">REGIÃO: </t>
  </si>
  <si>
    <t>Dados:</t>
  </si>
  <si>
    <t>meteoblue</t>
  </si>
  <si>
    <t>DIAS DE CHUVA &gt;5mm</t>
  </si>
  <si>
    <t>JAN</t>
  </si>
  <si>
    <t>FEV</t>
  </si>
  <si>
    <t>MAR</t>
  </si>
  <si>
    <t>ABR</t>
  </si>
  <si>
    <t>SET</t>
  </si>
  <si>
    <t>OUT</t>
  </si>
  <si>
    <t>NOV</t>
  </si>
  <si>
    <t>DEZ</t>
  </si>
  <si>
    <t>Dias no mês</t>
  </si>
  <si>
    <t>Sábados</t>
  </si>
  <si>
    <t>Domingos</t>
  </si>
  <si>
    <t>Feriados e recessos em dias úteis</t>
  </si>
  <si>
    <t>Dias úteis (SEG À SAB)</t>
  </si>
  <si>
    <t>DIAS DE CHUVA &gt; 5mm E &lt; 10mm</t>
  </si>
  <si>
    <t>DIAS DE CHUVA &gt; 10mm E &lt; 20mm</t>
  </si>
  <si>
    <t>DIAS DE CHUVA &gt; 20mm</t>
  </si>
  <si>
    <t xml:space="preserve">% PRODUTIVO </t>
  </si>
  <si>
    <t>BDI - MÃO DE OBRA</t>
  </si>
  <si>
    <t>BDI - MATERIAIS</t>
  </si>
  <si>
    <t>BDI - SERVIÇOS</t>
  </si>
  <si>
    <t>BDI - INDIRETOS</t>
  </si>
  <si>
    <t>PORCENTAGEM</t>
  </si>
  <si>
    <t>AC</t>
  </si>
  <si>
    <t>Administração Central</t>
  </si>
  <si>
    <t>DF</t>
  </si>
  <si>
    <t>Despesas Financeiras</t>
  </si>
  <si>
    <t>R</t>
  </si>
  <si>
    <t>Garantia / Risco / Seguro</t>
  </si>
  <si>
    <t>Lucro</t>
  </si>
  <si>
    <t>COFINS</t>
  </si>
  <si>
    <t>ISS</t>
  </si>
  <si>
    <t>PIS</t>
  </si>
  <si>
    <t>CSSL</t>
  </si>
  <si>
    <t>IR</t>
  </si>
  <si>
    <t>T</t>
  </si>
  <si>
    <t>Tributos (soma)</t>
  </si>
  <si>
    <t>CR</t>
  </si>
  <si>
    <t>Contigência de Risco</t>
  </si>
  <si>
    <t>TT</t>
  </si>
  <si>
    <t>Total do BDI</t>
  </si>
  <si>
    <t>R$</t>
  </si>
  <si>
    <t>UNIMED</t>
  </si>
  <si>
    <t>EPIs</t>
  </si>
  <si>
    <t>R$ UNIT</t>
  </si>
  <si>
    <t>VIDA ÚTIL</t>
  </si>
  <si>
    <t>CUSTO MENSAL</t>
  </si>
  <si>
    <t>Quant.</t>
  </si>
  <si>
    <t>UNIODONTO</t>
  </si>
  <si>
    <t>x</t>
  </si>
  <si>
    <t>PROVISÃO SOBRE FOLHA</t>
  </si>
  <si>
    <t>ENCARGOS</t>
  </si>
  <si>
    <t>ABAFADOR DE RUÍDOS TIPO CONCHA</t>
  </si>
  <si>
    <t>ADMINISTRAÇÃO CENTRAL</t>
  </si>
  <si>
    <t>CAFÉ DA MANHÃ</t>
  </si>
  <si>
    <t>ALMOÇO</t>
  </si>
  <si>
    <t>UNIFORME</t>
  </si>
  <si>
    <t>VALE ALIMENTAÇÃO</t>
  </si>
  <si>
    <t>HOSPEDAGEM POR FUNCIONÁRIO/DIA - HOTEL</t>
  </si>
  <si>
    <t>CAPACETE  3M</t>
  </si>
  <si>
    <t>HOSPEDAGEM POR FUNCIONÁRIO/MÊS - ALOJAMENTO</t>
  </si>
  <si>
    <t>•ALUGUEL DE IMÓVEL</t>
  </si>
  <si>
    <t xml:space="preserve">LUVA </t>
  </si>
  <si>
    <r>
      <t xml:space="preserve">•DESPESAS C/ MORADIA </t>
    </r>
    <r>
      <rPr>
        <i/>
        <sz val="8"/>
        <rFont val="Calibri"/>
        <family val="2"/>
      </rPr>
      <t>(ÁGUA/ESGOTO/ENERGIA/ETC)</t>
    </r>
  </si>
  <si>
    <r>
      <t xml:space="preserve">•Nº DE VAGAS POR ALOJAMENTO </t>
    </r>
    <r>
      <rPr>
        <i/>
        <sz val="8"/>
        <rFont val="Calibri"/>
        <family val="2"/>
      </rPr>
      <t>(INDICATIVO)</t>
    </r>
  </si>
  <si>
    <t>TAXA DE HORAS EXTRAS (custo direto)</t>
  </si>
  <si>
    <t>TAXA DE HORAS EXTRAS (custo direto noturno)</t>
  </si>
  <si>
    <t>EXAMES E TREINAMENTOS</t>
  </si>
  <si>
    <t>EPI´S E UNIFORMES(MÊS)</t>
  </si>
  <si>
    <t>ASO - ADMISS E DEM.</t>
  </si>
  <si>
    <t>DIESEL S10</t>
  </si>
  <si>
    <t>ETANOL</t>
  </si>
  <si>
    <t>E</t>
  </si>
  <si>
    <t>NRS</t>
  </si>
  <si>
    <t>GASOLINA</t>
  </si>
  <si>
    <t>EXAMES</t>
  </si>
  <si>
    <t>PLANO DE SAUDE</t>
  </si>
  <si>
    <t>CESTA BÁSICA</t>
  </si>
  <si>
    <t>PLANILHA DE PRODUÇÃO</t>
  </si>
  <si>
    <t>PRODUÇÃO HORARIA / EQUIPE</t>
  </si>
  <si>
    <t>PRODUÇÃO DIÁRIA / EQUIPE</t>
  </si>
  <si>
    <t>SUPRESSÃO VEGETAL DAP&gt;=0,30 E ARBUSTOS</t>
  </si>
  <si>
    <t>und</t>
  </si>
  <si>
    <t>LIMPEZA DE CAMADA VEGETAL 20CM - INCLUSOS ARMAZENAGEM E POSTERIOR ESPALHAMENTO INTERNO</t>
  </si>
  <si>
    <t>DESMATAMENTO, DESTOCAMENTO, LIMPEZA DE ÁREA</t>
  </si>
  <si>
    <t>M2</t>
  </si>
  <si>
    <t>LIMPEZA E CARGA DE MATERIAL</t>
  </si>
  <si>
    <t>RASPAGEM E ESPALHAMENTO DE MATERIAL VEGETAL SEM COMPACTAÇÃO</t>
  </si>
  <si>
    <t>ATERRO COMPACTADO A 100% PN</t>
  </si>
  <si>
    <t xml:space="preserve">ESPALHAMENTO </t>
  </si>
  <si>
    <t>ESCAVAÇÃO, CARGA E DESCARGA MAT 2ª CAT DMT = 3000M  BOTA FORA</t>
  </si>
  <si>
    <t>ESCAVAÇÃO, CARGA, DESCARGA E ESPALHAMENTO MAT 1ª CAT DMT = 3000M REBAIXO DE SUB-LEITO</t>
  </si>
  <si>
    <t>DESMONTE DE ROCHA EM VIÁRIO (CARREGAMENTO)</t>
  </si>
  <si>
    <t xml:space="preserve">m³  </t>
  </si>
  <si>
    <t>COMPACTAÇÃO A 95% DO PROCTOR NORMAL  - ATERRO EM QUADRAS</t>
  </si>
  <si>
    <t>TRANSPORTE DE MATERIAL ATÉ 3,00KM</t>
  </si>
  <si>
    <t xml:space="preserve">m³xkm  </t>
  </si>
  <si>
    <t xml:space="preserve">un </t>
  </si>
  <si>
    <t>REGULARIZAÇÃO SUB-LEITO POR COMPACTAÇÃO DO SOLO EXISTENTE - CBR &gt;= 20%</t>
  </si>
  <si>
    <t>REFORÇO DO SUBLEITO</t>
  </si>
  <si>
    <t xml:space="preserve">SUB-BASE ESTABILIZADA GRANULOMETRICAMENTE </t>
  </si>
  <si>
    <t>BASE</t>
  </si>
  <si>
    <t>6.4</t>
  </si>
  <si>
    <t xml:space="preserve">IMPRIMAÇÃO </t>
  </si>
  <si>
    <t>6.5</t>
  </si>
  <si>
    <t xml:space="preserve">PINTURA DE LIGAÇÃO </t>
  </si>
  <si>
    <t>6.6</t>
  </si>
  <si>
    <t>EXECUÇÃO DE CAPA ASFALTICA TIPO CBUQ, E=3,0CM</t>
  </si>
  <si>
    <t>6.7</t>
  </si>
  <si>
    <t>DRENO DE PAVIMENTO</t>
  </si>
  <si>
    <t>6.8</t>
  </si>
  <si>
    <t>DEMOLIÇÃO DE PAVIMENTO ASFÁLTICO</t>
  </si>
  <si>
    <t>m3</t>
  </si>
  <si>
    <t>6.9</t>
  </si>
  <si>
    <t>RECOMPOSIÇÃO DE PAVIMENTO ASFÁLTICO (TRÁFEGO MÉDIO)</t>
  </si>
  <si>
    <t>6.10</t>
  </si>
  <si>
    <t>TSD</t>
  </si>
  <si>
    <t>COMPOSIÇÃO UNITÁRIA DE SERVIÇO</t>
  </si>
  <si>
    <t>DATA BASE</t>
  </si>
  <si>
    <t>EQUIPAMENTO (A)</t>
  </si>
  <si>
    <t>QUANT.</t>
  </si>
  <si>
    <t>UTILIZAÇÃO</t>
  </si>
  <si>
    <t>CUSTO OPERACIONAL</t>
  </si>
  <si>
    <t>CUSTO</t>
  </si>
  <si>
    <t>PROD.</t>
  </si>
  <si>
    <t>IMPROD.</t>
  </si>
  <si>
    <t>HORÁRIO</t>
  </si>
  <si>
    <t/>
  </si>
  <si>
    <t>MÃO DE OBRA SUPLEMENTAR (B)</t>
  </si>
  <si>
    <t>SALÁRIO BASE</t>
  </si>
  <si>
    <t>CUSTO HORÁRIO</t>
  </si>
  <si>
    <t>Motorista de caminhão basculante</t>
  </si>
  <si>
    <t>Operador de pá carregadeira</t>
  </si>
  <si>
    <t>PRODUÇÃO DA EQUIPE (C)</t>
  </si>
  <si>
    <t xml:space="preserve">CUSTO HORÁRIO TOTAL (A+B)     </t>
  </si>
  <si>
    <t>Pá Carregadeira</t>
  </si>
  <si>
    <t>ATIVIDADES AUXILIARES / ALIMENTAÇÃO</t>
  </si>
  <si>
    <t>UND</t>
  </si>
  <si>
    <t>CUSTO UNITÁRIO DA EXECUÇÃO (D) {[(A)+(B)]/(C)=(D)}</t>
  </si>
  <si>
    <t>MATERIAIS / ATIVIDADES AUXILIARES</t>
  </si>
  <si>
    <t xml:space="preserve">TRANSPORTE </t>
  </si>
  <si>
    <t>D.M.T                 (TOT)</t>
  </si>
  <si>
    <t>CUSTO DIRETO TOTAL: R$</t>
  </si>
  <si>
    <t>BDI:</t>
  </si>
  <si>
    <t>CUSTO TOTAL UNITÁRIO: R$</t>
  </si>
  <si>
    <t>ESPECIFICAÇÃO</t>
  </si>
  <si>
    <t>m2</t>
  </si>
  <si>
    <t>Operador de Retro escavadeira</t>
  </si>
  <si>
    <t>unid</t>
  </si>
  <si>
    <t>Motoniveladora 140k</t>
  </si>
  <si>
    <t>Operador de rolo compactador</t>
  </si>
  <si>
    <t>Operador de motoniveladora</t>
  </si>
  <si>
    <t>Escavadeira Hidráulica sobre esteira 22T</t>
  </si>
  <si>
    <t>DNIT</t>
  </si>
  <si>
    <t>M3</t>
  </si>
  <si>
    <t>Operador de escavadeira</t>
  </si>
  <si>
    <t>TKM</t>
  </si>
  <si>
    <t>Operador de trator de esteiras</t>
  </si>
  <si>
    <t>Motorista de caminhão pipa</t>
  </si>
  <si>
    <t>Apiloamento Manual</t>
  </si>
  <si>
    <t>Escavação rede de drenagem</t>
  </si>
  <si>
    <t>FERRAMENTAS 5,0 % S/MO</t>
  </si>
  <si>
    <t>FERRAMENTAS 5,0 % S/MAQUINAS - Material de Desgaste</t>
  </si>
  <si>
    <t>Bota fora rede de drenagem</t>
  </si>
  <si>
    <t>Caminhão Basculante 14 m³</t>
  </si>
  <si>
    <t>M</t>
  </si>
  <si>
    <t>KG</t>
  </si>
  <si>
    <t>Rolo compactador pé de carneiro 10t</t>
  </si>
  <si>
    <t>SEOP</t>
  </si>
  <si>
    <t>Oficial</t>
  </si>
  <si>
    <t>AREIA MEDIA</t>
  </si>
  <si>
    <t>kg</t>
  </si>
  <si>
    <t>PEDRA DE MAO</t>
  </si>
  <si>
    <t>GRAMA EM PLACA BATATAIS</t>
  </si>
  <si>
    <t>dm3</t>
  </si>
  <si>
    <t>CHAPA DE POLIESTIRENO EXPANDIDO E=20MM 1000X500MM</t>
  </si>
  <si>
    <t xml:space="preserve">COLA BRANCA </t>
  </si>
  <si>
    <t>Lixa</t>
  </si>
  <si>
    <t>Escavação rede de água</t>
  </si>
  <si>
    <t>Bota fora rede de água</t>
  </si>
  <si>
    <t>Serviço de Assentamento e Reaterro Compactado de Tubo de água DN 50 mm Prof. Até 1,5 m</t>
  </si>
  <si>
    <t>Montador de água/esgoto</t>
  </si>
  <si>
    <t>Tubo PVC PBA JEI DN 50 mm</t>
  </si>
  <si>
    <t>Pasta Lubrificante para tubos e conexões com junta elástica</t>
  </si>
  <si>
    <t>Escavação</t>
  </si>
  <si>
    <t>Bota fora de material excedente</t>
  </si>
  <si>
    <t>Serviço de Assentamento e Reaterro Compactado de Tubo de água DN 75 mm Prof. Até 1,5 m</t>
  </si>
  <si>
    <t>Alimentação de Funcionários</t>
  </si>
  <si>
    <t>vb</t>
  </si>
  <si>
    <t>EPI's - uniformes</t>
  </si>
  <si>
    <t>Tubo PVC PBA JEI DN 75 mm</t>
  </si>
  <si>
    <t>Serviço de Assentamento e Reaterro Compactado de Tubo de água DN 100 mm Prof. Até 1,5 m</t>
  </si>
  <si>
    <t>Tubo PVC PBA JEI DN 100 mm</t>
  </si>
  <si>
    <t>Serviço de Assentamento e Reaterro Compactado de Tubo de água DN 150 mm Prof. Até 1,5 m</t>
  </si>
  <si>
    <t>Tubo PVC PBA JEI DN 150 mm</t>
  </si>
  <si>
    <t>Serviço de Assentamento e Reaterro Compactado de Tubo de água DN 200 mm Prof. Até 1,5 m</t>
  </si>
  <si>
    <t>Tubo PVC PBA JEI DN 200 mm</t>
  </si>
  <si>
    <t>Serviço de Assentamento e Reaterro Compactado de Tubo de água DN 250 mm Prof. Até 1,5 m</t>
  </si>
  <si>
    <t>Tubo PVC PBA JEI DN 250 mm</t>
  </si>
  <si>
    <t>Serviço de Assentamento e Reaterro Compactado de Tubo de esgoto DN 100 mm Prof. Até 1,5 m</t>
  </si>
  <si>
    <t>Tubo Coletor de Esgoto JEI PVC Ocre DN 100 mm</t>
  </si>
  <si>
    <t>Serviço de Assentamento e Reaterro Compactado de Tubo de esgoto DN 150 mm Prof. Até 1,5 m</t>
  </si>
  <si>
    <t>Tubo Coletor de Esgoto JEI PVC Ocre DN 150 mm</t>
  </si>
  <si>
    <t>Serviço de Assentamento e Reaterro Compactado de Tubo de esgoto DN 200 mm Prof. Até 1,5 m</t>
  </si>
  <si>
    <t>Tubo Coletor de Esgoto JEI PVC Ocre DN 200 mm</t>
  </si>
  <si>
    <t>Serviço de Assentamento e Reaterro Compactado de Tubo de esgoto DN 250 mm Prof. Até 1,5 m</t>
  </si>
  <si>
    <t>Tubo Coletor de Esgoto JEI PVC Ocre DN 250 mm</t>
  </si>
  <si>
    <t>Serviço de Assentamento e Reaterro Compactado de Tubo de esgoto DN 150 mm Prof. Até 9 m</t>
  </si>
  <si>
    <t>Quant</t>
  </si>
  <si>
    <t>Escoramento</t>
  </si>
  <si>
    <t>Transporte - ida</t>
  </si>
  <si>
    <t>Escoramento metálico</t>
  </si>
  <si>
    <t>Transporte - volta</t>
  </si>
  <si>
    <t>Munck - Curitiba</t>
  </si>
  <si>
    <t>Serviço de Assentamento e Reaterro Compactado de Tubo de esgoto DN 150 mm Prof. Até 4,5 m</t>
  </si>
  <si>
    <t>Trator de pneus COM GRADE</t>
  </si>
  <si>
    <t>Operador de trator de pneu</t>
  </si>
  <si>
    <t>Motorista de caminhão</t>
  </si>
  <si>
    <t>Aquisição de Cascalho</t>
  </si>
  <si>
    <t>Aquisição de BGS</t>
  </si>
  <si>
    <t>Aquisição de Cimento</t>
  </si>
  <si>
    <t>Transporte de Cascalho</t>
  </si>
  <si>
    <t>Escavação e Carga de Jazida</t>
  </si>
  <si>
    <t>Oléo Diesel para escavadeira</t>
  </si>
  <si>
    <t>CONCRETO 20MPA - CONFECÇÃO EM BETONEIRA E LANÇAMENTO MANUAL</t>
  </si>
  <si>
    <t>Carrinho de mão</t>
  </si>
  <si>
    <t>Gerica 180 l</t>
  </si>
  <si>
    <t>ADITIVO PLASTIFICANTE E RETARDADOR DE PEGA</t>
  </si>
  <si>
    <t>BRITA 1</t>
  </si>
  <si>
    <t>BRITA 2</t>
  </si>
  <si>
    <t xml:space="preserve">CIMENTO PORTLAND CPII </t>
  </si>
  <si>
    <t>Concreto 20 MPA</t>
  </si>
  <si>
    <t>Fôrmas</t>
  </si>
  <si>
    <t>Boca de Lobo Dupla</t>
  </si>
  <si>
    <t>Operador de retro escavadeira</t>
  </si>
  <si>
    <t>Boca de Lobo Tripla</t>
  </si>
  <si>
    <t>Imprimação</t>
  </si>
  <si>
    <t>Vassoura Mecânica</t>
  </si>
  <si>
    <t>Aquisição de EAI</t>
  </si>
  <si>
    <t>Rolo Compactador Liso</t>
  </si>
  <si>
    <t>Caminhão Espargidor</t>
  </si>
  <si>
    <t>Motorista de caminhão espargidor</t>
  </si>
  <si>
    <t>Aquisição de Asfalto Diluído RR-2C</t>
  </si>
  <si>
    <t>Brita produzida em central de britagem</t>
  </si>
  <si>
    <t>Kg</t>
  </si>
  <si>
    <t>Pó de brita produzido em central de britagem</t>
  </si>
  <si>
    <t>Cerca arame liso (5 fios) com mourões de concreto, seção quadrada 10 x 10 cm (padrão VALEC) executada em solos compostos por material de 1ª e 2ª categoria</t>
  </si>
  <si>
    <t>Cerca arame liso (5 fios) com mourões de concreto, seção quadrada 10 x 10 cm (padrão VALEC) executada em solos alagáveis</t>
  </si>
  <si>
    <t>Cerca arame liso (5 fios) com mourão de eucalipto e mourão de madeira a cada 4,0 m e esticador a cada 50 m executada em solos compostos por material de 1ª e 2ª categoria</t>
  </si>
  <si>
    <t>Remoção de cerca de mourão de madeira</t>
  </si>
  <si>
    <t>Cerqueiro</t>
  </si>
  <si>
    <t>CERCAMENTO</t>
  </si>
  <si>
    <t>DATA</t>
  </si>
  <si>
    <t>DIA</t>
  </si>
  <si>
    <t>FERIADOS</t>
  </si>
  <si>
    <t>DESLOCAMENTOS/PARADAS</t>
  </si>
  <si>
    <t>DDS</t>
  </si>
  <si>
    <t>INICIO</t>
  </si>
  <si>
    <t>TÉRMINO</t>
  </si>
  <si>
    <t>HORAS MÉDIAS DISPONÍVEIS POR DIA (H)</t>
  </si>
  <si>
    <t>PERÍODOS</t>
  </si>
  <si>
    <t>ACEIRO</t>
  </si>
  <si>
    <t>SUPRESSÃO VEGETAL BAIXA DENSIDADE</t>
  </si>
  <si>
    <t>SUPRESSÃO VEGETAL MEDIA DENSIDADE</t>
  </si>
  <si>
    <t>SUPRESSÃO VEGETAL ALTA DENSIDADE</t>
  </si>
  <si>
    <t>TURNO=7,00 H /DIA</t>
  </si>
  <si>
    <t>CORTE/DESTOCAMENTO/ROMANEIO</t>
  </si>
  <si>
    <t>CERCAMENTO - MOURAO DE EUCALIPTO</t>
  </si>
  <si>
    <t>CERCAMENTO - MOURAO DE CONCRETO</t>
  </si>
  <si>
    <t>REMOÇÃO DE CERCA</t>
  </si>
  <si>
    <t>SUPRESSAO</t>
  </si>
  <si>
    <t>SEMANA</t>
  </si>
  <si>
    <t>M0003</t>
  </si>
  <si>
    <t>M0004</t>
  </si>
  <si>
    <t>M0005</t>
  </si>
  <si>
    <t>M0006</t>
  </si>
  <si>
    <t>M0007</t>
  </si>
  <si>
    <t>M0008</t>
  </si>
  <si>
    <t>M0011</t>
  </si>
  <si>
    <t>M0016</t>
  </si>
  <si>
    <t>M0017</t>
  </si>
  <si>
    <t>M0018</t>
  </si>
  <si>
    <t>M0019</t>
  </si>
  <si>
    <t>M0020</t>
  </si>
  <si>
    <t>M0021</t>
  </si>
  <si>
    <t>M0022</t>
  </si>
  <si>
    <t>Caminhão comboio</t>
  </si>
  <si>
    <t>VIGILÂNCIA ARMADA</t>
  </si>
  <si>
    <t>% Reajuste</t>
  </si>
  <si>
    <t>P0064</t>
  </si>
  <si>
    <t>P0065</t>
  </si>
  <si>
    <t>P0066</t>
  </si>
  <si>
    <t>Técnico de Qualidade</t>
  </si>
  <si>
    <t>P0067</t>
  </si>
  <si>
    <t>Técnico de Meio ambiente</t>
  </si>
  <si>
    <t>P0068</t>
  </si>
  <si>
    <t>P0069</t>
  </si>
  <si>
    <t>Motorista de caminhão munck</t>
  </si>
  <si>
    <t>P0070</t>
  </si>
  <si>
    <t>TÉCNICO DE PLANEJAMENTO</t>
  </si>
  <si>
    <t>LAVATÓRIO</t>
  </si>
  <si>
    <t xml:space="preserve">6WC,01MIC,01LAV </t>
  </si>
  <si>
    <t>BANHEIRO QUÍMICO (higienização, deslocamento, descarte)</t>
  </si>
  <si>
    <t>MOB BANHEIRO QUIMICO</t>
  </si>
  <si>
    <t>DESMOB BANHEIRO QUIMICO</t>
  </si>
  <si>
    <t>PERM</t>
  </si>
  <si>
    <t>EPI/EXAMES/TREINAMENTOS</t>
  </si>
  <si>
    <t>AUXILIAR DE SERVIÇOS GERAIS</t>
  </si>
  <si>
    <t>P0071</t>
  </si>
  <si>
    <t>P0072</t>
  </si>
  <si>
    <t>Van 15 pessoas</t>
  </si>
  <si>
    <t>MANUTENÇAO DA CAIXA DÁGUA E DEDETIZAÇÃO</t>
  </si>
  <si>
    <t>Cerca arame liso (5 fios) com mourão de eucalipto e mourão de madeira a cada 2,5 m e esticador a cada 50 m executada em solos compostos por material de 1ª e 2ª categoria</t>
  </si>
  <si>
    <t>Cerca arame liso (5 fios) com mourão de eucalipto e mourão de madeira a cada 4,0 m e esticador a cada 50 m executada em solos alagadas</t>
  </si>
  <si>
    <t>IMPLANTAÇÃO DE EIXO</t>
  </si>
  <si>
    <t xml:space="preserve">TAXA DE HORAS EXTRAS </t>
  </si>
  <si>
    <t>Salário Base</t>
  </si>
  <si>
    <t>MOB CONTEINER</t>
  </si>
  <si>
    <t>DESMOB CONTEINER</t>
  </si>
  <si>
    <t>MOBILIA DE ESCRITORIO</t>
  </si>
  <si>
    <t>MOBILIA ALOJAMENTO</t>
  </si>
  <si>
    <t>MOBILIZAÇÃO DE GERADOR</t>
  </si>
  <si>
    <t>DESMOBILIZAÇÃO DE GERADOR</t>
  </si>
  <si>
    <t>GERENTE DE QSMS</t>
  </si>
  <si>
    <t>ESCOPO</t>
  </si>
  <si>
    <t>PRODUT.</t>
  </si>
  <si>
    <t>Supressão vegetal  Ø =&lt; 30cm</t>
  </si>
  <si>
    <t>Supressão vegetal, destocamento e limpeza de árvores, arbustos, vegetação rasteira</t>
  </si>
  <si>
    <t>ÍNDICES DE PRODUTIVIDADES
SUPRESSÃO E CERCAMENTO</t>
  </si>
  <si>
    <t>Corte com destocamento de árvores com Ø &gt; 30cm</t>
  </si>
  <si>
    <t>M/dia</t>
  </si>
  <si>
    <t>M2/dia</t>
  </si>
  <si>
    <t>Und/dia</t>
  </si>
  <si>
    <t>KM/dia</t>
  </si>
  <si>
    <t>mob</t>
  </si>
  <si>
    <t>Turno8,00 h /dia</t>
  </si>
  <si>
    <t>ESCAVAÇÃO (escavadeira 40ton)</t>
  </si>
  <si>
    <t>Betoneira com motor a gasolina com capacidade de 600 l - 10 kW</t>
  </si>
  <si>
    <t>Caminhão basculante 14 m³</t>
  </si>
  <si>
    <t>Caminhão Pipa 15.000 l</t>
  </si>
  <si>
    <t>Micro onibus 32 pessoas</t>
  </si>
  <si>
    <t>Pá carregadeira com mandíbula</t>
  </si>
  <si>
    <t>ATUALIZADO JAN/2025</t>
  </si>
  <si>
    <t>Apontador Lider</t>
  </si>
  <si>
    <t>Motorista de Caminhão Espargidor</t>
  </si>
  <si>
    <t>Auxiliar de Serviços Gerais</t>
  </si>
  <si>
    <t>Encarregado de Obras</t>
  </si>
  <si>
    <t>Operador de Motosserra</t>
  </si>
  <si>
    <t>Técnico de Enfermagem do Trabalho</t>
  </si>
  <si>
    <t>Auxiliar Administrativo de obras II</t>
  </si>
  <si>
    <t>Operador de maquinas da Const Civil</t>
  </si>
  <si>
    <t>Estagiário</t>
  </si>
  <si>
    <t>Motorista de Caminhão</t>
  </si>
  <si>
    <t>Auxiliar administrativo de obras II</t>
  </si>
  <si>
    <t>Trator de esteiras 30T</t>
  </si>
  <si>
    <t>MOTORISTA DE CAMINHÃO BASCULANTE</t>
  </si>
  <si>
    <t>Caminhão basculante 20 m³</t>
  </si>
  <si>
    <t>Escavadeira hidráulica sobre esteira 40T</t>
  </si>
  <si>
    <t>TRATOR DE PNEUS COM GRADE</t>
  </si>
  <si>
    <t>CAMINHÃO PIPA 15.000 L</t>
  </si>
  <si>
    <t>min</t>
  </si>
  <si>
    <t>km/h</t>
  </si>
  <si>
    <t>min carga/descarga</t>
  </si>
  <si>
    <t>min ciclo</t>
  </si>
  <si>
    <t>DIAS</t>
  </si>
  <si>
    <t>CAMINHÃO 20m³</t>
  </si>
  <si>
    <t>VG/CAMINHÃO/dia</t>
  </si>
  <si>
    <t>MESES</t>
  </si>
  <si>
    <t>P0073</t>
  </si>
  <si>
    <t>Engenheiro Florestal</t>
  </si>
  <si>
    <t>P0074</t>
  </si>
  <si>
    <t>Técnico de Planejamento</t>
  </si>
  <si>
    <t>P0075</t>
  </si>
  <si>
    <t>Porteiro</t>
  </si>
  <si>
    <t>P0076</t>
  </si>
  <si>
    <t>ENCARREGADO DE FRENTE</t>
  </si>
  <si>
    <t>Encarregado de Frente</t>
  </si>
  <si>
    <t>Encarregado de frente</t>
  </si>
  <si>
    <t>MOBILIZAÇÃO EQUIPE DIRETA</t>
  </si>
  <si>
    <t>ALOJAMENTO</t>
  </si>
  <si>
    <t>SEGURO DE VIDA</t>
  </si>
  <si>
    <t>ROPS</t>
  </si>
  <si>
    <t>EPIS</t>
  </si>
  <si>
    <t>PROTETOR SOLAR fps 60</t>
  </si>
  <si>
    <t>OCULOS DE SEGURANÇA</t>
  </si>
  <si>
    <t>Recompactação da última camada do platô, com CBR ≥ 6% e expansão ≤ 2% e GC ≥ 98% Proctor Normal</t>
  </si>
  <si>
    <t>Subbase em solo cimento 8% Material com CBR ≥ 30%, exp ≤ 1%, compactado GC ≥ 100% PI</t>
  </si>
  <si>
    <t>Estabilização do solo com cimento a 5% para atendimento do CBR ≥ 20% e expansão ≤ 2%</t>
  </si>
  <si>
    <t>ENGENHEIRO CIVIL</t>
  </si>
  <si>
    <t>3EQUIPES</t>
  </si>
  <si>
    <t>Intertravado</t>
  </si>
  <si>
    <t>Calceteiro</t>
  </si>
  <si>
    <t>PAVER</t>
  </si>
  <si>
    <t>PLACA VIBRATÓRIA</t>
  </si>
  <si>
    <t>4EQUIPES</t>
  </si>
  <si>
    <t>BDI - DIESEL</t>
  </si>
  <si>
    <t>MOB</t>
  </si>
  <si>
    <t>JANTAR</t>
  </si>
  <si>
    <t xml:space="preserve">KM DT </t>
  </si>
  <si>
    <t>FORNECIMENTO E ASSENTAMENTO DE TUBO D=0,40 M</t>
  </si>
  <si>
    <t>FORNECIMENTO E ASSENTAMENTO DE TUBO D=0,60 M</t>
  </si>
  <si>
    <t>FORNECIMENTO E ASSENTAMENTO DE TUBO D=0,80 M</t>
  </si>
  <si>
    <t>DISSIPADOR PETERKA SIMPLES Ø1,00m</t>
  </si>
  <si>
    <t>Caminhão basculante 16 m³</t>
  </si>
  <si>
    <t>ESCAVAÇÃO (escavadeira 22ton)</t>
  </si>
  <si>
    <t>M1</t>
  </si>
  <si>
    <t>M4</t>
  </si>
  <si>
    <t>M5</t>
  </si>
  <si>
    <t>M6</t>
  </si>
  <si>
    <t>CONCRETO 15MPA</t>
  </si>
  <si>
    <t>CONCRETO MAGRO</t>
  </si>
  <si>
    <t>FORMA</t>
  </si>
  <si>
    <t>AÇO</t>
  </si>
  <si>
    <t>DISSIPADOR PETERKA SIMPLES Ø120m</t>
  </si>
  <si>
    <t>LIGAÇÃO RESIDENCIAL DE AGUA</t>
  </si>
  <si>
    <t>Brita 1</t>
  </si>
  <si>
    <t xml:space="preserve">Areia Média </t>
  </si>
  <si>
    <t>Concreto moldado "in loco"</t>
  </si>
  <si>
    <t>TIL LIGAÇÃO PREDIAL BBB JE 100 COLETOR</t>
  </si>
  <si>
    <t>TAMPAO COMPLETO PARA TIL 150MM</t>
  </si>
  <si>
    <t>TAMPÃO EM F°F° DN 300 MM</t>
  </si>
  <si>
    <t>Adaptador com registro 3/4''x20mm</t>
  </si>
  <si>
    <t>Anel de borracha</t>
  </si>
  <si>
    <t>Colar de tomada de ff d3/4''</t>
  </si>
  <si>
    <t>Tubo PEAD 20MM</t>
  </si>
  <si>
    <t>CAP DN 20</t>
  </si>
  <si>
    <t>SELIM PVC 150X100MM</t>
  </si>
  <si>
    <t>mês 1</t>
  </si>
  <si>
    <t>mês 2</t>
  </si>
  <si>
    <t>mês 3</t>
  </si>
  <si>
    <t>mês 4</t>
  </si>
  <si>
    <t>mês 5</t>
  </si>
  <si>
    <t>mês 6</t>
  </si>
  <si>
    <t>mês 7</t>
  </si>
  <si>
    <t>mês 8</t>
  </si>
  <si>
    <t>mês 9</t>
  </si>
  <si>
    <t>PERMANÊNCIA</t>
  </si>
  <si>
    <t>TEMPO</t>
  </si>
  <si>
    <t>CONCRETO 20MPA</t>
  </si>
  <si>
    <t>U</t>
  </si>
  <si>
    <t>CRONOGRAMA FISICO - ANO 2026</t>
  </si>
  <si>
    <t>AGUA/ESGOTO</t>
  </si>
  <si>
    <t>DENSIDADE</t>
  </si>
  <si>
    <t>1,2KG/L</t>
  </si>
  <si>
    <t>FORNECIMENTO E ASSENTAMENTO DE TUBO D=1,0 M</t>
  </si>
  <si>
    <t>AREIA</t>
  </si>
  <si>
    <t>CIMENTO</t>
  </si>
  <si>
    <t>TUBO DE CONCRETO ARMADO PA1 400MM</t>
  </si>
  <si>
    <t>TUBO DE CONCRETO ARMADO PA1 600MM</t>
  </si>
  <si>
    <t>TUBO DE CONCRETO ARMADO PA1 800MM</t>
  </si>
  <si>
    <t>TUBO DE CONCRETO ARMADO PA1 1000MM</t>
  </si>
  <si>
    <t>FORNECIMENTO E ASSENTAMENTO DE TUBO D=1,50 M</t>
  </si>
  <si>
    <t>TUBO DE CONCRETO ARMADO PA1 1500MM</t>
  </si>
  <si>
    <t>Mestre de obras</t>
  </si>
  <si>
    <t>P0077</t>
  </si>
  <si>
    <t>MEIO FIO COM SARJETA 8x30</t>
  </si>
  <si>
    <t>MEIO FIO COM SARJETA 15x30</t>
  </si>
  <si>
    <t>ARGAMASSA</t>
  </si>
  <si>
    <t>SINAPI</t>
  </si>
  <si>
    <t>ESCAVAÇÃO DE MATERIAL DE JAZIDA</t>
  </si>
  <si>
    <t>MONTAGEM DE TIL DN100</t>
  </si>
  <si>
    <t>MONTAGEM DE TIL DN150</t>
  </si>
  <si>
    <t>SAN</t>
  </si>
  <si>
    <t xml:space="preserve">PROTEÇÃO PARA TIL </t>
  </si>
  <si>
    <t>TAMPAO  E ANEL DE CONCRETO</t>
  </si>
  <si>
    <t>CAP 50/70</t>
  </si>
  <si>
    <t>RR2C</t>
  </si>
  <si>
    <t>GOIÂNIA</t>
  </si>
  <si>
    <t>GOIANIA</t>
  </si>
  <si>
    <t>BOCA DE LOBO DUPLA</t>
  </si>
  <si>
    <t>ALVENARIA BLOCOS DE CONCRETO 19X19X39</t>
  </si>
  <si>
    <t>ARGAMASSA 1:3</t>
  </si>
  <si>
    <t>ARMAÇÃO EM AÇO CA50</t>
  </si>
  <si>
    <t>CONCRETO 25MPA</t>
  </si>
  <si>
    <t xml:space="preserve">FORMA </t>
  </si>
  <si>
    <t xml:space="preserve">DNIT </t>
  </si>
  <si>
    <t>GOINFRA</t>
  </si>
  <si>
    <t>CHAMINE PARA PV CPV01</t>
  </si>
  <si>
    <t>ARGAMASSA PARA REPAROS</t>
  </si>
  <si>
    <t>POÇO DE VISITA D600</t>
  </si>
  <si>
    <t>BRITA</t>
  </si>
  <si>
    <t>TABUA</t>
  </si>
  <si>
    <t>AÇO CA50</t>
  </si>
  <si>
    <t>POÇO DE VISITA D800</t>
  </si>
  <si>
    <t>POÇO DE VISITA D1000</t>
  </si>
  <si>
    <t>POÇO DE VISITA D1500</t>
  </si>
  <si>
    <t>Operador dE escavadeira</t>
  </si>
  <si>
    <t>TUBO DE CONCRETO D400MM PA1</t>
  </si>
  <si>
    <t>TUBO DE CONCRETO D600MM PA1</t>
  </si>
  <si>
    <t>TUBO DE CONCRETO D600MM PA2</t>
  </si>
  <si>
    <t>TUBO DE CONCRETO D600MM PA3</t>
  </si>
  <si>
    <t>TUBO DE CONCRETO D800MM PA1</t>
  </si>
  <si>
    <t>TUBO DE CONCRETO D800MM PA2</t>
  </si>
  <si>
    <t>TUBO DE CONCRETO D800MM PA3</t>
  </si>
  <si>
    <t>TUBO DE CONCRETO D1000MM PA1</t>
  </si>
  <si>
    <t>TUBO DE CONCRETO D1000MM PA2</t>
  </si>
  <si>
    <t>TUBO DE CONCRETO D1000MM PA3</t>
  </si>
  <si>
    <t>TUBO DE CONCRETO D1500MM PA1</t>
  </si>
  <si>
    <t>TUBO DE CONCRETO D1500MM PA2</t>
  </si>
  <si>
    <t>TUBO DE CONCRETO D1500MM PA3</t>
  </si>
  <si>
    <t>AÇO CA50 6,3MM</t>
  </si>
  <si>
    <t>AÇO CA50 8MM</t>
  </si>
  <si>
    <t>AÇO CA50 10MM</t>
  </si>
  <si>
    <t>AÇO CA50 12,5MM</t>
  </si>
  <si>
    <t>AÇO CA60 5MM</t>
  </si>
  <si>
    <t>RACHÃO</t>
  </si>
  <si>
    <t>BGS</t>
  </si>
  <si>
    <t>CASCALHO</t>
  </si>
  <si>
    <t>M³</t>
  </si>
  <si>
    <t>TON</t>
  </si>
  <si>
    <t>TAMPA DE CONCRETO ARMADO PARA BOCA DE LOBO 50X100X6</t>
  </si>
  <si>
    <t>CAVALETE PARA BL</t>
  </si>
  <si>
    <t>ANEL E TAMPÃO DE FERRO FUNDIDO D600MM PARA PV</t>
  </si>
  <si>
    <t>OPERADOR DE MOTOSSERRA</t>
  </si>
  <si>
    <t>Roçadeira Costal</t>
  </si>
  <si>
    <t>VERBAS FIXAS</t>
  </si>
  <si>
    <t>Veículo picape 4 x 4</t>
  </si>
  <si>
    <t>CRACHAS</t>
  </si>
  <si>
    <t>2 CRACHAS POR PESSOA/ANO</t>
  </si>
  <si>
    <t>X</t>
  </si>
  <si>
    <t>mês 10</t>
  </si>
  <si>
    <t>mês 11</t>
  </si>
  <si>
    <t>mês 12</t>
  </si>
  <si>
    <t>LUVAS DE VAQUETA</t>
  </si>
  <si>
    <t>BOTA DE COURO COM BIQUEIRA DE AÇO</t>
  </si>
  <si>
    <t>PROTETOR FACIAL</t>
  </si>
  <si>
    <t>AVENTAL DE COURO</t>
  </si>
  <si>
    <t>PERNEIRA</t>
  </si>
  <si>
    <t>CINTO TIPO PARAQUEDISTA</t>
  </si>
  <si>
    <t xml:space="preserve">ENGENHEIRO (30 dias) </t>
  </si>
  <si>
    <t xml:space="preserve">MATERIAL DE SINALIZAÇÃO </t>
  </si>
  <si>
    <t>EXAME CLINICO</t>
  </si>
  <si>
    <t>AUDIOMETRIA</t>
  </si>
  <si>
    <t>LIPIDOGRAMA</t>
  </si>
  <si>
    <t>HEMOGRAMA COMPLETO</t>
  </si>
  <si>
    <t>URINA</t>
  </si>
  <si>
    <t>GLICEMIA</t>
  </si>
  <si>
    <t>ELETROCARGIOGRAMA</t>
  </si>
  <si>
    <t>TIPAGEM SANGUINEA</t>
  </si>
  <si>
    <t>PLANO DE TRANSITO INTEGRADO</t>
  </si>
  <si>
    <t>OPERADOR DE MOTOPODA</t>
  </si>
  <si>
    <t>FERRAMENTAS MANUAIS</t>
  </si>
  <si>
    <t>PRODUTOS QUIMICOS</t>
  </si>
  <si>
    <t>NR6 (USO EPIS)</t>
  </si>
  <si>
    <t>NR12 (MAQUINAS E EQP)</t>
  </si>
  <si>
    <t>NR35 (TRAB EM ALTURA)</t>
  </si>
  <si>
    <t>NRS 22 (MINERAÇÃO)</t>
  </si>
  <si>
    <t>ALIMENTAÇÃO/CESTA BÁSICA/SEGURO DE VIDA</t>
  </si>
  <si>
    <t>STARLINK</t>
  </si>
  <si>
    <t>MARA ROSA</t>
  </si>
  <si>
    <t>OPERADOR DE PÁ CARREGADEIRA</t>
  </si>
  <si>
    <t>OPERADOR DE TRATOR DE ESTEIRAS</t>
  </si>
  <si>
    <t>PÁ CARREGADEIRA</t>
  </si>
  <si>
    <t>TRATOR DE ESTEIRAS 20T</t>
  </si>
  <si>
    <t>Caminhão Pipa 20.000 l</t>
  </si>
  <si>
    <t>CAMINHÃO PIPA 20.000 L</t>
  </si>
  <si>
    <t>GERENTE DE CONTRATO</t>
  </si>
  <si>
    <t>SINALEIROS</t>
  </si>
  <si>
    <t>MARA ROSA-GO</t>
  </si>
  <si>
    <t>ESTUDO DE PRATICABILIDADE 
OPERAÇÃO DE REJEITOS</t>
  </si>
  <si>
    <t>Dias úteis (SEG À DOM)</t>
  </si>
  <si>
    <t xml:space="preserve">ALUGUEL DE CONTEINER </t>
  </si>
  <si>
    <t>ALMOXARIFADO/FERRAMENTARIA/ADM/LAB/TOP</t>
  </si>
  <si>
    <t>GAIOLA METÁLICA</t>
  </si>
  <si>
    <t>ARMAZENAMENTO DE PRODUTOS QUÍMICOS</t>
  </si>
  <si>
    <t>BEBEDOURO 40l</t>
  </si>
  <si>
    <t>ESTRUTURA DE VIVENCIA (TENDA 6x6/MESAS E CADEIRAS)</t>
  </si>
  <si>
    <t>PLACAS DE SINALIZAÇÃO ( SEGURANÇA, DONO DE AREA, ORIENTAÇÃO, EPIS...)</t>
  </si>
  <si>
    <t>COLETORES SELETIVOS DE RESÍDUOS (C/ 5 UNIDADES)</t>
  </si>
  <si>
    <t>EXTINTORES DE INCENDIO</t>
  </si>
  <si>
    <t>EXTINTOR + RECARGA ANUAL + SINALIZAÇÃO</t>
  </si>
  <si>
    <t>GRADE DE ISOLAMENTO MULTIFLUXO EM AÇO GALVANIZADO ELETROLÍTICO – multifluxo bronze zebrada sinalização 1,20a x 2,00c</t>
  </si>
  <si>
    <t>ISOLAMENTO CANTEIRO E BAIA DE ESTOQUE DE MATERIAIS</t>
  </si>
  <si>
    <t>IMPRESSORA</t>
  </si>
  <si>
    <t>LASER MONOCROMÁTICA</t>
  </si>
  <si>
    <t>OFICINA DE MANUTENÇÃO</t>
  </si>
  <si>
    <t>RADIO DE COMUNICAÇÃO PORTÁTIL</t>
  </si>
  <si>
    <t>RADIO DE COMUNICAÇÃO VEICULAR</t>
  </si>
  <si>
    <t>GPS PARA TRATOR E/OU MOTONIVELADORA</t>
  </si>
  <si>
    <t>COMPRA</t>
  </si>
  <si>
    <t>ALUGUEL</t>
  </si>
  <si>
    <t>AJUDANTE ESPECIALIZADO</t>
  </si>
  <si>
    <t>LAVADOR</t>
  </si>
  <si>
    <t>P0078</t>
  </si>
  <si>
    <t>Técnico de enfermagem</t>
  </si>
  <si>
    <t>KIT DE EMERGÊNCIA</t>
  </si>
  <si>
    <t>Prancha, ataduras complexas, soro fisiológico, mínimo 2 talas P, M, G para atuação da brigada e chuveiro de emergência - 2 kits, 3 lotes de atadura e talas, 1 chuveiro</t>
  </si>
  <si>
    <t>MASCARA DE FUGA SEMIFACIL COM FITRO QUIMICO DE HCN</t>
  </si>
  <si>
    <t>MONITOR PARA DETECÇÃO DE HCN</t>
  </si>
  <si>
    <t>MONITOR + KIT DE CALIBRAÇÃO (6) + SENSOR</t>
  </si>
  <si>
    <t>CILINDRO DE AR MEDICINAL PORTATIL, COM MASCARA FACIAL</t>
  </si>
  <si>
    <t>Capacidade &gt;6 L, carrinho com rodas, fixação, válvula de segurança</t>
  </si>
  <si>
    <t>BOMBA DE SUCÇÃO DE AGUA (Centrífuga/autoescorvante, 20–40 m³/h + mangote Ø 2-3”)</t>
  </si>
  <si>
    <t>SINALEIRO</t>
  </si>
  <si>
    <t>TORRES DE ILUMINAÇÃO</t>
  </si>
  <si>
    <t xml:space="preserve">CUSTO </t>
  </si>
  <si>
    <t>Piso impermeabilizado, canaletas, caixa separadora, bacia de contenção, equipamentos</t>
  </si>
  <si>
    <t>1 na pilha e 1 no canteiro</t>
  </si>
  <si>
    <t>RESPONSABILIDADE CONTRATANTE</t>
  </si>
  <si>
    <t>TELEMETRIA</t>
  </si>
  <si>
    <t>INSTALAÇÃO DE TELEMETRIA</t>
  </si>
  <si>
    <t>24H</t>
  </si>
  <si>
    <t>TODOS EQUIPAMENTOS</t>
  </si>
  <si>
    <t>EPI/EXAMES E TREINAMENTOS</t>
  </si>
  <si>
    <t>HORAS TRABALHADAS NO MÊS</t>
  </si>
  <si>
    <t>SALÁRIO MENSAL</t>
  </si>
  <si>
    <t>T1</t>
  </si>
  <si>
    <t>T2</t>
  </si>
  <si>
    <t>T3</t>
  </si>
  <si>
    <t>T4</t>
  </si>
  <si>
    <t>06-18h</t>
  </si>
  <si>
    <t>18-06h</t>
  </si>
  <si>
    <t>ADICIONAL NOTURNO</t>
  </si>
  <si>
    <t>ATUALIZADO nov/2025</t>
  </si>
  <si>
    <t>P0079</t>
  </si>
  <si>
    <t>2 EQUIPES</t>
  </si>
  <si>
    <t>DIURNO/NOTURNO</t>
  </si>
  <si>
    <t>Piso impermeabilizado, canaletas de contenção de efluentes provenientes de manutenção, sistema de tratamento de efluente (Caixa Separadora de Água e Óleo), possuir coletores e/ou tanques de coleta de óleo e kits de mitigação ambiental disponíveis, gaiola de calibragem - incluso instalação, manutenção anual de peças, gestao de efluentes, calibraçao de instrumentos, seguro - consideração para 300m²</t>
  </si>
  <si>
    <t>MDO</t>
  </si>
  <si>
    <t>EQP</t>
  </si>
  <si>
    <t>COMB</t>
  </si>
  <si>
    <t>GPS PARA TRATOR</t>
  </si>
  <si>
    <t>COMPRA - GPS LEICA (COLOQUEI NA EQUIPE)</t>
  </si>
  <si>
    <t>GPS ALTA PRECISÃO LEICA</t>
  </si>
  <si>
    <t>COLOQUEI NA EQUIPE</t>
  </si>
  <si>
    <t>MANUTENÇÃO DOS ACESSOS</t>
  </si>
  <si>
    <t>SUPRESSÃO VEGETAL</t>
  </si>
  <si>
    <t>Corte de Arvore Isolada, com destocamento com Ø &gt; 45cm</t>
  </si>
  <si>
    <t>Corte de Arvore Isolada, com destocamento com Ø &lt; 45cm</t>
  </si>
  <si>
    <t xml:space="preserve">Supressão vegetal com destocamento de vegetação com Ø =&lt; 45cm </t>
  </si>
  <si>
    <t>Carga, transporte, descarga e estocagem de madeira - Romaneio e Cubagem - DMT 1501 até 2000 m</t>
  </si>
  <si>
    <t>Carga, transporte, descarga e estocagem de madeira - Romaneio e Cubagem - DMT 3501 até 4000 m</t>
  </si>
  <si>
    <t>un</t>
  </si>
  <si>
    <t>LIMPEZA DA ÁREA</t>
  </si>
  <si>
    <t>Escavação, carga e transporte de camada de solo superficial com espessura maxima de 15cm para a área de depósito - DMT 1501 até 2000 m</t>
  </si>
  <si>
    <t>Escavação, carga e transporte de camada de solo superficial com espessura maxima de 15cm para a área de depósito - DMT 3001 até 3500 m</t>
  </si>
  <si>
    <t>ESCAVAÇÃO, CARGA, TRANSPORTE E ESPALHAMENTO</t>
  </si>
  <si>
    <t>Escavação, Carga, Transporte e Espalhamento - material de 1° categoria - DMT 0 até 500m</t>
  </si>
  <si>
    <t>Escavação, Carga, Transporte e Espalhamento - material de 1° categoria - DMT 501 até 1000m</t>
  </si>
  <si>
    <t>Escavação, Carga, Transporte e Espalhamento - material de 1° categoria - DMT 1001 até 1500m</t>
  </si>
  <si>
    <t>Escavação, Carga, Transporte e Espalhamento - material de 1° categoria - DMT 1501 até 2000m</t>
  </si>
  <si>
    <t>Escavação, Carga, Transporte e Espalhamento - material de 1° categoria - DMT 2001 até 2500m</t>
  </si>
  <si>
    <t xml:space="preserve"> Mobilização de pessoal e equipamentos</t>
  </si>
  <si>
    <t xml:space="preserve"> Mobilização Canteiro de Obras</t>
  </si>
  <si>
    <t xml:space="preserve"> Desmobilização Canteiro de Obras</t>
  </si>
  <si>
    <t xml:space="preserve"> Desmobilização de pessoal e equipamentos</t>
  </si>
  <si>
    <t>OPERAÇÃO DE SUPRESSÃO E SUMP</t>
  </si>
  <si>
    <t>H</t>
  </si>
  <si>
    <t>EQUIPE 2 - LIMPEZA DA ÁREA</t>
  </si>
  <si>
    <t>EQUIPE 1 - SUPRESSÃO VEGETAL</t>
  </si>
  <si>
    <t>CORTE DE ÁRVORE ISOLADA COM DESTOCAMENTO COM D &gt; 45cm</t>
  </si>
  <si>
    <t>UN</t>
  </si>
  <si>
    <t>CORTE DE ÁRVORE ISOLADA COM DESTOCAMENTO COM D &lt; 45cm</t>
  </si>
  <si>
    <t>SUPRESSÃO VEGETAL COM DESTOCAMENTO DE VEGETAÇÃO COM D &lt; 45cm</t>
  </si>
  <si>
    <t>EQUIPE 3 - ESCAVAÇÃO, CARGA, TRANSPORTE E ESPALHAMENTO</t>
  </si>
  <si>
    <t>CARGA, TRANSPORTE, DESCARGA E ESTOCAGEM DE MADEIRA ATÉ 2KM</t>
  </si>
  <si>
    <t>CARGA, TRANSPORTE, DESCARGA E ESTOCAGEM DE MADEIRA ATÉ 4KM</t>
  </si>
  <si>
    <t>ESCAVAÇÃO, CARGA E TRANSPORTE DE CAMADA DE SOLO SUPERFICIAL ATÉ 2KM</t>
  </si>
  <si>
    <t>ESCAVAÇÃO, CARGA E TRANSPORTE DE CAMADA DE SOLO SUPERFICIAL ATÉ 3,5KM</t>
  </si>
  <si>
    <t>ESCAVAÇÃO, CARGA, TRANSPORTE E ESPALHAMENTO - MATERIAL DE 1ª CATEGORIA ATÉ 500m</t>
  </si>
  <si>
    <t>ESCAVAÇÃO, CARGA, TRANSPORTE E ESPALHAMENTO - MATERIAL DE 1ª CATEGORIA DMT 501 A 1000m</t>
  </si>
  <si>
    <t>ESCAVAÇÃO, CARGA, TRANSPORTE E ESPALHAMENTO - MATERIAL DE 1ª CATEGORIA DMT 1001 A 1500m</t>
  </si>
  <si>
    <t>ESCAVAÇÃO, CARGA, TRANSPORTE E ESPALHAMENTO - MATERIAL DE 1ª CATEGORIA DMT 1501 A 2000m</t>
  </si>
  <si>
    <t>ESCAVAÇÃO, CARGA, TRANSPORTE E ESPALHAMENTO - MATERIAL DE 1ª CATEGORIA DMT 2001 A 2500m</t>
  </si>
  <si>
    <t>AUXILIAR MECÂNICO</t>
  </si>
  <si>
    <t>CARGA, TRANSPORTE, DESCARGA E ESTOCAGEM DE MADEIRA DMT 0 ATÉ 500M</t>
  </si>
  <si>
    <t>CARGA, TRANSPORTE, DESCARGA E ESTOCAGEM DE MADEIRA DMT 501 ATÉ 1000M</t>
  </si>
  <si>
    <t>CARGA, TRANSPORTE, DESCARGA E ESTOCAGEM DE MADEIRA DMT 1001 ATÉ 1500M</t>
  </si>
  <si>
    <t>CARGA, TRANSPORTE, DESCARGA E ESTOCAGEM DE MADEIRA DMT 1501 ATÉ 2000 M</t>
  </si>
  <si>
    <t>CARGA, TRANSPORTE, DESCARGA E ESTOCAGEM DE MADEIRA DMT 2001 ATÉ 3000 M</t>
  </si>
  <si>
    <t>CARGA, TRANSPORTE, DESCARGA E ESTOCAGEM DE MADEIRA DMT 3001 ATÉ 4000 M</t>
  </si>
  <si>
    <t>CARGA, TRANSPORTE, DESCARGA E ESTOCAGEM DE MADEIRA DMT 4001 ATÉ 5000 M</t>
  </si>
  <si>
    <t>ESCAVAÇÃO, CARGA E TRANSPORTE DE CAMADA DE SOLO SUPERFICIAL COM ESPESSURA MÁXIMA DE 15CM PARA ÁREA DE DEPÓSITO - DMT 0 ATÉ 500 M</t>
  </si>
  <si>
    <t>ESCAVAÇÃO, CARGA E TRANSPORTE DE CAMADA DE SOLO SUPERFICIAL COM ESPESSURA MÁXIMA DE 15CM PARA ÁREA DE DEPÓSITO - DMT 501 ATÉ 1000 M</t>
  </si>
  <si>
    <t>ESCAVAÇÃO, CARGA E TRANSPORTE DE CAMADA DE SOLO SUPERFICIAL COM ESPESSURA MÁXIMA DE 15CM PARA ÁREA DE DEPÓSITO - DMT 1001 ATÉ 1500 M</t>
  </si>
  <si>
    <t>ESCAVAÇÃO, CARGA E TRANSPORTE DE CAMADA DE SOLO SUPERFICIAL COM ESPESSURA MÁXIMA DE 15CM PARA ÁREA DE DEPÓSITO - DMT 1501 ATÉ 2000 M</t>
  </si>
  <si>
    <t>ESCAVAÇÃO, CARGA E TRANSPORTE DE CAMADA DE SOLO SUPERFICIAL COM ESPESSURA MÁXIMA DE 15CM PARA ÁREA DE DEPÓSITO - DMT 2001 ATÉ 2500 M</t>
  </si>
  <si>
    <t>ESCAVAÇÃO, CARGA E TRANSPORTE DE CAMADA DE SOLO SUPERFICIAL COM ESPESSURA MÁXIMA DE 15CM PARA ÁREA DE DEPÓSITO - DMT 2501 ATÉ 3000 M</t>
  </si>
  <si>
    <t>ESCAVAÇÃO, CARGA E TRANSPORTE DE CAMADA DE SOLO SUPERFICIAL COM ESPESSURA MÁXIMA DE 15CM PARA ÁREA DE DEPÓSITO - DMT 3001 ATÉ 3500 M</t>
  </si>
  <si>
    <t>ESCAVAÇÃO, CARGA E TRANSPORTE DE CAMADA DE SOLO SUPERFICIAL COM ESPESSURA MÁXIMA DE 15CM PARA ÁREA DE DEPÓSITO - DMT 3501 ATÉ 5000 M</t>
  </si>
  <si>
    <t>ESCAVAÇÃO, CARGA, TRANSPORTE E ESPALHAMENTO - MATERIAL DE 1ª CATEGORIA DMT 2501 A 3000m</t>
  </si>
  <si>
    <t>ESCAVAÇÃO, CARGA, TRANSPORTE E ESPALHAMENTO - MATERIAL DE 2ª CATEGORIA ATÉ 500m</t>
  </si>
  <si>
    <t>ESCAVAÇÃO, CARGA, TRANSPORTE E ESPALHAMENTO - MATERIAL DE 2ª CATEGORIA DMT 501 A 1000m</t>
  </si>
  <si>
    <t>ESCAVAÇÃO, CARGA, TRANSPORTE E ESPALHAMENTO - MATERIAL DE 2ª CATEGORIA DMT 1001 A 1500m</t>
  </si>
  <si>
    <t>Escavadeira Hidráulica PC220 ou similar</t>
  </si>
  <si>
    <t>Lubrificantes e Filtros</t>
  </si>
  <si>
    <t>Manutenção (Preventiva e Corretiva)</t>
  </si>
  <si>
    <t>Material de Desgaste (FPS)</t>
  </si>
  <si>
    <t>Escavadeira Hidráulica PC350 ou similar</t>
  </si>
  <si>
    <t>Rolo Compactador, tipo: Pé de Carneiro - 20T SANY SSR200C ou  similar</t>
  </si>
  <si>
    <t>Rolo Compactador, tipo: Liso - 20T SANY SSR200C ou similar</t>
  </si>
  <si>
    <t>Pá Carregadeira - John Deere 724K ou similar</t>
  </si>
  <si>
    <t>Motoniveladora - CAT 140 ou similar</t>
  </si>
  <si>
    <t>Trator de Esteiras - CAT D6 ou similar</t>
  </si>
  <si>
    <t>Caminhão Pipa Traçado 6x4, tanque: 20.000l - Mercedes Benz AXOR 3131 ou similar</t>
  </si>
  <si>
    <t>Caminhão Comboio (lubrificação) - 5.000 litros</t>
  </si>
  <si>
    <t>3 DIAS</t>
  </si>
  <si>
    <t>15 DIAS</t>
  </si>
  <si>
    <t>Carga, transporte, descarga e estocagem de madeira - Romaneio e Cubagem - DMT 0 até 500 m</t>
  </si>
  <si>
    <t>Carga, transporte, descarga e estocagem de madeira - Romaneio e Cubagem - DMT 501 até 1000 m</t>
  </si>
  <si>
    <t xml:space="preserve">Carga, transporte, descarga e estocagem de madeira - Romaneio e Cubagem - DMT 1001 até 1500 m </t>
  </si>
  <si>
    <t>Carga, transporte, descarga e estocagem de madeira - Romaneio e Cubagem - DMT 2001 até 2500 m</t>
  </si>
  <si>
    <t>Carga, transporte, descarga e estocagem de madeira - Romaneio e Cubagem - DMT 2501 até 3000 m</t>
  </si>
  <si>
    <t>Carga, transporte, descarga e estocagem de madeira - Romaneio e Cubagem - DMT 3001 até 3500 m</t>
  </si>
  <si>
    <t>Carga, transporte, descarga e estocagem de madeira - Romaneio e Cubagem - DMT 4501 até 5000 m</t>
  </si>
  <si>
    <t>2.10</t>
  </si>
  <si>
    <t>2.11</t>
  </si>
  <si>
    <t>2.12</t>
  </si>
  <si>
    <t>Escavação, carga e transporte de camada de solo superficial com espessura maxima de 15cm para a área de depósito - DMT 0 até 500 m</t>
  </si>
  <si>
    <t>Escavação, carga e transporte de camada de solo superficial com espessura maxima de 15cm para a área de depósito - DMT 501 até 1000 m</t>
  </si>
  <si>
    <t>Escavação, carga e transporte de camada de solo superficial com espessura maxima de 15cm para a área de depósito - DMT 1001 até 1500 m</t>
  </si>
  <si>
    <t>Escavação, carga e transporte de camada de solo superficial com espessura maxima de 15cm para a área de depósito - DMT 2001 até 2500 m</t>
  </si>
  <si>
    <t>Escavação, carga e transporte de camada de solo superficial com espessura maxima de 15cm para a área de depósito - DMT 2501 até 3000 m</t>
  </si>
  <si>
    <t>Escavação, carga e transporte de camada de solo superficial com espessura maxima de 15cm para a área de depósito - DMT 3501 até 4000 m</t>
  </si>
  <si>
    <t>Escavação, carga e transporte de camada de solo superficial com espessura maxima de 15cm para a área de depósito - DMT 4001 até 4500 m</t>
  </si>
  <si>
    <t>Escavação, carga e transporte de camada de solo superficial com espessura maxima de 15cm para a área de depósito - DMT 4501 até 5000 m</t>
  </si>
  <si>
    <t>3.7</t>
  </si>
  <si>
    <t>3.8</t>
  </si>
  <si>
    <t>3.9</t>
  </si>
  <si>
    <t>3.10</t>
  </si>
  <si>
    <t>4.10</t>
  </si>
  <si>
    <t>4.11</t>
  </si>
  <si>
    <t>4.12</t>
  </si>
  <si>
    <t>Escavação, Carga, Transporte e Espalhamento -  material de 1° categoria - DMT 2501 até 3000m</t>
  </si>
  <si>
    <t>Escavação, Carga, Transporte e Espalhamento - material de 2° categoria - DMT 0 até 500m</t>
  </si>
  <si>
    <t>Escavação, Carga, Transporte e Espalhamento -  material de 2° categoria -DMT 501 até 1000m</t>
  </si>
  <si>
    <t>Escavação, Carga, Transporte e Espalhamento -  material de 2° categoria -DMT 1001 até 1500m</t>
  </si>
  <si>
    <t>Escavação, Carga, Transporte e Espalhamento -  material de 2° categoria - DMT 1501 até 2000m</t>
  </si>
  <si>
    <t>Escavação, Carga, Transporte e Espalhamento -  material de 2° categoria - DMT 2001 até 2500m</t>
  </si>
  <si>
    <t>Escavação, Carga, Transporte e Espalhamento -  material de 2° categoria - DMT 2501 até 3000m</t>
  </si>
  <si>
    <t>5.7</t>
  </si>
  <si>
    <t>5.8</t>
  </si>
  <si>
    <t>5.9</t>
  </si>
  <si>
    <t>5.10</t>
  </si>
  <si>
    <t>Caminhão Traçado 6x4 (Basculante) 14m³</t>
  </si>
  <si>
    <t>Escavadeira Hidraulica - PC220 ou similar</t>
  </si>
  <si>
    <t>Escavadeira Hidraulica - PC350 ou similar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</si>
</sst>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R$&quot;\ #,##0.00;[Red]\-&quot;R$&quot;\ #,##0.00"/>
    <numFmt numFmtId="44" formatCode="_-&quot;R$&quot;\ * #,##0.00_-;\-&quot;R$&quot;\ * #,##0.00_-;_-&quot;R$&quot;\ * &quot;-&quot;??_-;_-@_-"/>
    <numFmt numFmtId="43" formatCode="_-* #,##0.00_-;\-* #,##0.00_-;_-* &quot;-&quot;??_-;_-@_-"/>
    <numFmt numFmtId="164" formatCode="_-&quot;R$&quot;* #,##0.00_-;\-&quot;R$&quot;* #,##0.00_-;_-&quot;R$&quot;* &quot;-&quot;??_-;_-@_-"/>
    <numFmt numFmtId="165" formatCode="_(* #,##0.00_);_(* \(#,##0.00\);_(* &quot;-&quot;??_);_(@_)"/>
    <numFmt numFmtId="166" formatCode="dd/mm/yy;@"/>
    <numFmt numFmtId="167" formatCode="_(&quot;R$ &quot;* #,##0.00_);_(&quot;R$ &quot;* \(#,##0.00\);_(&quot;R$ &quot;* &quot;-&quot;??_);_(@_)"/>
    <numFmt numFmtId="168" formatCode="0&quot;ª&quot;"/>
    <numFmt numFmtId="169" formatCode="dd/mm/yy"/>
    <numFmt numFmtId="170" formatCode="&quot;R$&quot;\ #,##0.00"/>
    <numFmt numFmtId="171" formatCode="#,##0.00_ ;\-#,##0.00\ "/>
    <numFmt numFmtId="172" formatCode="#,##0.000"/>
    <numFmt numFmtId="173" formatCode="0.0%"/>
    <numFmt numFmtId="174" formatCode="#,##0.0000000"/>
    <numFmt numFmtId="175" formatCode="#,##0.00000000"/>
    <numFmt numFmtId="176" formatCode="General_)"/>
    <numFmt numFmtId="177" formatCode="dd\-mmm\-yy"/>
    <numFmt numFmtId="178" formatCode="0.00000%"/>
    <numFmt numFmtId="179" formatCode="mmmm\,\ yyyy;@"/>
    <numFmt numFmtId="180" formatCode="[$-F400]h:mm:ss\ AM/PM"/>
    <numFmt numFmtId="181" formatCode="_-* #,##0_-;\-* #,##0_-;_-* &quot;-&quot;??_-;_-@_-"/>
    <numFmt numFmtId="182" formatCode="_-* #,##0.0_-;\-* #,##0.0_-;_-* &quot;-&quot;??_-;_-@_-"/>
    <numFmt numFmtId="183" formatCode="0.000"/>
    <numFmt numFmtId="184" formatCode="#,##0.0"/>
    <numFmt numFmtId="185" formatCode="0.0000000"/>
    <numFmt numFmtId="186" formatCode="_-* #,##0.0000_-;\-* #,##0.0000_-;_-* &quot;-&quot;??_-;_-@_-"/>
    <numFmt numFmtId="187" formatCode="#,##0.000000"/>
    <numFmt numFmtId="188" formatCode="_-* #,##0.0000000_-;\-* #,##0.0000000_-;_-* &quot;-&quot;??_-;_-@_-"/>
  </numFmts>
  <fonts count="106">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theme="1"/>
      <name val="Arial"/>
      <family val="2"/>
    </font>
    <font>
      <b/>
      <sz val="10"/>
      <color theme="1"/>
      <name val="Arial"/>
      <family val="2"/>
    </font>
    <font>
      <b/>
      <sz val="18"/>
      <color theme="3"/>
      <name val="Arial"/>
      <family val="2"/>
    </font>
    <font>
      <sz val="11"/>
      <name val="Arial"/>
      <family val="2"/>
    </font>
    <font>
      <b/>
      <sz val="11"/>
      <color rgb="FF00B050"/>
      <name val="Arial"/>
      <family val="2"/>
    </font>
    <font>
      <b/>
      <sz val="10"/>
      <color theme="3"/>
      <name val="Arial"/>
      <family val="2"/>
    </font>
    <font>
      <b/>
      <sz val="10"/>
      <color rgb="FFFF0000"/>
      <name val="Arial"/>
      <family val="2"/>
    </font>
    <font>
      <b/>
      <sz val="10"/>
      <color rgb="FF00B050"/>
      <name val="Arial"/>
      <family val="2"/>
    </font>
    <font>
      <b/>
      <sz val="9"/>
      <color rgb="FFFF0000"/>
      <name val="Arial"/>
      <family val="2"/>
    </font>
    <font>
      <b/>
      <sz val="10"/>
      <color rgb="FF7030A0"/>
      <name val="Arial"/>
      <family val="2"/>
    </font>
    <font>
      <b/>
      <sz val="11"/>
      <name val="Calibri"/>
      <family val="2"/>
      <scheme val="minor"/>
    </font>
    <font>
      <b/>
      <sz val="10"/>
      <color theme="9" tint="-0.249977111117893"/>
      <name val="Arial"/>
      <family val="2"/>
    </font>
    <font>
      <b/>
      <sz val="11"/>
      <color rgb="FFFF0000"/>
      <name val="Calibri"/>
      <family val="2"/>
      <scheme val="minor"/>
    </font>
    <font>
      <sz val="11"/>
      <name val="Calibri"/>
      <family val="2"/>
    </font>
    <font>
      <sz val="10"/>
      <name val="Calibri"/>
      <family val="2"/>
    </font>
    <font>
      <b/>
      <sz val="11"/>
      <name val="Calibri"/>
      <family val="2"/>
    </font>
    <font>
      <b/>
      <sz val="12"/>
      <name val="Calibri"/>
      <family val="2"/>
    </font>
    <font>
      <sz val="12"/>
      <name val="Calibri"/>
      <family val="2"/>
    </font>
    <font>
      <sz val="11"/>
      <color theme="1"/>
      <name val="Calibri"/>
      <family val="2"/>
    </font>
    <font>
      <b/>
      <sz val="24"/>
      <name val="Calibri"/>
      <family val="2"/>
    </font>
    <font>
      <b/>
      <sz val="16"/>
      <name val="Calibri"/>
      <family val="2"/>
    </font>
    <font>
      <b/>
      <sz val="10"/>
      <color theme="0"/>
      <name val="Calibri"/>
      <family val="2"/>
    </font>
    <font>
      <b/>
      <sz val="10"/>
      <name val="Calibri"/>
      <family val="2"/>
    </font>
    <font>
      <sz val="10"/>
      <color theme="1"/>
      <name val="Calibri"/>
      <family val="2"/>
    </font>
    <font>
      <b/>
      <sz val="14"/>
      <color theme="1"/>
      <name val="Calibri"/>
      <family val="2"/>
      <scheme val="minor"/>
    </font>
    <font>
      <b/>
      <sz val="10"/>
      <color theme="1"/>
      <name val="Calibri"/>
      <family val="2"/>
    </font>
    <font>
      <b/>
      <sz val="12"/>
      <color rgb="FFFF0000"/>
      <name val="Calibri"/>
      <family val="2"/>
    </font>
    <font>
      <sz val="10"/>
      <color rgb="FF00B0F0"/>
      <name val="Arial"/>
      <family val="2"/>
    </font>
    <font>
      <b/>
      <sz val="10"/>
      <color rgb="FF00B0F0"/>
      <name val="Arial"/>
      <family val="2"/>
    </font>
    <font>
      <sz val="10"/>
      <color theme="8" tint="-0.499984740745262"/>
      <name val="Arial"/>
      <family val="2"/>
    </font>
    <font>
      <b/>
      <sz val="10"/>
      <color theme="8" tint="-0.499984740745262"/>
      <name val="Arial"/>
      <family val="2"/>
    </font>
    <font>
      <sz val="10"/>
      <color theme="0" tint="-0.499984740745262"/>
      <name val="Arial"/>
      <family val="2"/>
    </font>
    <font>
      <b/>
      <sz val="10"/>
      <color theme="0" tint="-0.499984740745262"/>
      <name val="Arial"/>
      <family val="2"/>
    </font>
    <font>
      <b/>
      <sz val="11"/>
      <name val="Arial"/>
      <family val="2"/>
    </font>
    <font>
      <b/>
      <sz val="11"/>
      <color theme="1"/>
      <name val="Arial"/>
      <family val="2"/>
    </font>
    <font>
      <sz val="11"/>
      <color theme="1"/>
      <name val="Arial"/>
      <family val="2"/>
    </font>
    <font>
      <sz val="11"/>
      <color indexed="8"/>
      <name val="Calibri"/>
      <family val="2"/>
    </font>
    <font>
      <sz val="8"/>
      <name val="Calibri"/>
      <family val="2"/>
    </font>
    <font>
      <i/>
      <sz val="8"/>
      <name val="Calibri"/>
      <family val="2"/>
    </font>
    <font>
      <b/>
      <sz val="10"/>
      <color theme="1"/>
      <name val="Calibri"/>
      <family val="2"/>
      <scheme val="minor"/>
    </font>
    <font>
      <sz val="8"/>
      <name val="Calibri"/>
      <family val="2"/>
      <scheme val="minor"/>
    </font>
    <font>
      <sz val="9"/>
      <name val="Calibri"/>
      <family val="2"/>
    </font>
    <font>
      <b/>
      <sz val="11"/>
      <color theme="1"/>
      <name val="Calibri"/>
      <family val="2"/>
    </font>
    <font>
      <sz val="8"/>
      <color theme="1"/>
      <name val="Calibri"/>
      <family val="2"/>
      <scheme val="minor"/>
    </font>
    <font>
      <sz val="10"/>
      <color theme="1"/>
      <name val="Calibri"/>
      <family val="2"/>
      <scheme val="minor"/>
    </font>
    <font>
      <b/>
      <sz val="10"/>
      <color indexed="8"/>
      <name val="Calibri"/>
      <family val="2"/>
    </font>
    <font>
      <b/>
      <sz val="9"/>
      <color theme="1"/>
      <name val="Calibri"/>
      <family val="2"/>
      <scheme val="minor"/>
    </font>
    <font>
      <sz val="9"/>
      <color theme="1"/>
      <name val="Calibri"/>
      <family val="2"/>
      <scheme val="minor"/>
    </font>
    <font>
      <b/>
      <sz val="20"/>
      <color rgb="FFFF0000"/>
      <name val="Calibri"/>
      <family val="2"/>
      <scheme val="minor"/>
    </font>
    <font>
      <b/>
      <sz val="12"/>
      <color rgb="FFFF0000"/>
      <name val="Calibri"/>
      <family val="2"/>
      <scheme val="minor"/>
    </font>
    <font>
      <b/>
      <sz val="18"/>
      <name val="Calibri"/>
      <family val="2"/>
      <scheme val="minor"/>
    </font>
    <font>
      <b/>
      <sz val="12"/>
      <name val="Calibri"/>
      <family val="2"/>
      <scheme val="minor"/>
    </font>
    <font>
      <b/>
      <sz val="16"/>
      <name val="Calibri"/>
      <family val="2"/>
      <scheme val="minor"/>
    </font>
    <font>
      <u val="singleAccounting"/>
      <sz val="12"/>
      <name val="Thespian-Wide"/>
    </font>
    <font>
      <sz val="16"/>
      <name val="Terminator Two"/>
    </font>
    <font>
      <sz val="18"/>
      <name val="Terminator Two"/>
    </font>
    <font>
      <b/>
      <sz val="10"/>
      <name val="Calibri"/>
      <family val="2"/>
      <scheme val="minor"/>
    </font>
    <font>
      <sz val="12"/>
      <name val="Calibri"/>
      <family val="2"/>
      <scheme val="minor"/>
    </font>
    <font>
      <sz val="12"/>
      <name val="Times New Roman"/>
      <family val="1"/>
    </font>
    <font>
      <sz val="12"/>
      <color theme="1"/>
      <name val="Calibri"/>
      <family val="2"/>
      <scheme val="minor"/>
    </font>
    <font>
      <b/>
      <u/>
      <sz val="12"/>
      <color theme="1"/>
      <name val="Calibri"/>
      <family val="2"/>
      <scheme val="minor"/>
    </font>
    <font>
      <b/>
      <sz val="16"/>
      <color theme="1"/>
      <name val="Calibri"/>
      <family val="2"/>
      <scheme val="minor"/>
    </font>
    <font>
      <sz val="10"/>
      <color rgb="FFFF0000"/>
      <name val="Calibri"/>
      <family val="2"/>
      <scheme val="minor"/>
    </font>
    <font>
      <b/>
      <sz val="10"/>
      <color theme="5"/>
      <name val="Calibri"/>
      <family val="2"/>
      <scheme val="minor"/>
    </font>
    <font>
      <b/>
      <sz val="10"/>
      <color rgb="FFFF0000"/>
      <name val="Calibri"/>
      <family val="2"/>
    </font>
    <font>
      <sz val="11"/>
      <color rgb="FFFF0000"/>
      <name val="Calibri"/>
      <family val="2"/>
      <scheme val="minor"/>
    </font>
    <font>
      <sz val="11"/>
      <color rgb="FF0000FF"/>
      <name val="Calibri"/>
      <family val="2"/>
      <scheme val="minor"/>
    </font>
    <font>
      <sz val="10"/>
      <name val="Swis721 LtEx BT"/>
      <family val="2"/>
    </font>
    <font>
      <sz val="12"/>
      <name val="Courier"/>
    </font>
    <font>
      <b/>
      <sz val="10"/>
      <name val="Swis721 LtEx BT"/>
      <family val="2"/>
    </font>
    <font>
      <b/>
      <sz val="12"/>
      <name val="Swis721 LtEx BT"/>
      <family val="2"/>
    </font>
    <font>
      <sz val="12"/>
      <name val="Swis721 LtEx BT"/>
      <family val="2"/>
    </font>
    <font>
      <sz val="11"/>
      <name val="Calibri"/>
      <family val="2"/>
      <scheme val="minor"/>
    </font>
    <font>
      <b/>
      <sz val="12"/>
      <color theme="1"/>
      <name val="Calibri"/>
      <family val="2"/>
      <scheme val="minor"/>
    </font>
    <font>
      <sz val="10"/>
      <color theme="0"/>
      <name val="Calibri"/>
      <family val="2"/>
      <scheme val="minor"/>
    </font>
    <font>
      <sz val="10"/>
      <color rgb="FF0000FF"/>
      <name val="Calibri"/>
      <family val="2"/>
    </font>
    <font>
      <b/>
      <sz val="12"/>
      <color theme="3"/>
      <name val="Arial"/>
      <family val="2"/>
    </font>
    <font>
      <sz val="8"/>
      <name val="Arial"/>
      <family val="2"/>
    </font>
    <font>
      <b/>
      <sz val="8"/>
      <name val="Arial"/>
      <family val="2"/>
    </font>
    <font>
      <sz val="7.5"/>
      <name val="Arial"/>
      <family val="2"/>
    </font>
    <font>
      <sz val="7"/>
      <name val="Arial"/>
      <family val="2"/>
    </font>
    <font>
      <sz val="9"/>
      <name val="Arial"/>
      <family val="2"/>
    </font>
    <font>
      <b/>
      <sz val="7.7"/>
      <name val="Arial"/>
      <family val="2"/>
    </font>
    <font>
      <sz val="6"/>
      <name val="Arial"/>
      <family val="2"/>
    </font>
    <font>
      <b/>
      <sz val="10"/>
      <color rgb="FFFF0000"/>
      <name val="Calibri"/>
      <family val="2"/>
      <scheme val="minor"/>
    </font>
    <font>
      <sz val="9"/>
      <color rgb="FF0000FF"/>
      <name val="Calibri"/>
      <family val="2"/>
      <scheme val="minor"/>
    </font>
    <font>
      <sz val="8"/>
      <color rgb="FFFF0000"/>
      <name val="Arial"/>
      <family val="2"/>
    </font>
    <font>
      <sz val="10"/>
      <name val="Calibri"/>
      <family val="2"/>
      <scheme val="minor"/>
    </font>
    <font>
      <sz val="8"/>
      <color rgb="FF000000"/>
      <name val="Segoe UI"/>
      <family val="2"/>
    </font>
    <font>
      <sz val="10"/>
      <color rgb="FF00B050"/>
      <name val="Calibri"/>
      <family val="2"/>
      <scheme val="minor"/>
    </font>
    <font>
      <b/>
      <sz val="9"/>
      <color indexed="81"/>
      <name val="Segoe UI"/>
      <family val="2"/>
    </font>
    <font>
      <b/>
      <sz val="10"/>
      <color rgb="FF00B050"/>
      <name val="Calibri"/>
      <family val="2"/>
      <scheme val="minor"/>
    </font>
    <font>
      <sz val="10"/>
      <color rgb="FF000000"/>
      <name val="Calibri"/>
      <family val="2"/>
    </font>
    <font>
      <b/>
      <sz val="11"/>
      <color theme="0"/>
      <name val="Calibri"/>
      <family val="2"/>
      <scheme val="minor"/>
    </font>
    <font>
      <sz val="10"/>
      <color rgb="FFFF0000"/>
      <name val="Calibri"/>
      <family val="2"/>
    </font>
    <font>
      <sz val="11"/>
      <color theme="7"/>
      <name val="Calibri"/>
      <family val="2"/>
      <scheme val="minor"/>
    </font>
    <font>
      <b/>
      <sz val="10"/>
      <color theme="0"/>
      <name val="Arial"/>
      <family val="2"/>
    </font>
    <font>
      <sz val="11"/>
      <color theme="3" tint="0.39997558519241921"/>
      <name val="Calibri"/>
      <family val="2"/>
      <scheme val="minor"/>
    </font>
    <font>
      <b/>
      <sz val="8"/>
      <color theme="1"/>
      <name val="Calibri"/>
      <family val="2"/>
      <scheme val="minor"/>
    </font>
    <font>
      <sz val="8"/>
      <color rgb="FFFF0000"/>
      <name val="Calibri"/>
      <family val="2"/>
      <scheme val="minor"/>
    </font>
    <font>
      <b/>
      <sz val="8"/>
      <color theme="0"/>
      <name val="Calibri"/>
      <family val="2"/>
    </font>
  </fonts>
  <fills count="2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indexed="47"/>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66"/>
        <bgColor indexed="64"/>
      </patternFill>
    </fill>
    <fill>
      <patternFill patternType="solid">
        <fgColor theme="8" tint="-0.249977111117893"/>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C00000"/>
        <bgColor indexed="64"/>
      </patternFill>
    </fill>
  </fills>
  <borders count="125">
    <border>
      <left/>
      <right/>
      <top/>
      <bottom/>
      <diagonal/>
    </border>
    <border>
      <left style="medium">
        <color indexed="64"/>
      </left>
      <right/>
      <top/>
      <bottom/>
      <diagonal/>
    </border>
    <border>
      <left/>
      <right style="medium">
        <color indexed="64"/>
      </right>
      <top/>
      <bottom/>
      <diagonal/>
    </border>
    <border>
      <left/>
      <right style="thin">
        <color indexed="64"/>
      </right>
      <top/>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style="medium">
        <color indexed="64"/>
      </left>
      <right style="thin">
        <color auto="1"/>
      </right>
      <top style="thin">
        <color auto="1"/>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medium">
        <color indexed="64"/>
      </top>
      <bottom style="medium">
        <color indexed="64"/>
      </bottom>
      <diagonal/>
    </border>
    <border>
      <left style="thin">
        <color auto="1"/>
      </left>
      <right/>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auto="1"/>
      </right>
      <top/>
      <bottom style="thin">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thin">
        <color indexed="64"/>
      </left>
      <right style="hair">
        <color indexed="64"/>
      </right>
      <top style="hair">
        <color indexed="64"/>
      </top>
      <bottom/>
      <diagonal/>
    </border>
    <border>
      <left style="thin">
        <color indexed="64"/>
      </left>
      <right style="thin">
        <color indexed="64"/>
      </right>
      <top/>
      <bottom style="hair">
        <color indexed="64"/>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thin">
        <color auto="1"/>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medium">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right/>
      <top/>
      <bottom style="hair">
        <color indexed="64"/>
      </bottom>
      <diagonal/>
    </border>
    <border>
      <left style="hair">
        <color indexed="64"/>
      </left>
      <right/>
      <top style="thin">
        <color indexed="64"/>
      </top>
      <bottom style="hair">
        <color indexed="64"/>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dotted">
        <color auto="1"/>
      </left>
      <right style="thin">
        <color indexed="64"/>
      </right>
      <top style="dotted">
        <color auto="1"/>
      </top>
      <bottom style="thin">
        <color auto="1"/>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diagonal/>
    </border>
    <border>
      <left/>
      <right style="hair">
        <color indexed="64"/>
      </right>
      <top style="thin">
        <color indexed="64"/>
      </top>
      <bottom style="hair">
        <color indexed="64"/>
      </bottom>
      <diagonal/>
    </border>
    <border>
      <left/>
      <right style="hair">
        <color auto="1"/>
      </right>
      <top style="hair">
        <color auto="1"/>
      </top>
      <bottom style="hair">
        <color auto="1"/>
      </bottom>
      <diagonal/>
    </border>
    <border>
      <left style="hair">
        <color indexed="64"/>
      </left>
      <right/>
      <top/>
      <bottom/>
      <diagonal/>
    </border>
    <border>
      <left style="medium">
        <color auto="1"/>
      </left>
      <right style="medium">
        <color auto="1"/>
      </right>
      <top style="thin">
        <color auto="1"/>
      </top>
      <bottom style="medium">
        <color indexed="64"/>
      </bottom>
      <diagonal/>
    </border>
    <border>
      <left/>
      <right/>
      <top style="thin">
        <color auto="1"/>
      </top>
      <bottom style="medium">
        <color indexed="64"/>
      </bottom>
      <diagonal/>
    </border>
  </borders>
  <cellStyleXfs count="83">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0" fontId="1" fillId="0" borderId="0"/>
    <xf numFmtId="167" fontId="3" fillId="0" borderId="0" applyFont="0" applyFill="0" applyBorder="0" applyAlignment="0" applyProtection="0"/>
    <xf numFmtId="0" fontId="3" fillId="0" borderId="0" applyFont="0" applyFill="0" applyBorder="0" applyAlignment="0" applyProtection="0"/>
    <xf numFmtId="9" fontId="3" fillId="0" borderId="0" applyFont="0" applyFill="0" applyBorder="0" applyAlignment="0" applyProtection="0"/>
    <xf numFmtId="0" fontId="3" fillId="0" borderId="0"/>
    <xf numFmtId="166" fontId="3" fillId="0" borderId="0" applyFont="0" applyFill="0" applyBorder="0" applyAlignment="0" applyProtection="0"/>
    <xf numFmtId="0" fontId="3" fillId="0" borderId="0"/>
    <xf numFmtId="166"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164" fontId="1"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43" fontId="4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63" fillId="0" borderId="0"/>
    <xf numFmtId="165" fontId="1" fillId="0" borderId="0" applyFont="0" applyFill="0" applyBorder="0" applyAlignment="0" applyProtection="0"/>
    <xf numFmtId="165" fontId="3"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8"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176" fontId="73" fillId="0" borderId="0"/>
    <xf numFmtId="0" fontId="1" fillId="0" borderId="0"/>
    <xf numFmtId="0" fontId="3" fillId="0" borderId="0"/>
    <xf numFmtId="43" fontId="3" fillId="0" borderId="0" applyFont="0" applyFill="0" applyBorder="0" applyAlignment="0" applyProtection="0"/>
    <xf numFmtId="44" fontId="1" fillId="0" borderId="0" applyFont="0" applyFill="0" applyBorder="0" applyAlignment="0" applyProtection="0"/>
    <xf numFmtId="0" fontId="49" fillId="0" borderId="0"/>
    <xf numFmtId="0" fontId="1" fillId="0" borderId="0"/>
    <xf numFmtId="43" fontId="3" fillId="0" borderId="0" applyFont="0" applyFill="0" applyBorder="0" applyAlignment="0" applyProtection="0"/>
    <xf numFmtId="167" fontId="3" fillId="0" borderId="0" applyFont="0" applyFill="0" applyBorder="0" applyAlignment="0" applyProtection="0"/>
    <xf numFmtId="0" fontId="3" fillId="0" borderId="0"/>
    <xf numFmtId="185" fontId="3"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97" fillId="0" borderId="0"/>
    <xf numFmtId="43" fontId="1" fillId="0" borderId="0" applyFont="0" applyFill="0" applyBorder="0" applyAlignment="0" applyProtection="0"/>
    <xf numFmtId="167" fontId="1" fillId="0" borderId="0" applyFont="0" applyFill="0" applyBorder="0" applyAlignment="0" applyProtection="0"/>
    <xf numFmtId="0" fontId="82" fillId="0" borderId="0"/>
    <xf numFmtId="0" fontId="3"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cellStyleXfs>
  <cellXfs count="1749">
    <xf numFmtId="0" fontId="0" fillId="0" borderId="0" xfId="0"/>
    <xf numFmtId="0" fontId="2" fillId="0" borderId="0" xfId="0" applyFont="1"/>
    <xf numFmtId="4" fontId="0" fillId="0" borderId="0" xfId="0" applyNumberFormat="1"/>
    <xf numFmtId="0" fontId="3" fillId="0" borderId="0" xfId="0" applyFont="1" applyAlignment="1">
      <alignment vertical="center"/>
    </xf>
    <xf numFmtId="0" fontId="8" fillId="0" borderId="0" xfId="0" applyFont="1" applyAlignment="1">
      <alignment vertical="center"/>
    </xf>
    <xf numFmtId="0" fontId="3" fillId="2" borderId="0" xfId="0" applyFont="1" applyFill="1" applyAlignment="1">
      <alignment vertical="center"/>
    </xf>
    <xf numFmtId="43" fontId="0" fillId="0" borderId="0" xfId="0" applyNumberFormat="1"/>
    <xf numFmtId="0" fontId="19" fillId="0" borderId="0" xfId="3" applyFont="1"/>
    <xf numFmtId="0" fontId="19" fillId="3" borderId="1" xfId="3" applyFont="1" applyFill="1" applyBorder="1"/>
    <xf numFmtId="0" fontId="19" fillId="3" borderId="5" xfId="3" applyFont="1" applyFill="1" applyBorder="1"/>
    <xf numFmtId="0" fontId="26" fillId="4" borderId="1" xfId="3" applyFont="1" applyFill="1" applyBorder="1" applyAlignment="1">
      <alignment horizontal="center" vertical="center"/>
    </xf>
    <xf numFmtId="0" fontId="27" fillId="0" borderId="1" xfId="3" applyFont="1" applyBorder="1" applyAlignment="1">
      <alignment horizontal="center" vertical="center"/>
    </xf>
    <xf numFmtId="43" fontId="19" fillId="0" borderId="0" xfId="2" applyFont="1" applyFill="1"/>
    <xf numFmtId="43" fontId="23" fillId="0" borderId="0" xfId="2" applyFont="1" applyFill="1"/>
    <xf numFmtId="4" fontId="2" fillId="0" borderId="0" xfId="0" applyNumberFormat="1" applyFont="1"/>
    <xf numFmtId="43" fontId="0" fillId="0" borderId="0" xfId="2" applyFont="1"/>
    <xf numFmtId="43" fontId="2" fillId="0" borderId="0" xfId="2" applyFont="1"/>
    <xf numFmtId="0" fontId="19" fillId="0" borderId="0" xfId="3" applyFont="1" applyAlignment="1">
      <alignment horizontal="center" vertical="center"/>
    </xf>
    <xf numFmtId="0" fontId="30" fillId="8" borderId="1" xfId="3" applyFont="1" applyFill="1" applyBorder="1" applyAlignment="1">
      <alignment horizontal="center" vertical="center"/>
    </xf>
    <xf numFmtId="0" fontId="32" fillId="0" borderId="0" xfId="0" applyFont="1" applyAlignment="1">
      <alignment vertical="center"/>
    </xf>
    <xf numFmtId="0" fontId="34" fillId="0" borderId="0" xfId="0" applyFont="1" applyAlignment="1">
      <alignment vertical="center"/>
    </xf>
    <xf numFmtId="0" fontId="36" fillId="0" borderId="0" xfId="0" applyFont="1" applyAlignment="1">
      <alignment vertical="center"/>
    </xf>
    <xf numFmtId="0" fontId="0" fillId="0" borderId="16" xfId="0" applyBorder="1"/>
    <xf numFmtId="0" fontId="2" fillId="0" borderId="6" xfId="0" applyFont="1" applyBorder="1"/>
    <xf numFmtId="4" fontId="2" fillId="0" borderId="7" xfId="0" applyNumberFormat="1" applyFont="1" applyBorder="1" applyAlignment="1">
      <alignment horizontal="center"/>
    </xf>
    <xf numFmtId="4" fontId="2" fillId="0" borderId="8" xfId="0" applyNumberFormat="1" applyFont="1" applyBorder="1" applyAlignment="1">
      <alignment horizontal="center"/>
    </xf>
    <xf numFmtId="0" fontId="9" fillId="0" borderId="0" xfId="0" applyFont="1" applyAlignment="1">
      <alignment horizontal="right" vertical="center"/>
    </xf>
    <xf numFmtId="0" fontId="20" fillId="3" borderId="11" xfId="3" applyFont="1" applyFill="1" applyBorder="1"/>
    <xf numFmtId="43" fontId="21" fillId="3" borderId="10" xfId="2" applyFont="1" applyFill="1" applyBorder="1" applyAlignment="1" applyProtection="1">
      <alignment vertical="center"/>
    </xf>
    <xf numFmtId="0" fontId="22" fillId="3" borderId="10" xfId="3" applyFont="1" applyFill="1" applyBorder="1"/>
    <xf numFmtId="0" fontId="21" fillId="3" borderId="27" xfId="3" applyFont="1" applyFill="1" applyBorder="1" applyAlignment="1">
      <alignment horizontal="center" vertical="center"/>
    </xf>
    <xf numFmtId="0" fontId="20" fillId="3" borderId="1" xfId="3" applyFont="1" applyFill="1" applyBorder="1"/>
    <xf numFmtId="43" fontId="19" fillId="0" borderId="0" xfId="2" applyFont="1" applyFill="1" applyProtection="1">
      <protection locked="0"/>
    </xf>
    <xf numFmtId="0" fontId="19" fillId="0" borderId="0" xfId="3" applyFont="1" applyProtection="1">
      <protection locked="0"/>
    </xf>
    <xf numFmtId="164" fontId="0" fillId="0" borderId="0" xfId="0" applyNumberFormat="1"/>
    <xf numFmtId="0" fontId="0" fillId="0" borderId="0" xfId="0" applyProtection="1">
      <protection locked="0"/>
    </xf>
    <xf numFmtId="4" fontId="0" fillId="0" borderId="0" xfId="0" applyNumberFormat="1" applyProtection="1">
      <protection locked="0"/>
    </xf>
    <xf numFmtId="43" fontId="19" fillId="0" borderId="0" xfId="3" applyNumberFormat="1" applyFont="1" applyProtection="1">
      <protection locked="0"/>
    </xf>
    <xf numFmtId="170" fontId="0" fillId="0" borderId="0" xfId="0" applyNumberFormat="1"/>
    <xf numFmtId="0" fontId="39" fillId="0" borderId="0" xfId="0" applyFont="1" applyAlignment="1">
      <alignment horizontal="center" vertical="center"/>
    </xf>
    <xf numFmtId="0" fontId="40" fillId="0" borderId="0" xfId="0" applyFont="1"/>
    <xf numFmtId="0" fontId="19" fillId="0" borderId="17" xfId="19" applyFont="1" applyBorder="1" applyAlignment="1">
      <alignment vertical="center"/>
    </xf>
    <xf numFmtId="0" fontId="19" fillId="0" borderId="20" xfId="19" applyFont="1" applyBorder="1" applyAlignment="1">
      <alignment vertical="center"/>
    </xf>
    <xf numFmtId="0" fontId="42" fillId="0" borderId="38" xfId="19" applyFont="1" applyBorder="1" applyAlignment="1">
      <alignment horizontal="left" vertical="center" indent="2"/>
    </xf>
    <xf numFmtId="0" fontId="42" fillId="0" borderId="27" xfId="19" applyFont="1" applyBorder="1" applyAlignment="1">
      <alignment horizontal="left" vertical="center" indent="2"/>
    </xf>
    <xf numFmtId="0" fontId="42" fillId="0" borderId="39" xfId="19" applyFont="1" applyBorder="1" applyAlignment="1">
      <alignment horizontal="left" vertical="center" indent="2"/>
    </xf>
    <xf numFmtId="0" fontId="19" fillId="0" borderId="23" xfId="19" applyFont="1" applyBorder="1" applyAlignment="1">
      <alignment vertical="center"/>
    </xf>
    <xf numFmtId="0" fontId="19" fillId="0" borderId="33" xfId="19" applyFont="1" applyBorder="1" applyAlignment="1">
      <alignment horizontal="center" vertical="center"/>
    </xf>
    <xf numFmtId="0" fontId="19" fillId="0" borderId="36" xfId="19" applyFont="1" applyBorder="1" applyAlignment="1">
      <alignment horizontal="center" vertical="center"/>
    </xf>
    <xf numFmtId="0" fontId="19" fillId="0" borderId="32" xfId="19" applyFont="1" applyBorder="1" applyAlignment="1">
      <alignment vertical="center"/>
    </xf>
    <xf numFmtId="0" fontId="19" fillId="0" borderId="33" xfId="19" applyFont="1" applyBorder="1" applyAlignment="1">
      <alignment vertical="center"/>
    </xf>
    <xf numFmtId="0" fontId="19" fillId="0" borderId="36" xfId="19" applyFont="1" applyBorder="1" applyAlignment="1">
      <alignment vertical="center"/>
    </xf>
    <xf numFmtId="43" fontId="19" fillId="0" borderId="33" xfId="2" applyFont="1" applyBorder="1" applyAlignment="1">
      <alignment vertical="center"/>
    </xf>
    <xf numFmtId="10" fontId="19" fillId="0" borderId="33" xfId="1" applyNumberFormat="1" applyFont="1" applyBorder="1" applyAlignment="1">
      <alignment horizontal="center" vertical="center"/>
    </xf>
    <xf numFmtId="173" fontId="19" fillId="0" borderId="33" xfId="1" applyNumberFormat="1" applyFont="1" applyBorder="1" applyAlignment="1">
      <alignment horizontal="center" vertical="center"/>
    </xf>
    <xf numFmtId="43" fontId="46" fillId="0" borderId="41" xfId="2" applyFont="1" applyBorder="1" applyAlignment="1">
      <alignment vertical="center"/>
    </xf>
    <xf numFmtId="43" fontId="46" fillId="0" borderId="44" xfId="2" applyFont="1" applyBorder="1" applyAlignment="1">
      <alignment vertical="center"/>
    </xf>
    <xf numFmtId="0" fontId="30" fillId="0" borderId="0" xfId="0" applyFont="1"/>
    <xf numFmtId="0" fontId="49" fillId="0" borderId="0" xfId="0" applyFont="1"/>
    <xf numFmtId="0" fontId="49" fillId="0" borderId="0" xfId="0" applyFont="1" applyAlignment="1">
      <alignment vertical="center"/>
    </xf>
    <xf numFmtId="0" fontId="49" fillId="0" borderId="0" xfId="0" applyFont="1" applyAlignment="1">
      <alignment horizontal="right" vertical="center"/>
    </xf>
    <xf numFmtId="0" fontId="49" fillId="0" borderId="0" xfId="0" applyFont="1" applyAlignment="1">
      <alignment horizontal="center" vertical="center" wrapText="1"/>
    </xf>
    <xf numFmtId="44" fontId="44" fillId="0" borderId="0" xfId="0" applyNumberFormat="1" applyFont="1" applyAlignment="1">
      <alignment horizontal="center" vertical="center" wrapText="1"/>
    </xf>
    <xf numFmtId="0" fontId="49" fillId="0" borderId="0" xfId="0" applyFont="1" applyAlignment="1">
      <alignment horizontal="right" vertical="top"/>
    </xf>
    <xf numFmtId="0" fontId="44" fillId="0" borderId="0" xfId="0" applyFont="1" applyAlignment="1">
      <alignment horizontal="right" vertical="top"/>
    </xf>
    <xf numFmtId="43" fontId="49" fillId="0" borderId="0" xfId="0" applyNumberFormat="1" applyFont="1" applyAlignment="1">
      <alignment vertical="center"/>
    </xf>
    <xf numFmtId="43" fontId="49" fillId="0" borderId="0" xfId="1" applyNumberFormat="1" applyFont="1" applyAlignment="1">
      <alignment vertical="center"/>
    </xf>
    <xf numFmtId="44" fontId="49" fillId="0" borderId="0" xfId="0" applyNumberFormat="1" applyFont="1" applyAlignment="1">
      <alignment horizontal="center" vertical="center"/>
    </xf>
    <xf numFmtId="44" fontId="44" fillId="0" borderId="0" xfId="0" applyNumberFormat="1" applyFont="1" applyAlignment="1">
      <alignment horizontal="center" vertical="center"/>
    </xf>
    <xf numFmtId="0" fontId="44" fillId="0" borderId="0" xfId="0" applyFont="1" applyAlignment="1">
      <alignment horizontal="center" wrapText="1"/>
    </xf>
    <xf numFmtId="0" fontId="44" fillId="0" borderId="0" xfId="0" applyFont="1"/>
    <xf numFmtId="0" fontId="44" fillId="7" borderId="0" xfId="0" applyFont="1" applyFill="1"/>
    <xf numFmtId="0" fontId="44" fillId="7" borderId="3" xfId="0" applyFont="1" applyFill="1" applyBorder="1"/>
    <xf numFmtId="43" fontId="50" fillId="7" borderId="0" xfId="19" applyNumberFormat="1" applyFont="1" applyFill="1" applyAlignment="1">
      <alignment horizontal="center" vertical="center"/>
    </xf>
    <xf numFmtId="0" fontId="49" fillId="0" borderId="32" xfId="0" applyFont="1" applyBorder="1" applyAlignment="1">
      <alignment vertical="center"/>
    </xf>
    <xf numFmtId="0" fontId="49" fillId="0" borderId="33" xfId="0" applyFont="1" applyBorder="1" applyAlignment="1">
      <alignment vertical="center"/>
    </xf>
    <xf numFmtId="0" fontId="49" fillId="0" borderId="34" xfId="0" applyFont="1" applyBorder="1" applyAlignment="1">
      <alignment horizontal="center" vertical="center"/>
    </xf>
    <xf numFmtId="0" fontId="49" fillId="0" borderId="20" xfId="0" applyFont="1" applyBorder="1" applyAlignment="1">
      <alignment vertical="center"/>
    </xf>
    <xf numFmtId="0" fontId="49" fillId="0" borderId="41" xfId="0" applyFont="1" applyBorder="1" applyAlignment="1">
      <alignment vertical="center"/>
    </xf>
    <xf numFmtId="0" fontId="49" fillId="0" borderId="43" xfId="0" applyFont="1" applyBorder="1" applyAlignment="1">
      <alignment horizontal="center" vertical="center"/>
    </xf>
    <xf numFmtId="0" fontId="49" fillId="0" borderId="33" xfId="0" applyFont="1" applyBorder="1"/>
    <xf numFmtId="0" fontId="49" fillId="0" borderId="36" xfId="0" applyFont="1" applyBorder="1"/>
    <xf numFmtId="0" fontId="52" fillId="0" borderId="0" xfId="0" applyFont="1"/>
    <xf numFmtId="164" fontId="52" fillId="0" borderId="0" xfId="17" applyFont="1"/>
    <xf numFmtId="44" fontId="51" fillId="0" borderId="0" xfId="0" applyNumberFormat="1" applyFont="1"/>
    <xf numFmtId="164" fontId="49" fillId="0" borderId="0" xfId="17" applyFont="1" applyAlignment="1">
      <alignment horizontal="left" vertical="center" wrapText="1"/>
    </xf>
    <xf numFmtId="43" fontId="30" fillId="8" borderId="50" xfId="2" applyFont="1" applyFill="1" applyBorder="1" applyAlignment="1" applyProtection="1">
      <alignment horizontal="center"/>
    </xf>
    <xf numFmtId="43" fontId="19" fillId="0" borderId="50" xfId="2" applyFont="1" applyBorder="1" applyAlignment="1" applyProtection="1">
      <alignment horizontal="center"/>
      <protection locked="0"/>
    </xf>
    <xf numFmtId="43" fontId="27" fillId="0" borderId="50" xfId="2" applyFont="1" applyBorder="1" applyAlignment="1" applyProtection="1">
      <alignment horizontal="center"/>
    </xf>
    <xf numFmtId="43" fontId="30" fillId="8" borderId="50" xfId="2" applyFont="1" applyFill="1" applyBorder="1" applyAlignment="1">
      <alignment horizontal="center" vertical="center"/>
    </xf>
    <xf numFmtId="0" fontId="19" fillId="0" borderId="50" xfId="3" applyFont="1" applyBorder="1" applyProtection="1">
      <protection locked="0"/>
    </xf>
    <xf numFmtId="0" fontId="19" fillId="0" borderId="50" xfId="3" applyFont="1" applyBorder="1" applyAlignment="1" applyProtection="1">
      <alignment horizontal="center" vertical="center"/>
      <protection locked="0"/>
    </xf>
    <xf numFmtId="0" fontId="19" fillId="0" borderId="50" xfId="3" applyFont="1" applyBorder="1"/>
    <xf numFmtId="0" fontId="19" fillId="0" borderId="50" xfId="3" applyFont="1" applyBorder="1" applyAlignment="1">
      <alignment horizontal="center" vertical="center"/>
    </xf>
    <xf numFmtId="43" fontId="30" fillId="8" borderId="56" xfId="2" applyFont="1" applyFill="1" applyBorder="1" applyAlignment="1" applyProtection="1">
      <alignment horizontal="center" vertical="center"/>
    </xf>
    <xf numFmtId="43" fontId="19" fillId="0" borderId="55" xfId="2" applyFont="1" applyBorder="1" applyAlignment="1" applyProtection="1">
      <alignment horizontal="center"/>
      <protection locked="0"/>
    </xf>
    <xf numFmtId="43" fontId="19" fillId="0" borderId="56" xfId="2" applyFont="1" applyBorder="1" applyAlignment="1" applyProtection="1">
      <alignment horizontal="center"/>
      <protection locked="0"/>
    </xf>
    <xf numFmtId="43" fontId="30" fillId="8" borderId="56" xfId="2" applyFont="1" applyFill="1" applyBorder="1" applyAlignment="1" applyProtection="1">
      <alignment horizontal="center"/>
    </xf>
    <xf numFmtId="43" fontId="27" fillId="0" borderId="56" xfId="2" applyFont="1" applyBorder="1" applyAlignment="1" applyProtection="1">
      <alignment horizontal="center"/>
    </xf>
    <xf numFmtId="43" fontId="30" fillId="8" borderId="50" xfId="2" applyFont="1" applyFill="1" applyBorder="1" applyAlignment="1">
      <alignment horizontal="center"/>
    </xf>
    <xf numFmtId="43" fontId="19" fillId="0" borderId="50" xfId="2" applyFont="1" applyBorder="1" applyAlignment="1">
      <alignment horizontal="center"/>
    </xf>
    <xf numFmtId="43" fontId="30" fillId="8" borderId="55" xfId="2" applyFont="1" applyFill="1" applyBorder="1" applyAlignment="1">
      <alignment horizontal="center" vertical="center"/>
    </xf>
    <xf numFmtId="43" fontId="30" fillId="8" borderId="56" xfId="2" applyFont="1" applyFill="1" applyBorder="1" applyAlignment="1">
      <alignment horizontal="center" vertical="center"/>
    </xf>
    <xf numFmtId="43" fontId="30" fillId="8" borderId="55" xfId="2" applyFont="1" applyFill="1" applyBorder="1" applyAlignment="1">
      <alignment horizontal="center"/>
    </xf>
    <xf numFmtId="43" fontId="30" fillId="8" borderId="56" xfId="2" applyFont="1" applyFill="1" applyBorder="1" applyAlignment="1">
      <alignment horizontal="center"/>
    </xf>
    <xf numFmtId="43" fontId="27" fillId="0" borderId="55" xfId="2" applyFont="1" applyBorder="1" applyAlignment="1">
      <alignment horizontal="center"/>
    </xf>
    <xf numFmtId="43" fontId="27" fillId="0" borderId="56" xfId="2" applyFont="1" applyBorder="1" applyAlignment="1">
      <alignment horizontal="center"/>
    </xf>
    <xf numFmtId="43" fontId="19" fillId="0" borderId="56" xfId="2" applyFont="1" applyBorder="1" applyAlignment="1">
      <alignment horizontal="center"/>
    </xf>
    <xf numFmtId="43" fontId="30" fillId="8" borderId="57" xfId="2" applyFont="1" applyFill="1" applyBorder="1" applyAlignment="1" applyProtection="1">
      <alignment horizontal="center" vertical="center"/>
    </xf>
    <xf numFmtId="43" fontId="27" fillId="0" borderId="59" xfId="2" applyFont="1" applyBorder="1" applyAlignment="1" applyProtection="1">
      <alignment horizontal="center"/>
    </xf>
    <xf numFmtId="43" fontId="30" fillId="8" borderId="57" xfId="2" applyFont="1" applyFill="1" applyBorder="1" applyAlignment="1" applyProtection="1">
      <alignment horizontal="center"/>
    </xf>
    <xf numFmtId="43" fontId="19" fillId="0" borderId="57" xfId="2" applyFont="1" applyBorder="1" applyAlignment="1" applyProtection="1">
      <alignment horizontal="center"/>
    </xf>
    <xf numFmtId="43" fontId="27" fillId="0" borderId="57" xfId="2" applyFont="1" applyBorder="1" applyAlignment="1" applyProtection="1">
      <alignment horizontal="center"/>
    </xf>
    <xf numFmtId="43" fontId="27" fillId="0" borderId="56" xfId="2" applyFont="1" applyFill="1" applyBorder="1" applyAlignment="1" applyProtection="1">
      <alignment horizontal="center"/>
    </xf>
    <xf numFmtId="43" fontId="27" fillId="0" borderId="57" xfId="2" applyFont="1" applyFill="1" applyBorder="1" applyAlignment="1" applyProtection="1">
      <alignment horizontal="center"/>
    </xf>
    <xf numFmtId="2" fontId="23" fillId="0" borderId="10" xfId="0" applyNumberFormat="1" applyFont="1" applyBorder="1" applyAlignment="1">
      <alignment horizontal="left" vertical="center" wrapText="1"/>
    </xf>
    <xf numFmtId="43" fontId="49" fillId="0" borderId="0" xfId="0" applyNumberFormat="1" applyFont="1"/>
    <xf numFmtId="0" fontId="59" fillId="3" borderId="1" xfId="25" applyFont="1" applyFill="1" applyBorder="1" applyAlignment="1">
      <alignment horizontal="left"/>
    </xf>
    <xf numFmtId="8" fontId="1" fillId="3" borderId="0" xfId="25" applyNumberFormat="1" applyFill="1" applyAlignment="1">
      <alignment horizontal="center"/>
    </xf>
    <xf numFmtId="0" fontId="1" fillId="3" borderId="0" xfId="25" applyFill="1"/>
    <xf numFmtId="0" fontId="1" fillId="3" borderId="1" xfId="25" applyFill="1" applyBorder="1"/>
    <xf numFmtId="0" fontId="3" fillId="3" borderId="0" xfId="25" applyFont="1" applyFill="1"/>
    <xf numFmtId="0" fontId="1" fillId="0" borderId="0" xfId="25"/>
    <xf numFmtId="0" fontId="1" fillId="3" borderId="0" xfId="25" applyFill="1" applyAlignment="1">
      <alignment vertical="center"/>
    </xf>
    <xf numFmtId="0" fontId="1" fillId="0" borderId="0" xfId="25" applyAlignment="1">
      <alignment vertical="center"/>
    </xf>
    <xf numFmtId="0" fontId="62" fillId="3" borderId="55" xfId="25" applyFont="1" applyFill="1" applyBorder="1" applyAlignment="1">
      <alignment horizontal="center" vertical="center"/>
    </xf>
    <xf numFmtId="4" fontId="62" fillId="3" borderId="50" xfId="27" applyNumberFormat="1" applyFont="1" applyFill="1" applyBorder="1" applyAlignment="1">
      <alignment vertical="center"/>
    </xf>
    <xf numFmtId="0" fontId="62" fillId="0" borderId="50" xfId="25" applyFont="1" applyBorder="1" applyAlignment="1">
      <alignment horizontal="center" vertical="center"/>
    </xf>
    <xf numFmtId="8" fontId="1" fillId="0" borderId="0" xfId="25" applyNumberFormat="1" applyAlignment="1">
      <alignment horizontal="center"/>
    </xf>
    <xf numFmtId="43" fontId="19" fillId="0" borderId="69" xfId="2" applyFont="1" applyBorder="1" applyAlignment="1" applyProtection="1">
      <alignment horizontal="center"/>
      <protection locked="0"/>
    </xf>
    <xf numFmtId="43" fontId="19" fillId="0" borderId="70" xfId="2" applyFont="1" applyBorder="1" applyAlignment="1" applyProtection="1">
      <alignment horizontal="center"/>
      <protection locked="0"/>
    </xf>
    <xf numFmtId="43" fontId="30" fillId="8" borderId="71" xfId="2" applyFont="1" applyFill="1" applyBorder="1" applyAlignment="1" applyProtection="1">
      <alignment horizontal="center" vertical="center"/>
    </xf>
    <xf numFmtId="43" fontId="27" fillId="0" borderId="55" xfId="2" applyFont="1" applyFill="1" applyBorder="1" applyAlignment="1" applyProtection="1">
      <alignment horizontal="center"/>
    </xf>
    <xf numFmtId="43" fontId="27" fillId="0" borderId="50" xfId="2" applyFont="1" applyFill="1" applyBorder="1" applyAlignment="1" applyProtection="1">
      <alignment horizontal="center"/>
    </xf>
    <xf numFmtId="43" fontId="30" fillId="8" borderId="55" xfId="2" applyFont="1" applyFill="1" applyBorder="1" applyAlignment="1" applyProtection="1">
      <alignment horizontal="center" vertical="center"/>
    </xf>
    <xf numFmtId="43" fontId="30" fillId="8" borderId="50" xfId="2" applyFont="1" applyFill="1" applyBorder="1" applyAlignment="1" applyProtection="1">
      <alignment horizontal="center" vertical="center"/>
    </xf>
    <xf numFmtId="43" fontId="27" fillId="0" borderId="55" xfId="2" applyFont="1" applyBorder="1" applyAlignment="1" applyProtection="1">
      <alignment horizontal="center"/>
    </xf>
    <xf numFmtId="43" fontId="49" fillId="0" borderId="0" xfId="2" applyFont="1"/>
    <xf numFmtId="10" fontId="19" fillId="0" borderId="33" xfId="1" applyNumberFormat="1" applyFont="1" applyBorder="1" applyAlignment="1">
      <alignment vertical="center"/>
    </xf>
    <xf numFmtId="10" fontId="49" fillId="0" borderId="0" xfId="1" applyNumberFormat="1" applyFont="1"/>
    <xf numFmtId="0" fontId="44" fillId="0" borderId="0" xfId="0" applyFont="1" applyAlignment="1">
      <alignment horizontal="right" vertical="center"/>
    </xf>
    <xf numFmtId="9" fontId="52" fillId="0" borderId="0" xfId="1" applyFont="1"/>
    <xf numFmtId="43" fontId="52" fillId="0" borderId="0" xfId="0" applyNumberFormat="1" applyFont="1"/>
    <xf numFmtId="44" fontId="44" fillId="0" borderId="0" xfId="1" applyNumberFormat="1" applyFont="1" applyAlignment="1">
      <alignment horizontal="left" vertical="center"/>
    </xf>
    <xf numFmtId="44" fontId="49" fillId="0" borderId="0" xfId="0" applyNumberFormat="1" applyFont="1"/>
    <xf numFmtId="10" fontId="49" fillId="0" borderId="0" xfId="1" applyNumberFormat="1" applyFont="1" applyAlignment="1">
      <alignment vertical="center"/>
    </xf>
    <xf numFmtId="10" fontId="19" fillId="0" borderId="0" xfId="2" applyNumberFormat="1" applyFont="1" applyFill="1" applyProtection="1">
      <protection locked="0"/>
    </xf>
    <xf numFmtId="0" fontId="52" fillId="0" borderId="0" xfId="0" applyFont="1" applyAlignment="1">
      <alignment horizontal="right"/>
    </xf>
    <xf numFmtId="10" fontId="0" fillId="0" borderId="0" xfId="1" applyNumberFormat="1" applyFont="1"/>
    <xf numFmtId="43" fontId="49" fillId="0" borderId="0" xfId="0" applyNumberFormat="1" applyFont="1" applyAlignment="1">
      <alignment horizontal="center" vertical="center"/>
    </xf>
    <xf numFmtId="10" fontId="49" fillId="0" borderId="0" xfId="0" applyNumberFormat="1" applyFont="1" applyAlignment="1">
      <alignment vertical="center"/>
    </xf>
    <xf numFmtId="0" fontId="49" fillId="0" borderId="0" xfId="0" applyFont="1" applyAlignment="1">
      <alignment horizontal="right"/>
    </xf>
    <xf numFmtId="8" fontId="49" fillId="0" borderId="0" xfId="1" applyNumberFormat="1" applyFont="1" applyAlignment="1">
      <alignment horizontal="right" vertical="center"/>
    </xf>
    <xf numFmtId="43" fontId="19" fillId="0" borderId="0" xfId="3" applyNumberFormat="1" applyFont="1"/>
    <xf numFmtId="43" fontId="0" fillId="3" borderId="0" xfId="25" applyNumberFormat="1" applyFont="1" applyFill="1" applyAlignment="1">
      <alignment vertical="center"/>
    </xf>
    <xf numFmtId="2" fontId="3" fillId="3" borderId="0" xfId="25" applyNumberFormat="1" applyFont="1" applyFill="1"/>
    <xf numFmtId="43" fontId="1" fillId="3" borderId="0" xfId="2" applyFill="1"/>
    <xf numFmtId="43" fontId="3" fillId="3" borderId="0" xfId="2" applyFont="1" applyFill="1"/>
    <xf numFmtId="43" fontId="1" fillId="3" borderId="0" xfId="2" applyFill="1" applyAlignment="1">
      <alignment vertical="center"/>
    </xf>
    <xf numFmtId="43" fontId="1" fillId="0" borderId="0" xfId="2"/>
    <xf numFmtId="43" fontId="0" fillId="3" borderId="0" xfId="2" applyFont="1" applyFill="1" applyAlignment="1">
      <alignment vertical="center"/>
    </xf>
    <xf numFmtId="43" fontId="48" fillId="0" borderId="0" xfId="0" applyNumberFormat="1" applyFont="1"/>
    <xf numFmtId="43" fontId="48" fillId="0" borderId="0" xfId="0" applyNumberFormat="1" applyFont="1" applyAlignment="1">
      <alignment vertical="center"/>
    </xf>
    <xf numFmtId="0" fontId="3" fillId="7" borderId="47" xfId="0" applyFont="1" applyFill="1" applyBorder="1" applyAlignment="1">
      <alignment vertical="center"/>
    </xf>
    <xf numFmtId="0" fontId="3" fillId="7" borderId="45" xfId="0" applyFont="1" applyFill="1" applyBorder="1" applyAlignment="1">
      <alignment vertical="center"/>
    </xf>
    <xf numFmtId="165" fontId="3" fillId="7" borderId="45" xfId="2" applyNumberFormat="1" applyFont="1" applyFill="1" applyBorder="1" applyAlignment="1" applyProtection="1">
      <alignment horizontal="center" vertical="center"/>
    </xf>
    <xf numFmtId="4" fontId="0" fillId="7" borderId="45" xfId="0" applyNumberFormat="1" applyFill="1" applyBorder="1" applyAlignment="1">
      <alignment horizontal="center" vertical="center" wrapText="1"/>
    </xf>
    <xf numFmtId="4" fontId="0" fillId="7" borderId="82" xfId="0" applyNumberFormat="1" applyFill="1" applyBorder="1" applyAlignment="1">
      <alignment horizontal="center" vertical="center" wrapText="1"/>
    </xf>
    <xf numFmtId="4" fontId="0" fillId="7" borderId="83" xfId="0" applyNumberFormat="1" applyFill="1" applyBorder="1" applyAlignment="1">
      <alignment horizontal="center" vertical="center" wrapText="1"/>
    </xf>
    <xf numFmtId="0" fontId="0" fillId="7" borderId="45" xfId="0" applyFill="1" applyBorder="1" applyAlignment="1">
      <alignment horizontal="center" vertical="center" wrapText="1"/>
    </xf>
    <xf numFmtId="0" fontId="0" fillId="7" borderId="82" xfId="0" applyFill="1" applyBorder="1" applyAlignment="1">
      <alignment horizontal="center" vertical="center" wrapText="1"/>
    </xf>
    <xf numFmtId="0" fontId="0" fillId="7" borderId="83" xfId="0" applyFill="1" applyBorder="1" applyAlignment="1">
      <alignment horizontal="center" vertical="center" wrapText="1"/>
    </xf>
    <xf numFmtId="165" fontId="3" fillId="0" borderId="53" xfId="2" applyNumberFormat="1" applyFont="1" applyFill="1" applyBorder="1" applyAlignment="1" applyProtection="1">
      <alignment horizontal="center" vertical="center"/>
    </xf>
    <xf numFmtId="1" fontId="10" fillId="0" borderId="53" xfId="0" applyNumberFormat="1" applyFont="1" applyBorder="1" applyAlignment="1">
      <alignment horizontal="center" vertical="center"/>
    </xf>
    <xf numFmtId="0" fontId="3" fillId="0" borderId="45" xfId="0" applyFont="1" applyBorder="1" applyAlignment="1">
      <alignment vertical="center"/>
    </xf>
    <xf numFmtId="0" fontId="4" fillId="0" borderId="53" xfId="0" applyFont="1" applyBorder="1" applyAlignment="1">
      <alignment horizontal="center" vertical="center"/>
    </xf>
    <xf numFmtId="0" fontId="4" fillId="0" borderId="53" xfId="0" applyFont="1" applyBorder="1" applyAlignment="1">
      <alignment horizontal="left" vertical="center"/>
    </xf>
    <xf numFmtId="0" fontId="4" fillId="0" borderId="53" xfId="0" applyFont="1" applyBorder="1" applyAlignment="1">
      <alignment horizontal="center" vertical="center" wrapText="1"/>
    </xf>
    <xf numFmtId="0" fontId="19" fillId="3" borderId="0" xfId="3" applyFont="1" applyFill="1"/>
    <xf numFmtId="44" fontId="49" fillId="0" borderId="0" xfId="0" applyNumberFormat="1" applyFont="1" applyAlignment="1">
      <alignment vertical="center"/>
    </xf>
    <xf numFmtId="43" fontId="19" fillId="0" borderId="0" xfId="1" applyNumberFormat="1" applyFont="1" applyFill="1" applyProtection="1">
      <protection locked="0"/>
    </xf>
    <xf numFmtId="43" fontId="19" fillId="0" borderId="0" xfId="2" applyFont="1" applyFill="1" applyAlignment="1" applyProtection="1">
      <alignment horizontal="right"/>
      <protection locked="0"/>
    </xf>
    <xf numFmtId="43" fontId="18" fillId="3" borderId="0" xfId="3" applyNumberFormat="1" applyFont="1" applyFill="1" applyAlignment="1">
      <alignment horizontal="center"/>
    </xf>
    <xf numFmtId="0" fontId="0" fillId="0" borderId="0" xfId="0" applyAlignment="1">
      <alignment horizontal="center" vertical="center"/>
    </xf>
    <xf numFmtId="0" fontId="0" fillId="0" borderId="0" xfId="0" applyAlignment="1">
      <alignment horizontal="center"/>
    </xf>
    <xf numFmtId="43" fontId="48" fillId="0" borderId="0" xfId="0" applyNumberFormat="1" applyFont="1" applyAlignment="1">
      <alignment horizontal="center" vertical="center"/>
    </xf>
    <xf numFmtId="0" fontId="49" fillId="0" borderId="20" xfId="0" applyFont="1" applyBorder="1" applyAlignment="1">
      <alignment horizontal="center" vertical="center"/>
    </xf>
    <xf numFmtId="10" fontId="0" fillId="0" borderId="0" xfId="0" applyNumberFormat="1"/>
    <xf numFmtId="0" fontId="56" fillId="3" borderId="4" xfId="25" applyFont="1" applyFill="1" applyBorder="1" applyAlignment="1">
      <alignment horizontal="center" vertical="center"/>
    </xf>
    <xf numFmtId="8" fontId="15" fillId="3" borderId="9" xfId="25" applyNumberFormat="1" applyFont="1" applyFill="1" applyBorder="1" applyAlignment="1">
      <alignment horizontal="center"/>
    </xf>
    <xf numFmtId="0" fontId="19" fillId="0" borderId="0" xfId="3" applyFont="1" applyAlignment="1">
      <alignment horizontal="center"/>
    </xf>
    <xf numFmtId="0" fontId="27" fillId="0" borderId="0" xfId="3" applyFont="1" applyAlignment="1">
      <alignment horizontal="center"/>
    </xf>
    <xf numFmtId="0" fontId="0" fillId="12" borderId="0" xfId="0" applyFill="1"/>
    <xf numFmtId="4" fontId="19" fillId="3" borderId="1" xfId="3" applyNumberFormat="1" applyFont="1" applyFill="1" applyBorder="1"/>
    <xf numFmtId="8" fontId="19" fillId="0" borderId="0" xfId="3" applyNumberFormat="1" applyFont="1"/>
    <xf numFmtId="0" fontId="19" fillId="3" borderId="0" xfId="3" applyFont="1" applyFill="1" applyAlignment="1">
      <alignment horizontal="center" vertical="center"/>
    </xf>
    <xf numFmtId="0" fontId="49" fillId="0" borderId="42" xfId="0" applyFont="1" applyBorder="1" applyAlignment="1">
      <alignment vertical="center"/>
    </xf>
    <xf numFmtId="0" fontId="49" fillId="0" borderId="40" xfId="0" applyFont="1" applyBorder="1" applyAlignment="1">
      <alignment vertical="center"/>
    </xf>
    <xf numFmtId="0" fontId="49" fillId="0" borderId="21" xfId="0" applyFont="1" applyBorder="1" applyAlignment="1">
      <alignment vertical="center"/>
    </xf>
    <xf numFmtId="0" fontId="49" fillId="0" borderId="22" xfId="0" applyFont="1" applyBorder="1" applyAlignment="1">
      <alignment vertical="center"/>
    </xf>
    <xf numFmtId="0" fontId="49" fillId="0" borderId="20" xfId="0" applyFont="1" applyBorder="1"/>
    <xf numFmtId="0" fontId="49" fillId="0" borderId="17" xfId="0" applyFont="1" applyBorder="1"/>
    <xf numFmtId="43" fontId="49" fillId="0" borderId="33" xfId="2" applyFont="1" applyBorder="1" applyAlignment="1"/>
    <xf numFmtId="43" fontId="49" fillId="0" borderId="32" xfId="2" applyFont="1" applyBorder="1" applyAlignment="1"/>
    <xf numFmtId="8" fontId="19" fillId="2" borderId="0" xfId="3" applyNumberFormat="1" applyFont="1" applyFill="1"/>
    <xf numFmtId="0" fontId="19" fillId="2" borderId="0" xfId="3" applyFont="1" applyFill="1"/>
    <xf numFmtId="4" fontId="19" fillId="2" borderId="0" xfId="3" applyNumberFormat="1" applyFont="1" applyFill="1"/>
    <xf numFmtId="0" fontId="27" fillId="11" borderId="0" xfId="3" applyFont="1" applyFill="1" applyAlignment="1">
      <alignment horizontal="center" vertical="center"/>
    </xf>
    <xf numFmtId="0" fontId="64" fillId="3" borderId="11" xfId="25" applyFont="1" applyFill="1" applyBorder="1"/>
    <xf numFmtId="0" fontId="64" fillId="3" borderId="10" xfId="25" applyFont="1" applyFill="1" applyBorder="1"/>
    <xf numFmtId="8" fontId="64" fillId="3" borderId="10" xfId="25" applyNumberFormat="1" applyFont="1" applyFill="1" applyBorder="1" applyAlignment="1">
      <alignment horizontal="center"/>
    </xf>
    <xf numFmtId="8" fontId="1" fillId="3" borderId="60" xfId="25" applyNumberFormat="1" applyFill="1" applyBorder="1" applyAlignment="1">
      <alignment horizontal="center"/>
    </xf>
    <xf numFmtId="0" fontId="64" fillId="3" borderId="1" xfId="25" applyFont="1" applyFill="1" applyBorder="1"/>
    <xf numFmtId="0" fontId="64" fillId="3" borderId="0" xfId="25" applyFont="1" applyFill="1"/>
    <xf numFmtId="8" fontId="64" fillId="3" borderId="0" xfId="25" applyNumberFormat="1" applyFont="1" applyFill="1" applyAlignment="1">
      <alignment horizontal="center"/>
    </xf>
    <xf numFmtId="8" fontId="1" fillId="3" borderId="2" xfId="25" applyNumberFormat="1" applyFill="1" applyBorder="1" applyAlignment="1">
      <alignment horizontal="center"/>
    </xf>
    <xf numFmtId="8" fontId="65" fillId="3" borderId="0" xfId="25" applyNumberFormat="1" applyFont="1" applyFill="1" applyAlignment="1">
      <alignment vertical="center"/>
    </xf>
    <xf numFmtId="8" fontId="65" fillId="3" borderId="2" xfId="25" applyNumberFormat="1" applyFont="1" applyFill="1" applyBorder="1" applyAlignment="1">
      <alignment vertical="center"/>
    </xf>
    <xf numFmtId="44" fontId="64" fillId="3" borderId="0" xfId="31" applyFont="1" applyFill="1" applyBorder="1"/>
    <xf numFmtId="44" fontId="64" fillId="3" borderId="0" xfId="25" applyNumberFormat="1" applyFont="1" applyFill="1"/>
    <xf numFmtId="0" fontId="1" fillId="3" borderId="62" xfId="25" applyFill="1" applyBorder="1"/>
    <xf numFmtId="0" fontId="1" fillId="3" borderId="63" xfId="25" applyFill="1" applyBorder="1"/>
    <xf numFmtId="8" fontId="1" fillId="3" borderId="63" xfId="25" applyNumberFormat="1" applyFill="1" applyBorder="1" applyAlignment="1">
      <alignment horizontal="center"/>
    </xf>
    <xf numFmtId="8" fontId="1" fillId="3" borderId="64" xfId="25" applyNumberFormat="1" applyFill="1" applyBorder="1" applyAlignment="1">
      <alignment horizontal="center"/>
    </xf>
    <xf numFmtId="0" fontId="1" fillId="3" borderId="11" xfId="25" applyFill="1" applyBorder="1" applyAlignment="1">
      <alignment horizontal="center"/>
    </xf>
    <xf numFmtId="8" fontId="15" fillId="3" borderId="7" xfId="25" applyNumberFormat="1" applyFont="1" applyFill="1" applyBorder="1" applyAlignment="1">
      <alignment horizontal="center"/>
    </xf>
    <xf numFmtId="0" fontId="38" fillId="3" borderId="7" xfId="25" applyFont="1" applyFill="1" applyBorder="1" applyAlignment="1">
      <alignment horizontal="center"/>
    </xf>
    <xf numFmtId="0" fontId="6" fillId="3" borderId="88" xfId="25" applyFont="1" applyFill="1" applyBorder="1" applyAlignment="1">
      <alignment horizontal="center" vertical="center" wrapText="1"/>
    </xf>
    <xf numFmtId="0" fontId="56" fillId="3" borderId="77" xfId="25" applyFont="1" applyFill="1" applyBorder="1" applyAlignment="1">
      <alignment horizontal="center"/>
    </xf>
    <xf numFmtId="17" fontId="56" fillId="3" borderId="86" xfId="25" applyNumberFormat="1" applyFont="1" applyFill="1" applyBorder="1" applyAlignment="1">
      <alignment horizontal="center"/>
    </xf>
    <xf numFmtId="0" fontId="1" fillId="3" borderId="77" xfId="25" applyFill="1" applyBorder="1" applyAlignment="1">
      <alignment horizontal="center"/>
    </xf>
    <xf numFmtId="0" fontId="58" fillId="3" borderId="3" xfId="25" applyFont="1" applyFill="1" applyBorder="1" applyAlignment="1">
      <alignment horizontal="center"/>
    </xf>
    <xf numFmtId="0" fontId="60" fillId="3" borderId="3" xfId="25" applyFont="1" applyFill="1" applyBorder="1" applyAlignment="1">
      <alignment horizontal="left"/>
    </xf>
    <xf numFmtId="0" fontId="60" fillId="3" borderId="86" xfId="25" applyFont="1" applyFill="1" applyBorder="1" applyAlignment="1">
      <alignment horizontal="left"/>
    </xf>
    <xf numFmtId="0" fontId="62" fillId="9" borderId="6" xfId="25" applyFont="1" applyFill="1" applyBorder="1" applyAlignment="1">
      <alignment horizontal="center" vertical="center"/>
    </xf>
    <xf numFmtId="8" fontId="15" fillId="9" borderId="9" xfId="30" applyNumberFormat="1" applyFont="1" applyFill="1" applyBorder="1" applyAlignment="1">
      <alignment horizontal="center" vertical="center"/>
    </xf>
    <xf numFmtId="8" fontId="0" fillId="0" borderId="0" xfId="0" applyNumberFormat="1"/>
    <xf numFmtId="0" fontId="27" fillId="11" borderId="0" xfId="3" applyFont="1" applyFill="1" applyAlignment="1">
      <alignment horizontal="center" vertical="center" wrapText="1"/>
    </xf>
    <xf numFmtId="49" fontId="0" fillId="0" borderId="0" xfId="0" applyNumberFormat="1" applyAlignment="1">
      <alignment horizontal="center"/>
    </xf>
    <xf numFmtId="8" fontId="0" fillId="0" borderId="0" xfId="0" applyNumberFormat="1" applyAlignment="1">
      <alignment horizontal="right"/>
    </xf>
    <xf numFmtId="0" fontId="51" fillId="7" borderId="0" xfId="0" applyFont="1" applyFill="1" applyAlignment="1">
      <alignment horizontal="center" vertical="center" wrapText="1"/>
    </xf>
    <xf numFmtId="0" fontId="72" fillId="0" borderId="0" xfId="0" applyFont="1"/>
    <xf numFmtId="43" fontId="72" fillId="0" borderId="0" xfId="2" applyFont="1"/>
    <xf numFmtId="0" fontId="72" fillId="0" borderId="0" xfId="0" applyFont="1" applyAlignment="1">
      <alignment horizontal="center"/>
    </xf>
    <xf numFmtId="43" fontId="72" fillId="0" borderId="0" xfId="2" applyFont="1" applyAlignment="1">
      <alignment horizontal="center"/>
    </xf>
    <xf numFmtId="176" fontId="72" fillId="0" borderId="11" xfId="37" applyFont="1" applyBorder="1" applyAlignment="1" applyProtection="1">
      <alignment horizontal="right"/>
      <protection locked="0"/>
    </xf>
    <xf numFmtId="43" fontId="74" fillId="0" borderId="10" xfId="2" applyFont="1" applyBorder="1" applyAlignment="1">
      <alignment vertical="center"/>
    </xf>
    <xf numFmtId="0" fontId="72" fillId="0" borderId="10" xfId="0" applyFont="1" applyBorder="1" applyAlignment="1">
      <alignment horizontal="center"/>
    </xf>
    <xf numFmtId="43" fontId="72" fillId="0" borderId="60" xfId="2" applyFont="1" applyBorder="1" applyAlignment="1">
      <alignment horizontal="center"/>
    </xf>
    <xf numFmtId="176" fontId="72" fillId="0" borderId="1" xfId="37" applyFont="1" applyBorder="1" applyAlignment="1" applyProtection="1">
      <alignment horizontal="right"/>
      <protection locked="0"/>
    </xf>
    <xf numFmtId="43" fontId="74" fillId="0" borderId="0" xfId="2" applyFont="1" applyBorder="1" applyAlignment="1">
      <alignment vertical="center"/>
    </xf>
    <xf numFmtId="43" fontId="72" fillId="0" borderId="2" xfId="2" applyFont="1" applyBorder="1" applyAlignment="1">
      <alignment horizontal="center"/>
    </xf>
    <xf numFmtId="0" fontId="72" fillId="0" borderId="1" xfId="0" applyFont="1" applyBorder="1"/>
    <xf numFmtId="43" fontId="72" fillId="0" borderId="0" xfId="2" applyFont="1" applyBorder="1" applyAlignment="1">
      <alignment horizontal="right"/>
    </xf>
    <xf numFmtId="177" fontId="72" fillId="0" borderId="0" xfId="0" applyNumberFormat="1" applyFont="1" applyAlignment="1">
      <alignment horizontal="center"/>
    </xf>
    <xf numFmtId="43" fontId="74" fillId="0" borderId="1" xfId="2" applyFont="1" applyBorder="1" applyAlignment="1"/>
    <xf numFmtId="43" fontId="72" fillId="0" borderId="0" xfId="2" applyFont="1" applyBorder="1"/>
    <xf numFmtId="0" fontId="72" fillId="0" borderId="62" xfId="0" applyFont="1" applyBorder="1"/>
    <xf numFmtId="43" fontId="74" fillId="0" borderId="63" xfId="2" applyFont="1" applyBorder="1" applyAlignment="1">
      <alignment horizontal="center"/>
    </xf>
    <xf numFmtId="0" fontId="72" fillId="0" borderId="63" xfId="0" applyFont="1" applyBorder="1" applyAlignment="1">
      <alignment horizontal="center"/>
    </xf>
    <xf numFmtId="43" fontId="74" fillId="0" borderId="64" xfId="2" applyFont="1" applyBorder="1" applyAlignment="1">
      <alignment horizontal="center"/>
    </xf>
    <xf numFmtId="43" fontId="75" fillId="0" borderId="78" xfId="2" applyFont="1" applyBorder="1"/>
    <xf numFmtId="43" fontId="75" fillId="0" borderId="89" xfId="2" applyFont="1" applyBorder="1"/>
    <xf numFmtId="0" fontId="72" fillId="0" borderId="89" xfId="0" applyFont="1" applyBorder="1" applyAlignment="1">
      <alignment horizontal="center"/>
    </xf>
    <xf numFmtId="43" fontId="72" fillId="0" borderId="79" xfId="2" applyFont="1" applyBorder="1" applyAlignment="1">
      <alignment horizontal="center"/>
    </xf>
    <xf numFmtId="0" fontId="72" fillId="1" borderId="68" xfId="0" applyFont="1" applyFill="1" applyBorder="1"/>
    <xf numFmtId="43" fontId="75" fillId="0" borderId="30" xfId="2" applyFont="1" applyBorder="1" applyAlignment="1">
      <alignment horizontal="center"/>
    </xf>
    <xf numFmtId="10" fontId="75" fillId="0" borderId="29" xfId="1" applyNumberFormat="1" applyFont="1" applyBorder="1" applyAlignment="1">
      <alignment horizontal="center"/>
    </xf>
    <xf numFmtId="0" fontId="72" fillId="1" borderId="70" xfId="0" applyFont="1" applyFill="1" applyBorder="1"/>
    <xf numFmtId="43" fontId="74" fillId="0" borderId="0" xfId="2" applyFont="1" applyBorder="1" applyAlignment="1">
      <alignment horizontal="center"/>
    </xf>
    <xf numFmtId="173" fontId="74" fillId="0" borderId="0" xfId="1" applyNumberFormat="1" applyFont="1" applyBorder="1" applyAlignment="1">
      <alignment horizontal="center"/>
    </xf>
    <xf numFmtId="43" fontId="74" fillId="0" borderId="64" xfId="2" applyFont="1" applyBorder="1"/>
    <xf numFmtId="43" fontId="74" fillId="0" borderId="2" xfId="2" applyFont="1" applyBorder="1"/>
    <xf numFmtId="0" fontId="76" fillId="0" borderId="66" xfId="0" applyFont="1" applyBorder="1"/>
    <xf numFmtId="43" fontId="75" fillId="0" borderId="7" xfId="2" applyFont="1" applyBorder="1" applyAlignment="1">
      <alignment horizontal="center"/>
    </xf>
    <xf numFmtId="0" fontId="75" fillId="0" borderId="7" xfId="0" applyFont="1" applyBorder="1" applyAlignment="1">
      <alignment horizontal="center"/>
    </xf>
    <xf numFmtId="43" fontId="75" fillId="0" borderId="8" xfId="2" applyFont="1" applyBorder="1" applyAlignment="1">
      <alignment horizontal="center"/>
    </xf>
    <xf numFmtId="0" fontId="76" fillId="0" borderId="6" xfId="0" applyFont="1" applyBorder="1"/>
    <xf numFmtId="0" fontId="72" fillId="0" borderId="66" xfId="0" applyFont="1" applyBorder="1"/>
    <xf numFmtId="43" fontId="75" fillId="0" borderId="87" xfId="2" applyFont="1" applyBorder="1" applyAlignment="1">
      <alignment horizontal="center"/>
    </xf>
    <xf numFmtId="0" fontId="72" fillId="0" borderId="87" xfId="0" applyFont="1" applyBorder="1" applyAlignment="1">
      <alignment horizontal="center"/>
    </xf>
    <xf numFmtId="43" fontId="72" fillId="0" borderId="90" xfId="2" applyFont="1" applyBorder="1" applyAlignment="1">
      <alignment horizontal="center"/>
    </xf>
    <xf numFmtId="0" fontId="74" fillId="0" borderId="91" xfId="0" applyFont="1" applyBorder="1" applyAlignment="1">
      <alignment horizontal="center"/>
    </xf>
    <xf numFmtId="43" fontId="74" fillId="0" borderId="54" xfId="2" applyFont="1" applyBorder="1"/>
    <xf numFmtId="0" fontId="72" fillId="0" borderId="54" xfId="0" applyFont="1" applyBorder="1" applyAlignment="1">
      <alignment horizontal="center"/>
    </xf>
    <xf numFmtId="10" fontId="74" fillId="0" borderId="28" xfId="2" applyNumberFormat="1" applyFont="1" applyBorder="1" applyAlignment="1">
      <alignment horizontal="center"/>
    </xf>
    <xf numFmtId="0" fontId="72" fillId="0" borderId="91" xfId="0" applyFont="1" applyBorder="1" applyAlignment="1">
      <alignment horizontal="center"/>
    </xf>
    <xf numFmtId="43" fontId="72" fillId="0" borderId="54" xfId="2" applyFont="1" applyBorder="1"/>
    <xf numFmtId="10" fontId="72" fillId="0" borderId="54" xfId="1" applyNumberFormat="1" applyFont="1" applyBorder="1" applyAlignment="1">
      <alignment horizontal="center"/>
    </xf>
    <xf numFmtId="43" fontId="72" fillId="0" borderId="28" xfId="2" applyFont="1" applyBorder="1" applyAlignment="1">
      <alignment horizontal="center"/>
    </xf>
    <xf numFmtId="43" fontId="72" fillId="0" borderId="54" xfId="2" applyFont="1" applyFill="1" applyBorder="1"/>
    <xf numFmtId="10" fontId="72" fillId="0" borderId="54" xfId="0" applyNumberFormat="1" applyFont="1" applyBorder="1" applyAlignment="1">
      <alignment horizontal="center"/>
    </xf>
    <xf numFmtId="0" fontId="72" fillId="0" borderId="2" xfId="0" applyFont="1" applyBorder="1"/>
    <xf numFmtId="43" fontId="72" fillId="0" borderId="0" xfId="2" applyFont="1" applyFill="1" applyBorder="1"/>
    <xf numFmtId="0" fontId="72" fillId="0" borderId="91" xfId="0" applyFont="1" applyBorder="1"/>
    <xf numFmtId="43" fontId="72" fillId="0" borderId="92" xfId="2" applyFont="1" applyBorder="1" applyAlignment="1">
      <alignment horizontal="center"/>
    </xf>
    <xf numFmtId="0" fontId="72" fillId="0" borderId="84" xfId="0" applyFont="1" applyBorder="1" applyAlignment="1">
      <alignment horizontal="center"/>
    </xf>
    <xf numFmtId="43" fontId="72" fillId="0" borderId="88" xfId="2" applyFont="1" applyBorder="1"/>
    <xf numFmtId="10" fontId="72" fillId="0" borderId="88" xfId="1" applyNumberFormat="1" applyFont="1" applyBorder="1" applyAlignment="1">
      <alignment horizontal="center"/>
    </xf>
    <xf numFmtId="0" fontId="52" fillId="12" borderId="0" xfId="0" applyFont="1" applyFill="1"/>
    <xf numFmtId="172" fontId="0" fillId="0" borderId="0" xfId="0" applyNumberFormat="1" applyAlignment="1">
      <alignment horizontal="center" vertical="center"/>
    </xf>
    <xf numFmtId="178" fontId="0" fillId="0" borderId="0" xfId="0" applyNumberFormat="1"/>
    <xf numFmtId="0" fontId="2" fillId="0" borderId="50" xfId="0" applyFont="1" applyBorder="1"/>
    <xf numFmtId="10" fontId="2" fillId="0" borderId="50" xfId="0" applyNumberFormat="1" applyFont="1" applyBorder="1"/>
    <xf numFmtId="0" fontId="0" fillId="0" borderId="50" xfId="0" applyBorder="1"/>
    <xf numFmtId="10" fontId="0" fillId="0" borderId="50" xfId="0" applyNumberFormat="1" applyBorder="1"/>
    <xf numFmtId="10" fontId="15" fillId="0" borderId="50" xfId="0" applyNumberFormat="1" applyFont="1" applyBorder="1"/>
    <xf numFmtId="0" fontId="2" fillId="7" borderId="50" xfId="0" applyFont="1" applyFill="1" applyBorder="1"/>
    <xf numFmtId="10" fontId="15" fillId="7" borderId="50" xfId="1" applyNumberFormat="1" applyFont="1" applyFill="1" applyBorder="1" applyAlignment="1">
      <alignment horizontal="center" vertical="center" wrapText="1"/>
    </xf>
    <xf numFmtId="0" fontId="2" fillId="2" borderId="50" xfId="0" applyFont="1" applyFill="1" applyBorder="1" applyAlignment="1">
      <alignment horizontal="center" vertical="center"/>
    </xf>
    <xf numFmtId="43" fontId="30" fillId="8" borderId="67" xfId="2" applyFont="1" applyFill="1" applyBorder="1" applyAlignment="1">
      <alignment horizontal="center" vertical="center"/>
    </xf>
    <xf numFmtId="43" fontId="30" fillId="8" borderId="81" xfId="2" applyFont="1" applyFill="1" applyBorder="1" applyAlignment="1">
      <alignment horizontal="center" vertical="center"/>
    </xf>
    <xf numFmtId="43" fontId="30" fillId="8" borderId="31" xfId="2" applyFont="1" applyFill="1" applyBorder="1" applyAlignment="1">
      <alignment horizontal="center" vertical="center"/>
    </xf>
    <xf numFmtId="43" fontId="27" fillId="0" borderId="74" xfId="2" applyFont="1" applyBorder="1" applyAlignment="1">
      <alignment horizontal="center"/>
    </xf>
    <xf numFmtId="43" fontId="30" fillId="8" borderId="74" xfId="2" applyFont="1" applyFill="1" applyBorder="1" applyAlignment="1">
      <alignment horizontal="center"/>
    </xf>
    <xf numFmtId="43" fontId="19" fillId="0" borderId="74" xfId="2" applyFont="1" applyBorder="1" applyAlignment="1" applyProtection="1">
      <alignment horizontal="center"/>
      <protection locked="0"/>
    </xf>
    <xf numFmtId="43" fontId="19" fillId="0" borderId="74" xfId="2" applyFont="1" applyBorder="1" applyAlignment="1">
      <alignment horizontal="center"/>
    </xf>
    <xf numFmtId="43" fontId="19" fillId="0" borderId="30" xfId="2" applyFont="1" applyBorder="1" applyAlignment="1" applyProtection="1">
      <alignment horizontal="center"/>
      <protection locked="0"/>
    </xf>
    <xf numFmtId="43" fontId="30" fillId="8" borderId="55" xfId="2" applyFont="1" applyFill="1" applyBorder="1" applyAlignment="1" applyProtection="1">
      <alignment horizontal="center" vertical="center" wrapText="1"/>
    </xf>
    <xf numFmtId="43" fontId="27" fillId="0" borderId="93" xfId="2" applyFont="1" applyBorder="1" applyAlignment="1">
      <alignment horizontal="center" vertical="center"/>
    </xf>
    <xf numFmtId="43" fontId="19" fillId="0" borderId="55" xfId="2" applyFont="1" applyBorder="1" applyAlignment="1" applyProtection="1">
      <alignment horizontal="center" vertical="center"/>
      <protection locked="0"/>
    </xf>
    <xf numFmtId="43" fontId="19" fillId="0" borderId="55" xfId="2" applyFont="1" applyBorder="1" applyAlignment="1">
      <alignment horizontal="center" vertical="center"/>
    </xf>
    <xf numFmtId="43" fontId="19" fillId="0" borderId="68" xfId="2" applyFont="1" applyBorder="1" applyAlignment="1" applyProtection="1">
      <alignment horizontal="center" vertical="center"/>
      <protection locked="0"/>
    </xf>
    <xf numFmtId="43" fontId="30" fillId="8" borderId="74" xfId="2" applyFont="1" applyFill="1" applyBorder="1" applyAlignment="1">
      <alignment horizontal="center" vertical="center"/>
    </xf>
    <xf numFmtId="43" fontId="30" fillId="8" borderId="75" xfId="2" applyFont="1" applyFill="1" applyBorder="1" applyAlignment="1" applyProtection="1">
      <alignment horizontal="center" vertical="center"/>
    </xf>
    <xf numFmtId="43" fontId="30" fillId="8" borderId="74" xfId="2" applyFont="1" applyFill="1" applyBorder="1" applyAlignment="1" applyProtection="1">
      <alignment horizontal="center" vertical="center"/>
    </xf>
    <xf numFmtId="43" fontId="27" fillId="0" borderId="74" xfId="2" applyFont="1" applyBorder="1" applyAlignment="1" applyProtection="1">
      <alignment horizontal="center"/>
    </xf>
    <xf numFmtId="43" fontId="30" fillId="8" borderId="74" xfId="2" applyFont="1" applyFill="1" applyBorder="1" applyAlignment="1" applyProtection="1">
      <alignment horizontal="center"/>
    </xf>
    <xf numFmtId="43" fontId="27" fillId="0" borderId="74" xfId="2" applyFont="1" applyFill="1" applyBorder="1" applyAlignment="1" applyProtection="1">
      <alignment horizontal="center"/>
    </xf>
    <xf numFmtId="43" fontId="19" fillId="0" borderId="55" xfId="2" applyFont="1" applyBorder="1" applyAlignment="1" applyProtection="1">
      <alignment horizontal="center"/>
    </xf>
    <xf numFmtId="43" fontId="19" fillId="0" borderId="74" xfId="2" applyFont="1" applyFill="1" applyBorder="1" applyAlignment="1" applyProtection="1">
      <alignment horizontal="center"/>
    </xf>
    <xf numFmtId="43" fontId="19" fillId="0" borderId="50" xfId="2" applyFont="1" applyFill="1" applyBorder="1" applyAlignment="1" applyProtection="1">
      <alignment horizontal="center"/>
    </xf>
    <xf numFmtId="43" fontId="19" fillId="0" borderId="56" xfId="2" applyFont="1" applyFill="1" applyBorder="1" applyAlignment="1" applyProtection="1">
      <alignment horizontal="center"/>
    </xf>
    <xf numFmtId="43" fontId="27" fillId="0" borderId="73" xfId="2" applyFont="1" applyBorder="1" applyAlignment="1" applyProtection="1">
      <alignment horizontal="center"/>
    </xf>
    <xf numFmtId="43" fontId="27" fillId="0" borderId="73" xfId="2" applyFont="1" applyFill="1" applyBorder="1" applyAlignment="1" applyProtection="1">
      <alignment horizontal="center"/>
    </xf>
    <xf numFmtId="0" fontId="30" fillId="8" borderId="74" xfId="3" applyFont="1" applyFill="1" applyBorder="1" applyAlignment="1">
      <alignment horizontal="center" vertical="center"/>
    </xf>
    <xf numFmtId="43" fontId="19" fillId="0" borderId="73" xfId="2" applyFont="1" applyFill="1" applyBorder="1" applyAlignment="1" applyProtection="1">
      <alignment horizontal="center"/>
    </xf>
    <xf numFmtId="43" fontId="19" fillId="0" borderId="55" xfId="2" applyFont="1" applyFill="1" applyBorder="1" applyAlignment="1" applyProtection="1">
      <alignment horizontal="center"/>
    </xf>
    <xf numFmtId="0" fontId="28" fillId="0" borderId="68" xfId="3" applyFont="1" applyBorder="1" applyAlignment="1">
      <alignment horizontal="center"/>
    </xf>
    <xf numFmtId="0" fontId="19" fillId="0" borderId="69" xfId="3" applyFont="1" applyBorder="1" applyAlignment="1">
      <alignment horizontal="left"/>
    </xf>
    <xf numFmtId="0" fontId="19" fillId="0" borderId="69" xfId="3" applyFont="1" applyBorder="1" applyAlignment="1">
      <alignment horizontal="center" vertical="center"/>
    </xf>
    <xf numFmtId="43" fontId="19" fillId="0" borderId="69" xfId="2" applyFont="1" applyBorder="1" applyAlignment="1" applyProtection="1">
      <alignment horizontal="center" vertical="center"/>
      <protection locked="0"/>
    </xf>
    <xf numFmtId="0" fontId="28" fillId="0" borderId="1" xfId="3" applyFont="1" applyBorder="1" applyAlignment="1">
      <alignment horizontal="center"/>
    </xf>
    <xf numFmtId="0" fontId="19" fillId="0" borderId="0" xfId="3" applyFont="1" applyAlignment="1">
      <alignment horizontal="left"/>
    </xf>
    <xf numFmtId="0" fontId="31" fillId="0" borderId="0" xfId="3" applyFont="1" applyAlignment="1">
      <alignment vertical="center"/>
    </xf>
    <xf numFmtId="43" fontId="31" fillId="0" borderId="0" xfId="3" applyNumberFormat="1" applyFont="1" applyAlignment="1">
      <alignment vertical="center"/>
    </xf>
    <xf numFmtId="0" fontId="31" fillId="0" borderId="63" xfId="3" applyFont="1" applyBorder="1" applyAlignment="1">
      <alignment vertical="center"/>
    </xf>
    <xf numFmtId="0" fontId="27" fillId="0" borderId="93" xfId="3" applyFont="1" applyBorder="1" applyAlignment="1">
      <alignment horizontal="center" vertical="center"/>
    </xf>
    <xf numFmtId="0" fontId="27" fillId="0" borderId="67" xfId="3" applyFont="1" applyBorder="1" applyAlignment="1">
      <alignment vertical="center"/>
    </xf>
    <xf numFmtId="0" fontId="27" fillId="0" borderId="67" xfId="3" applyFont="1" applyBorder="1" applyAlignment="1">
      <alignment horizontal="center" vertical="center"/>
    </xf>
    <xf numFmtId="43" fontId="27" fillId="0" borderId="67" xfId="2" applyFont="1" applyBorder="1" applyAlignment="1" applyProtection="1">
      <alignment horizontal="center" vertical="center"/>
    </xf>
    <xf numFmtId="0" fontId="30" fillId="13" borderId="55" xfId="3" applyFont="1" applyFill="1" applyBorder="1" applyAlignment="1">
      <alignment horizontal="center"/>
    </xf>
    <xf numFmtId="0" fontId="30" fillId="8" borderId="50" xfId="3" applyFont="1" applyFill="1" applyBorder="1" applyAlignment="1">
      <alignment vertical="center"/>
    </xf>
    <xf numFmtId="0" fontId="30" fillId="8" borderId="50" xfId="3" applyFont="1" applyFill="1" applyBorder="1" applyAlignment="1">
      <alignment horizontal="center" vertical="center"/>
    </xf>
    <xf numFmtId="0" fontId="19" fillId="0" borderId="50" xfId="3" applyFont="1" applyBorder="1" applyAlignment="1">
      <alignment vertical="center" wrapText="1"/>
    </xf>
    <xf numFmtId="43" fontId="19" fillId="0" borderId="50" xfId="2" applyFont="1" applyBorder="1" applyAlignment="1" applyProtection="1">
      <alignment horizontal="center" vertical="center"/>
      <protection locked="0"/>
    </xf>
    <xf numFmtId="43" fontId="19" fillId="3" borderId="50" xfId="2" applyFont="1" applyFill="1" applyBorder="1" applyAlignment="1" applyProtection="1">
      <alignment horizontal="center" vertical="center"/>
      <protection locked="0"/>
    </xf>
    <xf numFmtId="0" fontId="19" fillId="0" borderId="50" xfId="3" applyFont="1" applyBorder="1" applyAlignment="1">
      <alignment vertical="center"/>
    </xf>
    <xf numFmtId="43" fontId="19" fillId="3" borderId="50" xfId="2" applyFont="1" applyFill="1" applyBorder="1" applyAlignment="1" applyProtection="1">
      <alignment horizontal="center" vertical="center"/>
    </xf>
    <xf numFmtId="0" fontId="19" fillId="0" borderId="55" xfId="3" applyFont="1" applyBorder="1" applyAlignment="1">
      <alignment horizontal="center" vertical="center"/>
    </xf>
    <xf numFmtId="43" fontId="47" fillId="0" borderId="12" xfId="2" applyFont="1" applyFill="1" applyBorder="1" applyAlignment="1" applyProtection="1">
      <alignment horizontal="center" vertical="center"/>
      <protection locked="0"/>
    </xf>
    <xf numFmtId="10" fontId="23" fillId="0" borderId="50" xfId="1" applyNumberFormat="1" applyFont="1" applyFill="1" applyBorder="1" applyAlignment="1" applyProtection="1">
      <alignment horizontal="center" vertical="center"/>
      <protection locked="0"/>
    </xf>
    <xf numFmtId="10" fontId="23" fillId="0" borderId="50" xfId="1" applyNumberFormat="1" applyFont="1" applyBorder="1" applyAlignment="1">
      <alignment horizontal="center" vertical="center"/>
    </xf>
    <xf numFmtId="10" fontId="23" fillId="0" borderId="56" xfId="1" applyNumberFormat="1" applyFont="1" applyBorder="1" applyAlignment="1">
      <alignment horizontal="center" vertical="center"/>
    </xf>
    <xf numFmtId="10" fontId="23" fillId="0" borderId="69" xfId="1" applyNumberFormat="1" applyFont="1" applyFill="1" applyBorder="1" applyAlignment="1" applyProtection="1">
      <alignment horizontal="center" vertical="center"/>
      <protection locked="0"/>
    </xf>
    <xf numFmtId="10" fontId="23" fillId="0" borderId="70" xfId="1" applyNumberFormat="1" applyFont="1" applyBorder="1" applyAlignment="1">
      <alignment horizontal="center" vertical="center"/>
    </xf>
    <xf numFmtId="0" fontId="27" fillId="0" borderId="12" xfId="3" applyFont="1" applyBorder="1" applyAlignment="1" applyProtection="1">
      <alignment horizontal="center" vertical="center"/>
      <protection locked="0"/>
    </xf>
    <xf numFmtId="43" fontId="47" fillId="0" borderId="12" xfId="2" applyFont="1" applyBorder="1" applyAlignment="1" applyProtection="1">
      <alignment horizontal="center" vertical="center"/>
      <protection locked="0"/>
    </xf>
    <xf numFmtId="43" fontId="47" fillId="0" borderId="14" xfId="2" applyFont="1" applyBorder="1" applyAlignment="1" applyProtection="1">
      <alignment horizontal="center" vertical="center"/>
      <protection locked="0"/>
    </xf>
    <xf numFmtId="0" fontId="19" fillId="0" borderId="69" xfId="3" applyFont="1" applyBorder="1"/>
    <xf numFmtId="0" fontId="69" fillId="0" borderId="1" xfId="3" applyFont="1" applyBorder="1" applyAlignment="1">
      <alignment horizontal="center" vertical="center"/>
    </xf>
    <xf numFmtId="0" fontId="70" fillId="0" borderId="0" xfId="0" applyFont="1" applyAlignment="1">
      <alignment horizontal="left"/>
    </xf>
    <xf numFmtId="44" fontId="0" fillId="0" borderId="0" xfId="0" applyNumberFormat="1"/>
    <xf numFmtId="0" fontId="28" fillId="0" borderId="50" xfId="3" applyFont="1" applyBorder="1" applyAlignment="1">
      <alignment horizontal="center" vertical="center"/>
    </xf>
    <xf numFmtId="0" fontId="27" fillId="14" borderId="0" xfId="3" applyFont="1" applyFill="1" applyAlignment="1">
      <alignment horizontal="center" vertical="center" wrapText="1"/>
    </xf>
    <xf numFmtId="3" fontId="27" fillId="2" borderId="0" xfId="3" applyNumberFormat="1" applyFont="1" applyFill="1" applyAlignment="1">
      <alignment horizontal="center" vertical="center"/>
    </xf>
    <xf numFmtId="43" fontId="64" fillId="3" borderId="50" xfId="28" applyNumberFormat="1" applyFont="1" applyFill="1" applyBorder="1" applyAlignment="1" applyProtection="1">
      <alignment horizontal="center" vertical="center"/>
      <protection locked="0"/>
    </xf>
    <xf numFmtId="8" fontId="64" fillId="3" borderId="56" xfId="29" applyNumberFormat="1" applyFont="1" applyFill="1" applyBorder="1" applyAlignment="1">
      <alignment horizontal="center" vertical="center"/>
    </xf>
    <xf numFmtId="8" fontId="78" fillId="3" borderId="56" xfId="29" applyNumberFormat="1" applyFont="1" applyFill="1" applyBorder="1" applyAlignment="1">
      <alignment horizontal="center" vertical="center"/>
    </xf>
    <xf numFmtId="0" fontId="64" fillId="3" borderId="55" xfId="25" applyFont="1" applyFill="1" applyBorder="1" applyAlignment="1">
      <alignment horizontal="center" vertical="center"/>
    </xf>
    <xf numFmtId="4" fontId="64" fillId="3" borderId="50" xfId="27" applyNumberFormat="1" applyFont="1" applyFill="1" applyBorder="1" applyAlignment="1">
      <alignment vertical="center"/>
    </xf>
    <xf numFmtId="0" fontId="64" fillId="0" borderId="50" xfId="25" applyFont="1" applyBorder="1" applyAlignment="1">
      <alignment horizontal="center" vertical="center"/>
    </xf>
    <xf numFmtId="1" fontId="64" fillId="3" borderId="72" xfId="26" applyNumberFormat="1" applyFont="1" applyFill="1" applyBorder="1" applyAlignment="1">
      <alignment horizontal="left" vertical="center"/>
    </xf>
    <xf numFmtId="1" fontId="64" fillId="3" borderId="73" xfId="26" applyNumberFormat="1" applyFont="1" applyFill="1" applyBorder="1" applyAlignment="1">
      <alignment horizontal="left" vertical="center"/>
    </xf>
    <xf numFmtId="1" fontId="64" fillId="3" borderId="74" xfId="26" applyNumberFormat="1" applyFont="1" applyFill="1" applyBorder="1" applyAlignment="1">
      <alignment horizontal="left" vertical="center"/>
    </xf>
    <xf numFmtId="4" fontId="49" fillId="0" borderId="0" xfId="0" applyNumberFormat="1" applyFont="1" applyAlignment="1">
      <alignment horizontal="left" vertical="center"/>
    </xf>
    <xf numFmtId="8" fontId="49" fillId="0" borderId="0" xfId="0" applyNumberFormat="1" applyFont="1" applyAlignment="1">
      <alignment horizontal="center" vertical="center"/>
    </xf>
    <xf numFmtId="164" fontId="49" fillId="0" borderId="0" xfId="17" applyFont="1" applyAlignment="1">
      <alignment horizontal="center" vertical="center" wrapText="1"/>
    </xf>
    <xf numFmtId="0" fontId="79" fillId="0" borderId="0" xfId="0" applyFont="1"/>
    <xf numFmtId="4" fontId="19" fillId="0" borderId="0" xfId="3" applyNumberFormat="1" applyFont="1"/>
    <xf numFmtId="0" fontId="56" fillId="7" borderId="55" xfId="25" applyFont="1" applyFill="1" applyBorder="1" applyAlignment="1">
      <alignment horizontal="center" vertical="center"/>
    </xf>
    <xf numFmtId="1" fontId="56" fillId="7" borderId="72" xfId="26" applyNumberFormat="1" applyFont="1" applyFill="1" applyBorder="1" applyAlignment="1">
      <alignment horizontal="left" vertical="center"/>
    </xf>
    <xf numFmtId="1" fontId="56" fillId="7" borderId="73" xfId="26" applyNumberFormat="1" applyFont="1" applyFill="1" applyBorder="1" applyAlignment="1">
      <alignment horizontal="left" vertical="center"/>
    </xf>
    <xf numFmtId="1" fontId="56" fillId="7" borderId="74" xfId="26" applyNumberFormat="1" applyFont="1" applyFill="1" applyBorder="1" applyAlignment="1">
      <alignment horizontal="left" vertical="center"/>
    </xf>
    <xf numFmtId="4" fontId="62" fillId="7" borderId="50" xfId="27" applyNumberFormat="1" applyFont="1" applyFill="1" applyBorder="1" applyAlignment="1">
      <alignment vertical="center"/>
    </xf>
    <xf numFmtId="0" fontId="62" fillId="7" borderId="50" xfId="25" applyFont="1" applyFill="1" applyBorder="1" applyAlignment="1">
      <alignment horizontal="center" vertical="center"/>
    </xf>
    <xf numFmtId="8" fontId="62" fillId="7" borderId="50" xfId="28" applyNumberFormat="1" applyFont="1" applyFill="1" applyBorder="1" applyAlignment="1" applyProtection="1">
      <alignment horizontal="center" vertical="center"/>
      <protection locked="0"/>
    </xf>
    <xf numFmtId="8" fontId="15" fillId="7" borderId="56" xfId="29" applyNumberFormat="1" applyFont="1" applyFill="1" applyBorder="1" applyAlignment="1">
      <alignment horizontal="center" vertical="center"/>
    </xf>
    <xf numFmtId="0" fontId="80" fillId="0" borderId="55" xfId="3" applyFont="1" applyBorder="1" applyAlignment="1">
      <alignment horizontal="center" vertical="center"/>
    </xf>
    <xf numFmtId="8" fontId="1" fillId="3" borderId="0" xfId="25" applyNumberFormat="1" applyFill="1" applyAlignment="1">
      <alignment vertical="center"/>
    </xf>
    <xf numFmtId="8" fontId="1" fillId="3" borderId="0" xfId="25" applyNumberFormat="1" applyFill="1"/>
    <xf numFmtId="4" fontId="70" fillId="0" borderId="0" xfId="0" applyNumberFormat="1" applyFont="1"/>
    <xf numFmtId="170" fontId="44" fillId="7" borderId="0" xfId="17" applyNumberFormat="1" applyFont="1" applyFill="1" applyAlignment="1"/>
    <xf numFmtId="0" fontId="40" fillId="0" borderId="50" xfId="0" applyFont="1" applyBorder="1"/>
    <xf numFmtId="170" fontId="40" fillId="0" borderId="50" xfId="0" applyNumberFormat="1" applyFont="1" applyBorder="1"/>
    <xf numFmtId="0" fontId="28" fillId="0" borderId="50" xfId="3" applyFont="1" applyBorder="1" applyAlignment="1">
      <alignment vertical="center" wrapText="1"/>
    </xf>
    <xf numFmtId="43" fontId="19" fillId="0" borderId="50" xfId="2" applyFont="1" applyFill="1" applyBorder="1" applyAlignment="1" applyProtection="1">
      <alignment horizontal="center" vertical="center"/>
      <protection locked="0"/>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1" fontId="62" fillId="3" borderId="74" xfId="26" applyNumberFormat="1" applyFont="1" applyFill="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49" fillId="0" borderId="50" xfId="2" applyFont="1" applyBorder="1" applyAlignment="1">
      <alignment vertical="center"/>
    </xf>
    <xf numFmtId="9" fontId="19" fillId="0" borderId="81" xfId="1" applyFont="1" applyFill="1" applyBorder="1" applyAlignment="1" applyProtection="1">
      <alignment horizontal="center"/>
    </xf>
    <xf numFmtId="173" fontId="30" fillId="8" borderId="56" xfId="1" applyNumberFormat="1" applyFont="1" applyFill="1" applyBorder="1" applyAlignment="1" applyProtection="1">
      <alignment horizontal="center"/>
    </xf>
    <xf numFmtId="173" fontId="19" fillId="0" borderId="56" xfId="1" applyNumberFormat="1" applyFont="1" applyFill="1" applyBorder="1" applyAlignment="1" applyProtection="1">
      <alignment horizontal="center"/>
    </xf>
    <xf numFmtId="43" fontId="31" fillId="8" borderId="2" xfId="2" applyFont="1" applyFill="1" applyBorder="1" applyProtection="1">
      <protection locked="0"/>
    </xf>
    <xf numFmtId="43" fontId="31" fillId="8" borderId="64" xfId="2" applyFont="1" applyFill="1" applyBorder="1" applyProtection="1"/>
    <xf numFmtId="0" fontId="4" fillId="0" borderId="0" xfId="0" applyFont="1" applyAlignment="1">
      <alignment horizontal="right" vertical="center" wrapText="1"/>
    </xf>
    <xf numFmtId="0" fontId="17" fillId="0" borderId="0" xfId="0" applyFont="1" applyAlignment="1">
      <alignment horizontal="right"/>
    </xf>
    <xf numFmtId="0" fontId="17" fillId="0" borderId="0" xfId="0" applyFont="1"/>
    <xf numFmtId="0" fontId="2" fillId="0" borderId="53" xfId="0" applyFont="1" applyBorder="1" applyAlignment="1">
      <alignment horizontal="center"/>
    </xf>
    <xf numFmtId="0" fontId="0" fillId="0" borderId="95" xfId="0" applyBorder="1" applyAlignment="1">
      <alignment horizontal="left"/>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left"/>
    </xf>
    <xf numFmtId="0" fontId="0" fillId="0" borderId="99" xfId="0" applyBorder="1" applyAlignment="1">
      <alignment horizontal="center"/>
    </xf>
    <xf numFmtId="0" fontId="0" fillId="0" borderId="100" xfId="0" applyBorder="1" applyAlignment="1">
      <alignment horizontal="center"/>
    </xf>
    <xf numFmtId="0" fontId="0" fillId="0" borderId="101" xfId="0" applyBorder="1" applyAlignment="1">
      <alignment horizontal="left"/>
    </xf>
    <xf numFmtId="9" fontId="2" fillId="0" borderId="102" xfId="1" applyFont="1" applyBorder="1" applyAlignment="1">
      <alignment horizontal="center"/>
    </xf>
    <xf numFmtId="0" fontId="49" fillId="0" borderId="22" xfId="0" applyFont="1" applyBorder="1" applyAlignment="1">
      <alignment horizontal="center" vertical="center"/>
    </xf>
    <xf numFmtId="0" fontId="49" fillId="0" borderId="23" xfId="0" applyFont="1" applyBorder="1" applyAlignment="1">
      <alignment horizontal="center" vertical="center"/>
    </xf>
    <xf numFmtId="0" fontId="49" fillId="0" borderId="38" xfId="0" applyFont="1" applyBorder="1" applyAlignment="1">
      <alignment horizontal="center"/>
    </xf>
    <xf numFmtId="0" fontId="49" fillId="0" borderId="17" xfId="0" applyFont="1" applyBorder="1" applyAlignment="1">
      <alignment horizontal="center"/>
    </xf>
    <xf numFmtId="0" fontId="49" fillId="0" borderId="20" xfId="0" applyFont="1" applyBorder="1" applyAlignment="1">
      <alignment horizontal="center"/>
    </xf>
    <xf numFmtId="0" fontId="44" fillId="7" borderId="72" xfId="0" applyFont="1" applyFill="1" applyBorder="1" applyAlignment="1">
      <alignment horizontal="center"/>
    </xf>
    <xf numFmtId="43" fontId="49" fillId="0" borderId="33" xfId="2" applyFont="1" applyBorder="1" applyAlignment="1">
      <alignment horizontal="center"/>
    </xf>
    <xf numFmtId="43" fontId="49" fillId="0" borderId="36" xfId="2" applyFont="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43" fontId="44" fillId="7" borderId="36" xfId="2" applyFont="1" applyFill="1" applyBorder="1" applyAlignment="1">
      <alignment horizontal="center"/>
    </xf>
    <xf numFmtId="43" fontId="49" fillId="0" borderId="41" xfId="2" applyFont="1" applyBorder="1" applyAlignment="1">
      <alignment horizontal="center"/>
    </xf>
    <xf numFmtId="164" fontId="0" fillId="0" borderId="0" xfId="17" applyFont="1"/>
    <xf numFmtId="4" fontId="77" fillId="0" borderId="0" xfId="0" applyNumberFormat="1" applyFont="1"/>
    <xf numFmtId="164" fontId="19" fillId="2" borderId="0" xfId="17" applyFont="1" applyFill="1"/>
    <xf numFmtId="0" fontId="49" fillId="0" borderId="36" xfId="0" applyFont="1" applyBorder="1" applyAlignment="1">
      <alignment vertical="center"/>
    </xf>
    <xf numFmtId="170" fontId="44" fillId="7" borderId="0" xfId="17" applyNumberFormat="1" applyFont="1" applyFill="1" applyBorder="1" applyAlignment="1">
      <alignment vertical="center"/>
    </xf>
    <xf numFmtId="0" fontId="61" fillId="7" borderId="0" xfId="0" applyFont="1" applyFill="1"/>
    <xf numFmtId="0" fontId="61" fillId="7" borderId="3" xfId="0" applyFont="1" applyFill="1" applyBorder="1"/>
    <xf numFmtId="170" fontId="44" fillId="7" borderId="3" xfId="17" applyNumberFormat="1" applyFont="1" applyFill="1" applyBorder="1" applyAlignment="1"/>
    <xf numFmtId="43" fontId="49" fillId="0" borderId="33" xfId="2" applyFont="1" applyBorder="1" applyAlignment="1">
      <alignment vertical="center"/>
    </xf>
    <xf numFmtId="44" fontId="49" fillId="0" borderId="33" xfId="0" applyNumberFormat="1" applyFont="1" applyBorder="1" applyAlignment="1">
      <alignment horizontal="center" vertical="center"/>
    </xf>
    <xf numFmtId="43" fontId="44" fillId="7" borderId="74" xfId="2" applyFont="1" applyFill="1" applyBorder="1" applyAlignment="1">
      <alignment vertical="center"/>
    </xf>
    <xf numFmtId="43" fontId="44" fillId="7" borderId="50" xfId="2" applyFont="1" applyFill="1" applyBorder="1" applyAlignment="1">
      <alignment vertical="center"/>
    </xf>
    <xf numFmtId="0" fontId="49" fillId="0" borderId="19" xfId="0" applyFont="1" applyBorder="1"/>
    <xf numFmtId="0" fontId="49" fillId="0" borderId="18" xfId="0" applyFont="1" applyBorder="1"/>
    <xf numFmtId="0" fontId="49" fillId="0" borderId="21" xfId="0" applyFont="1" applyBorder="1"/>
    <xf numFmtId="0" fontId="49" fillId="0" borderId="22" xfId="0" applyFont="1" applyBorder="1"/>
    <xf numFmtId="0" fontId="0" fillId="2" borderId="0" xfId="0" applyFill="1" applyAlignment="1">
      <alignment horizontal="center" vertical="center"/>
    </xf>
    <xf numFmtId="0" fontId="0" fillId="2" borderId="0" xfId="0" applyFill="1"/>
    <xf numFmtId="0" fontId="3" fillId="3" borderId="11" xfId="8" applyFill="1" applyBorder="1" applyAlignment="1" applyProtection="1">
      <alignment vertical="center"/>
      <protection hidden="1"/>
    </xf>
    <xf numFmtId="0" fontId="82" fillId="3" borderId="10" xfId="8" applyFont="1" applyFill="1" applyBorder="1" applyAlignment="1" applyProtection="1">
      <alignment vertical="center"/>
      <protection hidden="1"/>
    </xf>
    <xf numFmtId="0" fontId="3" fillId="3" borderId="60" xfId="8" applyFill="1" applyBorder="1" applyAlignment="1" applyProtection="1">
      <alignment vertical="center"/>
      <protection hidden="1"/>
    </xf>
    <xf numFmtId="0" fontId="3" fillId="3" borderId="1" xfId="8" applyFill="1" applyBorder="1" applyAlignment="1" applyProtection="1">
      <alignment vertical="center"/>
      <protection hidden="1"/>
    </xf>
    <xf numFmtId="0" fontId="38" fillId="3" borderId="72" xfId="8" applyFont="1" applyFill="1" applyBorder="1" applyAlignment="1" applyProtection="1">
      <alignment horizontal="center" vertical="center"/>
      <protection hidden="1"/>
    </xf>
    <xf numFmtId="0" fontId="4" fillId="3" borderId="74" xfId="8" applyFont="1" applyFill="1" applyBorder="1" applyAlignment="1" applyProtection="1">
      <alignment horizontal="center" vertical="center"/>
      <protection hidden="1"/>
    </xf>
    <xf numFmtId="0" fontId="38" fillId="3" borderId="72" xfId="8" applyFont="1" applyFill="1" applyBorder="1" applyAlignment="1" applyProtection="1">
      <alignment horizontal="centerContinuous" vertical="center"/>
      <protection hidden="1"/>
    </xf>
    <xf numFmtId="0" fontId="38" fillId="3" borderId="74" xfId="8" applyFont="1" applyFill="1" applyBorder="1" applyAlignment="1" applyProtection="1">
      <alignment horizontal="centerContinuous" vertical="center"/>
      <protection hidden="1"/>
    </xf>
    <xf numFmtId="0" fontId="38" fillId="3" borderId="73" xfId="8" applyFont="1" applyFill="1" applyBorder="1" applyAlignment="1" applyProtection="1">
      <alignment horizontal="centerContinuous" vertical="center"/>
      <protection hidden="1"/>
    </xf>
    <xf numFmtId="0" fontId="83" fillId="3" borderId="73" xfId="8" applyFont="1" applyFill="1" applyBorder="1" applyAlignment="1" applyProtection="1">
      <alignment horizontal="centerContinuous" vertical="center"/>
      <protection hidden="1"/>
    </xf>
    <xf numFmtId="0" fontId="83" fillId="3" borderId="74" xfId="8" applyFont="1" applyFill="1" applyBorder="1" applyAlignment="1" applyProtection="1">
      <alignment horizontal="centerContinuous" vertical="center"/>
      <protection hidden="1"/>
    </xf>
    <xf numFmtId="0" fontId="3" fillId="3" borderId="2" xfId="8" applyFill="1" applyBorder="1" applyAlignment="1" applyProtection="1">
      <alignment vertical="center"/>
      <protection hidden="1"/>
    </xf>
    <xf numFmtId="0" fontId="82" fillId="3" borderId="0" xfId="8" applyFont="1" applyFill="1" applyAlignment="1" applyProtection="1">
      <alignment vertical="center"/>
      <protection hidden="1"/>
    </xf>
    <xf numFmtId="0" fontId="83" fillId="3" borderId="53" xfId="8" quotePrefix="1" applyFont="1" applyFill="1" applyBorder="1" applyAlignment="1" applyProtection="1">
      <alignment horizontal="center" vertical="center"/>
      <protection hidden="1"/>
    </xf>
    <xf numFmtId="0" fontId="83" fillId="3" borderId="46" xfId="8" applyFont="1" applyFill="1" applyBorder="1" applyAlignment="1" applyProtection="1">
      <alignment horizontal="center" vertical="center"/>
      <protection hidden="1"/>
    </xf>
    <xf numFmtId="0" fontId="83" fillId="3" borderId="53" xfId="8" applyFont="1" applyFill="1" applyBorder="1" applyAlignment="1" applyProtection="1">
      <alignment horizontal="center" vertical="center"/>
      <protection hidden="1"/>
    </xf>
    <xf numFmtId="1" fontId="83" fillId="3" borderId="67" xfId="8" applyNumberFormat="1" applyFont="1" applyFill="1" applyBorder="1" applyAlignment="1" applyProtection="1">
      <alignment horizontal="center" vertical="center"/>
      <protection hidden="1"/>
    </xf>
    <xf numFmtId="179" fontId="83" fillId="3" borderId="31" xfId="8" applyNumberFormat="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Continuous" vertical="center" shrinkToFit="1"/>
      <protection hidden="1"/>
    </xf>
    <xf numFmtId="4" fontId="82" fillId="3" borderId="49" xfId="8" applyNumberFormat="1" applyFont="1" applyFill="1" applyBorder="1" applyAlignment="1" applyProtection="1">
      <alignment horizontal="centerContinuous" vertical="center" shrinkToFit="1"/>
      <protection hidden="1"/>
    </xf>
    <xf numFmtId="4" fontId="82" fillId="3" borderId="31" xfId="8" applyNumberFormat="1" applyFont="1" applyFill="1" applyBorder="1" applyAlignment="1" applyProtection="1">
      <alignment horizontal="centerContinuous" vertical="center" shrinkToFit="1"/>
      <protection hidden="1"/>
    </xf>
    <xf numFmtId="4" fontId="82" fillId="3" borderId="67" xfId="8" applyNumberFormat="1" applyFont="1" applyFill="1" applyBorder="1" applyAlignment="1" applyProtection="1">
      <alignment horizontal="center" vertical="center"/>
      <protection hidden="1"/>
    </xf>
    <xf numFmtId="0" fontId="82" fillId="3" borderId="49" xfId="8" applyFont="1" applyFill="1" applyBorder="1" applyAlignment="1" applyProtection="1">
      <alignment horizontal="centerContinuous" vertical="center"/>
      <protection hidden="1"/>
    </xf>
    <xf numFmtId="0" fontId="82" fillId="3" borderId="49" xfId="8" quotePrefix="1" applyFont="1" applyFill="1" applyBorder="1" applyAlignment="1" applyProtection="1">
      <alignment horizontal="right" vertical="center"/>
      <protection hidden="1"/>
    </xf>
    <xf numFmtId="2" fontId="82" fillId="3" borderId="49" xfId="8" applyNumberFormat="1" applyFont="1" applyFill="1" applyBorder="1" applyAlignment="1" applyProtection="1">
      <alignment vertical="center"/>
      <protection hidden="1"/>
    </xf>
    <xf numFmtId="0" fontId="82" fillId="3" borderId="17" xfId="8" applyFont="1" applyFill="1" applyBorder="1" applyAlignment="1" applyProtection="1">
      <alignment horizontal="centerContinuous" vertical="center"/>
      <protection hidden="1"/>
    </xf>
    <xf numFmtId="0" fontId="82" fillId="3" borderId="18" xfId="8" applyFont="1" applyFill="1" applyBorder="1" applyAlignment="1" applyProtection="1">
      <alignment horizontal="centerContinuous" vertical="center"/>
      <protection hidden="1"/>
    </xf>
    <xf numFmtId="0" fontId="82" fillId="3" borderId="53"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49"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27" xfId="0" applyFont="1" applyFill="1" applyBorder="1" applyAlignment="1" applyProtection="1">
      <alignment vertical="center"/>
      <protection hidden="1"/>
    </xf>
    <xf numFmtId="0" fontId="82" fillId="3" borderId="46" xfId="0" applyFont="1" applyFill="1" applyBorder="1" applyAlignment="1" applyProtection="1">
      <alignment vertical="center"/>
      <protection hidden="1"/>
    </xf>
    <xf numFmtId="0" fontId="82" fillId="3" borderId="3" xfId="0"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hidden="1"/>
    </xf>
    <xf numFmtId="43" fontId="82" fillId="3" borderId="45" xfId="18" applyFont="1" applyFill="1" applyBorder="1" applyAlignment="1" applyProtection="1">
      <alignment horizontal="center" vertical="center"/>
      <protection hidden="1"/>
    </xf>
    <xf numFmtId="43" fontId="82" fillId="3" borderId="53" xfId="18" applyFont="1" applyFill="1" applyBorder="1" applyAlignment="1" applyProtection="1">
      <alignment vertical="center"/>
      <protection hidden="1"/>
    </xf>
    <xf numFmtId="0" fontId="82" fillId="3" borderId="27" xfId="8" applyFont="1" applyFill="1" applyBorder="1" applyAlignment="1" applyProtection="1">
      <alignment vertical="center"/>
      <protection hidden="1"/>
    </xf>
    <xf numFmtId="0" fontId="82" fillId="3" borderId="3" xfId="8" applyFont="1" applyFill="1" applyBorder="1" applyAlignment="1" applyProtection="1">
      <alignment vertical="center"/>
      <protection hidden="1"/>
    </xf>
    <xf numFmtId="0" fontId="82" fillId="3" borderId="3" xfId="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hidden="1"/>
    </xf>
    <xf numFmtId="43" fontId="82" fillId="3" borderId="0" xfId="18" applyFont="1" applyFill="1" applyBorder="1" applyAlignment="1" applyProtection="1">
      <alignment horizontal="center" vertical="center"/>
      <protection hidden="1"/>
    </xf>
    <xf numFmtId="43" fontId="82" fillId="3" borderId="54" xfId="18" applyFont="1" applyFill="1" applyBorder="1" applyAlignment="1" applyProtection="1">
      <alignment vertical="center"/>
      <protection hidden="1"/>
    </xf>
    <xf numFmtId="0" fontId="82" fillId="3" borderId="48" xfId="8" applyFont="1" applyFill="1" applyBorder="1" applyAlignment="1" applyProtection="1">
      <alignment vertical="center"/>
      <protection hidden="1"/>
    </xf>
    <xf numFmtId="0" fontId="82" fillId="3" borderId="31" xfId="8" applyFont="1" applyFill="1" applyBorder="1" applyAlignment="1" applyProtection="1">
      <alignment vertical="center"/>
      <protection hidden="1"/>
    </xf>
    <xf numFmtId="0" fontId="82" fillId="3" borderId="67" xfId="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hidden="1"/>
    </xf>
    <xf numFmtId="43" fontId="82" fillId="3" borderId="49" xfId="18" applyFont="1" applyFill="1" applyBorder="1" applyAlignment="1" applyProtection="1">
      <alignment horizontal="center" vertical="center"/>
      <protection hidden="1"/>
    </xf>
    <xf numFmtId="0" fontId="82" fillId="3" borderId="72" xfId="8" applyFont="1" applyFill="1" applyBorder="1" applyAlignment="1" applyProtection="1">
      <alignment vertical="center"/>
      <protection hidden="1"/>
    </xf>
    <xf numFmtId="0" fontId="82" fillId="3" borderId="31" xfId="8" quotePrefix="1" applyFont="1" applyFill="1" applyBorder="1" applyAlignment="1" applyProtection="1">
      <alignment horizontal="right" vertical="center"/>
      <protection hidden="1"/>
    </xf>
    <xf numFmtId="43" fontId="82" fillId="3" borderId="50" xfId="18" applyFont="1" applyFill="1" applyBorder="1" applyAlignment="1" applyProtection="1">
      <alignment vertical="center"/>
      <protection hidden="1"/>
    </xf>
    <xf numFmtId="0" fontId="82" fillId="3" borderId="73" xfId="8" applyFont="1" applyFill="1" applyBorder="1" applyAlignment="1" applyProtection="1">
      <alignment horizontal="centerContinuous" vertical="center"/>
      <protection hidden="1"/>
    </xf>
    <xf numFmtId="0" fontId="82" fillId="3" borderId="73" xfId="8" quotePrefix="1" applyFont="1" applyFill="1" applyBorder="1" applyAlignment="1" applyProtection="1">
      <alignment horizontal="right" vertical="center"/>
      <protection hidden="1"/>
    </xf>
    <xf numFmtId="2" fontId="82" fillId="3" borderId="73" xfId="8" applyNumberFormat="1" applyFont="1" applyFill="1" applyBorder="1" applyAlignment="1" applyProtection="1">
      <alignment vertical="center"/>
      <protection hidden="1"/>
    </xf>
    <xf numFmtId="0" fontId="82" fillId="3" borderId="53" xfId="8" applyFont="1" applyFill="1" applyBorder="1" applyAlignment="1" applyProtection="1">
      <alignment horizontal="centerContinuous" vertical="center"/>
      <protection hidden="1"/>
    </xf>
    <xf numFmtId="4" fontId="82" fillId="3" borderId="49"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 vertical="center"/>
      <protection hidden="1"/>
    </xf>
    <xf numFmtId="4" fontId="82" fillId="3" borderId="49" xfId="8" applyNumberFormat="1" applyFont="1" applyFill="1" applyBorder="1" applyAlignment="1" applyProtection="1">
      <alignment horizontal="centerContinuous" vertical="center" wrapText="1"/>
      <protection hidden="1"/>
    </xf>
    <xf numFmtId="4" fontId="82" fillId="3" borderId="67" xfId="8" applyNumberFormat="1" applyFont="1" applyFill="1" applyBorder="1" applyAlignment="1" applyProtection="1">
      <alignment horizontal="center" vertical="center" wrapText="1"/>
      <protection hidden="1"/>
    </xf>
    <xf numFmtId="4" fontId="82" fillId="3" borderId="47" xfId="8" applyNumberFormat="1" applyFont="1" applyFill="1" applyBorder="1" applyAlignment="1" applyProtection="1">
      <alignment vertical="center"/>
      <protection locked="0"/>
    </xf>
    <xf numFmtId="4" fontId="82" fillId="3" borderId="45" xfId="8" applyNumberFormat="1" applyFont="1" applyFill="1" applyBorder="1" applyAlignment="1" applyProtection="1">
      <alignment vertical="center"/>
      <protection hidden="1"/>
    </xf>
    <xf numFmtId="0" fontId="82" fillId="3" borderId="45" xfId="8" applyFont="1" applyFill="1" applyBorder="1" applyAlignment="1" applyProtection="1">
      <alignment vertical="center"/>
      <protection hidden="1"/>
    </xf>
    <xf numFmtId="0" fontId="82" fillId="3" borderId="46" xfId="8" applyFont="1" applyFill="1" applyBorder="1" applyAlignment="1" applyProtection="1">
      <alignment vertical="center"/>
      <protection hidden="1"/>
    </xf>
    <xf numFmtId="0" fontId="82" fillId="3" borderId="46" xfId="8"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3" fontId="82" fillId="3" borderId="53" xfId="18" applyFont="1" applyFill="1" applyBorder="1" applyAlignment="1" applyProtection="1">
      <alignment horizontal="center" vertical="center"/>
      <protection locked="0"/>
    </xf>
    <xf numFmtId="4" fontId="82" fillId="3" borderId="27" xfId="8" applyNumberFormat="1" applyFont="1" applyFill="1" applyBorder="1" applyAlignment="1" applyProtection="1">
      <alignment vertical="center"/>
      <protection hidden="1"/>
    </xf>
    <xf numFmtId="4" fontId="82" fillId="3" borderId="0" xfId="8" applyNumberFormat="1" applyFont="1" applyFill="1" applyAlignment="1" applyProtection="1">
      <alignment vertical="center"/>
      <protection hidden="1"/>
    </xf>
    <xf numFmtId="4" fontId="82" fillId="3" borderId="0" xfId="8" applyNumberFormat="1" applyFont="1" applyFill="1" applyAlignment="1" applyProtection="1">
      <alignment horizontal="center" vertical="center"/>
      <protection hidden="1"/>
    </xf>
    <xf numFmtId="43" fontId="82" fillId="3" borderId="54" xfId="18" applyFont="1" applyFill="1" applyBorder="1" applyAlignment="1" applyProtection="1">
      <alignment horizontal="center" vertical="center"/>
      <protection locked="0"/>
    </xf>
    <xf numFmtId="43" fontId="82" fillId="3" borderId="0" xfId="16" applyFont="1" applyFill="1" applyAlignment="1" applyProtection="1">
      <alignment horizontal="center" vertical="center"/>
      <protection hidden="1"/>
    </xf>
    <xf numFmtId="0" fontId="82" fillId="3" borderId="74" xfId="8" quotePrefix="1" applyFont="1" applyFill="1" applyBorder="1" applyAlignment="1" applyProtection="1">
      <alignment horizontal="right" vertical="center"/>
      <protection hidden="1"/>
    </xf>
    <xf numFmtId="4" fontId="82" fillId="3" borderId="73" xfId="8" applyNumberFormat="1" applyFont="1" applyFill="1" applyBorder="1" applyAlignment="1" applyProtection="1">
      <alignment vertical="center"/>
      <protection hidden="1"/>
    </xf>
    <xf numFmtId="4" fontId="82" fillId="3" borderId="73" xfId="8" quotePrefix="1" applyNumberFormat="1" applyFont="1" applyFill="1" applyBorder="1" applyAlignment="1" applyProtection="1">
      <alignment horizontal="right" vertical="center"/>
      <protection hidden="1"/>
    </xf>
    <xf numFmtId="4" fontId="82" fillId="3" borderId="48" xfId="8" quotePrefix="1" applyNumberFormat="1" applyFont="1" applyFill="1" applyBorder="1" applyAlignment="1" applyProtection="1">
      <alignment horizontal="left" vertical="center"/>
      <protection hidden="1"/>
    </xf>
    <xf numFmtId="4" fontId="82" fillId="3" borderId="49"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right" vertical="center"/>
      <protection hidden="1"/>
    </xf>
    <xf numFmtId="4" fontId="82" fillId="3" borderId="74" xfId="8" applyNumberFormat="1" applyFont="1" applyFill="1" applyBorder="1" applyAlignment="1" applyProtection="1">
      <alignment horizontal="left" vertical="center"/>
      <protection hidden="1"/>
    </xf>
    <xf numFmtId="4" fontId="82" fillId="3" borderId="49" xfId="8" quotePrefix="1" applyNumberFormat="1" applyFont="1" applyFill="1" applyBorder="1" applyAlignment="1" applyProtection="1">
      <alignment horizontal="right" vertical="center"/>
      <protection hidden="1"/>
    </xf>
    <xf numFmtId="4" fontId="82" fillId="3" borderId="73" xfId="8" quotePrefix="1" applyNumberFormat="1" applyFont="1" applyFill="1" applyBorder="1" applyAlignment="1" applyProtection="1">
      <alignment horizontal="left" vertical="center"/>
      <protection hidden="1"/>
    </xf>
    <xf numFmtId="4" fontId="82" fillId="3" borderId="73"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centerContinuous" vertical="center"/>
      <protection hidden="1"/>
    </xf>
    <xf numFmtId="0" fontId="82" fillId="3" borderId="50" xfId="8" applyFont="1" applyFill="1" applyBorder="1" applyAlignment="1" applyProtection="1">
      <alignment horizontal="center" vertical="center"/>
      <protection hidden="1"/>
    </xf>
    <xf numFmtId="4" fontId="82" fillId="3" borderId="67" xfId="8" quotePrefix="1" applyNumberFormat="1" applyFont="1" applyFill="1" applyBorder="1" applyAlignment="1" applyProtection="1">
      <alignment horizontal="center" vertical="center"/>
      <protection hidden="1"/>
    </xf>
    <xf numFmtId="4" fontId="82" fillId="3" borderId="48" xfId="8" applyNumberFormat="1" applyFont="1" applyFill="1" applyBorder="1" applyAlignment="1" applyProtection="1">
      <alignment horizontal="center" vertical="center"/>
      <protection hidden="1"/>
    </xf>
    <xf numFmtId="4" fontId="82" fillId="3" borderId="50" xfId="8" quotePrefix="1" applyNumberFormat="1" applyFont="1" applyFill="1" applyBorder="1" applyAlignment="1" applyProtection="1">
      <alignment horizontal="center" vertical="center" wrapText="1"/>
      <protection hidden="1"/>
    </xf>
    <xf numFmtId="4" fontId="82" fillId="3" borderId="27" xfId="0" applyNumberFormat="1" applyFont="1" applyFill="1" applyBorder="1" applyAlignment="1" applyProtection="1">
      <alignment vertical="center"/>
      <protection hidden="1"/>
    </xf>
    <xf numFmtId="4" fontId="82" fillId="3" borderId="0" xfId="0" applyNumberFormat="1" applyFont="1" applyFill="1" applyAlignment="1" applyProtection="1">
      <alignment vertical="center"/>
      <protection hidden="1"/>
    </xf>
    <xf numFmtId="0" fontId="82" fillId="3" borderId="3" xfId="0" applyFont="1" applyFill="1" applyBorder="1" applyAlignment="1" applyProtection="1">
      <alignment vertical="center"/>
      <protection hidden="1"/>
    </xf>
    <xf numFmtId="0" fontId="84" fillId="3" borderId="3" xfId="0" applyFont="1" applyFill="1" applyBorder="1" applyAlignment="1" applyProtection="1">
      <alignment horizontal="center" vertical="center"/>
      <protection locked="0"/>
    </xf>
    <xf numFmtId="4" fontId="82" fillId="3" borderId="27" xfId="0" applyNumberFormat="1" applyFont="1" applyFill="1" applyBorder="1" applyAlignment="1" applyProtection="1">
      <alignment horizontal="center" vertical="center"/>
      <protection hidden="1"/>
    </xf>
    <xf numFmtId="43" fontId="82" fillId="0" borderId="27" xfId="2" applyFont="1" applyFill="1" applyBorder="1" applyAlignment="1" applyProtection="1">
      <alignment horizontal="center" vertical="center"/>
      <protection hidden="1"/>
    </xf>
    <xf numFmtId="43" fontId="82" fillId="3" borderId="54" xfId="2" applyFont="1" applyFill="1" applyBorder="1" applyAlignment="1" applyProtection="1">
      <alignment horizontal="center" vertical="center"/>
      <protection hidden="1"/>
    </xf>
    <xf numFmtId="4" fontId="82" fillId="3" borderId="27" xfId="24" applyNumberFormat="1" applyFont="1" applyFill="1" applyBorder="1" applyAlignment="1" applyProtection="1">
      <alignment vertical="center"/>
      <protection hidden="1"/>
    </xf>
    <xf numFmtId="0" fontId="85" fillId="3" borderId="3" xfId="8" applyFont="1" applyFill="1" applyBorder="1" applyAlignment="1" applyProtection="1">
      <alignment horizontal="center" vertical="center"/>
      <protection locked="0"/>
    </xf>
    <xf numFmtId="4" fontId="82" fillId="3" borderId="27" xfId="8" applyNumberFormat="1" applyFont="1" applyFill="1" applyBorder="1" applyAlignment="1" applyProtection="1">
      <alignment horizontal="center" vertical="center"/>
      <protection hidden="1"/>
    </xf>
    <xf numFmtId="43" fontId="82" fillId="3" borderId="27" xfId="18" applyFont="1" applyFill="1" applyBorder="1" applyAlignment="1" applyProtection="1">
      <alignment horizontal="center" vertical="center"/>
      <protection hidden="1"/>
    </xf>
    <xf numFmtId="43" fontId="82" fillId="3" borderId="67" xfId="18" applyFont="1" applyFill="1" applyBorder="1" applyAlignment="1" applyProtection="1">
      <alignment horizontal="center" vertical="center"/>
      <protection hidden="1"/>
    </xf>
    <xf numFmtId="43" fontId="82" fillId="3" borderId="67" xfId="18" applyFont="1" applyFill="1" applyBorder="1" applyAlignment="1" applyProtection="1">
      <alignment vertical="center"/>
      <protection hidden="1"/>
    </xf>
    <xf numFmtId="4" fontId="82" fillId="3" borderId="72" xfId="8" applyNumberFormat="1" applyFont="1" applyFill="1" applyBorder="1" applyAlignment="1" applyProtection="1">
      <alignment vertical="center"/>
      <protection hidden="1"/>
    </xf>
    <xf numFmtId="4" fontId="82" fillId="3" borderId="73" xfId="8" applyNumberFormat="1" applyFont="1" applyFill="1" applyBorder="1" applyAlignment="1" applyProtection="1">
      <alignment horizontal="center" vertical="center"/>
      <protection hidden="1"/>
    </xf>
    <xf numFmtId="4" fontId="82" fillId="3" borderId="74" xfId="8" quotePrefix="1" applyNumberFormat="1" applyFont="1" applyFill="1" applyBorder="1" applyAlignment="1" applyProtection="1">
      <alignment horizontal="right" vertical="center"/>
      <protection hidden="1"/>
    </xf>
    <xf numFmtId="4" fontId="85"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horizontal="centerContinuous" vertical="center"/>
      <protection hidden="1"/>
    </xf>
    <xf numFmtId="0" fontId="82" fillId="3" borderId="50" xfId="8" quotePrefix="1" applyFont="1" applyFill="1" applyBorder="1" applyAlignment="1" applyProtection="1">
      <alignment horizontal="center" vertical="center" wrapText="1"/>
      <protection hidden="1"/>
    </xf>
    <xf numFmtId="4" fontId="82" fillId="3" borderId="48" xfId="8" applyNumberFormat="1" applyFont="1" applyFill="1" applyBorder="1" applyAlignment="1" applyProtection="1">
      <alignment horizontal="centerContinuous" vertical="center"/>
      <protection hidden="1"/>
    </xf>
    <xf numFmtId="4" fontId="85" fillId="3" borderId="47" xfId="8" applyNumberFormat="1" applyFont="1" applyFill="1" applyBorder="1" applyAlignment="1" applyProtection="1">
      <alignment vertical="center"/>
      <protection locked="0"/>
    </xf>
    <xf numFmtId="0" fontId="82" fillId="3" borderId="45" xfId="8" applyFont="1" applyFill="1" applyBorder="1" applyAlignment="1" applyProtection="1">
      <alignment vertical="center"/>
      <protection locked="0"/>
    </xf>
    <xf numFmtId="4" fontId="82" fillId="3" borderId="45" xfId="8" applyNumberFormat="1" applyFont="1" applyFill="1" applyBorder="1" applyAlignment="1" applyProtection="1">
      <alignment horizontal="center" vertical="center"/>
      <protection locked="0"/>
    </xf>
    <xf numFmtId="4" fontId="82" fillId="3" borderId="46" xfId="8" applyNumberFormat="1"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 fontId="85" fillId="3" borderId="27" xfId="8" applyNumberFormat="1" applyFont="1" applyFill="1" applyBorder="1" applyAlignment="1" applyProtection="1">
      <alignment vertical="center"/>
      <protection locked="0"/>
    </xf>
    <xf numFmtId="0" fontId="82" fillId="3" borderId="0" xfId="8" applyFont="1" applyFill="1" applyAlignment="1" applyProtection="1">
      <alignment vertical="center"/>
      <protection locked="0"/>
    </xf>
    <xf numFmtId="4" fontId="82" fillId="3" borderId="0" xfId="8" applyNumberFormat="1" applyFont="1" applyFill="1" applyAlignment="1" applyProtection="1">
      <alignment horizontal="center" vertical="center"/>
      <protection locked="0"/>
    </xf>
    <xf numFmtId="4" fontId="82" fillId="3" borderId="3" xfId="8" applyNumberFormat="1" applyFont="1" applyFill="1" applyBorder="1" applyAlignment="1" applyProtection="1">
      <alignment horizontal="center" vertical="center"/>
      <protection locked="0"/>
    </xf>
    <xf numFmtId="4" fontId="85"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horizontal="centerContinuous" vertical="center"/>
      <protection hidden="1"/>
    </xf>
    <xf numFmtId="4" fontId="82" fillId="3" borderId="45" xfId="8" applyNumberFormat="1" applyFont="1" applyFill="1" applyBorder="1" applyAlignment="1" applyProtection="1">
      <alignment horizontal="centerContinuous" vertical="center"/>
      <protection hidden="1"/>
    </xf>
    <xf numFmtId="4" fontId="82" fillId="3" borderId="45" xfId="8" quotePrefix="1" applyNumberFormat="1" applyFont="1" applyFill="1" applyBorder="1" applyAlignment="1" applyProtection="1">
      <alignment horizontal="right" vertical="center"/>
      <protection hidden="1"/>
    </xf>
    <xf numFmtId="43" fontId="82" fillId="3" borderId="45" xfId="18" applyFont="1" applyFill="1" applyBorder="1" applyAlignment="1" applyProtection="1">
      <alignment vertical="center"/>
      <protection hidden="1"/>
    </xf>
    <xf numFmtId="4" fontId="82" fillId="3" borderId="50" xfId="8" applyNumberFormat="1" applyFont="1" applyFill="1" applyBorder="1" applyAlignment="1" applyProtection="1">
      <alignment vertical="center"/>
      <protection hidden="1"/>
    </xf>
    <xf numFmtId="0" fontId="82" fillId="3" borderId="73" xfId="8" applyFont="1" applyFill="1" applyBorder="1" applyAlignment="1" applyProtection="1">
      <alignment vertical="center"/>
      <protection hidden="1"/>
    </xf>
    <xf numFmtId="4" fontId="82" fillId="3" borderId="74" xfId="8" applyNumberFormat="1" applyFont="1" applyFill="1" applyBorder="1" applyAlignment="1" applyProtection="1">
      <alignment vertical="center"/>
      <protection hidden="1"/>
    </xf>
    <xf numFmtId="43" fontId="82" fillId="3" borderId="49" xfId="18"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locked="0"/>
    </xf>
    <xf numFmtId="0" fontId="82" fillId="3" borderId="49" xfId="8" applyFont="1" applyFill="1" applyBorder="1" applyAlignment="1" applyProtection="1">
      <alignment vertical="center"/>
      <protection locked="0"/>
    </xf>
    <xf numFmtId="4" fontId="82" fillId="3" borderId="49" xfId="8" applyNumberFormat="1" applyFont="1" applyFill="1" applyBorder="1" applyAlignment="1" applyProtection="1">
      <alignment horizontal="center" vertical="center"/>
      <protection locked="0"/>
    </xf>
    <xf numFmtId="4" fontId="82" fillId="3" borderId="31" xfId="8" applyNumberFormat="1" applyFont="1" applyFill="1" applyBorder="1" applyAlignment="1" applyProtection="1">
      <alignment horizontal="center" vertical="center"/>
      <protection locked="0"/>
    </xf>
    <xf numFmtId="4" fontId="85" fillId="3" borderId="72" xfId="8" applyNumberFormat="1" applyFont="1" applyFill="1" applyBorder="1" applyAlignment="1" applyProtection="1">
      <alignment vertical="center"/>
      <protection hidden="1"/>
    </xf>
    <xf numFmtId="172" fontId="82" fillId="3" borderId="73" xfId="8" applyNumberFormat="1" applyFont="1" applyFill="1" applyBorder="1" applyAlignment="1" applyProtection="1">
      <alignment vertical="center"/>
      <protection hidden="1"/>
    </xf>
    <xf numFmtId="172" fontId="82" fillId="3" borderId="73" xfId="8" applyNumberFormat="1" applyFont="1" applyFill="1" applyBorder="1" applyAlignment="1" applyProtection="1">
      <alignment horizontal="centerContinuous" vertical="center"/>
      <protection hidden="1"/>
    </xf>
    <xf numFmtId="4" fontId="85" fillId="3" borderId="73"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Continuous" vertical="center" wrapText="1"/>
      <protection hidden="1"/>
    </xf>
    <xf numFmtId="4" fontId="82" fillId="3" borderId="67" xfId="8" quotePrefix="1" applyNumberFormat="1" applyFont="1" applyFill="1" applyBorder="1" applyAlignment="1" applyProtection="1">
      <alignment horizontal="center" vertical="center" wrapText="1"/>
      <protection hidden="1"/>
    </xf>
    <xf numFmtId="43" fontId="82" fillId="3" borderId="49" xfId="18" applyFont="1" applyFill="1" applyBorder="1" applyAlignment="1" applyProtection="1">
      <alignment horizontal="center" vertical="center"/>
      <protection locked="0"/>
    </xf>
    <xf numFmtId="0" fontId="83" fillId="3" borderId="47" xfId="8" quotePrefix="1" applyFont="1" applyFill="1" applyBorder="1" applyAlignment="1" applyProtection="1">
      <alignment horizontal="left" vertical="center"/>
      <protection locked="0"/>
    </xf>
    <xf numFmtId="0" fontId="82" fillId="3" borderId="46" xfId="8" applyFont="1" applyFill="1" applyBorder="1" applyAlignment="1" applyProtection="1">
      <alignment vertical="center"/>
      <protection locked="0"/>
    </xf>
    <xf numFmtId="0" fontId="86" fillId="3" borderId="48" xfId="8" applyFont="1" applyFill="1" applyBorder="1" applyAlignment="1" applyProtection="1">
      <alignment vertical="center"/>
      <protection locked="0"/>
    </xf>
    <xf numFmtId="0" fontId="86" fillId="3" borderId="49" xfId="8" applyFont="1" applyFill="1" applyBorder="1" applyAlignment="1" applyProtection="1">
      <alignment vertical="center"/>
      <protection locked="0"/>
    </xf>
    <xf numFmtId="0" fontId="86" fillId="3" borderId="49" xfId="8" applyFont="1" applyFill="1" applyBorder="1" applyAlignment="1" applyProtection="1">
      <alignment horizontal="centerContinuous" vertical="center"/>
      <protection locked="0"/>
    </xf>
    <xf numFmtId="0" fontId="86" fillId="3" borderId="49" xfId="8" quotePrefix="1" applyFont="1" applyFill="1" applyBorder="1" applyAlignment="1" applyProtection="1">
      <alignment horizontal="right" vertical="center"/>
      <protection locked="0"/>
    </xf>
    <xf numFmtId="0" fontId="86" fillId="3" borderId="49" xfId="8" applyFont="1" applyFill="1" applyBorder="1" applyAlignment="1" applyProtection="1">
      <alignment horizontal="left" vertical="center"/>
      <protection locked="0"/>
    </xf>
    <xf numFmtId="0" fontId="86" fillId="3" borderId="31" xfId="8" applyFont="1" applyFill="1" applyBorder="1" applyAlignment="1" applyProtection="1">
      <alignment vertical="center"/>
      <protection locked="0"/>
    </xf>
    <xf numFmtId="0" fontId="87" fillId="3" borderId="17" xfId="8" applyFont="1" applyFill="1" applyBorder="1" applyAlignment="1" applyProtection="1">
      <alignment horizontal="left" vertical="center"/>
      <protection hidden="1"/>
    </xf>
    <xf numFmtId="0" fontId="87" fillId="3" borderId="19" xfId="8" applyFont="1" applyFill="1" applyBorder="1" applyAlignment="1" applyProtection="1">
      <alignment horizontal="center" vertical="center"/>
      <protection hidden="1"/>
    </xf>
    <xf numFmtId="0" fontId="87" fillId="3" borderId="18" xfId="8" applyFont="1" applyFill="1" applyBorder="1" applyAlignment="1" applyProtection="1">
      <alignment horizontal="center" vertical="center"/>
      <protection hidden="1"/>
    </xf>
    <xf numFmtId="0" fontId="82" fillId="3" borderId="72" xfId="8" applyFont="1" applyFill="1" applyBorder="1" applyAlignment="1" applyProtection="1">
      <alignment horizontal="centerContinuous" vertical="center"/>
      <protection hidden="1"/>
    </xf>
    <xf numFmtId="0" fontId="87" fillId="3" borderId="20" xfId="8" applyFont="1" applyFill="1" applyBorder="1" applyAlignment="1" applyProtection="1">
      <alignment horizontal="left" vertical="center"/>
      <protection hidden="1"/>
    </xf>
    <xf numFmtId="0" fontId="82" fillId="3" borderId="21" xfId="8" applyFont="1" applyFill="1" applyBorder="1" applyAlignment="1" applyProtection="1">
      <alignment vertical="center"/>
      <protection hidden="1"/>
    </xf>
    <xf numFmtId="0" fontId="82" fillId="3" borderId="22" xfId="8" applyFont="1" applyFill="1" applyBorder="1" applyAlignment="1" applyProtection="1">
      <alignment vertical="center"/>
      <protection hidden="1"/>
    </xf>
    <xf numFmtId="0" fontId="87" fillId="3" borderId="23" xfId="8" applyFont="1" applyFill="1" applyBorder="1" applyAlignment="1" applyProtection="1">
      <alignment horizontal="left" vertical="center"/>
      <protection hidden="1"/>
    </xf>
    <xf numFmtId="0" fontId="82" fillId="3" borderId="24" xfId="8" applyFont="1" applyFill="1" applyBorder="1" applyAlignment="1" applyProtection="1">
      <alignment vertical="center"/>
      <protection hidden="1"/>
    </xf>
    <xf numFmtId="0" fontId="82" fillId="3" borderId="25" xfId="8" applyFont="1" applyFill="1" applyBorder="1" applyAlignment="1" applyProtection="1">
      <alignment vertical="center"/>
      <protection hidden="1"/>
    </xf>
    <xf numFmtId="0" fontId="82" fillId="3" borderId="23" xfId="8" applyFont="1" applyFill="1" applyBorder="1" applyAlignment="1" applyProtection="1">
      <alignment vertical="center"/>
      <protection hidden="1"/>
    </xf>
    <xf numFmtId="0" fontId="3" fillId="3" borderId="62" xfId="8" applyFill="1" applyBorder="1" applyAlignment="1" applyProtection="1">
      <alignment vertical="center"/>
      <protection hidden="1"/>
    </xf>
    <xf numFmtId="0" fontId="82" fillId="3" borderId="63" xfId="8" applyFont="1" applyFill="1" applyBorder="1" applyAlignment="1" applyProtection="1">
      <alignment vertical="center"/>
      <protection hidden="1"/>
    </xf>
    <xf numFmtId="0" fontId="3" fillId="3" borderId="64" xfId="8" applyFill="1" applyBorder="1" applyAlignment="1" applyProtection="1">
      <alignment vertical="center"/>
      <protection hidden="1"/>
    </xf>
    <xf numFmtId="8" fontId="82" fillId="3" borderId="3" xfId="18" applyNumberFormat="1" applyFont="1" applyFill="1" applyBorder="1" applyAlignment="1" applyProtection="1">
      <alignment horizontal="center" vertical="center"/>
      <protection locked="0"/>
    </xf>
    <xf numFmtId="0" fontId="10" fillId="0" borderId="80" xfId="0" applyFont="1" applyBorder="1" applyAlignment="1">
      <alignment horizontal="center" vertical="center" wrapText="1"/>
    </xf>
    <xf numFmtId="0" fontId="4" fillId="7" borderId="6" xfId="0" applyFont="1" applyFill="1" applyBorder="1" applyAlignment="1">
      <alignment horizontal="center" vertical="center" wrapText="1"/>
    </xf>
    <xf numFmtId="0" fontId="4" fillId="7" borderId="7" xfId="0" applyFont="1" applyFill="1" applyBorder="1" applyAlignment="1">
      <alignment horizontal="left" vertical="center" wrapText="1"/>
    </xf>
    <xf numFmtId="0" fontId="4" fillId="7" borderId="7" xfId="0" applyFont="1" applyFill="1" applyBorder="1" applyAlignment="1">
      <alignment horizontal="center" vertical="center" wrapText="1"/>
    </xf>
    <xf numFmtId="0" fontId="4" fillId="7" borderId="8" xfId="0" applyFont="1" applyFill="1" applyBorder="1" applyAlignment="1">
      <alignment horizontal="center" vertical="center" wrapText="1"/>
    </xf>
    <xf numFmtId="0" fontId="3" fillId="0" borderId="91" xfId="0" applyFont="1" applyBorder="1" applyAlignment="1">
      <alignment horizontal="center" vertical="center" wrapText="1"/>
    </xf>
    <xf numFmtId="0" fontId="5" fillId="0" borderId="54" xfId="0" applyFont="1" applyBorder="1" applyAlignment="1">
      <alignment horizontal="justify" vertical="center" wrapText="1"/>
    </xf>
    <xf numFmtId="0" fontId="3" fillId="0" borderId="54" xfId="0" applyFont="1" applyBorder="1" applyAlignment="1">
      <alignment horizontal="center" vertical="center" wrapText="1"/>
    </xf>
    <xf numFmtId="165" fontId="3" fillId="0" borderId="54" xfId="2" applyNumberFormat="1" applyFont="1" applyFill="1" applyBorder="1" applyAlignment="1" applyProtection="1">
      <alignment horizontal="center" vertical="center" wrapText="1"/>
      <protection locked="0"/>
    </xf>
    <xf numFmtId="165" fontId="3" fillId="0" borderId="28" xfId="2" applyNumberFormat="1" applyFont="1" applyFill="1" applyBorder="1" applyAlignment="1" applyProtection="1">
      <alignment horizontal="center" vertical="center" wrapText="1"/>
    </xf>
    <xf numFmtId="0" fontId="3" fillId="0" borderId="93" xfId="0" applyFont="1" applyBorder="1" applyAlignment="1">
      <alignment horizontal="center" vertical="center" wrapText="1"/>
    </xf>
    <xf numFmtId="0" fontId="5" fillId="0" borderId="67" xfId="0" applyFont="1" applyBorder="1" applyAlignment="1">
      <alignment horizontal="justify" vertical="center" wrapText="1"/>
    </xf>
    <xf numFmtId="0" fontId="3" fillId="0" borderId="67" xfId="0" applyFont="1" applyBorder="1" applyAlignment="1">
      <alignment horizontal="center" vertical="center" wrapText="1"/>
    </xf>
    <xf numFmtId="165" fontId="3" fillId="0" borderId="67" xfId="2" applyNumberFormat="1" applyFont="1" applyFill="1" applyBorder="1" applyAlignment="1" applyProtection="1">
      <alignment horizontal="center" vertical="center" wrapText="1"/>
      <protection locked="0"/>
    </xf>
    <xf numFmtId="165" fontId="3" fillId="0" borderId="81" xfId="2" applyNumberFormat="1" applyFont="1" applyFill="1" applyBorder="1" applyAlignment="1" applyProtection="1">
      <alignment horizontal="center" vertical="center" wrapText="1"/>
    </xf>
    <xf numFmtId="0" fontId="0" fillId="0" borderId="0" xfId="0" applyAlignment="1">
      <alignment wrapText="1"/>
    </xf>
    <xf numFmtId="43" fontId="82" fillId="3" borderId="27" xfId="2" applyFont="1" applyFill="1" applyBorder="1" applyAlignment="1" applyProtection="1">
      <alignment horizontal="center" vertical="center"/>
      <protection hidden="1"/>
    </xf>
    <xf numFmtId="43" fontId="82" fillId="3" borderId="48" xfId="18" applyFont="1" applyFill="1" applyBorder="1" applyAlignment="1" applyProtection="1">
      <alignment horizontal="center" vertical="center"/>
      <protection hidden="1"/>
    </xf>
    <xf numFmtId="4" fontId="82" fillId="3" borderId="53" xfId="8" quotePrefix="1" applyNumberFormat="1" applyFont="1" applyFill="1" applyBorder="1" applyAlignment="1" applyProtection="1">
      <alignment horizontal="center" vertical="center" wrapText="1"/>
      <protection hidden="1"/>
    </xf>
    <xf numFmtId="0" fontId="82" fillId="3" borderId="47" xfId="8" applyFont="1" applyFill="1" applyBorder="1" applyAlignment="1" applyProtection="1">
      <alignment vertical="center"/>
      <protection hidden="1"/>
    </xf>
    <xf numFmtId="0" fontId="82" fillId="3" borderId="46" xfId="0" applyFont="1" applyFill="1" applyBorder="1" applyAlignment="1" applyProtection="1">
      <alignment horizontal="center" vertical="center"/>
      <protection locked="0"/>
    </xf>
    <xf numFmtId="4" fontId="85" fillId="3" borderId="49" xfId="8" applyNumberFormat="1" applyFont="1" applyFill="1" applyBorder="1" applyAlignment="1" applyProtection="1">
      <alignment horizontal="left" vertical="center"/>
      <protection locked="0"/>
    </xf>
    <xf numFmtId="43" fontId="82" fillId="3" borderId="50" xfId="2"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hidden="1"/>
    </xf>
    <xf numFmtId="43" fontId="82" fillId="3" borderId="67" xfId="18" applyFont="1" applyFill="1" applyBorder="1" applyAlignment="1" applyProtection="1">
      <alignment horizontal="center" vertical="center"/>
      <protection locked="0"/>
    </xf>
    <xf numFmtId="43" fontId="82" fillId="3" borderId="3" xfId="18" applyFont="1" applyFill="1" applyBorder="1" applyAlignment="1" applyProtection="1">
      <alignment vertical="center"/>
      <protection hidden="1"/>
    </xf>
    <xf numFmtId="4" fontId="82" fillId="3" borderId="54" xfId="8" quotePrefix="1" applyNumberFormat="1" applyFont="1" applyFill="1" applyBorder="1" applyAlignment="1" applyProtection="1">
      <alignment horizontal="center" vertical="center" wrapText="1"/>
      <protection hidden="1"/>
    </xf>
    <xf numFmtId="4" fontId="82" fillId="3" borderId="0" xfId="8" applyNumberFormat="1" applyFont="1" applyFill="1" applyAlignment="1" applyProtection="1">
      <alignment horizontal="centerContinuous" vertical="center"/>
      <protection hidden="1"/>
    </xf>
    <xf numFmtId="4" fontId="82" fillId="3" borderId="27" xfId="8" applyNumberFormat="1" applyFont="1" applyFill="1" applyBorder="1" applyAlignment="1" applyProtection="1">
      <alignment horizontal="centerContinuous" vertical="center"/>
      <protection hidden="1"/>
    </xf>
    <xf numFmtId="4" fontId="82" fillId="3" borderId="47" xfId="8" applyNumberFormat="1" applyFont="1" applyFill="1" applyBorder="1" applyAlignment="1" applyProtection="1">
      <alignment vertical="center"/>
      <protection hidden="1"/>
    </xf>
    <xf numFmtId="4" fontId="85" fillId="3" borderId="45" xfId="8" applyNumberFormat="1" applyFont="1" applyFill="1" applyBorder="1" applyAlignment="1" applyProtection="1">
      <alignment vertical="center"/>
      <protection locked="0"/>
    </xf>
    <xf numFmtId="4" fontId="85" fillId="3" borderId="0" xfId="8" applyNumberFormat="1" applyFont="1" applyFill="1" applyAlignment="1" applyProtection="1">
      <alignment horizontal="left" vertical="center"/>
      <protection locked="0"/>
    </xf>
    <xf numFmtId="4" fontId="85" fillId="3" borderId="0" xfId="8" applyNumberFormat="1" applyFont="1" applyFill="1" applyAlignment="1" applyProtection="1">
      <alignment vertical="center"/>
      <protection locked="0"/>
    </xf>
    <xf numFmtId="4" fontId="85" fillId="3" borderId="49" xfId="8" applyNumberFormat="1" applyFont="1" applyFill="1" applyBorder="1" applyAlignment="1" applyProtection="1">
      <alignment vertical="center"/>
      <protection locked="0"/>
    </xf>
    <xf numFmtId="0" fontId="3" fillId="3" borderId="0" xfId="8" applyFill="1" applyAlignment="1" applyProtection="1">
      <alignment vertical="center"/>
      <protection hidden="1"/>
    </xf>
    <xf numFmtId="4" fontId="85" fillId="3" borderId="48" xfId="8" applyNumberFormat="1" applyFont="1" applyFill="1" applyBorder="1" applyAlignment="1" applyProtection="1">
      <alignment horizontal="center" vertical="center"/>
      <protection locked="0"/>
    </xf>
    <xf numFmtId="0" fontId="49" fillId="0" borderId="23" xfId="0" applyFont="1" applyBorder="1" applyAlignment="1">
      <alignment horizontal="center"/>
    </xf>
    <xf numFmtId="0" fontId="44" fillId="7" borderId="48" xfId="0" applyFont="1" applyFill="1" applyBorder="1" applyAlignment="1">
      <alignment horizontal="center"/>
    </xf>
    <xf numFmtId="0" fontId="49" fillId="7" borderId="48" xfId="0" applyFont="1" applyFill="1" applyBorder="1"/>
    <xf numFmtId="0" fontId="49" fillId="7" borderId="49" xfId="0" applyFont="1" applyFill="1" applyBorder="1"/>
    <xf numFmtId="43" fontId="44" fillId="7" borderId="67" xfId="2" applyFont="1" applyFill="1" applyBorder="1" applyAlignment="1">
      <alignment horizontal="center"/>
    </xf>
    <xf numFmtId="43" fontId="49" fillId="0" borderId="36" xfId="2" applyFont="1" applyBorder="1" applyAlignment="1"/>
    <xf numFmtId="43" fontId="49" fillId="0" borderId="41" xfId="2" applyFont="1" applyBorder="1" applyAlignment="1"/>
    <xf numFmtId="43" fontId="44" fillId="7" borderId="50" xfId="2" applyFont="1" applyFill="1" applyBorder="1" applyAlignment="1">
      <alignment horizontal="center"/>
    </xf>
    <xf numFmtId="43" fontId="75" fillId="0" borderId="29" xfId="1" applyNumberFormat="1" applyFont="1" applyBorder="1" applyAlignment="1">
      <alignment horizontal="center"/>
    </xf>
    <xf numFmtId="0" fontId="4" fillId="7" borderId="4" xfId="0" applyFont="1" applyFill="1" applyBorder="1" applyAlignment="1">
      <alignment vertical="center"/>
    </xf>
    <xf numFmtId="0" fontId="4" fillId="7" borderId="9" xfId="0" applyFont="1" applyFill="1" applyBorder="1" applyAlignment="1">
      <alignment vertical="center"/>
    </xf>
    <xf numFmtId="2" fontId="0" fillId="0" borderId="0" xfId="2" applyNumberFormat="1" applyFont="1" applyAlignment="1">
      <alignment horizontal="center" vertical="center"/>
    </xf>
    <xf numFmtId="43" fontId="49" fillId="0" borderId="94" xfId="2" applyFont="1" applyBorder="1" applyAlignment="1">
      <alignment horizontal="center"/>
    </xf>
    <xf numFmtId="43" fontId="49" fillId="0" borderId="94" xfId="2" applyFont="1" applyBorder="1" applyAlignment="1"/>
    <xf numFmtId="43" fontId="49" fillId="0" borderId="110" xfId="2" applyFont="1" applyBorder="1" applyAlignment="1">
      <alignment horizontal="center"/>
    </xf>
    <xf numFmtId="0" fontId="2" fillId="2" borderId="50" xfId="0" applyFont="1" applyFill="1" applyBorder="1" applyAlignment="1">
      <alignment horizontal="center"/>
    </xf>
    <xf numFmtId="43" fontId="64" fillId="3" borderId="50" xfId="2" applyFont="1" applyFill="1" applyBorder="1" applyAlignment="1" applyProtection="1">
      <alignment horizontal="center" vertical="center"/>
      <protection locked="0"/>
    </xf>
    <xf numFmtId="43" fontId="62" fillId="7" borderId="50" xfId="2" applyFont="1" applyFill="1" applyBorder="1" applyAlignment="1" applyProtection="1">
      <alignment horizontal="center" vertical="center"/>
      <protection locked="0"/>
    </xf>
    <xf numFmtId="0" fontId="19" fillId="0" borderId="0" xfId="3" applyFont="1" applyAlignment="1">
      <alignment vertical="center"/>
    </xf>
    <xf numFmtId="9" fontId="0" fillId="0" borderId="0" xfId="0" applyNumberFormat="1" applyAlignment="1">
      <alignment horizontal="right"/>
    </xf>
    <xf numFmtId="4" fontId="82" fillId="3" borderId="48" xfId="0" applyNumberFormat="1" applyFont="1" applyFill="1" applyBorder="1" applyAlignment="1" applyProtection="1">
      <alignment horizontal="centerContinuous" vertical="center" wrapText="1" shrinkToFit="1"/>
      <protection hidden="1"/>
    </xf>
    <xf numFmtId="0" fontId="19" fillId="0" borderId="50" xfId="3" applyFont="1" applyBorder="1" applyAlignment="1">
      <alignment horizontal="left" wrapText="1"/>
    </xf>
    <xf numFmtId="43" fontId="52" fillId="0" borderId="0" xfId="2" applyFont="1" applyAlignment="1">
      <alignment horizontal="center" vertical="center"/>
    </xf>
    <xf numFmtId="4" fontId="49" fillId="0" borderId="0" xfId="0" applyNumberFormat="1" applyFont="1"/>
    <xf numFmtId="44" fontId="1" fillId="3" borderId="0" xfId="25" applyNumberFormat="1" applyFill="1" applyAlignment="1">
      <alignment vertical="center"/>
    </xf>
    <xf numFmtId="0" fontId="3" fillId="17" borderId="0" xfId="0" applyFont="1" applyFill="1" applyAlignment="1">
      <alignment vertical="center"/>
    </xf>
    <xf numFmtId="0" fontId="8" fillId="17" borderId="0" xfId="0" applyFont="1" applyFill="1" applyAlignment="1">
      <alignment vertical="center"/>
    </xf>
    <xf numFmtId="0" fontId="0" fillId="17" borderId="45" xfId="0" applyFill="1" applyBorder="1" applyAlignment="1">
      <alignment horizontal="center" vertical="center" wrapText="1"/>
    </xf>
    <xf numFmtId="0" fontId="0" fillId="17" borderId="82" xfId="0" applyFill="1" applyBorder="1" applyAlignment="1">
      <alignment horizontal="center" vertical="center" wrapText="1"/>
    </xf>
    <xf numFmtId="0" fontId="3" fillId="7" borderId="72" xfId="0" applyFont="1" applyFill="1" applyBorder="1" applyAlignment="1">
      <alignment vertical="center"/>
    </xf>
    <xf numFmtId="0" fontId="3" fillId="7" borderId="73" xfId="0" applyFont="1" applyFill="1" applyBorder="1" applyAlignment="1">
      <alignment vertical="center"/>
    </xf>
    <xf numFmtId="165" fontId="3" fillId="7" borderId="73" xfId="2" applyNumberFormat="1" applyFont="1" applyFill="1" applyBorder="1" applyAlignment="1" applyProtection="1">
      <alignment horizontal="center" vertical="center"/>
    </xf>
    <xf numFmtId="164" fontId="49" fillId="0" borderId="0" xfId="17" applyFont="1"/>
    <xf numFmtId="43" fontId="52" fillId="0" borderId="53" xfId="1" applyNumberFormat="1" applyFont="1" applyBorder="1" applyAlignment="1">
      <alignment vertical="center" wrapText="1"/>
    </xf>
    <xf numFmtId="170" fontId="49" fillId="0" borderId="0" xfId="0" applyNumberFormat="1" applyFont="1"/>
    <xf numFmtId="10" fontId="67" fillId="0" borderId="0" xfId="1" applyNumberFormat="1" applyFont="1" applyAlignment="1">
      <alignment horizontal="left" vertical="center"/>
    </xf>
    <xf numFmtId="180" fontId="49" fillId="0" borderId="0" xfId="0" applyNumberFormat="1" applyFont="1"/>
    <xf numFmtId="43" fontId="25" fillId="3" borderId="3" xfId="4" applyNumberFormat="1" applyFont="1" applyFill="1" applyBorder="1" applyAlignment="1">
      <alignment horizontal="center" vertical="center"/>
    </xf>
    <xf numFmtId="0" fontId="49" fillId="7" borderId="72" xfId="0" applyFont="1" applyFill="1" applyBorder="1"/>
    <xf numFmtId="9" fontId="0" fillId="0" borderId="0" xfId="1" applyFont="1" applyAlignment="1">
      <alignment horizontal="center"/>
    </xf>
    <xf numFmtId="10" fontId="44" fillId="0" borderId="0" xfId="1" applyNumberFormat="1" applyFont="1" applyAlignment="1">
      <alignment horizontal="left"/>
    </xf>
    <xf numFmtId="43" fontId="49" fillId="0" borderId="0" xfId="0" applyNumberFormat="1" applyFont="1" applyAlignment="1">
      <alignment horizontal="right"/>
    </xf>
    <xf numFmtId="43" fontId="1" fillId="3" borderId="0" xfId="25" applyNumberFormat="1" applyFill="1"/>
    <xf numFmtId="43" fontId="70" fillId="16" borderId="0" xfId="2" applyFont="1" applyFill="1"/>
    <xf numFmtId="43" fontId="70" fillId="16" borderId="0" xfId="25" applyNumberFormat="1" applyFont="1" applyFill="1"/>
    <xf numFmtId="44" fontId="1" fillId="3" borderId="0" xfId="25" applyNumberFormat="1" applyFill="1"/>
    <xf numFmtId="164" fontId="1" fillId="3" borderId="0" xfId="17" applyFill="1"/>
    <xf numFmtId="16" fontId="8" fillId="0" borderId="0" xfId="0" applyNumberFormat="1" applyFont="1" applyAlignment="1">
      <alignment vertical="center"/>
    </xf>
    <xf numFmtId="16" fontId="3" fillId="0" borderId="0" xfId="0" applyNumberFormat="1" applyFont="1" applyAlignment="1">
      <alignment vertical="center"/>
    </xf>
    <xf numFmtId="2" fontId="49" fillId="0" borderId="0" xfId="0" applyNumberFormat="1" applyFont="1"/>
    <xf numFmtId="0" fontId="69" fillId="0" borderId="0" xfId="3" applyFont="1" applyAlignment="1">
      <alignment horizontal="center" vertical="center"/>
    </xf>
    <xf numFmtId="43" fontId="90" fillId="0" borderId="0" xfId="2" applyFont="1"/>
    <xf numFmtId="43" fontId="71" fillId="0" borderId="0" xfId="0" applyNumberFormat="1" applyFont="1"/>
    <xf numFmtId="0" fontId="0" fillId="0" borderId="114" xfId="0" applyBorder="1" applyAlignment="1">
      <alignment horizontal="left"/>
    </xf>
    <xf numFmtId="0" fontId="0" fillId="0" borderId="115" xfId="0" applyBorder="1" applyAlignment="1">
      <alignment horizontal="center"/>
    </xf>
    <xf numFmtId="0" fontId="0" fillId="0" borderId="116" xfId="0" applyBorder="1" applyAlignment="1">
      <alignment horizontal="center"/>
    </xf>
    <xf numFmtId="10" fontId="0" fillId="0" borderId="50" xfId="0" applyNumberFormat="1" applyBorder="1" applyAlignment="1">
      <alignment horizontal="center" vertical="center"/>
    </xf>
    <xf numFmtId="0" fontId="39" fillId="0" borderId="50" xfId="0" applyFont="1" applyBorder="1" applyAlignment="1">
      <alignment horizontal="center" vertical="center"/>
    </xf>
    <xf numFmtId="170" fontId="39" fillId="0" borderId="50" xfId="0" applyNumberFormat="1" applyFont="1" applyBorder="1"/>
    <xf numFmtId="10" fontId="51" fillId="0" borderId="73" xfId="0" applyNumberFormat="1" applyFont="1" applyBorder="1" applyAlignment="1">
      <alignment vertical="center" wrapText="1"/>
    </xf>
    <xf numFmtId="0" fontId="15" fillId="19" borderId="50" xfId="0" applyFont="1" applyFill="1" applyBorder="1" applyAlignment="1">
      <alignment horizontal="center"/>
    </xf>
    <xf numFmtId="0" fontId="0" fillId="0" borderId="107" xfId="0" applyBorder="1"/>
    <xf numFmtId="0" fontId="0" fillId="0" borderId="94" xfId="0" applyBorder="1"/>
    <xf numFmtId="0" fontId="0" fillId="0" borderId="104" xfId="0" applyBorder="1"/>
    <xf numFmtId="0" fontId="82" fillId="3" borderId="50" xfId="8" applyFont="1" applyFill="1" applyBorder="1" applyAlignment="1" applyProtection="1">
      <alignment horizontal="centerContinuous" vertical="center"/>
      <protection hidden="1"/>
    </xf>
    <xf numFmtId="165" fontId="3" fillId="0" borderId="54" xfId="2" applyNumberFormat="1" applyFont="1" applyFill="1" applyBorder="1" applyAlignment="1" applyProtection="1">
      <alignment horizontal="center" vertical="center"/>
    </xf>
    <xf numFmtId="1" fontId="10" fillId="0" borderId="54" xfId="0" applyNumberFormat="1" applyFont="1" applyBorder="1" applyAlignment="1">
      <alignment horizontal="center" vertical="center"/>
    </xf>
    <xf numFmtId="0" fontId="4" fillId="0" borderId="50" xfId="0" applyFont="1" applyBorder="1" applyAlignment="1">
      <alignment horizontal="center" vertical="center"/>
    </xf>
    <xf numFmtId="0" fontId="4" fillId="0" borderId="50" xfId="0" applyFont="1" applyBorder="1" applyAlignment="1">
      <alignment horizontal="left" vertical="center"/>
    </xf>
    <xf numFmtId="0" fontId="4" fillId="0" borderId="50" xfId="0" applyFont="1" applyBorder="1" applyAlignment="1">
      <alignment horizontal="center" vertical="center" wrapText="1"/>
    </xf>
    <xf numFmtId="0" fontId="3" fillId="0" borderId="49" xfId="0" applyFont="1" applyBorder="1" applyAlignment="1">
      <alignment vertical="center"/>
    </xf>
    <xf numFmtId="0" fontId="3" fillId="17" borderId="49" xfId="0" applyFont="1" applyFill="1" applyBorder="1" applyAlignment="1">
      <alignment vertical="center"/>
    </xf>
    <xf numFmtId="16" fontId="49" fillId="0" borderId="0" xfId="0" applyNumberFormat="1" applyFont="1"/>
    <xf numFmtId="10" fontId="49" fillId="0" borderId="0" xfId="0" applyNumberFormat="1" applyFont="1" applyAlignment="1">
      <alignment horizontal="center" vertical="center"/>
    </xf>
    <xf numFmtId="181" fontId="49" fillId="0" borderId="0" xfId="2" applyNumberFormat="1" applyFont="1"/>
    <xf numFmtId="4" fontId="82" fillId="3" borderId="67" xfId="0" applyNumberFormat="1" applyFont="1" applyFill="1" applyBorder="1" applyAlignment="1" applyProtection="1">
      <alignment horizontal="center" vertical="center"/>
      <protection hidden="1"/>
    </xf>
    <xf numFmtId="8" fontId="82" fillId="3" borderId="0" xfId="18" applyNumberFormat="1" applyFont="1" applyFill="1" applyBorder="1" applyAlignment="1" applyProtection="1">
      <alignment horizontal="center" vertical="center"/>
      <protection locked="0"/>
    </xf>
    <xf numFmtId="43" fontId="82" fillId="3" borderId="0" xfId="2" applyFont="1" applyFill="1" applyBorder="1" applyAlignment="1" applyProtection="1">
      <alignment horizontal="center" vertical="center"/>
      <protection locked="0"/>
    </xf>
    <xf numFmtId="43" fontId="48" fillId="0" borderId="50" xfId="0" applyNumberFormat="1" applyFont="1" applyBorder="1" applyAlignment="1">
      <alignment horizontal="center" vertical="center"/>
    </xf>
    <xf numFmtId="43" fontId="52" fillId="0" borderId="50" xfId="1" applyNumberFormat="1" applyFont="1" applyBorder="1" applyAlignment="1">
      <alignment horizontal="center" vertical="center" wrapText="1"/>
    </xf>
    <xf numFmtId="43" fontId="69" fillId="0" borderId="1" xfId="3" applyNumberFormat="1" applyFont="1" applyBorder="1" applyAlignment="1">
      <alignment horizontal="center" vertical="center"/>
    </xf>
    <xf numFmtId="43" fontId="91" fillId="3" borderId="3" xfId="18" applyFont="1" applyFill="1" applyBorder="1" applyAlignment="1" applyProtection="1">
      <alignment horizontal="center" vertical="center"/>
      <protection locked="0"/>
    </xf>
    <xf numFmtId="0" fontId="19" fillId="0" borderId="16" xfId="3" applyFont="1" applyBorder="1" applyAlignment="1">
      <alignment horizontal="center" vertical="center"/>
    </xf>
    <xf numFmtId="0" fontId="19" fillId="0" borderId="53" xfId="3" applyFont="1" applyBorder="1" applyAlignment="1">
      <alignment vertical="center"/>
    </xf>
    <xf numFmtId="0" fontId="19" fillId="0" borderId="53" xfId="3" applyFont="1" applyBorder="1" applyAlignment="1">
      <alignment horizontal="center" vertical="center"/>
    </xf>
    <xf numFmtId="43" fontId="19" fillId="3" borderId="53" xfId="2" applyFont="1" applyFill="1" applyBorder="1" applyAlignment="1" applyProtection="1">
      <alignment horizontal="center" vertical="center"/>
    </xf>
    <xf numFmtId="43" fontId="19" fillId="0" borderId="16" xfId="2" applyFont="1" applyBorder="1" applyAlignment="1">
      <alignment horizontal="center" vertical="center"/>
    </xf>
    <xf numFmtId="43" fontId="19" fillId="0" borderId="46" xfId="2" applyFont="1" applyBorder="1" applyAlignment="1">
      <alignment horizontal="center"/>
    </xf>
    <xf numFmtId="43" fontId="19" fillId="0" borderId="53" xfId="2" applyFont="1" applyBorder="1" applyAlignment="1">
      <alignment horizontal="center"/>
    </xf>
    <xf numFmtId="43" fontId="19" fillId="0" borderId="80" xfId="2" applyFont="1" applyBorder="1" applyAlignment="1">
      <alignment horizontal="center"/>
    </xf>
    <xf numFmtId="10" fontId="23" fillId="0" borderId="69" xfId="1" applyNumberFormat="1" applyFont="1" applyBorder="1" applyAlignment="1">
      <alignment horizontal="center" vertical="center"/>
    </xf>
    <xf numFmtId="43" fontId="19" fillId="0" borderId="36" xfId="2" applyFont="1" applyBorder="1" applyAlignment="1">
      <alignment vertical="center"/>
    </xf>
    <xf numFmtId="43" fontId="82" fillId="3" borderId="54" xfId="18" applyFont="1" applyFill="1" applyBorder="1" applyAlignment="1" applyProtection="1">
      <alignment horizontal="center" vertical="center"/>
      <protection hidden="1"/>
    </xf>
    <xf numFmtId="43" fontId="48" fillId="0" borderId="53" xfId="0" applyNumberFormat="1" applyFont="1" applyBorder="1" applyAlignment="1">
      <alignment vertical="center"/>
    </xf>
    <xf numFmtId="14" fontId="49" fillId="0" borderId="0" xfId="0" applyNumberFormat="1" applyFont="1"/>
    <xf numFmtId="0" fontId="92" fillId="0" borderId="21" xfId="0" applyFont="1" applyBorder="1" applyAlignment="1">
      <alignment vertical="center"/>
    </xf>
    <xf numFmtId="0" fontId="49" fillId="0" borderId="72" xfId="0" applyFont="1" applyBorder="1" applyAlignment="1">
      <alignment horizontal="center" vertical="center"/>
    </xf>
    <xf numFmtId="0" fontId="10" fillId="0" borderId="50" xfId="0" applyFont="1" applyBorder="1" applyAlignment="1">
      <alignment horizontal="center" vertical="center" wrapText="1"/>
    </xf>
    <xf numFmtId="0" fontId="10" fillId="0" borderId="54" xfId="0" applyFont="1" applyBorder="1" applyAlignment="1">
      <alignment horizontal="center" vertical="center" wrapText="1"/>
    </xf>
    <xf numFmtId="9" fontId="49" fillId="0" borderId="0" xfId="1" applyFont="1"/>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0" fontId="19" fillId="3" borderId="11" xfId="3" applyFont="1" applyFill="1" applyBorder="1"/>
    <xf numFmtId="0" fontId="20" fillId="3" borderId="77" xfId="3" applyFont="1" applyFill="1" applyBorder="1"/>
    <xf numFmtId="0" fontId="21" fillId="3" borderId="76" xfId="3" applyFont="1" applyFill="1" applyBorder="1" applyAlignment="1">
      <alignment horizontal="center" vertical="center"/>
    </xf>
    <xf numFmtId="0" fontId="10" fillId="0" borderId="47" xfId="0" applyFont="1" applyBorder="1" applyAlignment="1">
      <alignment horizontal="center" vertical="center" wrapText="1"/>
    </xf>
    <xf numFmtId="0" fontId="10" fillId="0" borderId="67" xfId="0" applyFont="1" applyBorder="1" applyAlignment="1">
      <alignment horizontal="center" vertical="center" wrapText="1"/>
    </xf>
    <xf numFmtId="169" fontId="13" fillId="0" borderId="68" xfId="0" applyNumberFormat="1" applyFont="1" applyBorder="1" applyAlignment="1">
      <alignment horizontal="center" vertical="center"/>
    </xf>
    <xf numFmtId="169" fontId="13" fillId="0" borderId="69" xfId="0" applyNumberFormat="1" applyFont="1" applyBorder="1" applyAlignment="1">
      <alignment horizontal="center" vertical="center"/>
    </xf>
    <xf numFmtId="169" fontId="13" fillId="0" borderId="70" xfId="0" applyNumberFormat="1" applyFont="1" applyBorder="1" applyAlignment="1">
      <alignment horizontal="center" vertical="center"/>
    </xf>
    <xf numFmtId="169" fontId="13" fillId="0" borderId="46" xfId="0" applyNumberFormat="1" applyFont="1" applyBorder="1" applyAlignment="1">
      <alignment horizontal="center" vertical="center"/>
    </xf>
    <xf numFmtId="169" fontId="13" fillId="0" borderId="53" xfId="0" applyNumberFormat="1" applyFont="1" applyBorder="1" applyAlignment="1">
      <alignment horizontal="center" vertical="center"/>
    </xf>
    <xf numFmtId="169" fontId="13" fillId="17" borderId="53" xfId="0" applyNumberFormat="1" applyFont="1" applyFill="1" applyBorder="1" applyAlignment="1">
      <alignment horizontal="center" vertical="center"/>
    </xf>
    <xf numFmtId="0" fontId="4" fillId="0" borderId="73" xfId="0" applyFont="1" applyBorder="1" applyAlignment="1">
      <alignment horizontal="center" vertical="center"/>
    </xf>
    <xf numFmtId="0" fontId="4" fillId="0" borderId="73" xfId="0" applyFont="1" applyBorder="1" applyAlignment="1">
      <alignment horizontal="center" vertical="center" wrapText="1"/>
    </xf>
    <xf numFmtId="4" fontId="0" fillId="7" borderId="73" xfId="0" applyNumberFormat="1" applyFill="1" applyBorder="1" applyAlignment="1">
      <alignment horizontal="center" vertical="center" wrapText="1"/>
    </xf>
    <xf numFmtId="4" fontId="0" fillId="7" borderId="58" xfId="0" applyNumberFormat="1" applyFill="1" applyBorder="1" applyAlignment="1">
      <alignment horizontal="center" vertical="center" wrapText="1"/>
    </xf>
    <xf numFmtId="4" fontId="0" fillId="7" borderId="75" xfId="0" applyNumberFormat="1" applyFill="1" applyBorder="1" applyAlignment="1">
      <alignment horizontal="center" vertical="center" wrapText="1"/>
    </xf>
    <xf numFmtId="0" fontId="0" fillId="7" borderId="73" xfId="0" applyFill="1" applyBorder="1" applyAlignment="1">
      <alignment horizontal="center" vertical="center" wrapText="1"/>
    </xf>
    <xf numFmtId="0" fontId="0" fillId="7" borderId="58" xfId="0" applyFill="1" applyBorder="1" applyAlignment="1">
      <alignment horizontal="center" vertical="center" wrapText="1"/>
    </xf>
    <xf numFmtId="0" fontId="0" fillId="7" borderId="75" xfId="0" applyFill="1" applyBorder="1" applyAlignment="1">
      <alignment horizontal="center" vertical="center" wrapText="1"/>
    </xf>
    <xf numFmtId="0" fontId="0" fillId="17" borderId="73" xfId="0" applyFill="1" applyBorder="1" applyAlignment="1">
      <alignment horizontal="center" vertical="center" wrapText="1"/>
    </xf>
    <xf numFmtId="0" fontId="0" fillId="17" borderId="58" xfId="0" applyFill="1" applyBorder="1" applyAlignment="1">
      <alignment horizontal="center" vertical="center" wrapText="1"/>
    </xf>
    <xf numFmtId="1" fontId="11" fillId="0" borderId="54" xfId="0" applyNumberFormat="1" applyFont="1" applyBorder="1" applyAlignment="1">
      <alignment horizontal="center" vertical="center"/>
    </xf>
    <xf numFmtId="1" fontId="12" fillId="0" borderId="54" xfId="0" applyNumberFormat="1" applyFont="1" applyBorder="1" applyAlignment="1">
      <alignment horizontal="center" vertical="center"/>
    </xf>
    <xf numFmtId="1" fontId="16" fillId="0" borderId="54" xfId="0" applyNumberFormat="1" applyFont="1" applyBorder="1" applyAlignment="1">
      <alignment horizontal="center" vertical="center"/>
    </xf>
    <xf numFmtId="165" fontId="32" fillId="0" borderId="54" xfId="2" applyNumberFormat="1" applyFont="1" applyFill="1" applyBorder="1" applyAlignment="1" applyProtection="1">
      <alignment horizontal="center" vertical="center"/>
    </xf>
    <xf numFmtId="1" fontId="33" fillId="0" borderId="54" xfId="0" applyNumberFormat="1" applyFont="1" applyBorder="1" applyAlignment="1">
      <alignment horizontal="center" vertical="center"/>
    </xf>
    <xf numFmtId="165" fontId="34" fillId="0" borderId="54" xfId="2" applyNumberFormat="1" applyFont="1" applyFill="1" applyBorder="1" applyAlignment="1" applyProtection="1">
      <alignment horizontal="center" vertical="center"/>
    </xf>
    <xf numFmtId="1" fontId="35" fillId="0" borderId="54" xfId="0" applyNumberFormat="1" applyFont="1" applyBorder="1" applyAlignment="1">
      <alignment horizontal="center" vertical="center"/>
    </xf>
    <xf numFmtId="165" fontId="36" fillId="0" borderId="54" xfId="2" applyNumberFormat="1" applyFont="1" applyFill="1" applyBorder="1" applyAlignment="1" applyProtection="1">
      <alignment horizontal="center" vertical="center"/>
    </xf>
    <xf numFmtId="1" fontId="37" fillId="0" borderId="54" xfId="0" applyNumberFormat="1" applyFont="1" applyBorder="1" applyAlignment="1">
      <alignment horizontal="center" vertical="center"/>
    </xf>
    <xf numFmtId="1" fontId="14" fillId="0" borderId="54" xfId="0" applyNumberFormat="1" applyFont="1" applyBorder="1" applyAlignment="1">
      <alignment horizontal="center" vertical="center"/>
    </xf>
    <xf numFmtId="43" fontId="3" fillId="7" borderId="73" xfId="2" applyFont="1" applyFill="1" applyBorder="1" applyAlignment="1" applyProtection="1">
      <alignment horizontal="center" vertical="center"/>
    </xf>
    <xf numFmtId="1" fontId="3" fillId="7" borderId="73" xfId="0" applyNumberFormat="1" applyFont="1" applyFill="1" applyBorder="1" applyAlignment="1">
      <alignment vertical="center"/>
    </xf>
    <xf numFmtId="43" fontId="3" fillId="7" borderId="73" xfId="0" applyNumberFormat="1" applyFont="1" applyFill="1" applyBorder="1" applyAlignment="1">
      <alignment vertical="center"/>
    </xf>
    <xf numFmtId="0" fontId="4" fillId="7" borderId="73" xfId="0" applyFont="1" applyFill="1" applyBorder="1" applyAlignment="1">
      <alignment vertical="center"/>
    </xf>
    <xf numFmtId="0" fontId="48" fillId="0" borderId="50" xfId="0" applyFont="1" applyBorder="1"/>
    <xf numFmtId="0" fontId="48" fillId="0" borderId="50" xfId="0" applyFont="1" applyBorder="1" applyAlignment="1">
      <alignment horizontal="center"/>
    </xf>
    <xf numFmtId="43" fontId="52" fillId="0" borderId="50" xfId="1" applyNumberFormat="1" applyFont="1" applyBorder="1" applyAlignment="1">
      <alignment horizontal="right" vertical="center"/>
    </xf>
    <xf numFmtId="43" fontId="44" fillId="0" borderId="50" xfId="2" applyFont="1" applyBorder="1" applyAlignment="1">
      <alignment vertical="center"/>
    </xf>
    <xf numFmtId="10" fontId="49" fillId="0" borderId="50" xfId="2" applyNumberFormat="1" applyFont="1" applyBorder="1" applyAlignment="1">
      <alignment vertic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0" fontId="0" fillId="0" borderId="55" xfId="0" applyBorder="1"/>
    <xf numFmtId="4" fontId="0" fillId="0" borderId="50" xfId="0" applyNumberFormat="1" applyBorder="1" applyProtection="1">
      <protection locked="0"/>
    </xf>
    <xf numFmtId="4" fontId="0" fillId="0" borderId="50" xfId="0" applyNumberFormat="1" applyBorder="1"/>
    <xf numFmtId="4" fontId="0" fillId="0" borderId="56" xfId="0" applyNumberFormat="1" applyBorder="1"/>
    <xf numFmtId="174" fontId="0" fillId="0" borderId="50" xfId="0" applyNumberFormat="1" applyBorder="1" applyProtection="1">
      <protection locked="0"/>
    </xf>
    <xf numFmtId="175" fontId="0" fillId="0" borderId="50" xfId="0" applyNumberFormat="1" applyBorder="1" applyProtection="1">
      <protection locked="0"/>
    </xf>
    <xf numFmtId="4" fontId="0" fillId="0" borderId="53" xfId="0" applyNumberFormat="1" applyBorder="1" applyProtection="1">
      <protection locked="0"/>
    </xf>
    <xf numFmtId="4" fontId="0" fillId="0" borderId="53" xfId="0" quotePrefix="1" applyNumberFormat="1" applyBorder="1" applyProtection="1">
      <protection locked="0"/>
    </xf>
    <xf numFmtId="4" fontId="0" fillId="0" borderId="53" xfId="0" applyNumberFormat="1" applyBorder="1"/>
    <xf numFmtId="4" fontId="0" fillId="0" borderId="80" xfId="0" applyNumberFormat="1" applyBorder="1"/>
    <xf numFmtId="0" fontId="2" fillId="0" borderId="68" xfId="0" applyFont="1" applyBorder="1"/>
    <xf numFmtId="0" fontId="0" fillId="0" borderId="68" xfId="0" applyBorder="1"/>
    <xf numFmtId="0" fontId="44" fillId="7" borderId="72" xfId="0" applyFont="1" applyFill="1" applyBorder="1" applyAlignment="1">
      <alignment horizontal="center" vertical="center"/>
    </xf>
    <xf numFmtId="0" fontId="49" fillId="7" borderId="73" xfId="0" applyFont="1" applyFill="1" applyBorder="1"/>
    <xf numFmtId="0" fontId="27" fillId="0" borderId="50" xfId="19" applyFont="1" applyBorder="1" applyAlignment="1">
      <alignment horizontal="center" vertical="center"/>
    </xf>
    <xf numFmtId="43" fontId="46" fillId="0" borderId="54" xfId="2" applyFont="1" applyBorder="1" applyAlignment="1">
      <alignment vertical="center"/>
    </xf>
    <xf numFmtId="4" fontId="82" fillId="3" borderId="3" xfId="8" applyNumberFormat="1" applyFont="1" applyFill="1" applyBorder="1" applyAlignment="1" applyProtection="1">
      <alignment horizontal="center" vertical="center"/>
      <protection hidden="1"/>
    </xf>
    <xf numFmtId="4" fontId="82" fillId="3" borderId="27" xfId="8" applyNumberFormat="1" applyFont="1" applyFill="1" applyBorder="1" applyAlignment="1" applyProtection="1">
      <alignment horizontal="left" vertical="center"/>
      <protection hidden="1"/>
    </xf>
    <xf numFmtId="4" fontId="82" fillId="3" borderId="27" xfId="8" applyNumberFormat="1" applyFont="1" applyFill="1" applyBorder="1" applyAlignment="1" applyProtection="1">
      <alignment vertical="center"/>
      <protection locked="0"/>
    </xf>
    <xf numFmtId="9" fontId="2" fillId="0" borderId="117" xfId="1" applyFont="1" applyBorder="1" applyAlignment="1">
      <alignment horizontal="center"/>
    </xf>
    <xf numFmtId="14" fontId="77" fillId="0" borderId="0" xfId="0" applyNumberFormat="1" applyFont="1" applyAlignment="1">
      <alignment horizontal="center" vertical="center"/>
    </xf>
    <xf numFmtId="0" fontId="15" fillId="0" borderId="27" xfId="0" applyFont="1" applyBorder="1" applyAlignment="1">
      <alignment horizontal="center" vertical="center"/>
    </xf>
    <xf numFmtId="0" fontId="15" fillId="0" borderId="0" xfId="0" applyFont="1" applyAlignment="1">
      <alignment horizontal="center" vertical="center"/>
    </xf>
    <xf numFmtId="20" fontId="0" fillId="0" borderId="99" xfId="0" applyNumberFormat="1" applyBorder="1" applyAlignment="1">
      <alignment horizontal="center"/>
    </xf>
    <xf numFmtId="20" fontId="0" fillId="0" borderId="100" xfId="0" applyNumberFormat="1" applyBorder="1" applyAlignment="1">
      <alignment horizontal="center"/>
    </xf>
    <xf numFmtId="0" fontId="49" fillId="0" borderId="0" xfId="0" applyFont="1" applyAlignment="1">
      <alignment horizontal="center"/>
    </xf>
    <xf numFmtId="0" fontId="0" fillId="0" borderId="45" xfId="0" applyBorder="1"/>
    <xf numFmtId="0" fontId="29" fillId="0" borderId="45" xfId="0" applyFont="1" applyBorder="1" applyAlignment="1">
      <alignment vertical="center" wrapText="1"/>
    </xf>
    <xf numFmtId="0" fontId="0" fillId="0" borderId="46" xfId="0" applyBorder="1"/>
    <xf numFmtId="0" fontId="0" fillId="0" borderId="27" xfId="0" applyBorder="1"/>
    <xf numFmtId="0" fontId="0" fillId="0" borderId="3" xfId="0" applyBorder="1"/>
    <xf numFmtId="14" fontId="77" fillId="0" borderId="47" xfId="0" applyNumberFormat="1" applyFont="1" applyBorder="1" applyAlignment="1">
      <alignment horizontal="center" vertical="center"/>
    </xf>
    <xf numFmtId="43" fontId="3" fillId="0" borderId="0" xfId="0" applyNumberFormat="1" applyFont="1" applyAlignment="1">
      <alignment vertical="center"/>
    </xf>
    <xf numFmtId="43" fontId="3" fillId="0" borderId="0" xfId="2" applyFont="1" applyAlignment="1">
      <alignment vertical="center"/>
    </xf>
    <xf numFmtId="43" fontId="8" fillId="0" borderId="0" xfId="0" applyNumberFormat="1" applyFont="1" applyAlignment="1">
      <alignment vertical="center"/>
    </xf>
    <xf numFmtId="43" fontId="8" fillId="0" borderId="0" xfId="2" applyFont="1" applyAlignment="1">
      <alignment vertical="center"/>
    </xf>
    <xf numFmtId="0" fontId="4" fillId="7" borderId="66" xfId="0" applyFont="1" applyFill="1" applyBorder="1" applyAlignment="1">
      <alignment horizontal="center" vertical="center" wrapText="1"/>
    </xf>
    <xf numFmtId="0" fontId="4" fillId="7" borderId="87" xfId="0" applyFont="1" applyFill="1" applyBorder="1" applyAlignment="1">
      <alignment horizontal="left" vertical="center" wrapText="1"/>
    </xf>
    <xf numFmtId="0" fontId="4" fillId="7" borderId="87" xfId="0" applyFont="1" applyFill="1" applyBorder="1" applyAlignment="1">
      <alignment horizontal="center" vertical="center" wrapText="1"/>
    </xf>
    <xf numFmtId="0" fontId="4" fillId="7" borderId="90" xfId="0" applyFont="1" applyFill="1" applyBorder="1" applyAlignment="1">
      <alignment horizontal="center" vertical="center" wrapText="1"/>
    </xf>
    <xf numFmtId="0" fontId="3" fillId="0" borderId="53" xfId="0" applyFont="1" applyBorder="1" applyAlignment="1">
      <alignment horizontal="center" vertical="center" wrapText="1"/>
    </xf>
    <xf numFmtId="0" fontId="5" fillId="0" borderId="53" xfId="0" applyFont="1" applyBorder="1" applyAlignment="1">
      <alignment horizontal="justify" vertical="center" wrapText="1"/>
    </xf>
    <xf numFmtId="165" fontId="3" fillId="0" borderId="53" xfId="2" applyNumberFormat="1" applyFont="1" applyFill="1" applyBorder="1" applyAlignment="1" applyProtection="1">
      <alignment horizontal="center" vertical="center" wrapText="1"/>
      <protection locked="0"/>
    </xf>
    <xf numFmtId="165" fontId="3" fillId="0" borderId="53" xfId="2" applyNumberFormat="1" applyFont="1" applyFill="1" applyBorder="1" applyAlignment="1" applyProtection="1">
      <alignment horizontal="center" vertical="center" wrapText="1"/>
    </xf>
    <xf numFmtId="165" fontId="3" fillId="0" borderId="54" xfId="2" applyNumberFormat="1" applyFont="1" applyFill="1" applyBorder="1" applyAlignment="1" applyProtection="1">
      <alignment horizontal="center" vertical="center" wrapText="1"/>
    </xf>
    <xf numFmtId="0" fontId="0" fillId="0" borderId="49" xfId="0" applyBorder="1" applyAlignment="1">
      <alignment wrapText="1"/>
    </xf>
    <xf numFmtId="43" fontId="49" fillId="0" borderId="0" xfId="0" applyNumberFormat="1" applyFont="1" applyAlignment="1">
      <alignment horizontal="center"/>
    </xf>
    <xf numFmtId="4" fontId="82" fillId="3" borderId="74" xfId="8" applyNumberFormat="1" applyFont="1" applyFill="1" applyBorder="1" applyAlignment="1" applyProtection="1">
      <alignment horizontal="centerContinuous" vertical="center"/>
      <protection hidden="1"/>
    </xf>
    <xf numFmtId="9" fontId="49" fillId="0" borderId="0" xfId="0" applyNumberFormat="1" applyFont="1"/>
    <xf numFmtId="43" fontId="19" fillId="0" borderId="0" xfId="2" applyFont="1"/>
    <xf numFmtId="0" fontId="48" fillId="0" borderId="50" xfId="0" applyFont="1" applyBorder="1" applyAlignment="1">
      <alignment horizontal="center" vertical="center"/>
    </xf>
    <xf numFmtId="0" fontId="52" fillId="0" borderId="0" xfId="0" applyFont="1" applyAlignment="1">
      <alignment horizontal="center"/>
    </xf>
    <xf numFmtId="0" fontId="4" fillId="0" borderId="63" xfId="0" applyFont="1" applyBorder="1" applyAlignment="1">
      <alignment vertical="center"/>
    </xf>
    <xf numFmtId="0" fontId="48" fillId="0" borderId="0" xfId="0" applyFont="1"/>
    <xf numFmtId="14" fontId="96" fillId="0" borderId="0" xfId="0" applyNumberFormat="1" applyFont="1"/>
    <xf numFmtId="0" fontId="92" fillId="0" borderId="20" xfId="0" applyFont="1" applyBorder="1" applyAlignment="1">
      <alignment horizontal="center" vertical="center"/>
    </xf>
    <xf numFmtId="43" fontId="49" fillId="0" borderId="50" xfId="0" applyNumberFormat="1" applyFont="1" applyBorder="1"/>
    <xf numFmtId="0" fontId="19" fillId="0" borderId="50" xfId="19" applyFont="1" applyBorder="1" applyAlignment="1">
      <alignment vertical="center"/>
    </xf>
    <xf numFmtId="10" fontId="19" fillId="0" borderId="50" xfId="1" applyNumberFormat="1" applyFont="1" applyBorder="1" applyAlignment="1">
      <alignment horizontal="center" vertical="center"/>
    </xf>
    <xf numFmtId="43" fontId="44" fillId="0" borderId="50" xfId="0" applyNumberFormat="1" applyFont="1" applyBorder="1"/>
    <xf numFmtId="4" fontId="82" fillId="3" borderId="48" xfId="8" applyNumberFormat="1" applyFont="1" applyFill="1" applyBorder="1" applyAlignment="1" applyProtection="1">
      <alignment vertical="center"/>
      <protection hidden="1"/>
    </xf>
    <xf numFmtId="4" fontId="82" fillId="3" borderId="49" xfId="8" applyNumberFormat="1" applyFont="1" applyFill="1" applyBorder="1" applyAlignment="1" applyProtection="1">
      <alignment horizontal="center" vertical="center"/>
      <protection hidden="1"/>
    </xf>
    <xf numFmtId="4" fontId="82" fillId="3" borderId="31" xfId="8" quotePrefix="1" applyNumberFormat="1" applyFont="1" applyFill="1" applyBorder="1" applyAlignment="1" applyProtection="1">
      <alignment horizontal="right" vertical="center"/>
      <protection hidden="1"/>
    </xf>
    <xf numFmtId="0" fontId="84" fillId="3" borderId="31" xfId="0" applyFont="1" applyFill="1" applyBorder="1" applyAlignment="1" applyProtection="1">
      <alignment horizontal="center" vertical="center"/>
      <protection locked="0"/>
    </xf>
    <xf numFmtId="4" fontId="82" fillId="3" borderId="48" xfId="0" applyNumberFormat="1" applyFont="1" applyFill="1" applyBorder="1" applyAlignment="1" applyProtection="1">
      <alignment horizontal="center" vertical="center"/>
      <protection hidden="1"/>
    </xf>
    <xf numFmtId="43" fontId="82" fillId="3" borderId="67" xfId="2" applyFont="1" applyFill="1" applyBorder="1" applyAlignment="1" applyProtection="1">
      <alignment horizontal="center" vertical="center"/>
      <protection hidden="1"/>
    </xf>
    <xf numFmtId="43" fontId="82" fillId="3" borderId="3" xfId="2" applyFont="1" applyFill="1" applyBorder="1" applyAlignment="1" applyProtection="1">
      <alignment horizontal="center" vertical="center"/>
      <protection locked="0"/>
    </xf>
    <xf numFmtId="44" fontId="49" fillId="0" borderId="0" xfId="0" applyNumberFormat="1" applyFont="1" applyAlignment="1">
      <alignment horizontal="right" vertical="center"/>
    </xf>
    <xf numFmtId="44" fontId="44" fillId="0" borderId="0" xfId="0" applyNumberFormat="1" applyFont="1" applyAlignment="1">
      <alignment horizontal="right" vertical="top"/>
    </xf>
    <xf numFmtId="43" fontId="82" fillId="0" borderId="3" xfId="18" applyFont="1" applyFill="1" applyBorder="1" applyAlignment="1" applyProtection="1">
      <alignment horizontal="center" vertical="center"/>
      <protection locked="0"/>
    </xf>
    <xf numFmtId="183" fontId="8" fillId="0" borderId="0" xfId="0" applyNumberFormat="1" applyFont="1" applyAlignment="1">
      <alignment vertical="center"/>
    </xf>
    <xf numFmtId="43" fontId="69" fillId="0" borderId="0" xfId="3" applyNumberFormat="1" applyFont="1" applyAlignment="1">
      <alignment horizontal="center" vertical="center"/>
    </xf>
    <xf numFmtId="0" fontId="2" fillId="0" borderId="50" xfId="0" applyFont="1" applyBorder="1" applyAlignment="1">
      <alignment horizontal="center" vertical="center"/>
    </xf>
    <xf numFmtId="0" fontId="0" fillId="0" borderId="50" xfId="0" applyBorder="1" applyAlignment="1">
      <alignment horizontal="center"/>
    </xf>
    <xf numFmtId="0" fontId="0" fillId="0" borderId="50" xfId="0" applyBorder="1" applyAlignment="1">
      <alignment wrapText="1"/>
    </xf>
    <xf numFmtId="184" fontId="0" fillId="0" borderId="50" xfId="0" applyNumberFormat="1" applyBorder="1" applyAlignment="1">
      <alignment horizontal="center"/>
    </xf>
    <xf numFmtId="3" fontId="0" fillId="0" borderId="50" xfId="0" applyNumberFormat="1" applyBorder="1" applyAlignment="1">
      <alignment horizontal="center"/>
    </xf>
    <xf numFmtId="14" fontId="49" fillId="19" borderId="0" xfId="0" applyNumberFormat="1" applyFont="1" applyFill="1"/>
    <xf numFmtId="0" fontId="92" fillId="0" borderId="17" xfId="0" applyFont="1" applyBorder="1"/>
    <xf numFmtId="0" fontId="92" fillId="0" borderId="20" xfId="0" applyFont="1" applyBorder="1" applyAlignment="1">
      <alignment horizontal="center"/>
    </xf>
    <xf numFmtId="16" fontId="44" fillId="0" borderId="0" xfId="0" applyNumberFormat="1" applyFont="1" applyAlignment="1">
      <alignment horizontal="center"/>
    </xf>
    <xf numFmtId="0" fontId="89" fillId="0" borderId="0" xfId="0" applyFont="1"/>
    <xf numFmtId="0" fontId="52" fillId="21" borderId="0" xfId="0" applyFont="1" applyFill="1" applyAlignment="1">
      <alignment vertical="center"/>
    </xf>
    <xf numFmtId="43" fontId="49" fillId="0" borderId="0" xfId="2" applyFont="1" applyAlignment="1">
      <alignment horizontal="center"/>
    </xf>
    <xf numFmtId="170" fontId="40" fillId="0" borderId="53" xfId="0" applyNumberFormat="1" applyFont="1" applyBorder="1"/>
    <xf numFmtId="16" fontId="44" fillId="0" borderId="0" xfId="0" applyNumberFormat="1" applyFont="1" applyAlignment="1">
      <alignment horizontal="left"/>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21" fillId="3" borderId="0" xfId="3" applyFont="1" applyFill="1" applyAlignment="1" applyProtection="1">
      <alignment horizontal="center" vertical="center" wrapText="1"/>
      <protection locked="0"/>
    </xf>
    <xf numFmtId="0" fontId="21" fillId="2" borderId="0" xfId="3" applyFont="1" applyFill="1" applyAlignment="1" applyProtection="1">
      <alignment horizontal="center" vertical="center" wrapText="1"/>
      <protection locked="0"/>
    </xf>
    <xf numFmtId="43" fontId="19" fillId="0" borderId="0" xfId="3" applyNumberFormat="1" applyFont="1" applyAlignment="1">
      <alignment horizontal="center"/>
    </xf>
    <xf numFmtId="43" fontId="19" fillId="0" borderId="0" xfId="2" applyFont="1" applyAlignment="1">
      <alignment horizontal="center"/>
    </xf>
    <xf numFmtId="43" fontId="52" fillId="0" borderId="0" xfId="0" applyNumberFormat="1" applyFont="1" applyAlignment="1">
      <alignment vertical="center"/>
    </xf>
    <xf numFmtId="0" fontId="22" fillId="3" borderId="0" xfId="3" applyFont="1" applyFill="1"/>
    <xf numFmtId="0" fontId="30" fillId="8" borderId="0" xfId="3" applyFont="1" applyFill="1" applyAlignment="1">
      <alignment horizontal="center" vertical="center" wrapText="1"/>
    </xf>
    <xf numFmtId="9" fontId="19" fillId="0" borderId="0" xfId="1" applyFont="1" applyFill="1" applyBorder="1" applyAlignment="1" applyProtection="1">
      <alignment horizontal="center"/>
    </xf>
    <xf numFmtId="173" fontId="30" fillId="8" borderId="0" xfId="1" applyNumberFormat="1" applyFont="1" applyFill="1" applyBorder="1" applyAlignment="1" applyProtection="1">
      <alignment horizontal="center"/>
    </xf>
    <xf numFmtId="173" fontId="19" fillId="0" borderId="0" xfId="1" applyNumberFormat="1" applyFont="1" applyFill="1" applyBorder="1" applyAlignment="1" applyProtection="1">
      <alignment horizontal="center"/>
    </xf>
    <xf numFmtId="43" fontId="31" fillId="8" borderId="0" xfId="2" applyFont="1" applyFill="1" applyBorder="1" applyProtection="1">
      <protection locked="0"/>
    </xf>
    <xf numFmtId="43" fontId="31" fillId="8" borderId="0" xfId="2" applyFont="1" applyFill="1" applyBorder="1" applyProtection="1"/>
    <xf numFmtId="43" fontId="96" fillId="0" borderId="0" xfId="2" applyFont="1" applyAlignment="1">
      <alignment horizontal="center"/>
    </xf>
    <xf numFmtId="43" fontId="49" fillId="0" borderId="0" xfId="0" applyNumberFormat="1" applyFont="1" applyAlignment="1">
      <alignment vertical="top"/>
    </xf>
    <xf numFmtId="4" fontId="82" fillId="3" borderId="48" xfId="24" applyNumberFormat="1" applyFont="1" applyFill="1" applyBorder="1" applyAlignment="1" applyProtection="1">
      <alignment vertical="center"/>
      <protection hidden="1"/>
    </xf>
    <xf numFmtId="0" fontId="84" fillId="3" borderId="67" xfId="0" applyFont="1" applyFill="1" applyBorder="1" applyAlignment="1" applyProtection="1">
      <alignment horizontal="center" vertical="center"/>
      <protection locked="0"/>
    </xf>
    <xf numFmtId="14" fontId="8" fillId="0" borderId="0" xfId="0" applyNumberFormat="1" applyFont="1" applyAlignment="1">
      <alignment vertical="center"/>
    </xf>
    <xf numFmtId="164" fontId="44" fillId="0" borderId="0" xfId="17" applyFont="1"/>
    <xf numFmtId="43" fontId="99" fillId="0" borderId="0" xfId="3" applyNumberFormat="1" applyFont="1" applyAlignment="1">
      <alignment horizontal="center"/>
    </xf>
    <xf numFmtId="0" fontId="49" fillId="0" borderId="10" xfId="0" applyFont="1" applyBorder="1"/>
    <xf numFmtId="0" fontId="49" fillId="0" borderId="60" xfId="0" applyFont="1" applyBorder="1"/>
    <xf numFmtId="0" fontId="49" fillId="0" borderId="1" xfId="0" applyFont="1" applyBorder="1"/>
    <xf numFmtId="0" fontId="49" fillId="0" borderId="2" xfId="0" applyFont="1" applyBorder="1"/>
    <xf numFmtId="43" fontId="49" fillId="0" borderId="0" xfId="2" applyFont="1" applyBorder="1"/>
    <xf numFmtId="43" fontId="49" fillId="0" borderId="11" xfId="0" applyNumberFormat="1" applyFont="1" applyBorder="1"/>
    <xf numFmtId="43" fontId="49" fillId="0" borderId="1" xfId="2" applyFont="1" applyBorder="1" applyAlignment="1">
      <alignment horizontal="center"/>
    </xf>
    <xf numFmtId="43" fontId="89" fillId="0" borderId="0" xfId="2" applyFont="1"/>
    <xf numFmtId="0" fontId="0" fillId="0" borderId="10" xfId="0" applyBorder="1"/>
    <xf numFmtId="43" fontId="49" fillId="0" borderId="0" xfId="2" applyFont="1" applyAlignment="1">
      <alignment horizontal="left"/>
    </xf>
    <xf numFmtId="0" fontId="98" fillId="22" borderId="53" xfId="0" applyFont="1" applyFill="1" applyBorder="1" applyAlignment="1">
      <alignment horizontal="center"/>
    </xf>
    <xf numFmtId="0" fontId="98" fillId="22" borderId="114" xfId="0" applyFont="1" applyFill="1" applyBorder="1" applyAlignment="1">
      <alignment horizontal="left"/>
    </xf>
    <xf numFmtId="0" fontId="98" fillId="22" borderId="101" xfId="0" applyFont="1" applyFill="1" applyBorder="1" applyAlignment="1">
      <alignment horizontal="left"/>
    </xf>
    <xf numFmtId="20" fontId="98" fillId="22" borderId="102" xfId="0" applyNumberFormat="1" applyFont="1" applyFill="1" applyBorder="1" applyAlignment="1">
      <alignment horizontal="center"/>
    </xf>
    <xf numFmtId="20" fontId="98" fillId="22" borderId="117" xfId="0" applyNumberFormat="1" applyFont="1" applyFill="1" applyBorder="1" applyAlignment="1">
      <alignment horizontal="center"/>
    </xf>
    <xf numFmtId="0" fontId="100" fillId="0" borderId="0" xfId="0" applyFont="1" applyAlignment="1">
      <alignment horizontal="left"/>
    </xf>
    <xf numFmtId="0" fontId="12" fillId="0" borderId="0" xfId="0" applyFont="1" applyAlignment="1">
      <alignment vertical="center"/>
    </xf>
    <xf numFmtId="0" fontId="49" fillId="0" borderId="0" xfId="33" applyFont="1" applyAlignment="1">
      <alignment horizontal="left"/>
    </xf>
    <xf numFmtId="0" fontId="0" fillId="0" borderId="0" xfId="0" applyAlignment="1">
      <alignment horizontal="left"/>
    </xf>
    <xf numFmtId="0" fontId="49" fillId="0" borderId="72" xfId="0" applyFont="1" applyBorder="1" applyAlignment="1">
      <alignment vertical="center" wrapText="1"/>
    </xf>
    <xf numFmtId="43" fontId="49" fillId="0" borderId="36" xfId="2" applyFont="1" applyBorder="1" applyAlignment="1">
      <alignment vertical="center"/>
    </xf>
    <xf numFmtId="43" fontId="48" fillId="0" borderId="72" xfId="2" applyFont="1" applyBorder="1" applyAlignment="1"/>
    <xf numFmtId="43" fontId="49" fillId="0" borderId="1" xfId="2" applyFont="1" applyBorder="1"/>
    <xf numFmtId="173" fontId="49" fillId="0" borderId="0" xfId="1" applyNumberFormat="1" applyFont="1"/>
    <xf numFmtId="0" fontId="3" fillId="23" borderId="72" xfId="0" applyFont="1" applyFill="1" applyBorder="1" applyAlignment="1">
      <alignment vertical="center"/>
    </xf>
    <xf numFmtId="0" fontId="11" fillId="23" borderId="73" xfId="0" applyFont="1" applyFill="1" applyBorder="1" applyAlignment="1">
      <alignment vertical="center"/>
    </xf>
    <xf numFmtId="0" fontId="3" fillId="23" borderId="73" xfId="0" applyFont="1" applyFill="1" applyBorder="1" applyAlignment="1">
      <alignment vertical="center"/>
    </xf>
    <xf numFmtId="165" fontId="3" fillId="23" borderId="73" xfId="2" applyNumberFormat="1" applyFont="1" applyFill="1" applyBorder="1" applyAlignment="1" applyProtection="1">
      <alignment horizontal="center" vertical="center"/>
    </xf>
    <xf numFmtId="4" fontId="0" fillId="23" borderId="73" xfId="0" applyNumberFormat="1" applyFill="1" applyBorder="1" applyAlignment="1">
      <alignment horizontal="center" vertical="center" wrapText="1"/>
    </xf>
    <xf numFmtId="4" fontId="0" fillId="23" borderId="58" xfId="0" applyNumberFormat="1" applyFill="1" applyBorder="1" applyAlignment="1">
      <alignment horizontal="center" vertical="center" wrapText="1"/>
    </xf>
    <xf numFmtId="4" fontId="0" fillId="23" borderId="75" xfId="0" applyNumberFormat="1" applyFill="1" applyBorder="1" applyAlignment="1">
      <alignment horizontal="center" vertical="center" wrapText="1"/>
    </xf>
    <xf numFmtId="0" fontId="0" fillId="23" borderId="73" xfId="0" applyFill="1" applyBorder="1" applyAlignment="1">
      <alignment horizontal="center" vertical="center" wrapText="1"/>
    </xf>
    <xf numFmtId="0" fontId="0" fillId="23" borderId="58" xfId="0" applyFill="1" applyBorder="1" applyAlignment="1">
      <alignment horizontal="center" vertical="center" wrapText="1"/>
    </xf>
    <xf numFmtId="0" fontId="0" fillId="23" borderId="75" xfId="0" applyFill="1" applyBorder="1" applyAlignment="1">
      <alignment horizontal="center" vertical="center" wrapText="1"/>
    </xf>
    <xf numFmtId="0" fontId="3" fillId="23" borderId="0" xfId="0" applyFont="1" applyFill="1" applyAlignment="1">
      <alignment vertical="center"/>
    </xf>
    <xf numFmtId="0" fontId="4" fillId="17" borderId="0" xfId="0" applyFont="1" applyFill="1" applyAlignment="1">
      <alignment vertical="center"/>
    </xf>
    <xf numFmtId="0" fontId="3" fillId="21" borderId="0" xfId="0" applyFont="1" applyFill="1" applyAlignment="1">
      <alignment vertical="center"/>
    </xf>
    <xf numFmtId="0" fontId="4" fillId="21" borderId="0" xfId="0" applyFont="1" applyFill="1" applyAlignment="1">
      <alignment vertical="center"/>
    </xf>
    <xf numFmtId="14" fontId="49" fillId="25" borderId="0" xfId="0" applyNumberFormat="1" applyFont="1" applyFill="1"/>
    <xf numFmtId="186" fontId="82" fillId="3" borderId="3" xfId="18" applyNumberFormat="1" applyFont="1" applyFill="1" applyBorder="1" applyAlignment="1" applyProtection="1">
      <alignment horizontal="center" vertical="center"/>
      <protection locked="0"/>
    </xf>
    <xf numFmtId="0" fontId="82" fillId="3" borderId="3" xfId="8" applyFont="1" applyFill="1" applyBorder="1" applyAlignment="1" applyProtection="1">
      <alignment horizontal="center" vertical="center"/>
      <protection hidden="1"/>
    </xf>
    <xf numFmtId="0" fontId="40" fillId="19" borderId="50" xfId="0" applyFont="1" applyFill="1" applyBorder="1"/>
    <xf numFmtId="0" fontId="40" fillId="19" borderId="53" xfId="0" applyFont="1" applyFill="1" applyBorder="1"/>
    <xf numFmtId="0" fontId="87" fillId="3" borderId="38" xfId="8" applyFont="1" applyFill="1" applyBorder="1" applyAlignment="1" applyProtection="1">
      <alignment horizontal="left" vertical="center"/>
      <protection hidden="1"/>
    </xf>
    <xf numFmtId="0" fontId="82" fillId="3" borderId="42" xfId="8" applyFont="1" applyFill="1" applyBorder="1" applyAlignment="1" applyProtection="1">
      <alignment vertical="center"/>
      <protection hidden="1"/>
    </xf>
    <xf numFmtId="0" fontId="82" fillId="3" borderId="40" xfId="8" applyFont="1" applyFill="1" applyBorder="1" applyAlignment="1" applyProtection="1">
      <alignment vertical="center"/>
      <protection hidden="1"/>
    </xf>
    <xf numFmtId="0" fontId="82" fillId="3" borderId="27" xfId="8" applyFont="1" applyFill="1" applyBorder="1" applyAlignment="1" applyProtection="1">
      <alignment horizontal="center" vertical="center"/>
      <protection hidden="1"/>
    </xf>
    <xf numFmtId="0" fontId="82" fillId="3" borderId="0" xfId="8" applyFont="1" applyFill="1" applyAlignment="1" applyProtection="1">
      <alignment horizontal="center" vertical="center"/>
      <protection hidden="1"/>
    </xf>
    <xf numFmtId="9" fontId="0" fillId="0" borderId="0" xfId="0" applyNumberFormat="1"/>
    <xf numFmtId="0" fontId="28" fillId="2" borderId="0" xfId="3" applyFont="1" applyFill="1"/>
    <xf numFmtId="0" fontId="102" fillId="0" borderId="0" xfId="0" applyFont="1" applyAlignment="1">
      <alignment horizontal="left"/>
    </xf>
    <xf numFmtId="10" fontId="44" fillId="16" borderId="0" xfId="1" applyNumberFormat="1" applyFont="1" applyFill="1" applyAlignment="1">
      <alignment horizontal="left" vertical="center"/>
    </xf>
    <xf numFmtId="0" fontId="51" fillId="0" borderId="0" xfId="0" applyFont="1"/>
    <xf numFmtId="164" fontId="51" fillId="0" borderId="0" xfId="17" applyFont="1"/>
    <xf numFmtId="0" fontId="52" fillId="0" borderId="1" xfId="0" applyFont="1" applyBorder="1"/>
    <xf numFmtId="164" fontId="52" fillId="0" borderId="0" xfId="17" applyFont="1" applyBorder="1"/>
    <xf numFmtId="43" fontId="52" fillId="0" borderId="2" xfId="2" applyFont="1" applyBorder="1" applyAlignment="1">
      <alignment horizontal="center" vertical="center"/>
    </xf>
    <xf numFmtId="0" fontId="52" fillId="0" borderId="62" xfId="0" applyFont="1" applyBorder="1"/>
    <xf numFmtId="164" fontId="52" fillId="0" borderId="63" xfId="17" applyFont="1" applyBorder="1"/>
    <xf numFmtId="0" fontId="0" fillId="0" borderId="63" xfId="0" applyBorder="1" applyAlignment="1">
      <alignment horizontal="center" vertical="center"/>
    </xf>
    <xf numFmtId="43" fontId="52" fillId="0" borderId="64" xfId="2" applyFont="1" applyBorder="1" applyAlignment="1">
      <alignment horizontal="center" vertical="center"/>
    </xf>
    <xf numFmtId="10" fontId="44" fillId="0" borderId="0" xfId="1" applyNumberFormat="1" applyFont="1" applyAlignment="1">
      <alignment horizontal="center" vertical="center"/>
    </xf>
    <xf numFmtId="0" fontId="49" fillId="0" borderId="50" xfId="0" applyFont="1" applyBorder="1" applyAlignment="1">
      <alignment horizontal="center" vertical="center"/>
    </xf>
    <xf numFmtId="0" fontId="49" fillId="0" borderId="50" xfId="0" applyFont="1" applyBorder="1" applyAlignment="1">
      <alignment horizontal="center" vertical="center" wrapText="1"/>
    </xf>
    <xf numFmtId="43" fontId="49" fillId="0" borderId="33" xfId="2" applyFont="1" applyBorder="1" applyAlignment="1">
      <alignment horizontal="center" vertical="center"/>
    </xf>
    <xf numFmtId="43" fontId="49" fillId="0" borderId="36" xfId="2" applyFont="1" applyBorder="1" applyAlignment="1">
      <alignment horizontal="center" vertical="center"/>
    </xf>
    <xf numFmtId="43" fontId="49" fillId="0" borderId="20" xfId="2" applyFont="1" applyBorder="1" applyAlignment="1">
      <alignment horizontal="center" vertical="center"/>
    </xf>
    <xf numFmtId="0" fontId="98" fillId="22" borderId="99" xfId="0" applyFont="1" applyFill="1" applyBorder="1" applyAlignment="1">
      <alignment horizontal="center"/>
    </xf>
    <xf numFmtId="0" fontId="98" fillId="22" borderId="100" xfId="0" applyFont="1" applyFill="1" applyBorder="1" applyAlignment="1">
      <alignment horizontal="center"/>
    </xf>
    <xf numFmtId="0" fontId="49" fillId="0" borderId="112" xfId="0" applyFont="1" applyBorder="1"/>
    <xf numFmtId="0" fontId="49" fillId="0" borderId="111" xfId="0" applyFont="1" applyBorder="1"/>
    <xf numFmtId="0" fontId="40" fillId="0" borderId="54" xfId="0" applyFont="1" applyBorder="1"/>
    <xf numFmtId="0" fontId="52" fillId="0" borderId="0" xfId="0" applyFont="1" applyAlignment="1">
      <alignment wrapText="1"/>
    </xf>
    <xf numFmtId="0" fontId="103" fillId="7" borderId="0" xfId="0" applyFont="1" applyFill="1" applyAlignment="1">
      <alignment vertical="center"/>
    </xf>
    <xf numFmtId="14" fontId="104" fillId="2" borderId="0" xfId="0" applyNumberFormat="1" applyFont="1" applyFill="1" applyAlignment="1">
      <alignment horizontal="center" vertical="center"/>
    </xf>
    <xf numFmtId="0" fontId="48" fillId="0" borderId="0" xfId="0" applyFont="1" applyAlignment="1">
      <alignment vertical="center"/>
    </xf>
    <xf numFmtId="43" fontId="48" fillId="0" borderId="0" xfId="2" applyFont="1" applyAlignment="1">
      <alignment vertical="center"/>
    </xf>
    <xf numFmtId="0" fontId="67" fillId="0" borderId="0" xfId="0" applyFont="1"/>
    <xf numFmtId="0" fontId="61" fillId="0" borderId="0" xfId="0" applyFont="1"/>
    <xf numFmtId="0" fontId="49" fillId="0" borderId="4" xfId="0" applyFont="1" applyBorder="1" applyAlignment="1">
      <alignment horizontal="center" vertical="center" wrapText="1"/>
    </xf>
    <xf numFmtId="9" fontId="49" fillId="0" borderId="9" xfId="1" applyFont="1" applyBorder="1" applyAlignment="1">
      <alignment horizontal="center" vertical="center"/>
    </xf>
    <xf numFmtId="14" fontId="61" fillId="0" borderId="0" xfId="0" applyNumberFormat="1" applyFont="1"/>
    <xf numFmtId="43" fontId="49" fillId="0" borderId="32" xfId="2" applyFont="1" applyBorder="1" applyAlignment="1">
      <alignment horizontal="center" vertical="center"/>
    </xf>
    <xf numFmtId="0" fontId="40" fillId="24" borderId="50" xfId="0" applyFont="1" applyFill="1" applyBorder="1"/>
    <xf numFmtId="0" fontId="40" fillId="24" borderId="54" xfId="0" applyFont="1" applyFill="1" applyBorder="1"/>
    <xf numFmtId="0" fontId="0" fillId="24" borderId="0" xfId="0" applyFill="1" applyAlignment="1">
      <alignment vertical="center"/>
    </xf>
    <xf numFmtId="0" fontId="92" fillId="0" borderId="38" xfId="0" applyFont="1" applyBorder="1" applyAlignment="1">
      <alignment horizontal="center" vertical="center"/>
    </xf>
    <xf numFmtId="0" fontId="67" fillId="0" borderId="20" xfId="0" applyFont="1" applyBorder="1" applyAlignment="1">
      <alignment horizontal="center" vertical="center"/>
    </xf>
    <xf numFmtId="0" fontId="92" fillId="18" borderId="20" xfId="0" applyFont="1" applyFill="1" applyBorder="1" applyAlignment="1">
      <alignment horizontal="center" vertical="center"/>
    </xf>
    <xf numFmtId="0" fontId="21" fillId="3" borderId="27" xfId="3" applyFont="1" applyFill="1" applyBorder="1" applyAlignment="1" applyProtection="1">
      <alignment vertical="center" wrapText="1"/>
      <protection locked="0"/>
    </xf>
    <xf numFmtId="0" fontId="21" fillId="3" borderId="0" xfId="3" applyFont="1" applyFill="1" applyAlignment="1" applyProtection="1">
      <alignment vertical="center" wrapText="1"/>
      <protection locked="0"/>
    </xf>
    <xf numFmtId="0" fontId="49" fillId="0" borderId="17" xfId="0" applyFont="1" applyBorder="1" applyAlignment="1">
      <alignment vertical="center"/>
    </xf>
    <xf numFmtId="43" fontId="49" fillId="0" borderId="41" xfId="2" applyFont="1" applyBorder="1" applyAlignment="1">
      <alignment horizontal="center" vertical="center"/>
    </xf>
    <xf numFmtId="43" fontId="49" fillId="0" borderId="62" xfId="0" applyNumberFormat="1" applyFont="1" applyBorder="1" applyAlignment="1">
      <alignment vertical="center"/>
    </xf>
    <xf numFmtId="43" fontId="49" fillId="0" borderId="63" xfId="0" applyNumberFormat="1" applyFont="1" applyBorder="1" applyAlignment="1">
      <alignment vertical="center"/>
    </xf>
    <xf numFmtId="0" fontId="49" fillId="0" borderId="63" xfId="0" applyFont="1" applyBorder="1" applyAlignment="1">
      <alignment vertical="center"/>
    </xf>
    <xf numFmtId="0" fontId="49" fillId="0" borderId="64" xfId="0" applyFont="1" applyBorder="1" applyAlignment="1">
      <alignment vertical="center"/>
    </xf>
    <xf numFmtId="173" fontId="49" fillId="0" borderId="0" xfId="1" applyNumberFormat="1" applyFont="1" applyAlignment="1">
      <alignment vertical="center"/>
    </xf>
    <xf numFmtId="9" fontId="30" fillId="8" borderId="74" xfId="1" applyFont="1" applyFill="1" applyBorder="1" applyAlignment="1" applyProtection="1">
      <alignment horizontal="center"/>
    </xf>
    <xf numFmtId="0" fontId="87" fillId="3" borderId="0" xfId="8" applyFont="1" applyFill="1" applyAlignment="1" applyProtection="1">
      <alignment horizontal="left" vertical="center"/>
      <protection hidden="1"/>
    </xf>
    <xf numFmtId="0" fontId="88" fillId="3" borderId="0" xfId="8" applyFont="1" applyFill="1" applyAlignment="1" applyProtection="1">
      <alignment horizontal="center" vertical="center"/>
      <protection hidden="1"/>
    </xf>
    <xf numFmtId="0" fontId="82" fillId="3" borderId="73" xfId="8" applyFont="1" applyFill="1" applyBorder="1" applyAlignment="1" applyProtection="1">
      <alignment horizontal="center" vertical="center"/>
      <protection hidden="1"/>
    </xf>
    <xf numFmtId="0" fontId="87" fillId="3" borderId="72" xfId="8" applyFont="1" applyFill="1" applyBorder="1" applyAlignment="1" applyProtection="1">
      <alignment horizontal="left" vertical="center"/>
      <protection hidden="1"/>
    </xf>
    <xf numFmtId="0" fontId="82" fillId="3" borderId="74"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locked="0"/>
    </xf>
    <xf numFmtId="43" fontId="19" fillId="0" borderId="68" xfId="2" applyFont="1" applyBorder="1" applyAlignment="1" applyProtection="1">
      <alignment horizontal="center"/>
      <protection locked="0"/>
    </xf>
    <xf numFmtId="43" fontId="19" fillId="0" borderId="123" xfId="2" applyFont="1" applyBorder="1" applyAlignment="1" applyProtection="1">
      <alignment horizontal="center"/>
    </xf>
    <xf numFmtId="43" fontId="19" fillId="0" borderId="68" xfId="2" applyFont="1" applyBorder="1" applyAlignment="1" applyProtection="1">
      <alignment horizontal="center"/>
    </xf>
    <xf numFmtId="43" fontId="27" fillId="0" borderId="30" xfId="2" applyFont="1" applyFill="1" applyBorder="1" applyAlignment="1" applyProtection="1">
      <alignment horizontal="center"/>
    </xf>
    <xf numFmtId="43" fontId="27" fillId="0" borderId="69" xfId="2" applyFont="1" applyFill="1" applyBorder="1" applyAlignment="1" applyProtection="1">
      <alignment horizontal="center"/>
    </xf>
    <xf numFmtId="43" fontId="27" fillId="0" borderId="70" xfId="2" applyFont="1" applyFill="1" applyBorder="1" applyAlignment="1" applyProtection="1">
      <alignment horizontal="center"/>
    </xf>
    <xf numFmtId="43" fontId="27" fillId="0" borderId="124" xfId="2" applyFont="1" applyFill="1" applyBorder="1" applyAlignment="1" applyProtection="1">
      <alignment horizontal="center"/>
    </xf>
    <xf numFmtId="43" fontId="27" fillId="0" borderId="68" xfId="2" applyFont="1" applyFill="1" applyBorder="1" applyAlignment="1" applyProtection="1">
      <alignment horizontal="center"/>
    </xf>
    <xf numFmtId="43" fontId="27" fillId="0" borderId="123" xfId="2" applyFont="1" applyFill="1" applyBorder="1" applyAlignment="1" applyProtection="1">
      <alignment horizontal="center"/>
    </xf>
    <xf numFmtId="173" fontId="19" fillId="0" borderId="70" xfId="1" applyNumberFormat="1" applyFont="1" applyFill="1" applyBorder="1" applyAlignment="1" applyProtection="1">
      <alignment horizontal="center"/>
    </xf>
    <xf numFmtId="3" fontId="82" fillId="3" borderId="73" xfId="8" applyNumberFormat="1" applyFont="1" applyFill="1" applyBorder="1" applyAlignment="1" applyProtection="1">
      <alignment horizontal="right" vertical="center"/>
      <protection hidden="1"/>
    </xf>
    <xf numFmtId="0" fontId="3" fillId="3" borderId="91" xfId="8" applyFill="1" applyBorder="1" applyAlignment="1" applyProtection="1">
      <alignment vertical="center"/>
      <protection hidden="1"/>
    </xf>
    <xf numFmtId="0" fontId="3" fillId="3" borderId="3" xfId="8" applyFill="1" applyBorder="1" applyAlignment="1" applyProtection="1">
      <alignment vertical="center"/>
      <protection hidden="1"/>
    </xf>
    <xf numFmtId="187" fontId="0" fillId="0" borderId="0" xfId="0" applyNumberFormat="1"/>
    <xf numFmtId="174" fontId="0" fillId="0" borderId="0" xfId="0" applyNumberFormat="1"/>
    <xf numFmtId="164" fontId="0" fillId="0" borderId="0" xfId="17" applyFont="1" applyFill="1"/>
    <xf numFmtId="164" fontId="19" fillId="0" borderId="0" xfId="17" applyFont="1" applyFill="1"/>
    <xf numFmtId="188" fontId="5" fillId="0" borderId="50" xfId="2" applyNumberFormat="1" applyFont="1" applyBorder="1" applyAlignment="1">
      <alignment horizontal="right" vertical="center"/>
    </xf>
    <xf numFmtId="43" fontId="30" fillId="8" borderId="74" xfId="1" applyNumberFormat="1" applyFont="1" applyFill="1" applyBorder="1" applyAlignment="1" applyProtection="1">
      <alignment horizontal="center"/>
    </xf>
    <xf numFmtId="183" fontId="40" fillId="0" borderId="50" xfId="0" applyNumberFormat="1" applyFont="1" applyBorder="1"/>
    <xf numFmtId="170" fontId="44" fillId="7" borderId="3" xfId="17" applyNumberFormat="1" applyFont="1" applyFill="1" applyBorder="1" applyAlignment="1">
      <alignment horizontal="center" vertical="center"/>
    </xf>
    <xf numFmtId="0" fontId="44" fillId="7" borderId="0" xfId="0" applyFont="1" applyFill="1" applyAlignment="1">
      <alignment horizontal="left"/>
    </xf>
    <xf numFmtId="170" fontId="44" fillId="7" borderId="0" xfId="17" applyNumberFormat="1" applyFont="1" applyFill="1" applyAlignment="1">
      <alignment horizontal="center"/>
    </xf>
    <xf numFmtId="2" fontId="44" fillId="7" borderId="0" xfId="17" applyNumberFormat="1" applyFont="1" applyFill="1" applyAlignment="1">
      <alignment horizontal="center" vertical="center"/>
    </xf>
    <xf numFmtId="43" fontId="44" fillId="7" borderId="27" xfId="2" applyFont="1" applyFill="1" applyBorder="1" applyAlignment="1">
      <alignment horizontal="center" vertical="center"/>
    </xf>
    <xf numFmtId="43" fontId="44" fillId="7" borderId="0" xfId="2" applyFont="1" applyFill="1" applyBorder="1" applyAlignment="1">
      <alignment horizontal="center" vertical="center"/>
    </xf>
    <xf numFmtId="0" fontId="44" fillId="0" borderId="0" xfId="0" applyFont="1" applyAlignment="1">
      <alignment horizontal="left"/>
    </xf>
    <xf numFmtId="0" fontId="44" fillId="7" borderId="0" xfId="0" applyFont="1" applyFill="1" applyAlignment="1">
      <alignment horizontal="center"/>
    </xf>
    <xf numFmtId="0" fontId="44" fillId="7" borderId="3" xfId="0" applyFont="1" applyFill="1" applyBorder="1" applyAlignment="1">
      <alignment horizontal="center"/>
    </xf>
    <xf numFmtId="0" fontId="61" fillId="7" borderId="0" xfId="0" applyFont="1" applyFill="1" applyAlignment="1">
      <alignment horizontal="center"/>
    </xf>
    <xf numFmtId="0" fontId="61" fillId="7" borderId="27" xfId="0" applyFont="1" applyFill="1" applyBorder="1" applyAlignment="1">
      <alignment horizontal="center"/>
    </xf>
    <xf numFmtId="164" fontId="49" fillId="0" borderId="20" xfId="17" applyFont="1" applyBorder="1" applyAlignment="1">
      <alignment horizontal="center" vertical="center"/>
    </xf>
    <xf numFmtId="164" fontId="49" fillId="0" borderId="21" xfId="17" applyFont="1" applyBorder="1" applyAlignment="1">
      <alignment horizontal="center" vertical="center"/>
    </xf>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43" fontId="49" fillId="0" borderId="33" xfId="2" applyFont="1" applyBorder="1" applyAlignment="1">
      <alignment horizontal="center" vertical="center" wrapText="1"/>
    </xf>
    <xf numFmtId="0" fontId="50" fillId="10" borderId="50" xfId="19" applyFont="1" applyFill="1" applyBorder="1" applyAlignment="1" applyProtection="1">
      <alignment horizontal="left" vertical="center"/>
      <protection locked="0"/>
    </xf>
    <xf numFmtId="0" fontId="49" fillId="0" borderId="47" xfId="0" applyFont="1" applyBorder="1" applyAlignment="1">
      <alignment horizontal="center" vertical="center"/>
    </xf>
    <xf numFmtId="0" fontId="49" fillId="0" borderId="46" xfId="0" applyFont="1" applyBorder="1" applyAlignment="1">
      <alignment horizontal="center" vertical="center"/>
    </xf>
    <xf numFmtId="0" fontId="49" fillId="0" borderId="48" xfId="0" applyFont="1" applyBorder="1" applyAlignment="1">
      <alignment horizontal="center" vertical="center"/>
    </xf>
    <xf numFmtId="0" fontId="49" fillId="0" borderId="31" xfId="0" applyFont="1" applyBorder="1" applyAlignment="1">
      <alignment horizontal="center" vertical="center"/>
    </xf>
    <xf numFmtId="0" fontId="49" fillId="0" borderId="50" xfId="0" applyFont="1" applyBorder="1" applyAlignment="1">
      <alignment horizontal="center" vertical="center"/>
    </xf>
    <xf numFmtId="0" fontId="49" fillId="0" borderId="50" xfId="0" applyFont="1" applyBorder="1" applyAlignment="1">
      <alignment horizontal="center" vertical="center" wrapText="1"/>
    </xf>
    <xf numFmtId="0" fontId="49" fillId="0" borderId="53" xfId="0" applyFont="1" applyBorder="1" applyAlignment="1">
      <alignment horizontal="center" vertical="center"/>
    </xf>
    <xf numFmtId="0" fontId="49" fillId="0" borderId="67" xfId="0" applyFont="1" applyBorder="1" applyAlignment="1">
      <alignment horizontal="center" vertical="center"/>
    </xf>
    <xf numFmtId="0" fontId="49" fillId="7" borderId="72" xfId="0" applyFont="1" applyFill="1" applyBorder="1" applyAlignment="1">
      <alignment horizontal="center" vertical="center"/>
    </xf>
    <xf numFmtId="0" fontId="49" fillId="7" borderId="74" xfId="0" applyFont="1" applyFill="1" applyBorder="1" applyAlignment="1">
      <alignment horizontal="center" vertical="center"/>
    </xf>
    <xf numFmtId="0" fontId="44" fillId="7" borderId="50" xfId="0" applyFont="1" applyFill="1" applyBorder="1" applyAlignment="1">
      <alignment horizontal="center" vertical="center"/>
    </xf>
    <xf numFmtId="43" fontId="44" fillId="7" borderId="72" xfId="2" applyFont="1" applyFill="1" applyBorder="1" applyAlignment="1">
      <alignment horizontal="center" vertical="center"/>
    </xf>
    <xf numFmtId="43" fontId="44" fillId="7" borderId="73" xfId="2" applyFont="1" applyFill="1" applyBorder="1" applyAlignment="1">
      <alignment horizontal="center" vertical="center"/>
    </xf>
    <xf numFmtId="43" fontId="44" fillId="7" borderId="74" xfId="2" applyFont="1" applyFill="1" applyBorder="1" applyAlignment="1">
      <alignment horizontal="center" vertical="center"/>
    </xf>
    <xf numFmtId="164" fontId="49" fillId="0" borderId="38" xfId="17" applyFont="1" applyBorder="1" applyAlignment="1">
      <alignment horizontal="center" vertical="center"/>
    </xf>
    <xf numFmtId="164" fontId="49" fillId="0" borderId="42" xfId="17" applyFont="1" applyBorder="1" applyAlignment="1">
      <alignment horizontal="center" vertical="center"/>
    </xf>
    <xf numFmtId="43" fontId="49" fillId="0" borderId="37" xfId="2" applyFont="1" applyBorder="1" applyAlignment="1">
      <alignment horizontal="center" vertical="center"/>
    </xf>
    <xf numFmtId="43" fontId="49" fillId="0" borderId="24" xfId="2" applyFont="1" applyBorder="1" applyAlignment="1">
      <alignment horizontal="center" vertical="center"/>
    </xf>
    <xf numFmtId="43" fontId="49" fillId="0" borderId="25" xfId="2" applyFont="1" applyBorder="1" applyAlignment="1">
      <alignment horizontal="center" vertical="center"/>
    </xf>
    <xf numFmtId="0" fontId="49" fillId="0" borderId="49" xfId="0" applyFont="1" applyBorder="1" applyAlignment="1">
      <alignment horizontal="center" vertic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8" xfId="0" applyFont="1" applyBorder="1" applyAlignment="1">
      <alignment horizontal="center"/>
    </xf>
    <xf numFmtId="43" fontId="49" fillId="0" borderId="20" xfId="0" applyNumberFormat="1" applyFont="1" applyBorder="1" applyAlignment="1">
      <alignment horizontal="center"/>
    </xf>
    <xf numFmtId="43" fontId="49" fillId="0" borderId="21" xfId="0" applyNumberFormat="1" applyFont="1" applyBorder="1" applyAlignment="1">
      <alignment horizontal="center"/>
    </xf>
    <xf numFmtId="43" fontId="49" fillId="0" borderId="22" xfId="0" applyNumberFormat="1" applyFont="1" applyBorder="1" applyAlignment="1">
      <alignment horizontal="center"/>
    </xf>
    <xf numFmtId="0" fontId="49" fillId="0" borderId="33" xfId="0" applyFont="1" applyBorder="1" applyAlignment="1">
      <alignment horizontal="center" wrapText="1"/>
    </xf>
    <xf numFmtId="0" fontId="49" fillId="0" borderId="33" xfId="0" applyFont="1" applyBorder="1" applyAlignment="1">
      <alignment horizontal="center"/>
    </xf>
    <xf numFmtId="43" fontId="49" fillId="0" borderId="33" xfId="2" applyFont="1" applyBorder="1" applyAlignment="1">
      <alignment horizontal="center"/>
    </xf>
    <xf numFmtId="43" fontId="49" fillId="0" borderId="20" xfId="2" applyFont="1" applyBorder="1" applyAlignment="1">
      <alignment horizontal="center"/>
    </xf>
    <xf numFmtId="43" fontId="49" fillId="0" borderId="21" xfId="2" applyFont="1" applyBorder="1" applyAlignment="1">
      <alignment horizontal="center"/>
    </xf>
    <xf numFmtId="43" fontId="49" fillId="0" borderId="22" xfId="2" applyFont="1" applyBorder="1" applyAlignment="1">
      <alignment horizontal="center"/>
    </xf>
    <xf numFmtId="0" fontId="49" fillId="0" borderId="45" xfId="0" applyFont="1" applyBorder="1" applyAlignment="1">
      <alignment horizontal="center" vertical="center"/>
    </xf>
    <xf numFmtId="0" fontId="49" fillId="0" borderId="47" xfId="0" applyFont="1" applyBorder="1" applyAlignment="1">
      <alignment horizontal="center" vertical="center" wrapText="1"/>
    </xf>
    <xf numFmtId="0" fontId="49" fillId="0" borderId="48" xfId="0" applyFont="1" applyBorder="1" applyAlignment="1">
      <alignment horizontal="center" vertical="center" wrapText="1"/>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49" fillId="0" borderId="49" xfId="0" applyFont="1" applyBorder="1" applyAlignment="1">
      <alignment horizontal="center" vertical="center" wrapText="1"/>
    </xf>
    <xf numFmtId="0" fontId="49" fillId="0" borderId="31" xfId="0" applyFont="1" applyBorder="1" applyAlignment="1">
      <alignment horizontal="center" vertical="center" wrapText="1"/>
    </xf>
    <xf numFmtId="0" fontId="49" fillId="0" borderId="53" xfId="0" applyFont="1" applyBorder="1" applyAlignment="1">
      <alignment horizontal="center" vertical="center" wrapText="1"/>
    </xf>
    <xf numFmtId="0" fontId="49" fillId="0" borderId="67" xfId="0" applyFont="1" applyBorder="1" applyAlignment="1">
      <alignment horizontal="center" vertical="center" wrapText="1"/>
    </xf>
    <xf numFmtId="0" fontId="49" fillId="0" borderId="20" xfId="0" applyFont="1" applyBorder="1" applyAlignment="1">
      <alignment horizontal="center"/>
    </xf>
    <xf numFmtId="0" fontId="49" fillId="0" borderId="21" xfId="0" applyFont="1" applyBorder="1" applyAlignment="1">
      <alignment horizontal="center"/>
    </xf>
    <xf numFmtId="0" fontId="49" fillId="0" borderId="22" xfId="0" applyFont="1" applyBorder="1" applyAlignment="1">
      <alignment horizontal="center"/>
    </xf>
    <xf numFmtId="43" fontId="49" fillId="0" borderId="33" xfId="0" applyNumberFormat="1" applyFont="1" applyBorder="1" applyAlignment="1">
      <alignment horizontal="center"/>
    </xf>
    <xf numFmtId="4" fontId="49" fillId="0" borderId="33" xfId="0" applyNumberFormat="1" applyFont="1" applyBorder="1" applyAlignment="1">
      <alignment horizontal="center"/>
    </xf>
    <xf numFmtId="0" fontId="49" fillId="0" borderId="23" xfId="0" applyFont="1" applyBorder="1" applyAlignment="1">
      <alignment horizontal="center"/>
    </xf>
    <xf numFmtId="0" fontId="49" fillId="0" borderId="24" xfId="0" applyFont="1" applyBorder="1" applyAlignment="1">
      <alignment horizontal="center"/>
    </xf>
    <xf numFmtId="0" fontId="49" fillId="0" borderId="25" xfId="0" applyFont="1" applyBorder="1" applyAlignment="1">
      <alignment horizontal="center"/>
    </xf>
    <xf numFmtId="0" fontId="49" fillId="0" borderId="23" xfId="0" applyFont="1" applyBorder="1" applyAlignment="1">
      <alignment horizontal="left"/>
    </xf>
    <xf numFmtId="0" fontId="49" fillId="0" borderId="24" xfId="0" applyFont="1" applyBorder="1" applyAlignment="1">
      <alignment horizontal="left"/>
    </xf>
    <xf numFmtId="0" fontId="49" fillId="0" borderId="36" xfId="0" applyFont="1" applyBorder="1" applyAlignment="1">
      <alignment horizontal="center"/>
    </xf>
    <xf numFmtId="0" fontId="49" fillId="0" borderId="36" xfId="0" applyFont="1" applyBorder="1" applyAlignment="1">
      <alignment horizontal="center" wrapText="1"/>
    </xf>
    <xf numFmtId="43" fontId="49" fillId="0" borderId="36" xfId="2" applyFont="1" applyBorder="1" applyAlignment="1">
      <alignment horizontal="center"/>
    </xf>
    <xf numFmtId="0" fontId="49" fillId="0" borderId="20" xfId="0" applyFont="1" applyBorder="1" applyAlignment="1">
      <alignment horizontal="left"/>
    </xf>
    <xf numFmtId="0" fontId="49" fillId="0" borderId="21" xfId="0" applyFont="1" applyBorder="1" applyAlignment="1">
      <alignment horizontal="left"/>
    </xf>
    <xf numFmtId="0" fontId="49" fillId="0" borderId="72" xfId="0" applyFont="1" applyBorder="1" applyAlignment="1">
      <alignment horizontal="center" vertical="center"/>
    </xf>
    <xf numFmtId="0" fontId="49" fillId="0" borderId="73" xfId="0" applyFont="1" applyBorder="1" applyAlignment="1">
      <alignment horizontal="center" vertical="center"/>
    </xf>
    <xf numFmtId="0" fontId="49" fillId="0" borderId="74" xfId="0" applyFont="1" applyBorder="1" applyAlignment="1">
      <alignment horizontal="center" vertical="center"/>
    </xf>
    <xf numFmtId="0" fontId="49" fillId="0" borderId="72" xfId="0" applyFont="1" applyBorder="1" applyAlignment="1">
      <alignment horizontal="center" vertical="center" wrapText="1"/>
    </xf>
    <xf numFmtId="0" fontId="49" fillId="0" borderId="74" xfId="0" applyFont="1" applyBorder="1" applyAlignment="1">
      <alignment horizontal="center" vertical="center" wrapText="1"/>
    </xf>
    <xf numFmtId="0" fontId="49" fillId="0" borderId="20" xfId="0" applyFont="1" applyBorder="1" applyAlignment="1">
      <alignment horizontal="left" vertical="center"/>
    </xf>
    <xf numFmtId="0" fontId="49" fillId="0" borderId="21" xfId="0" applyFont="1" applyBorder="1" applyAlignment="1">
      <alignment horizontal="left" vertical="center"/>
    </xf>
    <xf numFmtId="0" fontId="49" fillId="0" borderId="33" xfId="0" applyFont="1" applyBorder="1" applyAlignment="1">
      <alignment horizontal="center" vertical="center"/>
    </xf>
    <xf numFmtId="43" fontId="49" fillId="0" borderId="33" xfId="2" applyFont="1" applyBorder="1" applyAlignment="1">
      <alignment horizontal="center" vertical="center"/>
    </xf>
    <xf numFmtId="0" fontId="49" fillId="0" borderId="17" xfId="0" applyFont="1" applyBorder="1" applyAlignment="1">
      <alignment horizontal="center" vertical="center"/>
    </xf>
    <xf numFmtId="0" fontId="49" fillId="0" borderId="18" xfId="0" applyFont="1" applyBorder="1" applyAlignment="1">
      <alignment horizontal="center" vertical="center"/>
    </xf>
    <xf numFmtId="0" fontId="49" fillId="7" borderId="72" xfId="0" applyFont="1" applyFill="1" applyBorder="1" applyAlignment="1">
      <alignment horizontal="center"/>
    </xf>
    <xf numFmtId="0" fontId="49" fillId="7" borderId="73" xfId="0" applyFont="1" applyFill="1" applyBorder="1" applyAlignment="1">
      <alignment horizontal="center"/>
    </xf>
    <xf numFmtId="0" fontId="49" fillId="7" borderId="74" xfId="0" applyFont="1" applyFill="1" applyBorder="1" applyAlignment="1">
      <alignment horizontal="center"/>
    </xf>
    <xf numFmtId="0" fontId="44" fillId="7" borderId="72" xfId="0" applyFont="1" applyFill="1" applyBorder="1" applyAlignment="1">
      <alignment horizontal="center"/>
    </xf>
    <xf numFmtId="0" fontId="44" fillId="7" borderId="73" xfId="0" applyFont="1" applyFill="1" applyBorder="1" applyAlignment="1">
      <alignment horizontal="center"/>
    </xf>
    <xf numFmtId="43" fontId="44" fillId="7" borderId="36" xfId="2" applyFont="1" applyFill="1" applyBorder="1" applyAlignment="1">
      <alignment horizontal="center"/>
    </xf>
    <xf numFmtId="0" fontId="49" fillId="7" borderId="72" xfId="0" applyFont="1" applyFill="1" applyBorder="1" applyAlignment="1">
      <alignment horizontal="center" wrapText="1"/>
    </xf>
    <xf numFmtId="0" fontId="49" fillId="7" borderId="73" xfId="0" applyFont="1" applyFill="1" applyBorder="1" applyAlignment="1">
      <alignment horizontal="center" wrapText="1"/>
    </xf>
    <xf numFmtId="0" fontId="49" fillId="7" borderId="74" xfId="0" applyFont="1" applyFill="1" applyBorder="1" applyAlignment="1">
      <alignment horizontal="center" wrapText="1"/>
    </xf>
    <xf numFmtId="0" fontId="49" fillId="0" borderId="73" xfId="0" applyFont="1" applyBorder="1" applyAlignment="1">
      <alignment horizontal="center" vertical="center" wrapText="1"/>
    </xf>
    <xf numFmtId="0" fontId="49" fillId="0" borderId="20" xfId="0" applyFont="1" applyBorder="1" applyAlignment="1">
      <alignment horizontal="center" vertical="center"/>
    </xf>
    <xf numFmtId="0" fontId="49" fillId="0" borderId="22" xfId="0" applyFont="1" applyBorder="1" applyAlignment="1">
      <alignment horizontal="center" vertical="center"/>
    </xf>
    <xf numFmtId="43" fontId="49" fillId="0" borderId="33" xfId="2" applyFont="1" applyFill="1" applyBorder="1" applyAlignment="1">
      <alignment horizontal="center" vertical="center"/>
    </xf>
    <xf numFmtId="43" fontId="44" fillId="7" borderId="50" xfId="0" applyNumberFormat="1" applyFont="1" applyFill="1" applyBorder="1" applyAlignment="1">
      <alignment horizontal="center"/>
    </xf>
    <xf numFmtId="0" fontId="44" fillId="7" borderId="50" xfId="0" applyFont="1" applyFill="1" applyBorder="1" applyAlignment="1">
      <alignment horizontal="center"/>
    </xf>
    <xf numFmtId="0" fontId="49" fillId="0" borderId="36" xfId="0" applyFont="1" applyBorder="1" applyAlignment="1">
      <alignment horizontal="center" vertical="center"/>
    </xf>
    <xf numFmtId="43" fontId="49" fillId="0" borderId="36" xfId="2" applyFont="1" applyBorder="1" applyAlignment="1">
      <alignment horizontal="center" vertical="center"/>
    </xf>
    <xf numFmtId="0" fontId="49" fillId="0" borderId="23" xfId="0" applyFont="1" applyBorder="1" applyAlignment="1">
      <alignment horizontal="center" vertical="center"/>
    </xf>
    <xf numFmtId="0" fontId="49" fillId="0" borderId="25" xfId="0" applyFont="1" applyBorder="1" applyAlignment="1">
      <alignment horizontal="center" vertical="center"/>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1" fontId="62" fillId="3" borderId="74" xfId="26" applyNumberFormat="1" applyFont="1" applyFill="1" applyBorder="1" applyAlignment="1">
      <alignment horizontal="left" vertical="center"/>
    </xf>
    <xf numFmtId="8" fontId="56" fillId="3" borderId="10" xfId="25" applyNumberFormat="1" applyFont="1" applyFill="1" applyBorder="1" applyAlignment="1">
      <alignment horizontal="center" vertical="center"/>
    </xf>
    <xf numFmtId="8" fontId="56" fillId="3" borderId="60" xfId="25" applyNumberFormat="1" applyFont="1" applyFill="1" applyBorder="1" applyAlignment="1">
      <alignment horizontal="center" vertical="center"/>
    </xf>
    <xf numFmtId="0" fontId="61" fillId="3" borderId="4" xfId="25" applyFont="1" applyFill="1" applyBorder="1" applyAlignment="1">
      <alignment horizontal="center" vertical="center"/>
    </xf>
    <xf numFmtId="0" fontId="61" fillId="3" borderId="26" xfId="25" applyFont="1" applyFill="1" applyBorder="1" applyAlignment="1">
      <alignment horizontal="center" vertical="center"/>
    </xf>
    <xf numFmtId="0" fontId="61" fillId="3" borderId="65" xfId="25" applyFont="1" applyFill="1" applyBorder="1" applyAlignment="1">
      <alignment horizontal="center" vertical="center"/>
    </xf>
    <xf numFmtId="14" fontId="56" fillId="3" borderId="85" xfId="25" applyNumberFormat="1" applyFont="1" applyFill="1" applyBorder="1" applyAlignment="1">
      <alignment horizontal="center" vertical="center" wrapText="1"/>
    </xf>
    <xf numFmtId="14" fontId="56" fillId="3" borderId="86" xfId="25" applyNumberFormat="1" applyFont="1" applyFill="1" applyBorder="1" applyAlignment="1">
      <alignment horizontal="center" vertical="center" wrapText="1"/>
    </xf>
    <xf numFmtId="8" fontId="15" fillId="3" borderId="26" xfId="25" applyNumberFormat="1" applyFont="1" applyFill="1" applyBorder="1" applyAlignment="1">
      <alignment horizontal="center"/>
    </xf>
    <xf numFmtId="8" fontId="15" fillId="3" borderId="9" xfId="25" applyNumberFormat="1" applyFont="1" applyFill="1" applyBorder="1" applyAlignment="1">
      <alignment horizontal="center"/>
    </xf>
    <xf numFmtId="0" fontId="55" fillId="3" borderId="10" xfId="25" applyFont="1" applyFill="1" applyBorder="1" applyAlignment="1">
      <alignment horizontal="center" vertical="center"/>
    </xf>
    <xf numFmtId="0" fontId="55" fillId="3" borderId="77" xfId="25" applyFont="1" applyFill="1" applyBorder="1" applyAlignment="1">
      <alignment horizontal="center" vertical="center"/>
    </xf>
    <xf numFmtId="0" fontId="55" fillId="3" borderId="0" xfId="25" applyFont="1" applyFill="1" applyAlignment="1">
      <alignment horizontal="center" vertical="center"/>
    </xf>
    <xf numFmtId="0" fontId="55" fillId="3" borderId="3" xfId="25" applyFont="1" applyFill="1" applyBorder="1" applyAlignment="1">
      <alignment horizontal="center" vertical="center"/>
    </xf>
    <xf numFmtId="0" fontId="56" fillId="3" borderId="4" xfId="25" applyFont="1" applyFill="1" applyBorder="1" applyAlignment="1">
      <alignment horizontal="center" vertical="center"/>
    </xf>
    <xf numFmtId="0" fontId="56" fillId="3" borderId="26" xfId="25" applyFont="1" applyFill="1" applyBorder="1" applyAlignment="1">
      <alignment horizontal="center" vertical="center"/>
    </xf>
    <xf numFmtId="0" fontId="56" fillId="3" borderId="65" xfId="25" applyFont="1" applyFill="1" applyBorder="1" applyAlignment="1">
      <alignment horizontal="center" vertical="center"/>
    </xf>
    <xf numFmtId="0" fontId="56" fillId="3" borderId="76" xfId="25" applyFont="1" applyFill="1" applyBorder="1" applyAlignment="1">
      <alignment horizontal="center" vertical="center" wrapText="1"/>
    </xf>
    <xf numFmtId="0" fontId="56" fillId="3" borderId="77" xfId="25" applyFont="1" applyFill="1" applyBorder="1" applyAlignment="1">
      <alignment horizontal="center" vertical="center" wrapText="1"/>
    </xf>
    <xf numFmtId="0" fontId="57" fillId="3" borderId="10" xfId="25" applyFont="1" applyFill="1" applyBorder="1" applyAlignment="1">
      <alignment horizontal="center" vertical="center"/>
    </xf>
    <xf numFmtId="0" fontId="57" fillId="3" borderId="60" xfId="25" applyFont="1" applyFill="1" applyBorder="1" applyAlignment="1">
      <alignment horizontal="center" vertical="center"/>
    </xf>
    <xf numFmtId="0" fontId="57" fillId="3" borderId="63" xfId="25" applyFont="1" applyFill="1" applyBorder="1" applyAlignment="1">
      <alignment horizontal="center" vertical="center"/>
    </xf>
    <xf numFmtId="0" fontId="57" fillId="3" borderId="64" xfId="25" applyFont="1" applyFill="1" applyBorder="1" applyAlignment="1">
      <alignment horizontal="center" vertical="center"/>
    </xf>
    <xf numFmtId="0" fontId="56" fillId="3" borderId="10" xfId="25" applyFont="1" applyFill="1" applyBorder="1" applyAlignment="1">
      <alignment horizontal="center" vertical="center"/>
    </xf>
    <xf numFmtId="0" fontId="56" fillId="3" borderId="60" xfId="25" applyFont="1" applyFill="1" applyBorder="1" applyAlignment="1">
      <alignment horizontal="center" vertical="center"/>
    </xf>
    <xf numFmtId="0" fontId="55" fillId="3" borderId="63" xfId="25" applyFont="1" applyFill="1" applyBorder="1" applyAlignment="1">
      <alignment horizontal="center" vertical="center"/>
    </xf>
    <xf numFmtId="0" fontId="55" fillId="3" borderId="86" xfId="25" applyFont="1" applyFill="1" applyBorder="1" applyAlignment="1">
      <alignment horizontal="center" vertical="center"/>
    </xf>
    <xf numFmtId="0" fontId="56" fillId="3" borderId="63" xfId="25" applyFont="1" applyFill="1" applyBorder="1" applyAlignment="1">
      <alignment horizontal="center" vertical="center"/>
    </xf>
    <xf numFmtId="0" fontId="56" fillId="3" borderId="64" xfId="25" applyFont="1" applyFill="1" applyBorder="1" applyAlignment="1">
      <alignment horizontal="center" vertical="center"/>
    </xf>
    <xf numFmtId="14" fontId="54" fillId="3" borderId="63" xfId="25" applyNumberFormat="1" applyFont="1" applyFill="1" applyBorder="1" applyAlignment="1">
      <alignment horizontal="center" vertical="center" wrapText="1"/>
    </xf>
    <xf numFmtId="14" fontId="54" fillId="3" borderId="64" xfId="25" applyNumberFormat="1" applyFont="1" applyFill="1" applyBorder="1" applyAlignment="1">
      <alignment horizontal="center" vertical="center" wrapText="1"/>
    </xf>
    <xf numFmtId="0" fontId="15" fillId="3" borderId="66" xfId="25" applyFont="1" applyFill="1" applyBorder="1" applyAlignment="1">
      <alignment horizontal="center" vertical="center" wrapText="1"/>
    </xf>
    <xf numFmtId="0" fontId="15" fillId="3" borderId="84" xfId="25" applyFont="1" applyFill="1" applyBorder="1" applyAlignment="1">
      <alignment horizontal="center" vertical="center" wrapText="1"/>
    </xf>
    <xf numFmtId="0" fontId="15" fillId="3" borderId="76" xfId="25" applyFont="1" applyFill="1" applyBorder="1" applyAlignment="1">
      <alignment horizontal="center" vertical="center" wrapText="1"/>
    </xf>
    <xf numFmtId="0" fontId="15" fillId="3" borderId="10" xfId="25" applyFont="1" applyFill="1" applyBorder="1" applyAlignment="1">
      <alignment horizontal="center" vertical="center" wrapText="1"/>
    </xf>
    <xf numFmtId="0" fontId="15" fillId="3" borderId="77" xfId="25" applyFont="1" applyFill="1" applyBorder="1" applyAlignment="1">
      <alignment horizontal="center" vertical="center" wrapText="1"/>
    </xf>
    <xf numFmtId="0" fontId="15" fillId="3" borderId="85" xfId="25" applyFont="1" applyFill="1" applyBorder="1" applyAlignment="1">
      <alignment horizontal="center" vertical="center" wrapText="1"/>
    </xf>
    <xf numFmtId="0" fontId="15" fillId="3" borderId="63" xfId="25" applyFont="1" applyFill="1" applyBorder="1" applyAlignment="1">
      <alignment horizontal="center" vertical="center" wrapText="1"/>
    </xf>
    <xf numFmtId="0" fontId="15" fillId="3" borderId="86" xfId="25" applyFont="1" applyFill="1" applyBorder="1" applyAlignment="1">
      <alignment horizontal="center" vertical="center" wrapText="1"/>
    </xf>
    <xf numFmtId="0" fontId="15" fillId="3" borderId="87" xfId="25" applyFont="1" applyFill="1" applyBorder="1" applyAlignment="1">
      <alignment horizontal="center" vertical="center" wrapText="1"/>
    </xf>
    <xf numFmtId="0" fontId="15" fillId="3" borderId="88" xfId="25" applyFont="1" applyFill="1" applyBorder="1" applyAlignment="1">
      <alignment horizontal="center" vertical="center" wrapText="1"/>
    </xf>
    <xf numFmtId="0" fontId="8" fillId="3" borderId="26" xfId="25" applyFont="1" applyFill="1" applyBorder="1" applyAlignment="1">
      <alignment horizontal="center" vertical="center"/>
    </xf>
    <xf numFmtId="0" fontId="8" fillId="3" borderId="9" xfId="25" applyFont="1" applyFill="1" applyBorder="1" applyAlignment="1">
      <alignment horizontal="center" vertical="center"/>
    </xf>
    <xf numFmtId="0" fontId="66" fillId="3" borderId="1" xfId="25" applyFont="1" applyFill="1" applyBorder="1" applyAlignment="1">
      <alignment horizontal="center" vertical="center"/>
    </xf>
    <xf numFmtId="0" fontId="66" fillId="3" borderId="0" xfId="25" applyFont="1" applyFill="1" applyAlignment="1">
      <alignment horizontal="center" vertical="center"/>
    </xf>
    <xf numFmtId="0" fontId="66" fillId="3" borderId="2" xfId="25" applyFont="1" applyFill="1" applyBorder="1" applyAlignment="1">
      <alignment horizontal="center" vertical="center"/>
    </xf>
    <xf numFmtId="4" fontId="56" fillId="9" borderId="26" xfId="27" applyNumberFormat="1" applyFont="1" applyFill="1" applyBorder="1" applyAlignment="1">
      <alignment horizontal="center" vertical="center"/>
    </xf>
    <xf numFmtId="4" fontId="56" fillId="9" borderId="65" xfId="27" applyNumberFormat="1" applyFont="1" applyFill="1" applyBorder="1" applyAlignment="1">
      <alignment horizontal="center" vertical="center"/>
    </xf>
    <xf numFmtId="0" fontId="1" fillId="3" borderId="1" xfId="25" applyFill="1" applyBorder="1" applyAlignment="1">
      <alignment horizontal="center"/>
    </xf>
    <xf numFmtId="0" fontId="1" fillId="3" borderId="0" xfId="25" applyFill="1" applyAlignment="1">
      <alignment horizontal="center"/>
    </xf>
    <xf numFmtId="0" fontId="1" fillId="3" borderId="2" xfId="25" applyFill="1" applyBorder="1" applyAlignment="1">
      <alignment horizontal="center"/>
    </xf>
    <xf numFmtId="4" fontId="3" fillId="9" borderId="15" xfId="27" applyNumberFormat="1" applyFont="1" applyFill="1" applyBorder="1" applyAlignment="1">
      <alignment horizontal="center" vertical="center"/>
    </xf>
    <xf numFmtId="4" fontId="3" fillId="9" borderId="26" xfId="27" applyNumberFormat="1" applyFont="1" applyFill="1" applyBorder="1" applyAlignment="1">
      <alignment horizontal="center" vertical="center"/>
    </xf>
    <xf numFmtId="4" fontId="3" fillId="9" borderId="65" xfId="27" applyNumberFormat="1" applyFont="1" applyFill="1" applyBorder="1" applyAlignment="1">
      <alignment horizontal="center" vertical="center"/>
    </xf>
    <xf numFmtId="1" fontId="56" fillId="7" borderId="72" xfId="26" applyNumberFormat="1" applyFont="1" applyFill="1" applyBorder="1" applyAlignment="1">
      <alignment horizontal="left" vertical="center" wrapText="1"/>
    </xf>
    <xf numFmtId="1" fontId="56" fillId="7" borderId="73" xfId="26" applyNumberFormat="1" applyFont="1" applyFill="1" applyBorder="1" applyAlignment="1">
      <alignment horizontal="left" vertical="center" wrapText="1"/>
    </xf>
    <xf numFmtId="1" fontId="56" fillId="7" borderId="74" xfId="26" applyNumberFormat="1" applyFont="1" applyFill="1" applyBorder="1" applyAlignment="1">
      <alignment horizontal="left" vertical="center" wrapText="1"/>
    </xf>
    <xf numFmtId="0" fontId="2" fillId="7" borderId="50" xfId="0" applyFont="1" applyFill="1" applyBorder="1" applyAlignment="1">
      <alignment horizontal="center"/>
    </xf>
    <xf numFmtId="0" fontId="2" fillId="0" borderId="47" xfId="0" applyFont="1" applyBorder="1" applyAlignment="1">
      <alignment horizontal="center" vertical="center" wrapText="1"/>
    </xf>
    <xf numFmtId="0" fontId="2" fillId="0" borderId="45"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0" xfId="0" applyFont="1" applyAlignment="1">
      <alignment horizontal="center" vertical="center" wrapText="1"/>
    </xf>
    <xf numFmtId="0" fontId="2" fillId="0" borderId="3" xfId="0" applyFont="1" applyBorder="1" applyAlignment="1">
      <alignment horizontal="center" vertical="center" wrapText="1"/>
    </xf>
    <xf numFmtId="0" fontId="2" fillId="0" borderId="48" xfId="0" applyFont="1" applyBorder="1" applyAlignment="1">
      <alignment horizontal="center" vertical="center" wrapText="1"/>
    </xf>
    <xf numFmtId="0" fontId="2" fillId="0" borderId="49" xfId="0" applyFont="1" applyBorder="1" applyAlignment="1">
      <alignment horizontal="center" vertical="center" wrapText="1"/>
    </xf>
    <xf numFmtId="0" fontId="2" fillId="0" borderId="31" xfId="0" applyFont="1" applyBorder="1" applyAlignment="1">
      <alignment horizontal="center" vertical="center" wrapText="1"/>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1" xfId="0" applyFont="1" applyBorder="1" applyAlignment="1">
      <alignment horizontal="center" vertical="center" wrapText="1"/>
    </xf>
    <xf numFmtId="0" fontId="7" fillId="0" borderId="0" xfId="0" applyFont="1" applyAlignment="1">
      <alignment horizontal="center" vertical="center" wrapText="1"/>
    </xf>
    <xf numFmtId="0" fontId="7" fillId="0" borderId="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5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50" xfId="0" applyFont="1" applyBorder="1" applyAlignment="1">
      <alignment horizontal="center" vertical="center" wrapText="1"/>
    </xf>
    <xf numFmtId="0" fontId="10" fillId="0" borderId="53" xfId="0" applyFont="1" applyBorder="1" applyAlignment="1">
      <alignment horizontal="center" vertical="center" wrapText="1"/>
    </xf>
    <xf numFmtId="0" fontId="10" fillId="0" borderId="87" xfId="0" applyFont="1" applyBorder="1" applyAlignment="1">
      <alignment horizontal="center" vertical="center" wrapText="1"/>
    </xf>
    <xf numFmtId="0" fontId="10" fillId="0" borderId="54" xfId="0" applyFont="1" applyBorder="1" applyAlignment="1">
      <alignment horizontal="center" vertical="center" wrapText="1"/>
    </xf>
    <xf numFmtId="0" fontId="10" fillId="0" borderId="90" xfId="0" applyFont="1" applyBorder="1" applyAlignment="1">
      <alignment horizontal="center" vertical="center" wrapText="1"/>
    </xf>
    <xf numFmtId="0" fontId="10" fillId="0" borderId="81" xfId="0" applyFont="1" applyBorder="1" applyAlignment="1">
      <alignment horizontal="center" vertical="center" wrapText="1"/>
    </xf>
    <xf numFmtId="0" fontId="15" fillId="0" borderId="47" xfId="0" applyFont="1" applyBorder="1" applyAlignment="1">
      <alignment horizontal="center" vertical="center"/>
    </xf>
    <xf numFmtId="0" fontId="15" fillId="0" borderId="45" xfId="0" applyFont="1" applyBorder="1" applyAlignment="1">
      <alignment horizontal="center" vertical="center"/>
    </xf>
    <xf numFmtId="0" fontId="15" fillId="0" borderId="46" xfId="0" applyFont="1" applyBorder="1" applyAlignment="1">
      <alignment horizontal="center" vertical="center"/>
    </xf>
    <xf numFmtId="0" fontId="15" fillId="0" borderId="0" xfId="0" applyFont="1" applyAlignment="1">
      <alignment horizontal="left" vertical="center"/>
    </xf>
    <xf numFmtId="0" fontId="15" fillId="0" borderId="3" xfId="0" applyFont="1" applyBorder="1" applyAlignment="1">
      <alignment horizontal="left" vertical="center"/>
    </xf>
    <xf numFmtId="0" fontId="98" fillId="22" borderId="72" xfId="0" applyFont="1" applyFill="1" applyBorder="1" applyAlignment="1">
      <alignment horizontal="center"/>
    </xf>
    <xf numFmtId="0" fontId="98" fillId="22" borderId="73" xfId="0" applyFont="1" applyFill="1" applyBorder="1" applyAlignment="1">
      <alignment horizontal="center"/>
    </xf>
    <xf numFmtId="0" fontId="98" fillId="22" borderId="74" xfId="0" applyFont="1" applyFill="1" applyBorder="1" applyAlignment="1">
      <alignment horizontal="center"/>
    </xf>
    <xf numFmtId="0" fontId="98" fillId="22" borderId="53" xfId="0" applyFont="1" applyFill="1" applyBorder="1" applyAlignment="1">
      <alignment horizontal="center" vertical="center"/>
    </xf>
    <xf numFmtId="0" fontId="98" fillId="22" borderId="67" xfId="0" applyFont="1" applyFill="1" applyBorder="1" applyAlignment="1">
      <alignment horizontal="center" vertical="center"/>
    </xf>
    <xf numFmtId="0" fontId="81" fillId="0" borderId="0" xfId="0" applyFont="1" applyAlignment="1">
      <alignment horizontal="center" vertical="center"/>
    </xf>
    <xf numFmtId="0" fontId="2" fillId="15" borderId="72" xfId="0" applyFont="1" applyFill="1" applyBorder="1" applyAlignment="1">
      <alignment horizontal="center"/>
    </xf>
    <xf numFmtId="0" fontId="2" fillId="15" borderId="73" xfId="0" applyFont="1" applyFill="1" applyBorder="1" applyAlignment="1">
      <alignment horizontal="center"/>
    </xf>
    <xf numFmtId="0" fontId="2" fillId="15" borderId="74" xfId="0" applyFont="1" applyFill="1" applyBorder="1" applyAlignment="1">
      <alignment horizontal="center"/>
    </xf>
    <xf numFmtId="0" fontId="17" fillId="0" borderId="72" xfId="0" applyFont="1" applyBorder="1" applyAlignment="1">
      <alignment horizontal="center"/>
    </xf>
    <xf numFmtId="0" fontId="17" fillId="0" borderId="73" xfId="0" applyFont="1" applyBorder="1" applyAlignment="1">
      <alignment horizontal="center"/>
    </xf>
    <xf numFmtId="0" fontId="17" fillId="0" borderId="74" xfId="0" applyFont="1" applyBorder="1" applyAlignment="1">
      <alignment horizontal="center"/>
    </xf>
    <xf numFmtId="0" fontId="29" fillId="0" borderId="47"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7" xfId="0" applyFont="1" applyBorder="1" applyAlignment="1">
      <alignment horizontal="center" vertical="center" wrapText="1"/>
    </xf>
    <xf numFmtId="0" fontId="29" fillId="0" borderId="0" xfId="0" applyFont="1" applyAlignment="1">
      <alignment horizontal="center" vertical="center" wrapText="1"/>
    </xf>
    <xf numFmtId="0" fontId="29" fillId="0" borderId="3" xfId="0" applyFont="1" applyBorder="1" applyAlignment="1">
      <alignment horizontal="center" vertical="center" wrapText="1"/>
    </xf>
    <xf numFmtId="0" fontId="29" fillId="0" borderId="48" xfId="0" applyFont="1" applyBorder="1" applyAlignment="1">
      <alignment horizontal="center" vertical="center" wrapText="1"/>
    </xf>
    <xf numFmtId="0" fontId="29" fillId="0" borderId="49" xfId="0" applyFont="1" applyBorder="1" applyAlignment="1">
      <alignment horizontal="center" vertical="center" wrapText="1"/>
    </xf>
    <xf numFmtId="0" fontId="29" fillId="0" borderId="31" xfId="0" applyFont="1" applyBorder="1" applyAlignment="1">
      <alignment horizontal="center" vertical="center" wrapText="1"/>
    </xf>
    <xf numFmtId="10" fontId="14" fillId="0" borderId="54" xfId="1" applyNumberFormat="1" applyFont="1" applyBorder="1" applyAlignment="1" applyProtection="1">
      <alignment horizontal="center" vertical="center"/>
    </xf>
    <xf numFmtId="10" fontId="14" fillId="17" borderId="54" xfId="1" applyNumberFormat="1" applyFont="1" applyFill="1" applyBorder="1" applyAlignment="1" applyProtection="1">
      <alignment horizontal="center" vertical="center"/>
    </xf>
    <xf numFmtId="165" fontId="12" fillId="0" borderId="27" xfId="2" applyNumberFormat="1" applyFont="1" applyFill="1" applyBorder="1" applyAlignment="1" applyProtection="1">
      <alignment horizontal="center" vertical="center"/>
    </xf>
    <xf numFmtId="165" fontId="12" fillId="0" borderId="3" xfId="2" applyNumberFormat="1" applyFont="1" applyFill="1" applyBorder="1" applyAlignment="1" applyProtection="1">
      <alignment horizontal="center" vertical="center"/>
    </xf>
    <xf numFmtId="165" fontId="12" fillId="17" borderId="27" xfId="2" applyNumberFormat="1" applyFont="1" applyFill="1" applyBorder="1" applyAlignment="1" applyProtection="1">
      <alignment horizontal="center" vertical="center"/>
    </xf>
    <xf numFmtId="165" fontId="12" fillId="17" borderId="3" xfId="2" applyNumberFormat="1" applyFont="1" applyFill="1" applyBorder="1" applyAlignment="1" applyProtection="1">
      <alignment horizontal="center" vertical="center"/>
    </xf>
    <xf numFmtId="165" fontId="35" fillId="0" borderId="27" xfId="2" applyNumberFormat="1" applyFont="1" applyFill="1" applyBorder="1" applyAlignment="1" applyProtection="1">
      <alignment horizontal="center" vertical="center"/>
    </xf>
    <xf numFmtId="165" fontId="35" fillId="0" borderId="3" xfId="2" applyNumberFormat="1" applyFont="1" applyFill="1" applyBorder="1" applyAlignment="1" applyProtection="1">
      <alignment horizontal="center" vertical="center"/>
    </xf>
    <xf numFmtId="165" fontId="35" fillId="17" borderId="27" xfId="2" applyNumberFormat="1" applyFont="1" applyFill="1" applyBorder="1" applyAlignment="1" applyProtection="1">
      <alignment horizontal="center" vertical="center"/>
    </xf>
    <xf numFmtId="165" fontId="35" fillId="17" borderId="3" xfId="2" applyNumberFormat="1" applyFont="1" applyFill="1" applyBorder="1" applyAlignment="1" applyProtection="1">
      <alignment horizontal="center" vertical="center"/>
    </xf>
    <xf numFmtId="0" fontId="10" fillId="0" borderId="54" xfId="0" applyFont="1" applyBorder="1" applyAlignment="1" applyProtection="1">
      <alignment horizontal="center" vertical="center"/>
      <protection locked="0"/>
    </xf>
    <xf numFmtId="0" fontId="4" fillId="0" borderId="54" xfId="0" applyFont="1" applyBorder="1" applyAlignment="1" applyProtection="1">
      <alignment horizontal="center" vertical="center"/>
      <protection locked="0"/>
    </xf>
    <xf numFmtId="0" fontId="4" fillId="17" borderId="54" xfId="0" applyFont="1" applyFill="1" applyBorder="1" applyAlignment="1" applyProtection="1">
      <alignment horizontal="center" vertical="center"/>
      <protection locked="0"/>
    </xf>
    <xf numFmtId="165" fontId="33" fillId="0" borderId="27" xfId="2" applyNumberFormat="1" applyFont="1" applyFill="1" applyBorder="1" applyAlignment="1" applyProtection="1">
      <alignment horizontal="center" vertical="center"/>
      <protection locked="0"/>
    </xf>
    <xf numFmtId="165" fontId="33" fillId="0" borderId="3" xfId="2" applyNumberFormat="1" applyFont="1" applyFill="1" applyBorder="1" applyAlignment="1" applyProtection="1">
      <alignment horizontal="center" vertical="center"/>
      <protection locked="0"/>
    </xf>
    <xf numFmtId="165" fontId="33" fillId="17" borderId="27" xfId="2" applyNumberFormat="1" applyFont="1" applyFill="1" applyBorder="1" applyAlignment="1" applyProtection="1">
      <alignment horizontal="center" vertical="center"/>
      <protection locked="0"/>
    </xf>
    <xf numFmtId="165" fontId="33" fillId="17" borderId="3" xfId="2" applyNumberFormat="1" applyFont="1" applyFill="1" applyBorder="1" applyAlignment="1" applyProtection="1">
      <alignment horizontal="center" vertical="center"/>
      <protection locked="0"/>
    </xf>
    <xf numFmtId="10" fontId="37" fillId="0" borderId="27" xfId="1" applyNumberFormat="1" applyFont="1" applyFill="1" applyBorder="1" applyAlignment="1" applyProtection="1">
      <alignment horizontal="center" vertical="center"/>
    </xf>
    <xf numFmtId="10" fontId="37" fillId="0" borderId="3" xfId="1" applyNumberFormat="1" applyFont="1" applyFill="1" applyBorder="1" applyAlignment="1" applyProtection="1">
      <alignment horizontal="center" vertical="center"/>
    </xf>
    <xf numFmtId="165" fontId="16" fillId="0" borderId="27" xfId="2" applyNumberFormat="1" applyFont="1" applyFill="1" applyBorder="1" applyAlignment="1" applyProtection="1">
      <alignment horizontal="center" vertical="center"/>
    </xf>
    <xf numFmtId="165" fontId="16" fillId="0" borderId="3" xfId="2" applyNumberFormat="1" applyFont="1" applyFill="1" applyBorder="1" applyAlignment="1" applyProtection="1">
      <alignment horizontal="center" vertical="center"/>
    </xf>
    <xf numFmtId="4" fontId="3" fillId="7" borderId="73" xfId="0" applyNumberFormat="1" applyFont="1" applyFill="1" applyBorder="1" applyAlignment="1">
      <alignment horizontal="center" vertical="center" wrapText="1"/>
    </xf>
    <xf numFmtId="4" fontId="0" fillId="7" borderId="58" xfId="0" applyNumberFormat="1" applyFill="1" applyBorder="1" applyAlignment="1">
      <alignment horizontal="center" vertical="center" wrapText="1"/>
    </xf>
    <xf numFmtId="4" fontId="3" fillId="7" borderId="75" xfId="0" applyNumberFormat="1" applyFont="1" applyFill="1" applyBorder="1" applyAlignment="1">
      <alignment horizontal="center" vertical="center" wrapText="1"/>
    </xf>
    <xf numFmtId="4" fontId="0" fillId="7" borderId="73" xfId="0" applyNumberFormat="1" applyFill="1" applyBorder="1" applyAlignment="1">
      <alignment horizontal="center" vertical="center" wrapText="1"/>
    </xf>
    <xf numFmtId="4" fontId="3" fillId="23" borderId="73" xfId="0" applyNumberFormat="1" applyFont="1" applyFill="1" applyBorder="1" applyAlignment="1">
      <alignment horizontal="center" vertical="center" wrapText="1"/>
    </xf>
    <xf numFmtId="4" fontId="3" fillId="23" borderId="58" xfId="0" applyNumberFormat="1" applyFont="1" applyFill="1" applyBorder="1" applyAlignment="1">
      <alignment horizontal="center" vertical="center" wrapText="1"/>
    </xf>
    <xf numFmtId="4" fontId="3" fillId="23" borderId="75" xfId="0" applyNumberFormat="1" applyFont="1" applyFill="1" applyBorder="1" applyAlignment="1">
      <alignment horizontal="center" vertical="center" wrapText="1"/>
    </xf>
    <xf numFmtId="4" fontId="0" fillId="23" borderId="58" xfId="0" applyNumberFormat="1" applyFill="1" applyBorder="1" applyAlignment="1">
      <alignment horizontal="center" vertical="center" wrapText="1"/>
    </xf>
    <xf numFmtId="4" fontId="0" fillId="23" borderId="73" xfId="0" applyNumberFormat="1" applyFill="1" applyBorder="1" applyAlignment="1">
      <alignment horizontal="center" vertical="center" wrapText="1"/>
    </xf>
    <xf numFmtId="0" fontId="4" fillId="0" borderId="27"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10" fillId="0" borderId="47"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1" fontId="4" fillId="0" borderId="47" xfId="0" applyNumberFormat="1" applyFont="1" applyBorder="1" applyAlignment="1" applyProtection="1">
      <alignment horizontal="center" vertical="center"/>
      <protection locked="0"/>
    </xf>
    <xf numFmtId="1" fontId="4" fillId="0" borderId="46" xfId="0" applyNumberFormat="1" applyFont="1" applyBorder="1" applyAlignment="1" applyProtection="1">
      <alignment horizontal="center" vertical="center"/>
      <protection locked="0"/>
    </xf>
    <xf numFmtId="1" fontId="10" fillId="0" borderId="47" xfId="0" applyNumberFormat="1" applyFont="1" applyBorder="1" applyAlignment="1" applyProtection="1">
      <alignment horizontal="center" vertical="center"/>
      <protection locked="0"/>
    </xf>
    <xf numFmtId="1" fontId="10" fillId="0" borderId="46" xfId="0" applyNumberFormat="1" applyFont="1" applyBorder="1" applyAlignment="1" applyProtection="1">
      <alignment horizontal="center" vertical="center"/>
      <protection locked="0"/>
    </xf>
    <xf numFmtId="9" fontId="4" fillId="0" borderId="72" xfId="0" applyNumberFormat="1" applyFont="1" applyBorder="1" applyAlignment="1">
      <alignment horizontal="center" vertical="center"/>
    </xf>
    <xf numFmtId="9" fontId="4" fillId="0" borderId="73" xfId="0" applyNumberFormat="1" applyFont="1" applyBorder="1" applyAlignment="1">
      <alignment horizontal="center" vertical="center"/>
    </xf>
    <xf numFmtId="9" fontId="4" fillId="0" borderId="74" xfId="0" applyNumberFormat="1" applyFont="1" applyBorder="1" applyAlignment="1">
      <alignment horizontal="center" vertical="center"/>
    </xf>
    <xf numFmtId="10" fontId="14" fillId="0" borderId="48" xfId="1" applyNumberFormat="1" applyFont="1" applyBorder="1" applyAlignment="1" applyProtection="1">
      <alignment horizontal="center" vertical="center"/>
    </xf>
    <xf numFmtId="10" fontId="14" fillId="0" borderId="31" xfId="1" applyNumberFormat="1" applyFont="1" applyBorder="1" applyAlignment="1" applyProtection="1">
      <alignment horizontal="center" vertical="center"/>
    </xf>
    <xf numFmtId="43" fontId="3" fillId="7" borderId="73" xfId="0" applyNumberFormat="1" applyFont="1" applyFill="1" applyBorder="1" applyAlignment="1">
      <alignment horizontal="center" vertical="center" wrapText="1"/>
    </xf>
    <xf numFmtId="0" fontId="0" fillId="7" borderId="73" xfId="0" applyFill="1" applyBorder="1" applyAlignment="1">
      <alignment horizontal="center" vertical="center" wrapText="1"/>
    </xf>
    <xf numFmtId="0" fontId="12" fillId="0" borderId="63" xfId="0" applyFont="1" applyBorder="1" applyAlignment="1">
      <alignment horizontal="center" vertical="center"/>
    </xf>
    <xf numFmtId="0" fontId="3" fillId="0" borderId="54" xfId="0" applyFont="1" applyBorder="1" applyAlignment="1">
      <alignment horizontal="center" vertical="center"/>
    </xf>
    <xf numFmtId="0" fontId="5" fillId="0" borderId="54" xfId="0" applyFont="1" applyBorder="1" applyAlignment="1">
      <alignment horizontal="justify" vertical="center" wrapText="1"/>
    </xf>
    <xf numFmtId="165" fontId="3" fillId="0" borderId="54" xfId="2" applyNumberFormat="1" applyFont="1" applyFill="1" applyBorder="1" applyAlignment="1" applyProtection="1">
      <alignment horizontal="center" vertical="center"/>
    </xf>
    <xf numFmtId="165" fontId="3" fillId="0" borderId="54" xfId="2" applyNumberFormat="1" applyFont="1" applyFill="1" applyBorder="1" applyAlignment="1" applyProtection="1">
      <alignment horizontal="center" vertical="center"/>
      <protection locked="0"/>
    </xf>
    <xf numFmtId="1" fontId="3" fillId="0" borderId="54" xfId="0" applyNumberFormat="1" applyFont="1" applyBorder="1" applyAlignment="1">
      <alignment horizontal="center" vertical="center"/>
    </xf>
    <xf numFmtId="9" fontId="3" fillId="0" borderId="54" xfId="1" applyFont="1" applyFill="1" applyBorder="1" applyAlignment="1" applyProtection="1">
      <alignment horizontal="center" vertical="center"/>
    </xf>
    <xf numFmtId="0" fontId="4" fillId="2" borderId="47" xfId="0" applyFont="1" applyFill="1" applyBorder="1" applyAlignment="1" applyProtection="1">
      <alignment horizontal="center" vertical="center"/>
      <protection locked="0"/>
    </xf>
    <xf numFmtId="0" fontId="4" fillId="2" borderId="46" xfId="0" applyFont="1" applyFill="1" applyBorder="1" applyAlignment="1" applyProtection="1">
      <alignment horizontal="center" vertical="center"/>
      <protection locked="0"/>
    </xf>
    <xf numFmtId="1" fontId="4" fillId="2" borderId="47" xfId="0" applyNumberFormat="1" applyFont="1" applyFill="1" applyBorder="1" applyAlignment="1" applyProtection="1">
      <alignment horizontal="center" vertical="center"/>
      <protection locked="0"/>
    </xf>
    <xf numFmtId="1" fontId="4" fillId="2" borderId="46" xfId="0" applyNumberFormat="1" applyFont="1" applyFill="1" applyBorder="1" applyAlignment="1" applyProtection="1">
      <alignment horizontal="center" vertical="center"/>
      <protection locked="0"/>
    </xf>
    <xf numFmtId="0" fontId="4" fillId="0" borderId="47" xfId="0" applyFont="1" applyBorder="1" applyAlignment="1" applyProtection="1">
      <alignment horizontal="center" vertical="center"/>
      <protection locked="0"/>
    </xf>
    <xf numFmtId="0" fontId="4" fillId="0" borderId="46" xfId="0" applyFont="1" applyBorder="1" applyAlignment="1" applyProtection="1">
      <alignment horizontal="center" vertical="center"/>
      <protection locked="0"/>
    </xf>
    <xf numFmtId="2" fontId="4" fillId="0" borderId="47" xfId="0" applyNumberFormat="1" applyFont="1" applyBorder="1" applyAlignment="1" applyProtection="1">
      <alignment horizontal="center" vertical="center"/>
      <protection locked="0"/>
    </xf>
    <xf numFmtId="2" fontId="4" fillId="0" borderId="46" xfId="0" applyNumberFormat="1" applyFont="1" applyBorder="1" applyAlignment="1" applyProtection="1">
      <alignment horizontal="center" vertical="center"/>
      <protection locked="0"/>
    </xf>
    <xf numFmtId="165" fontId="12" fillId="0" borderId="27" xfId="2" applyNumberFormat="1" applyFont="1" applyBorder="1" applyAlignment="1">
      <alignment horizontal="center" vertical="center"/>
    </xf>
    <xf numFmtId="165" fontId="12" fillId="0" borderId="3" xfId="2" applyNumberFormat="1" applyFont="1" applyBorder="1" applyAlignment="1">
      <alignment horizontal="center" vertical="center"/>
    </xf>
    <xf numFmtId="1" fontId="10" fillId="0" borderId="54" xfId="0" applyNumberFormat="1" applyFont="1" applyBorder="1" applyAlignment="1" applyProtection="1">
      <alignment horizontal="center" vertical="center"/>
      <protection locked="0"/>
    </xf>
    <xf numFmtId="1" fontId="10" fillId="16" borderId="54" xfId="0" applyNumberFormat="1" applyFont="1" applyFill="1" applyBorder="1" applyAlignment="1" applyProtection="1">
      <alignment horizontal="center" vertical="center"/>
      <protection locked="0"/>
    </xf>
    <xf numFmtId="0" fontId="11" fillId="0" borderId="54" xfId="0" applyFont="1" applyBorder="1" applyAlignment="1" applyProtection="1">
      <alignment horizontal="center" vertical="center"/>
      <protection locked="0"/>
    </xf>
    <xf numFmtId="0" fontId="10" fillId="0" borderId="53" xfId="0" applyFont="1" applyBorder="1" applyAlignment="1" applyProtection="1">
      <alignment horizontal="center" vertical="center"/>
      <protection locked="0"/>
    </xf>
    <xf numFmtId="0" fontId="10" fillId="0" borderId="27"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168" fontId="11" fillId="5" borderId="67" xfId="0" applyNumberFormat="1" applyFont="1" applyFill="1" applyBorder="1" applyAlignment="1">
      <alignment horizontal="center" vertical="center"/>
    </xf>
    <xf numFmtId="1" fontId="10" fillId="0" borderId="53" xfId="0" applyNumberFormat="1" applyFont="1" applyBorder="1" applyAlignment="1" applyProtection="1">
      <alignment horizontal="center" vertical="center"/>
      <protection locked="0"/>
    </xf>
    <xf numFmtId="165" fontId="16" fillId="17" borderId="27" xfId="2" applyNumberFormat="1" applyFont="1" applyFill="1" applyBorder="1" applyAlignment="1" applyProtection="1">
      <alignment horizontal="center" vertical="center"/>
    </xf>
    <xf numFmtId="165" fontId="16" fillId="17" borderId="3" xfId="2" applyNumberFormat="1" applyFont="1" applyFill="1" applyBorder="1" applyAlignment="1" applyProtection="1">
      <alignment horizontal="center" vertical="center"/>
    </xf>
    <xf numFmtId="10" fontId="37" fillId="17" borderId="27" xfId="1" applyNumberFormat="1" applyFont="1" applyFill="1" applyBorder="1" applyAlignment="1" applyProtection="1">
      <alignment horizontal="center" vertical="center"/>
    </xf>
    <xf numFmtId="10" fontId="37" fillId="17" borderId="3" xfId="1" applyNumberFormat="1" applyFont="1" applyFill="1" applyBorder="1" applyAlignment="1" applyProtection="1">
      <alignment horizontal="center" vertical="center"/>
    </xf>
    <xf numFmtId="0" fontId="10" fillId="17" borderId="54" xfId="0" applyFont="1" applyFill="1" applyBorder="1" applyAlignment="1" applyProtection="1">
      <alignment horizontal="center" vertical="center"/>
      <protection locked="0"/>
    </xf>
    <xf numFmtId="165" fontId="12" fillId="17" borderId="27" xfId="2" applyNumberFormat="1" applyFont="1" applyFill="1" applyBorder="1" applyAlignment="1">
      <alignment horizontal="center" vertical="center"/>
    </xf>
    <xf numFmtId="165" fontId="12" fillId="17" borderId="3" xfId="2" applyNumberFormat="1" applyFont="1" applyFill="1" applyBorder="1" applyAlignment="1">
      <alignment horizontal="center" vertical="center"/>
    </xf>
    <xf numFmtId="0" fontId="10" fillId="17" borderId="53" xfId="0" applyFont="1" applyFill="1" applyBorder="1" applyAlignment="1" applyProtection="1">
      <alignment horizontal="center" vertical="center"/>
      <protection locked="0"/>
    </xf>
    <xf numFmtId="0" fontId="4" fillId="17" borderId="27" xfId="0" applyFont="1" applyFill="1" applyBorder="1" applyAlignment="1" applyProtection="1">
      <alignment horizontal="center" vertical="center"/>
      <protection locked="0"/>
    </xf>
    <xf numFmtId="0" fontId="4" fillId="17" borderId="3" xfId="0" applyFont="1" applyFill="1" applyBorder="1" applyAlignment="1" applyProtection="1">
      <alignment horizontal="center" vertical="center"/>
      <protection locked="0"/>
    </xf>
    <xf numFmtId="0" fontId="10" fillId="17" borderId="27" xfId="0" applyFont="1" applyFill="1" applyBorder="1" applyAlignment="1" applyProtection="1">
      <alignment horizontal="center" vertical="center"/>
      <protection locked="0"/>
    </xf>
    <xf numFmtId="0" fontId="10" fillId="17" borderId="3" xfId="0" applyFont="1" applyFill="1" applyBorder="1" applyAlignment="1" applyProtection="1">
      <alignment horizontal="center" vertical="center"/>
      <protection locked="0"/>
    </xf>
    <xf numFmtId="168" fontId="11" fillId="6" borderId="48" xfId="0" applyNumberFormat="1" applyFont="1" applyFill="1" applyBorder="1" applyAlignment="1">
      <alignment horizontal="center" vertical="center"/>
    </xf>
    <xf numFmtId="168" fontId="11" fillId="6" borderId="31" xfId="0" applyNumberFormat="1" applyFont="1" applyFill="1" applyBorder="1" applyAlignment="1">
      <alignment horizontal="center" vertical="center"/>
    </xf>
    <xf numFmtId="168" fontId="11" fillId="17" borderId="48" xfId="0" applyNumberFormat="1" applyFont="1" applyFill="1" applyBorder="1" applyAlignment="1">
      <alignment horizontal="center" vertical="center"/>
    </xf>
    <xf numFmtId="168" fontId="11" fillId="17" borderId="31" xfId="0" applyNumberFormat="1" applyFont="1" applyFill="1" applyBorder="1" applyAlignment="1">
      <alignment horizontal="center" vertical="center"/>
    </xf>
    <xf numFmtId="168" fontId="11" fillId="5" borderId="50" xfId="0" applyNumberFormat="1" applyFont="1" applyFill="1" applyBorder="1" applyAlignment="1">
      <alignment horizontal="center" vertical="center"/>
    </xf>
    <xf numFmtId="1" fontId="10" fillId="25" borderId="47" xfId="0" applyNumberFormat="1" applyFont="1" applyFill="1" applyBorder="1" applyAlignment="1" applyProtection="1">
      <alignment horizontal="center" vertical="center"/>
      <protection locked="0"/>
    </xf>
    <xf numFmtId="1" fontId="10" fillId="25" borderId="46" xfId="0" applyNumberFormat="1" applyFont="1" applyFill="1" applyBorder="1" applyAlignment="1" applyProtection="1">
      <alignment horizontal="center" vertical="center"/>
      <protection locked="0"/>
    </xf>
    <xf numFmtId="43" fontId="3" fillId="23" borderId="73" xfId="0" applyNumberFormat="1" applyFont="1" applyFill="1" applyBorder="1" applyAlignment="1">
      <alignment horizontal="center" vertical="center" wrapText="1"/>
    </xf>
    <xf numFmtId="0" fontId="0" fillId="23" borderId="73" xfId="0" applyFill="1" applyBorder="1" applyAlignment="1">
      <alignment horizontal="center" vertical="center" wrapText="1"/>
    </xf>
    <xf numFmtId="165" fontId="3" fillId="0" borderId="54" xfId="2" applyNumberFormat="1" applyFont="1" applyBorder="1" applyAlignment="1">
      <alignment horizontal="center" vertical="center"/>
    </xf>
    <xf numFmtId="1" fontId="10" fillId="24" borderId="47" xfId="0" applyNumberFormat="1" applyFont="1" applyFill="1" applyBorder="1" applyAlignment="1" applyProtection="1">
      <alignment horizontal="center" vertical="center"/>
      <protection locked="0"/>
    </xf>
    <xf numFmtId="1" fontId="10" fillId="24" borderId="46" xfId="0" applyNumberFormat="1" applyFont="1" applyFill="1" applyBorder="1" applyAlignment="1" applyProtection="1">
      <alignment horizontal="center" vertical="center"/>
      <protection locked="0"/>
    </xf>
    <xf numFmtId="0" fontId="11" fillId="0" borderId="47" xfId="0" applyFont="1" applyBorder="1" applyAlignment="1" applyProtection="1">
      <alignment horizontal="center" vertical="center"/>
      <protection locked="0"/>
    </xf>
    <xf numFmtId="0" fontId="11" fillId="0" borderId="46" xfId="0" applyFont="1" applyBorder="1" applyAlignment="1" applyProtection="1">
      <alignment horizontal="center" vertical="center"/>
      <protection locked="0"/>
    </xf>
    <xf numFmtId="9" fontId="4" fillId="0" borderId="75" xfId="0" applyNumberFormat="1" applyFont="1" applyBorder="1" applyAlignment="1">
      <alignment horizontal="center" vertical="center"/>
    </xf>
    <xf numFmtId="1" fontId="101" fillId="26" borderId="47" xfId="0" applyNumberFormat="1" applyFont="1" applyFill="1" applyBorder="1" applyAlignment="1" applyProtection="1">
      <alignment horizontal="center" vertical="center"/>
      <protection locked="0"/>
    </xf>
    <xf numFmtId="1" fontId="101" fillId="26" borderId="46" xfId="0" applyNumberFormat="1" applyFont="1" applyFill="1" applyBorder="1" applyAlignment="1" applyProtection="1">
      <alignment horizontal="center" vertical="center"/>
      <protection locked="0"/>
    </xf>
    <xf numFmtId="182" fontId="3" fillId="7" borderId="73" xfId="0" applyNumberFormat="1" applyFont="1" applyFill="1" applyBorder="1" applyAlignment="1">
      <alignment horizontal="center" vertical="center" wrapText="1"/>
    </xf>
    <xf numFmtId="182" fontId="0" fillId="7" borderId="73" xfId="0" applyNumberFormat="1" applyFill="1" applyBorder="1" applyAlignment="1">
      <alignment horizontal="center" vertical="center" wrapText="1"/>
    </xf>
    <xf numFmtId="2" fontId="10" fillId="0" borderId="54" xfId="0" applyNumberFormat="1" applyFont="1" applyBorder="1" applyAlignment="1" applyProtection="1">
      <alignment horizontal="center" vertical="center"/>
      <protection locked="0"/>
    </xf>
    <xf numFmtId="183" fontId="10" fillId="0" borderId="54" xfId="0" applyNumberFormat="1" applyFont="1" applyBorder="1" applyAlignment="1" applyProtection="1">
      <alignment horizontal="center" vertical="center"/>
      <protection locked="0"/>
    </xf>
    <xf numFmtId="2" fontId="10" fillId="0" borderId="47" xfId="0" applyNumberFormat="1" applyFont="1" applyBorder="1" applyAlignment="1" applyProtection="1">
      <alignment horizontal="center" vertical="center"/>
      <protection locked="0"/>
    </xf>
    <xf numFmtId="2" fontId="10" fillId="0" borderId="46" xfId="0" applyNumberFormat="1" applyFont="1" applyBorder="1" applyAlignment="1" applyProtection="1">
      <alignment horizontal="center" vertical="center"/>
      <protection locked="0"/>
    </xf>
    <xf numFmtId="43" fontId="12" fillId="0" borderId="27" xfId="2" applyFont="1" applyFill="1" applyBorder="1" applyAlignment="1" applyProtection="1">
      <alignment horizontal="center" vertical="center"/>
    </xf>
    <xf numFmtId="3" fontId="3" fillId="0" borderId="54" xfId="0" applyNumberFormat="1" applyFont="1" applyBorder="1" applyAlignment="1">
      <alignment horizontal="center" vertical="center"/>
    </xf>
    <xf numFmtId="1" fontId="10" fillId="2" borderId="47" xfId="0" applyNumberFormat="1" applyFont="1" applyFill="1" applyBorder="1" applyAlignment="1" applyProtection="1">
      <alignment horizontal="center" vertical="center"/>
      <protection locked="0"/>
    </xf>
    <xf numFmtId="1" fontId="10" fillId="2" borderId="46" xfId="0" applyNumberFormat="1" applyFont="1" applyFill="1" applyBorder="1" applyAlignment="1" applyProtection="1">
      <alignment horizontal="center" vertical="center"/>
      <protection locked="0"/>
    </xf>
    <xf numFmtId="4" fontId="3" fillId="7" borderId="58" xfId="0" applyNumberFormat="1" applyFont="1" applyFill="1" applyBorder="1" applyAlignment="1">
      <alignment horizontal="center" vertical="center" wrapText="1"/>
    </xf>
    <xf numFmtId="168" fontId="11" fillId="6" borderId="67" xfId="0" applyNumberFormat="1" applyFont="1" applyFill="1" applyBorder="1" applyAlignment="1">
      <alignment horizontal="center" vertical="center"/>
    </xf>
    <xf numFmtId="0" fontId="10" fillId="0" borderId="50" xfId="0" applyFont="1" applyBorder="1" applyAlignment="1">
      <alignment horizontal="center" vertical="center"/>
    </xf>
    <xf numFmtId="0" fontId="10" fillId="0" borderId="53" xfId="0" applyFont="1" applyBorder="1" applyAlignment="1">
      <alignment horizontal="center" vertical="center"/>
    </xf>
    <xf numFmtId="0" fontId="10" fillId="0" borderId="54" xfId="0" applyFont="1" applyBorder="1" applyAlignment="1">
      <alignment horizontal="center" vertical="center"/>
    </xf>
    <xf numFmtId="0" fontId="10" fillId="0" borderId="67" xfId="0" applyFont="1" applyBorder="1" applyAlignment="1">
      <alignment horizontal="center" vertical="center"/>
    </xf>
    <xf numFmtId="0" fontId="10" fillId="0" borderId="67" xfId="0" applyFont="1" applyBorder="1" applyAlignment="1">
      <alignment horizontal="center" vertical="center" wrapText="1"/>
    </xf>
    <xf numFmtId="0" fontId="10" fillId="0" borderId="47" xfId="0" applyFont="1" applyBorder="1" applyAlignment="1">
      <alignment horizontal="center" vertical="center" wrapText="1"/>
    </xf>
    <xf numFmtId="168" fontId="11" fillId="6" borderId="51" xfId="0" applyNumberFormat="1" applyFont="1" applyFill="1" applyBorder="1" applyAlignment="1">
      <alignment horizontal="center" vertical="center"/>
    </xf>
    <xf numFmtId="168" fontId="11" fillId="6" borderId="52" xfId="0" applyNumberFormat="1" applyFont="1" applyFill="1" applyBorder="1" applyAlignment="1">
      <alignment horizontal="center" vertical="center"/>
    </xf>
    <xf numFmtId="0" fontId="10" fillId="0" borderId="80" xfId="0" applyFont="1" applyBorder="1" applyAlignment="1">
      <alignment horizontal="center" vertical="center" wrapText="1"/>
    </xf>
    <xf numFmtId="0" fontId="10" fillId="0" borderId="28" xfId="0" applyFont="1" applyBorder="1" applyAlignment="1">
      <alignment horizontal="center" vertical="center" wrapText="1"/>
    </xf>
    <xf numFmtId="14" fontId="9" fillId="0" borderId="0" xfId="0" applyNumberFormat="1" applyFont="1" applyAlignment="1" applyProtection="1">
      <alignment horizontal="center" vertical="center" wrapText="1"/>
      <protection locked="0"/>
    </xf>
    <xf numFmtId="183" fontId="10" fillId="0" borderId="47" xfId="0" applyNumberFormat="1" applyFont="1" applyBorder="1" applyAlignment="1" applyProtection="1">
      <alignment horizontal="center" vertical="center"/>
      <protection locked="0"/>
    </xf>
    <xf numFmtId="183" fontId="10" fillId="0" borderId="46" xfId="0" applyNumberFormat="1" applyFont="1" applyBorder="1" applyAlignment="1" applyProtection="1">
      <alignment horizontal="center" vertical="center"/>
      <protection locked="0"/>
    </xf>
    <xf numFmtId="0" fontId="11" fillId="0" borderId="2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43" fontId="3" fillId="7" borderId="45" xfId="0" applyNumberFormat="1" applyFont="1" applyFill="1" applyBorder="1" applyAlignment="1">
      <alignment horizontal="center" vertical="center" wrapText="1"/>
    </xf>
    <xf numFmtId="0" fontId="0" fillId="7" borderId="45" xfId="0" applyFill="1" applyBorder="1" applyAlignment="1">
      <alignment horizontal="center" vertical="center" wrapText="1"/>
    </xf>
    <xf numFmtId="4" fontId="3" fillId="7" borderId="83" xfId="0" applyNumberFormat="1" applyFont="1" applyFill="1" applyBorder="1" applyAlignment="1">
      <alignment horizontal="center" vertical="center" wrapText="1"/>
    </xf>
    <xf numFmtId="4" fontId="0" fillId="7" borderId="45" xfId="0" applyNumberFormat="1" applyFill="1" applyBorder="1" applyAlignment="1">
      <alignment horizontal="center" vertical="center" wrapText="1"/>
    </xf>
    <xf numFmtId="4" fontId="3" fillId="7" borderId="45" xfId="0" applyNumberFormat="1" applyFont="1" applyFill="1" applyBorder="1" applyAlignment="1">
      <alignment horizontal="center" vertical="center" wrapText="1"/>
    </xf>
    <xf numFmtId="4" fontId="0" fillId="7" borderId="82" xfId="0" applyNumberFormat="1" applyFill="1" applyBorder="1" applyAlignment="1">
      <alignment horizontal="center" vertical="center" wrapText="1"/>
    </xf>
    <xf numFmtId="4" fontId="3" fillId="7" borderId="82" xfId="0" applyNumberFormat="1" applyFont="1" applyFill="1" applyBorder="1" applyAlignment="1">
      <alignment horizontal="center" vertical="center" wrapText="1"/>
    </xf>
    <xf numFmtId="0" fontId="11" fillId="2" borderId="27" xfId="0" applyFont="1" applyFill="1" applyBorder="1" applyAlignment="1" applyProtection="1">
      <alignment horizontal="center" vertical="center"/>
      <protection locked="0"/>
    </xf>
    <xf numFmtId="0" fontId="11" fillId="2" borderId="3" xfId="0" applyFont="1" applyFill="1" applyBorder="1" applyAlignment="1" applyProtection="1">
      <alignment horizontal="center" vertical="center"/>
      <protection locked="0"/>
    </xf>
    <xf numFmtId="0" fontId="7" fillId="0" borderId="0" xfId="0" applyFont="1" applyAlignment="1">
      <alignment horizontal="center" vertical="center"/>
    </xf>
    <xf numFmtId="0" fontId="10" fillId="2" borderId="27" xfId="0" applyFont="1" applyFill="1" applyBorder="1" applyAlignment="1" applyProtection="1">
      <alignment horizontal="center" vertical="center"/>
      <protection locked="0"/>
    </xf>
    <xf numFmtId="0" fontId="10" fillId="2" borderId="3" xfId="0" applyFont="1" applyFill="1" applyBorder="1" applyAlignment="1" applyProtection="1">
      <alignment horizontal="center" vertical="center"/>
      <protection locked="0"/>
    </xf>
    <xf numFmtId="1" fontId="10" fillId="2" borderId="27"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vertical="center"/>
      <protection locked="0"/>
    </xf>
    <xf numFmtId="2" fontId="10" fillId="0" borderId="27" xfId="0" applyNumberFormat="1" applyFont="1" applyBorder="1" applyAlignment="1" applyProtection="1">
      <alignment horizontal="center" vertical="center"/>
      <protection locked="0"/>
    </xf>
    <xf numFmtId="2" fontId="10" fillId="0" borderId="3" xfId="0" applyNumberFormat="1" applyFont="1" applyBorder="1" applyAlignment="1" applyProtection="1">
      <alignment horizontal="center" vertical="center"/>
      <protection locked="0"/>
    </xf>
    <xf numFmtId="0" fontId="10" fillId="2" borderId="46" xfId="0" applyFont="1" applyFill="1" applyBorder="1" applyAlignment="1" applyProtection="1">
      <alignment horizontal="center" vertical="center"/>
      <protection locked="0"/>
    </xf>
    <xf numFmtId="9" fontId="4" fillId="0" borderId="4" xfId="0" applyNumberFormat="1" applyFont="1" applyBorder="1" applyAlignment="1">
      <alignment horizontal="center" vertical="center"/>
    </xf>
    <xf numFmtId="9" fontId="4" fillId="0" borderId="26" xfId="0" applyNumberFormat="1" applyFont="1" applyBorder="1" applyAlignment="1">
      <alignment horizontal="center" vertical="center"/>
    </xf>
    <xf numFmtId="9" fontId="4" fillId="0" borderId="9" xfId="0" applyNumberFormat="1" applyFont="1" applyBorder="1" applyAlignment="1">
      <alignment horizontal="center" vertical="center"/>
    </xf>
    <xf numFmtId="9" fontId="4" fillId="0" borderId="58" xfId="0" applyNumberFormat="1" applyFont="1" applyBorder="1" applyAlignment="1">
      <alignment horizontal="center" vertical="center"/>
    </xf>
    <xf numFmtId="1" fontId="10" fillId="24" borderId="27" xfId="0" applyNumberFormat="1" applyFont="1" applyFill="1" applyBorder="1" applyAlignment="1" applyProtection="1">
      <alignment horizontal="center" vertical="center"/>
      <protection locked="0"/>
    </xf>
    <xf numFmtId="1" fontId="10" fillId="24" borderId="3" xfId="0" applyNumberFormat="1" applyFont="1" applyFill="1" applyBorder="1" applyAlignment="1" applyProtection="1">
      <alignment horizontal="center" vertical="center"/>
      <protection locked="0"/>
    </xf>
    <xf numFmtId="183" fontId="10" fillId="24" borderId="27" xfId="0" applyNumberFormat="1" applyFont="1" applyFill="1" applyBorder="1" applyAlignment="1" applyProtection="1">
      <alignment horizontal="center" vertical="center"/>
      <protection locked="0"/>
    </xf>
    <xf numFmtId="183" fontId="10" fillId="24" borderId="3" xfId="0" applyNumberFormat="1" applyFont="1" applyFill="1" applyBorder="1" applyAlignment="1" applyProtection="1">
      <alignment horizontal="center" vertical="center"/>
      <protection locked="0"/>
    </xf>
    <xf numFmtId="0" fontId="4" fillId="7" borderId="4" xfId="0" applyFont="1" applyFill="1" applyBorder="1" applyAlignment="1">
      <alignment horizontal="center" vertical="center"/>
    </xf>
    <xf numFmtId="0" fontId="4" fillId="7" borderId="26" xfId="0" applyFont="1" applyFill="1" applyBorder="1" applyAlignment="1">
      <alignment horizontal="center" vertical="center"/>
    </xf>
    <xf numFmtId="0" fontId="4" fillId="7" borderId="9" xfId="0" applyFont="1" applyFill="1" applyBorder="1" applyAlignment="1">
      <alignment horizontal="center" vertical="center"/>
    </xf>
    <xf numFmtId="168" fontId="11" fillId="5" borderId="51" xfId="0" applyNumberFormat="1" applyFont="1" applyFill="1" applyBorder="1" applyAlignment="1">
      <alignment horizontal="center" vertical="center"/>
    </xf>
    <xf numFmtId="168" fontId="11" fillId="5" borderId="52" xfId="0" applyNumberFormat="1" applyFont="1" applyFill="1" applyBorder="1" applyAlignment="1">
      <alignment horizontal="center" vertical="center"/>
    </xf>
    <xf numFmtId="168" fontId="11" fillId="5" borderId="78" xfId="0" applyNumberFormat="1" applyFont="1" applyFill="1" applyBorder="1" applyAlignment="1">
      <alignment horizontal="center" vertical="center"/>
    </xf>
    <xf numFmtId="168" fontId="11" fillId="6" borderId="79" xfId="0" applyNumberFormat="1" applyFont="1" applyFill="1" applyBorder="1" applyAlignment="1">
      <alignment horizontal="center" vertical="center"/>
    </xf>
    <xf numFmtId="168" fontId="11" fillId="6" borderId="78" xfId="0" applyNumberFormat="1" applyFont="1" applyFill="1" applyBorder="1" applyAlignment="1">
      <alignment horizontal="center" vertical="center"/>
    </xf>
    <xf numFmtId="168" fontId="11" fillId="5" borderId="79" xfId="0" applyNumberFormat="1" applyFont="1" applyFill="1" applyBorder="1" applyAlignment="1">
      <alignment horizontal="center" vertical="center"/>
    </xf>
    <xf numFmtId="168" fontId="11" fillId="6" borderId="50" xfId="0" applyNumberFormat="1" applyFont="1" applyFill="1" applyBorder="1" applyAlignment="1">
      <alignment horizontal="center" vertical="center"/>
    </xf>
    <xf numFmtId="0" fontId="105" fillId="4" borderId="83" xfId="3" applyFont="1" applyFill="1" applyBorder="1" applyAlignment="1">
      <alignment horizontal="center" vertical="center"/>
    </xf>
    <xf numFmtId="0" fontId="105" fillId="4" borderId="1" xfId="3" applyFont="1" applyFill="1" applyBorder="1" applyAlignment="1">
      <alignment horizontal="center" vertical="center"/>
    </xf>
    <xf numFmtId="0" fontId="53" fillId="0" borderId="13" xfId="3" applyFont="1" applyBorder="1" applyAlignment="1" applyProtection="1">
      <alignment horizontal="center" vertical="center" textRotation="180" wrapText="1"/>
      <protection locked="0"/>
    </xf>
    <xf numFmtId="0" fontId="53" fillId="0" borderId="55" xfId="3" applyFont="1" applyBorder="1" applyAlignment="1" applyProtection="1">
      <alignment horizontal="center" vertical="center" textRotation="180" wrapText="1"/>
      <protection locked="0"/>
    </xf>
    <xf numFmtId="0" fontId="53" fillId="0" borderId="68" xfId="3" applyFont="1" applyBorder="1" applyAlignment="1" applyProtection="1">
      <alignment horizontal="center" vertical="center" textRotation="180" wrapText="1"/>
      <protection locked="0"/>
    </xf>
    <xf numFmtId="0" fontId="30" fillId="8" borderId="13" xfId="3" applyFont="1" applyFill="1" applyBorder="1" applyAlignment="1">
      <alignment horizontal="center" vertical="center" wrapText="1"/>
    </xf>
    <xf numFmtId="0" fontId="30" fillId="8" borderId="55" xfId="3" applyFont="1" applyFill="1" applyBorder="1" applyAlignment="1">
      <alignment horizontal="center" vertical="center" wrapText="1"/>
    </xf>
    <xf numFmtId="0" fontId="30" fillId="8" borderId="90" xfId="3" applyFont="1" applyFill="1" applyBorder="1" applyAlignment="1">
      <alignment horizontal="center" vertical="center" wrapText="1"/>
    </xf>
    <xf numFmtId="0" fontId="30" fillId="8" borderId="28" xfId="3" applyFont="1" applyFill="1" applyBorder="1" applyAlignment="1">
      <alignment horizontal="center" vertical="center" wrapText="1"/>
    </xf>
    <xf numFmtId="0" fontId="30" fillId="8" borderId="81" xfId="3" applyFont="1" applyFill="1" applyBorder="1" applyAlignment="1">
      <alignment horizontal="center" vertical="center" wrapText="1"/>
    </xf>
    <xf numFmtId="2" fontId="23" fillId="0" borderId="10" xfId="0" applyNumberFormat="1" applyFont="1" applyBorder="1" applyAlignment="1">
      <alignment horizontal="left" vertical="center" wrapText="1"/>
    </xf>
    <xf numFmtId="4" fontId="24" fillId="3" borderId="3" xfId="4" applyNumberFormat="1" applyFont="1" applyFill="1" applyBorder="1" applyAlignment="1">
      <alignment horizontal="center" vertical="center"/>
    </xf>
    <xf numFmtId="43" fontId="30" fillId="8" borderId="76" xfId="2" applyFont="1" applyFill="1" applyBorder="1" applyAlignment="1">
      <alignment horizontal="center" vertical="center" wrapText="1"/>
    </xf>
    <xf numFmtId="43" fontId="30" fillId="8" borderId="10" xfId="2" applyFont="1" applyFill="1" applyBorder="1" applyAlignment="1">
      <alignment horizontal="center" vertical="center" wrapText="1"/>
    </xf>
    <xf numFmtId="0" fontId="44" fillId="8" borderId="78" xfId="3" applyFont="1" applyFill="1" applyBorder="1" applyAlignment="1">
      <alignment horizontal="center" vertical="center" wrapText="1"/>
    </xf>
    <xf numFmtId="0" fontId="44" fillId="8" borderId="89" xfId="3" applyFont="1" applyFill="1" applyBorder="1" applyAlignment="1">
      <alignment horizontal="center" vertical="center" wrapText="1"/>
    </xf>
    <xf numFmtId="0" fontId="44" fillId="8" borderId="79" xfId="3" applyFont="1" applyFill="1" applyBorder="1" applyAlignment="1">
      <alignment horizontal="center" vertical="center" wrapText="1"/>
    </xf>
    <xf numFmtId="43" fontId="30" fillId="8" borderId="78" xfId="2" applyFont="1" applyFill="1" applyBorder="1" applyAlignment="1" applyProtection="1">
      <alignment horizontal="center" vertical="center"/>
    </xf>
    <xf numFmtId="43" fontId="30" fillId="8" borderId="89" xfId="2" applyFont="1" applyFill="1" applyBorder="1" applyAlignment="1" applyProtection="1">
      <alignment horizontal="center" vertical="center"/>
    </xf>
    <xf numFmtId="43" fontId="30" fillId="8" borderId="79" xfId="2" applyFont="1" applyFill="1" applyBorder="1" applyAlignment="1" applyProtection="1">
      <alignment horizontal="center" vertical="center"/>
    </xf>
    <xf numFmtId="0" fontId="30" fillId="8" borderId="78" xfId="3" applyFont="1" applyFill="1" applyBorder="1" applyAlignment="1">
      <alignment horizontal="center" vertical="center"/>
    </xf>
    <xf numFmtId="0" fontId="30" fillId="8" borderId="89" xfId="3" applyFont="1" applyFill="1" applyBorder="1" applyAlignment="1">
      <alignment horizontal="center" vertical="center"/>
    </xf>
    <xf numFmtId="0" fontId="30" fillId="8" borderId="79" xfId="3" applyFont="1" applyFill="1" applyBorder="1" applyAlignment="1">
      <alignment horizontal="center" vertical="center"/>
    </xf>
    <xf numFmtId="43" fontId="30" fillId="8" borderId="61" xfId="2" applyFont="1" applyFill="1" applyBorder="1" applyAlignment="1" applyProtection="1">
      <alignment horizontal="center" vertical="center" wrapText="1"/>
    </xf>
    <xf numFmtId="43" fontId="30" fillId="8" borderId="59" xfId="2" applyFont="1" applyFill="1" applyBorder="1" applyAlignment="1" applyProtection="1">
      <alignment horizontal="center" vertical="center" wrapText="1"/>
    </xf>
    <xf numFmtId="0" fontId="44" fillId="8" borderId="13" xfId="3" applyFont="1" applyFill="1" applyBorder="1" applyAlignment="1">
      <alignment horizontal="center" vertical="center" wrapText="1"/>
    </xf>
    <xf numFmtId="0" fontId="44" fillId="8" borderId="52" xfId="3" applyFont="1" applyFill="1" applyBorder="1" applyAlignment="1">
      <alignment horizontal="center" vertical="center" wrapText="1"/>
    </xf>
    <xf numFmtId="0" fontId="44" fillId="8" borderId="12" xfId="3" applyFont="1" applyFill="1" applyBorder="1" applyAlignment="1">
      <alignment horizontal="center" vertical="center" wrapText="1"/>
    </xf>
    <xf numFmtId="0" fontId="44" fillId="8" borderId="14" xfId="3" applyFont="1" applyFill="1" applyBorder="1" applyAlignment="1">
      <alignment horizontal="center" vertical="center" wrapText="1"/>
    </xf>
    <xf numFmtId="0" fontId="30" fillId="8" borderId="12" xfId="3" applyFont="1" applyFill="1" applyBorder="1" applyAlignment="1">
      <alignment horizontal="center" vertical="center" wrapText="1"/>
    </xf>
    <xf numFmtId="0" fontId="30" fillId="8" borderId="50" xfId="3" applyFont="1" applyFill="1" applyBorder="1" applyAlignment="1">
      <alignment horizontal="center" vertical="center" wrapText="1"/>
    </xf>
    <xf numFmtId="43" fontId="30" fillId="8" borderId="12" xfId="2" applyFont="1" applyFill="1" applyBorder="1" applyAlignment="1" applyProtection="1">
      <alignment horizontal="center" vertical="center" wrapText="1"/>
    </xf>
    <xf numFmtId="43" fontId="30" fillId="8" borderId="50" xfId="2" applyFont="1" applyFill="1" applyBorder="1" applyAlignment="1" applyProtection="1">
      <alignment horizontal="center" vertical="center" wrapText="1"/>
    </xf>
    <xf numFmtId="0" fontId="30" fillId="8" borderId="87" xfId="3" applyFont="1" applyFill="1" applyBorder="1" applyAlignment="1">
      <alignment horizontal="center" vertical="center" wrapText="1"/>
    </xf>
    <xf numFmtId="0" fontId="30" fillId="8" borderId="54" xfId="3" applyFont="1" applyFill="1" applyBorder="1" applyAlignment="1">
      <alignment horizontal="center" vertical="center" wrapText="1"/>
    </xf>
    <xf numFmtId="0" fontId="30" fillId="8" borderId="67" xfId="3" applyFont="1" applyFill="1" applyBorder="1" applyAlignment="1">
      <alignment horizontal="center" vertical="center" wrapText="1"/>
    </xf>
    <xf numFmtId="0" fontId="21" fillId="2" borderId="0" xfId="3" applyFont="1" applyFill="1" applyAlignment="1" applyProtection="1">
      <alignment horizontal="left" vertical="center" wrapText="1"/>
      <protection locked="0"/>
    </xf>
    <xf numFmtId="14" fontId="21" fillId="2" borderId="0" xfId="3" applyNumberFormat="1" applyFont="1" applyFill="1" applyAlignment="1" applyProtection="1">
      <alignment horizontal="left" vertical="center" wrapText="1"/>
      <protection locked="0"/>
    </xf>
    <xf numFmtId="0" fontId="21" fillId="3" borderId="85" xfId="3" applyFont="1" applyFill="1" applyBorder="1" applyAlignment="1" applyProtection="1">
      <alignment horizontal="center" vertical="center" wrapText="1"/>
      <protection locked="0"/>
    </xf>
    <xf numFmtId="0" fontId="21" fillId="3" borderId="63" xfId="3" applyFont="1" applyFill="1" applyBorder="1" applyAlignment="1" applyProtection="1">
      <alignment horizontal="center" vertical="center" wrapText="1"/>
      <protection locked="0"/>
    </xf>
    <xf numFmtId="4" fontId="17" fillId="0" borderId="15" xfId="0" applyNumberFormat="1" applyFont="1" applyBorder="1" applyAlignment="1">
      <alignment horizontal="center"/>
    </xf>
    <xf numFmtId="4" fontId="17" fillId="0" borderId="65" xfId="0" applyNumberFormat="1" applyFont="1" applyBorder="1" applyAlignment="1">
      <alignment horizontal="center"/>
    </xf>
    <xf numFmtId="0" fontId="29" fillId="0" borderId="11" xfId="0" applyFont="1" applyBorder="1" applyAlignment="1">
      <alignment horizontal="center"/>
    </xf>
    <xf numFmtId="0" fontId="29" fillId="0" borderId="10" xfId="0" applyFont="1" applyBorder="1" applyAlignment="1">
      <alignment horizontal="center"/>
    </xf>
    <xf numFmtId="0" fontId="29" fillId="0" borderId="60" xfId="0" applyFont="1" applyBorder="1" applyAlignment="1">
      <alignment horizontal="center"/>
    </xf>
    <xf numFmtId="0" fontId="2" fillId="0" borderId="13" xfId="0" applyFont="1" applyBorder="1" applyAlignment="1">
      <alignment horizontal="center" vertical="center"/>
    </xf>
    <xf numFmtId="0" fontId="2" fillId="0" borderId="55" xfId="0" applyFont="1" applyBorder="1" applyAlignment="1">
      <alignment horizontal="center" vertical="center"/>
    </xf>
    <xf numFmtId="49" fontId="2" fillId="0" borderId="12" xfId="0" applyNumberFormat="1" applyFont="1" applyBorder="1" applyAlignment="1">
      <alignment horizontal="center" vertical="center"/>
    </xf>
    <xf numFmtId="49" fontId="2" fillId="0" borderId="50" xfId="0" applyNumberFormat="1" applyFont="1" applyBorder="1" applyAlignment="1">
      <alignment horizontal="center" vertical="center"/>
    </xf>
    <xf numFmtId="0" fontId="0" fillId="0" borderId="13" xfId="0" applyBorder="1" applyAlignment="1">
      <alignment horizontal="center" vertical="center"/>
    </xf>
    <xf numFmtId="0" fontId="0" fillId="0" borderId="55" xfId="0" applyBorder="1" applyAlignment="1">
      <alignment horizontal="center" vertical="center"/>
    </xf>
    <xf numFmtId="171" fontId="0" fillId="0" borderId="50" xfId="2" applyNumberFormat="1" applyFont="1" applyBorder="1" applyAlignment="1" applyProtection="1">
      <alignment horizontal="center"/>
      <protection locked="0"/>
    </xf>
    <xf numFmtId="49" fontId="2" fillId="0" borderId="14" xfId="0" applyNumberFormat="1" applyFont="1" applyBorder="1" applyAlignment="1">
      <alignment horizontal="center" vertical="center"/>
    </xf>
    <xf numFmtId="49" fontId="2" fillId="0" borderId="56" xfId="0" applyNumberFormat="1" applyFont="1" applyBorder="1" applyAlignment="1">
      <alignment horizontal="center" vertical="center"/>
    </xf>
    <xf numFmtId="4" fontId="17" fillId="0" borderId="9" xfId="0" applyNumberFormat="1" applyFont="1" applyBorder="1" applyAlignment="1">
      <alignment horizontal="center"/>
    </xf>
    <xf numFmtId="171" fontId="17" fillId="0" borderId="69" xfId="2" applyNumberFormat="1" applyFont="1" applyBorder="1" applyAlignment="1" applyProtection="1">
      <alignment horizontal="center" vertical="center"/>
    </xf>
    <xf numFmtId="171" fontId="2" fillId="0" borderId="50" xfId="2" applyNumberFormat="1" applyFont="1" applyBorder="1" applyAlignment="1" applyProtection="1">
      <alignment horizontal="center"/>
    </xf>
    <xf numFmtId="171" fontId="0" fillId="0" borderId="50" xfId="2" applyNumberFormat="1" applyFont="1" applyBorder="1" applyAlignment="1" applyProtection="1">
      <alignment horizontal="center"/>
    </xf>
    <xf numFmtId="171" fontId="0" fillId="0" borderId="56" xfId="2" applyNumberFormat="1" applyFont="1" applyBorder="1" applyAlignment="1" applyProtection="1">
      <alignment horizontal="center"/>
    </xf>
    <xf numFmtId="171" fontId="2" fillId="0" borderId="56" xfId="2" applyNumberFormat="1" applyFont="1" applyBorder="1" applyAlignment="1" applyProtection="1">
      <alignment horizontal="center"/>
    </xf>
    <xf numFmtId="171" fontId="17" fillId="0" borderId="70" xfId="2" applyNumberFormat="1" applyFont="1" applyBorder="1" applyAlignment="1" applyProtection="1">
      <alignment horizontal="center" vertical="center"/>
    </xf>
    <xf numFmtId="0" fontId="89" fillId="0" borderId="0" xfId="0" applyFont="1" applyAlignment="1">
      <alignment horizontal="center"/>
    </xf>
    <xf numFmtId="0" fontId="47" fillId="0" borderId="0" xfId="0" applyFont="1" applyAlignment="1">
      <alignment horizontal="center"/>
    </xf>
    <xf numFmtId="0" fontId="49" fillId="0" borderId="73" xfId="0" applyFont="1" applyBorder="1" applyAlignment="1">
      <alignment horizontal="left" vertical="center"/>
    </xf>
    <xf numFmtId="0" fontId="49" fillId="0" borderId="74" xfId="0" applyFont="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 fontId="82" fillId="3" borderId="72"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right" vertical="center"/>
      <protection hidden="1"/>
    </xf>
    <xf numFmtId="4" fontId="82" fillId="3" borderId="74" xfId="8" applyNumberFormat="1" applyFont="1" applyFill="1" applyBorder="1" applyAlignment="1" applyProtection="1">
      <alignment horizontal="right" vertical="center"/>
      <protection hidden="1"/>
    </xf>
    <xf numFmtId="0" fontId="82" fillId="3" borderId="47" xfId="8" applyFont="1" applyFill="1" applyBorder="1" applyAlignment="1" applyProtection="1">
      <alignment horizontal="center" vertical="center"/>
      <protection hidden="1"/>
    </xf>
    <xf numFmtId="0" fontId="82" fillId="3" borderId="45" xfId="8" applyFont="1" applyFill="1" applyBorder="1" applyAlignment="1" applyProtection="1">
      <alignment horizontal="center" vertical="center"/>
      <protection hidden="1"/>
    </xf>
    <xf numFmtId="0" fontId="82" fillId="3" borderId="46" xfId="8" applyFont="1" applyFill="1" applyBorder="1" applyAlignment="1" applyProtection="1">
      <alignment horizontal="center" vertical="center"/>
      <protection hidden="1"/>
    </xf>
    <xf numFmtId="0" fontId="88" fillId="3" borderId="103" xfId="8" applyFont="1" applyFill="1" applyBorder="1" applyAlignment="1" applyProtection="1">
      <alignment horizontal="center" vertical="center"/>
      <protection hidden="1"/>
    </xf>
    <xf numFmtId="0" fontId="88" fillId="3" borderId="104" xfId="8" applyFont="1" applyFill="1" applyBorder="1" applyAlignment="1" applyProtection="1">
      <alignment horizontal="center" vertical="center"/>
      <protection hidden="1"/>
    </xf>
    <xf numFmtId="0" fontId="88" fillId="3" borderId="105" xfId="8" applyFont="1" applyFill="1" applyBorder="1" applyAlignment="1" applyProtection="1">
      <alignment horizontal="center" vertical="center"/>
      <protection hidden="1"/>
    </xf>
    <xf numFmtId="4" fontId="82" fillId="3" borderId="72" xfId="8" applyNumberFormat="1" applyFont="1" applyFill="1" applyBorder="1" applyAlignment="1" applyProtection="1">
      <alignment horizontal="center" vertical="center" wrapText="1"/>
      <protection hidden="1"/>
    </xf>
    <xf numFmtId="4" fontId="82" fillId="3" borderId="73" xfId="8" applyNumberFormat="1" applyFont="1" applyFill="1" applyBorder="1" applyAlignment="1" applyProtection="1">
      <alignment horizontal="center" vertical="center" wrapText="1"/>
      <protection hidden="1"/>
    </xf>
    <xf numFmtId="4" fontId="82" fillId="3" borderId="74" xfId="8" applyNumberFormat="1" applyFont="1" applyFill="1" applyBorder="1" applyAlignment="1" applyProtection="1">
      <alignment horizontal="center" vertical="center" wrapText="1"/>
      <protection hidden="1"/>
    </xf>
    <xf numFmtId="4" fontId="82" fillId="3" borderId="72" xfId="8" applyNumberFormat="1" applyFont="1" applyFill="1" applyBorder="1" applyAlignment="1" applyProtection="1">
      <alignment horizontal="center" vertical="center"/>
      <protection hidden="1"/>
    </xf>
    <xf numFmtId="4" fontId="82" fillId="3" borderId="73" xfId="8" applyNumberFormat="1" applyFont="1" applyFill="1" applyBorder="1" applyAlignment="1" applyProtection="1">
      <alignment horizontal="center" vertical="center"/>
      <protection hidden="1"/>
    </xf>
    <xf numFmtId="4" fontId="82" fillId="3" borderId="74" xfId="8" applyNumberFormat="1" applyFont="1" applyFill="1" applyBorder="1" applyAlignment="1" applyProtection="1">
      <alignment horizontal="center" vertical="center"/>
      <protection hidden="1"/>
    </xf>
    <xf numFmtId="4" fontId="85" fillId="3" borderId="50" xfId="8" applyNumberFormat="1" applyFont="1" applyFill="1" applyBorder="1" applyAlignment="1" applyProtection="1">
      <alignment horizontal="right" vertical="center"/>
      <protection locked="0"/>
    </xf>
    <xf numFmtId="0" fontId="83" fillId="3" borderId="47" xfId="8" quotePrefix="1" applyFont="1" applyFill="1" applyBorder="1" applyAlignment="1" applyProtection="1">
      <alignment horizontal="center" vertical="center"/>
      <protection hidden="1"/>
    </xf>
    <xf numFmtId="0" fontId="83" fillId="3" borderId="45" xfId="8" quotePrefix="1" applyFont="1" applyFill="1" applyBorder="1" applyAlignment="1" applyProtection="1">
      <alignment horizontal="center" vertical="center"/>
      <protection hidden="1"/>
    </xf>
    <xf numFmtId="0" fontId="83" fillId="3" borderId="46" xfId="8" quotePrefix="1" applyFont="1" applyFill="1" applyBorder="1" applyAlignment="1" applyProtection="1">
      <alignment horizontal="center" vertical="center"/>
      <protection hidden="1"/>
    </xf>
    <xf numFmtId="0" fontId="82" fillId="3" borderId="48"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53"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53" xfId="8" quotePrefix="1" applyFont="1" applyFill="1" applyBorder="1" applyAlignment="1" applyProtection="1">
      <alignment horizontal="center" vertical="center"/>
      <protection hidden="1"/>
    </xf>
    <xf numFmtId="0" fontId="82" fillId="3" borderId="67" xfId="8" quotePrefix="1" applyFont="1" applyFill="1" applyBorder="1" applyAlignment="1" applyProtection="1">
      <alignment horizontal="center" vertical="center"/>
      <protection hidden="1"/>
    </xf>
    <xf numFmtId="43" fontId="48" fillId="0" borderId="72" xfId="2" applyFont="1" applyBorder="1" applyAlignment="1">
      <alignment horizontal="center"/>
    </xf>
    <xf numFmtId="43" fontId="48" fillId="0" borderId="73" xfId="2" applyFont="1" applyBorder="1" applyAlignment="1">
      <alignment horizontal="center"/>
    </xf>
    <xf numFmtId="43" fontId="48" fillId="0" borderId="74" xfId="2" applyFont="1" applyBorder="1" applyAlignment="1">
      <alignment horizontal="center"/>
    </xf>
    <xf numFmtId="0" fontId="48" fillId="12" borderId="50" xfId="0" applyFont="1" applyFill="1" applyBorder="1" applyAlignment="1">
      <alignment horizontal="center" vertical="center" wrapText="1"/>
    </xf>
    <xf numFmtId="43" fontId="48" fillId="0" borderId="72" xfId="2" applyFont="1" applyFill="1" applyBorder="1" applyAlignment="1">
      <alignment horizontal="center"/>
    </xf>
    <xf numFmtId="43" fontId="48" fillId="0" borderId="74" xfId="2" applyFont="1" applyFill="1" applyBorder="1" applyAlignment="1">
      <alignment horizontal="center"/>
    </xf>
    <xf numFmtId="0" fontId="48" fillId="0" borderId="53" xfId="0" applyFont="1" applyBorder="1" applyAlignment="1">
      <alignment horizontal="center" vertical="center"/>
    </xf>
    <xf numFmtId="0" fontId="48" fillId="0" borderId="54" xfId="0" applyFont="1" applyBorder="1" applyAlignment="1">
      <alignment horizontal="center" vertical="center"/>
    </xf>
    <xf numFmtId="0" fontId="48" fillId="0" borderId="47" xfId="0" applyFont="1" applyBorder="1" applyAlignment="1">
      <alignment horizontal="center" vertical="center"/>
    </xf>
    <xf numFmtId="0" fontId="48" fillId="0" borderId="27" xfId="0" applyFont="1" applyBorder="1" applyAlignment="1">
      <alignment horizontal="center" vertical="center"/>
    </xf>
    <xf numFmtId="0" fontId="48" fillId="0" borderId="47" xfId="0" applyFont="1" applyBorder="1" applyAlignment="1">
      <alignment horizontal="center" vertical="center" wrapText="1"/>
    </xf>
    <xf numFmtId="0" fontId="48" fillId="0" borderId="45" xfId="0" applyFont="1" applyBorder="1" applyAlignment="1">
      <alignment horizontal="center" vertical="center" wrapText="1"/>
    </xf>
    <xf numFmtId="0" fontId="48" fillId="0" borderId="27" xfId="0" applyFont="1" applyBorder="1" applyAlignment="1">
      <alignment horizontal="center" vertical="center" wrapText="1"/>
    </xf>
    <xf numFmtId="0" fontId="48" fillId="0" borderId="0" xfId="0" applyFont="1" applyAlignment="1">
      <alignment horizontal="center" vertical="center" wrapText="1"/>
    </xf>
    <xf numFmtId="0" fontId="48" fillId="0" borderId="46"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48" xfId="0" applyFont="1" applyBorder="1" applyAlignment="1">
      <alignment horizontal="center" vertical="center" wrapText="1"/>
    </xf>
    <xf numFmtId="0" fontId="48" fillId="0" borderId="31" xfId="0" applyFont="1" applyBorder="1" applyAlignment="1">
      <alignment horizontal="center" vertical="center" wrapText="1"/>
    </xf>
    <xf numFmtId="43" fontId="0" fillId="0" borderId="0" xfId="0" applyNumberFormat="1" applyAlignment="1">
      <alignment horizontal="center"/>
    </xf>
    <xf numFmtId="43" fontId="48" fillId="0" borderId="50" xfId="2" applyFont="1" applyBorder="1" applyAlignment="1">
      <alignment horizontal="center"/>
    </xf>
    <xf numFmtId="43" fontId="52" fillId="0" borderId="45" xfId="0" applyNumberFormat="1" applyFont="1" applyBorder="1" applyAlignment="1">
      <alignment horizontal="center"/>
    </xf>
    <xf numFmtId="0" fontId="52" fillId="0" borderId="45" xfId="0" applyFont="1" applyBorder="1" applyAlignment="1">
      <alignment horizontal="center"/>
    </xf>
    <xf numFmtId="0" fontId="49" fillId="0" borderId="33" xfId="0" applyFont="1" applyBorder="1" applyAlignment="1">
      <alignment horizontal="center" vertical="center" wrapText="1"/>
    </xf>
    <xf numFmtId="0" fontId="50" fillId="10" borderId="72" xfId="19" applyFont="1" applyFill="1" applyBorder="1" applyAlignment="1" applyProtection="1">
      <alignment horizontal="left" vertical="center"/>
      <protection locked="0"/>
    </xf>
    <xf numFmtId="0" fontId="50" fillId="10" borderId="73" xfId="19" applyFont="1" applyFill="1" applyBorder="1" applyAlignment="1" applyProtection="1">
      <alignment horizontal="left" vertical="center"/>
      <protection locked="0"/>
    </xf>
    <xf numFmtId="0" fontId="50" fillId="10" borderId="74" xfId="19" applyFont="1" applyFill="1" applyBorder="1" applyAlignment="1" applyProtection="1">
      <alignment horizontal="left" vertical="center"/>
      <protection locked="0"/>
    </xf>
    <xf numFmtId="43" fontId="44" fillId="7" borderId="72" xfId="2" applyFont="1" applyFill="1" applyBorder="1" applyAlignment="1">
      <alignment horizontal="center"/>
    </xf>
    <xf numFmtId="43" fontId="44" fillId="7" borderId="73" xfId="2" applyFont="1" applyFill="1" applyBorder="1" applyAlignment="1">
      <alignment horizontal="center"/>
    </xf>
    <xf numFmtId="43" fontId="44" fillId="7" borderId="74" xfId="2" applyFont="1" applyFill="1" applyBorder="1" applyAlignment="1">
      <alignment horizontal="center"/>
    </xf>
    <xf numFmtId="0" fontId="44" fillId="7" borderId="74" xfId="0" applyFont="1" applyFill="1" applyBorder="1" applyAlignment="1">
      <alignment horizontal="center"/>
    </xf>
    <xf numFmtId="0" fontId="49" fillId="0" borderId="94" xfId="0" applyFont="1" applyBorder="1" applyAlignment="1">
      <alignment horizontal="center" vertical="center"/>
    </xf>
    <xf numFmtId="0" fontId="49" fillId="0" borderId="108" xfId="0" applyFont="1" applyBorder="1" applyAlignment="1">
      <alignment horizontal="center" vertical="center"/>
    </xf>
    <xf numFmtId="0" fontId="49" fillId="0" borderId="34" xfId="0" applyFont="1" applyBorder="1" applyAlignment="1">
      <alignment horizontal="left" vertical="center"/>
    </xf>
    <xf numFmtId="0" fontId="49" fillId="0" borderId="94" xfId="0" applyFont="1" applyBorder="1" applyAlignment="1">
      <alignment horizontal="left" vertical="center"/>
    </xf>
    <xf numFmtId="43" fontId="49" fillId="0" borderId="94" xfId="2" applyFont="1" applyBorder="1" applyAlignment="1">
      <alignment horizontal="center" vertical="center"/>
    </xf>
    <xf numFmtId="43" fontId="49" fillId="0" borderId="94" xfId="2" applyFont="1" applyBorder="1" applyAlignment="1">
      <alignment horizontal="center" vertical="center" wrapText="1"/>
    </xf>
    <xf numFmtId="164" fontId="49" fillId="0" borderId="22" xfId="17" applyFont="1" applyBorder="1" applyAlignment="1">
      <alignment horizontal="center" vertical="center"/>
    </xf>
    <xf numFmtId="43" fontId="49" fillId="0" borderId="20" xfId="2" applyFont="1" applyBorder="1" applyAlignment="1">
      <alignment horizontal="center" vertical="center"/>
    </xf>
    <xf numFmtId="0" fontId="52" fillId="0" borderId="50" xfId="0" applyFont="1" applyBorder="1" applyAlignment="1">
      <alignment horizontal="center" vertical="center" wrapText="1"/>
    </xf>
    <xf numFmtId="43" fontId="44" fillId="7" borderId="72" xfId="0" applyNumberFormat="1" applyFont="1" applyFill="1" applyBorder="1" applyAlignment="1">
      <alignment horizontal="center"/>
    </xf>
    <xf numFmtId="43" fontId="44" fillId="7" borderId="73" xfId="0" applyNumberFormat="1" applyFont="1" applyFill="1" applyBorder="1" applyAlignment="1">
      <alignment horizontal="center"/>
    </xf>
    <xf numFmtId="43" fontId="44" fillId="7" borderId="74" xfId="0" applyNumberFormat="1" applyFont="1" applyFill="1" applyBorder="1" applyAlignment="1">
      <alignment horizontal="center"/>
    </xf>
    <xf numFmtId="43" fontId="49" fillId="0" borderId="33" xfId="0" applyNumberFormat="1" applyFont="1" applyBorder="1" applyAlignment="1">
      <alignment horizontal="center" vertical="center"/>
    </xf>
    <xf numFmtId="4" fontId="49" fillId="0" borderId="33" xfId="0" applyNumberFormat="1" applyFont="1" applyBorder="1" applyAlignment="1">
      <alignment horizontal="center" vertical="center"/>
    </xf>
    <xf numFmtId="43" fontId="44" fillId="7" borderId="50" xfId="2" applyFont="1" applyFill="1" applyBorder="1" applyAlignment="1">
      <alignment horizontal="center"/>
    </xf>
    <xf numFmtId="43" fontId="49" fillId="0" borderId="41" xfId="0" applyNumberFormat="1" applyFont="1" applyBorder="1" applyAlignment="1">
      <alignment horizontal="center"/>
    </xf>
    <xf numFmtId="4" fontId="49" fillId="0" borderId="41" xfId="0" applyNumberFormat="1" applyFont="1" applyBorder="1" applyAlignment="1">
      <alignment horizontal="center"/>
    </xf>
    <xf numFmtId="43" fontId="48" fillId="0" borderId="0" xfId="0" applyNumberFormat="1" applyFont="1" applyAlignment="1">
      <alignment horizontal="center" vertical="center"/>
    </xf>
    <xf numFmtId="43" fontId="48" fillId="0" borderId="0" xfId="0" applyNumberFormat="1" applyFont="1" applyAlignment="1">
      <alignment horizontal="center"/>
    </xf>
    <xf numFmtId="43" fontId="49" fillId="0" borderId="45" xfId="0" applyNumberFormat="1" applyFont="1" applyBorder="1" applyAlignment="1">
      <alignment horizontal="center"/>
    </xf>
    <xf numFmtId="0" fontId="49" fillId="0" borderId="45" xfId="0" applyFont="1" applyBorder="1" applyAlignment="1">
      <alignment horizontal="center"/>
    </xf>
    <xf numFmtId="14" fontId="104" fillId="2" borderId="0" xfId="0" applyNumberFormat="1" applyFont="1" applyFill="1" applyAlignment="1">
      <alignment horizontal="center" vertical="center"/>
    </xf>
    <xf numFmtId="8" fontId="49" fillId="0" borderId="33" xfId="2" applyNumberFormat="1" applyFont="1" applyBorder="1" applyAlignment="1">
      <alignment horizontal="center" vertical="center"/>
    </xf>
    <xf numFmtId="43" fontId="49" fillId="0" borderId="17" xfId="2" applyFont="1" applyBorder="1" applyAlignment="1">
      <alignment horizontal="center"/>
    </xf>
    <xf numFmtId="43" fontId="49" fillId="0" borderId="19" xfId="2" applyFont="1" applyBorder="1" applyAlignment="1">
      <alignment horizontal="center"/>
    </xf>
    <xf numFmtId="43" fontId="49" fillId="0" borderId="18" xfId="2" applyFont="1" applyBorder="1" applyAlignment="1">
      <alignment horizontal="center"/>
    </xf>
    <xf numFmtId="0" fontId="49" fillId="7" borderId="48" xfId="0" applyFont="1" applyFill="1" applyBorder="1" applyAlignment="1">
      <alignment horizontal="center"/>
    </xf>
    <xf numFmtId="0" fontId="49" fillId="7" borderId="49" xfId="0" applyFont="1" applyFill="1" applyBorder="1" applyAlignment="1">
      <alignment horizontal="center"/>
    </xf>
    <xf numFmtId="0" fontId="49" fillId="7" borderId="31" xfId="0" applyFont="1" applyFill="1" applyBorder="1" applyAlignment="1">
      <alignment horizontal="center"/>
    </xf>
    <xf numFmtId="0" fontId="44" fillId="7" borderId="48" xfId="0" applyFont="1" applyFill="1" applyBorder="1" applyAlignment="1">
      <alignment horizontal="center"/>
    </xf>
    <xf numFmtId="0" fontId="44" fillId="7" borderId="49" xfId="0" applyFont="1" applyFill="1" applyBorder="1" applyAlignment="1">
      <alignment horizontal="center"/>
    </xf>
    <xf numFmtId="43" fontId="44" fillId="7" borderId="67" xfId="2" applyFont="1" applyFill="1" applyBorder="1" applyAlignment="1">
      <alignment horizontal="center"/>
    </xf>
    <xf numFmtId="0" fontId="49" fillId="7" borderId="48" xfId="0" applyFont="1" applyFill="1" applyBorder="1" applyAlignment="1">
      <alignment horizontal="center" wrapText="1"/>
    </xf>
    <xf numFmtId="0" fontId="49" fillId="7" borderId="49" xfId="0" applyFont="1" applyFill="1" applyBorder="1" applyAlignment="1">
      <alignment horizontal="center" wrapText="1"/>
    </xf>
    <xf numFmtId="0" fontId="49" fillId="7" borderId="31" xfId="0" applyFont="1" applyFill="1" applyBorder="1" applyAlignment="1">
      <alignment horizontal="center" wrapText="1"/>
    </xf>
    <xf numFmtId="43" fontId="49" fillId="0" borderId="23" xfId="2" applyFont="1" applyBorder="1" applyAlignment="1">
      <alignment horizontal="center"/>
    </xf>
    <xf numFmtId="43" fontId="49" fillId="0" borderId="24" xfId="2" applyFont="1" applyBorder="1" applyAlignment="1">
      <alignment horizontal="center"/>
    </xf>
    <xf numFmtId="43" fontId="49" fillId="0" borderId="25" xfId="2" applyFont="1" applyBorder="1" applyAlignment="1">
      <alignment horizontal="center"/>
    </xf>
    <xf numFmtId="43" fontId="49" fillId="7" borderId="50" xfId="2" applyFont="1" applyFill="1" applyBorder="1" applyAlignment="1">
      <alignment horizontal="center" vertical="center"/>
    </xf>
    <xf numFmtId="43" fontId="49" fillId="0" borderId="38" xfId="2" applyFont="1" applyBorder="1" applyAlignment="1">
      <alignment horizontal="center" vertical="center"/>
    </xf>
    <xf numFmtId="43" fontId="49" fillId="0" borderId="40" xfId="2" applyFont="1" applyBorder="1" applyAlignment="1">
      <alignment horizontal="center" vertical="center"/>
    </xf>
    <xf numFmtId="0" fontId="49" fillId="0" borderId="20" xfId="0" applyFont="1" applyBorder="1" applyAlignment="1">
      <alignment horizontal="center" wrapText="1"/>
    </xf>
    <xf numFmtId="0" fontId="49" fillId="0" borderId="22" xfId="0" applyFont="1" applyBorder="1" applyAlignment="1">
      <alignment horizontal="center" wrapText="1"/>
    </xf>
    <xf numFmtId="43" fontId="92" fillId="0" borderId="33" xfId="0" applyNumberFormat="1" applyFont="1" applyBorder="1" applyAlignment="1">
      <alignment horizontal="center"/>
    </xf>
    <xf numFmtId="4" fontId="92" fillId="0" borderId="33" xfId="0" applyNumberFormat="1" applyFont="1" applyBorder="1" applyAlignment="1">
      <alignment horizontal="center"/>
    </xf>
    <xf numFmtId="0" fontId="92" fillId="0" borderId="20" xfId="0" applyFont="1" applyBorder="1" applyAlignment="1">
      <alignment horizontal="left" vertical="center"/>
    </xf>
    <xf numFmtId="0" fontId="92" fillId="0" borderId="21" xfId="0" applyFont="1" applyBorder="1" applyAlignment="1">
      <alignment horizontal="left" vertical="center"/>
    </xf>
    <xf numFmtId="43" fontId="92" fillId="0" borderId="33" xfId="2" applyFont="1" applyBorder="1" applyAlignment="1">
      <alignment horizontal="center" vertical="center"/>
    </xf>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0" fontId="49" fillId="0" borderId="22" xfId="0" applyFont="1" applyBorder="1" applyAlignment="1">
      <alignment horizontal="left" vertical="center"/>
    </xf>
    <xf numFmtId="0" fontId="67" fillId="0" borderId="20" xfId="0" applyFont="1" applyBorder="1" applyAlignment="1">
      <alignment horizontal="center" vertical="center" wrapText="1"/>
    </xf>
    <xf numFmtId="0" fontId="67" fillId="0" borderId="22" xfId="0" applyFont="1" applyBorder="1" applyAlignment="1">
      <alignment horizontal="center" vertical="center" wrapText="1"/>
    </xf>
    <xf numFmtId="43" fontId="92" fillId="0" borderId="33" xfId="2" applyFont="1" applyFill="1" applyBorder="1" applyAlignment="1">
      <alignment horizontal="center" vertical="center"/>
    </xf>
    <xf numFmtId="43" fontId="92" fillId="0" borderId="20" xfId="2" applyFont="1" applyBorder="1" applyAlignment="1">
      <alignment horizontal="center" vertical="center"/>
    </xf>
    <xf numFmtId="43" fontId="92" fillId="0" borderId="21" xfId="2" applyFont="1" applyBorder="1" applyAlignment="1">
      <alignment horizontal="center" vertical="center"/>
    </xf>
    <xf numFmtId="43" fontId="92" fillId="0" borderId="22" xfId="2" applyFont="1" applyBorder="1" applyAlignment="1">
      <alignment horizontal="center" vertical="center"/>
    </xf>
    <xf numFmtId="0" fontId="49" fillId="0" borderId="20" xfId="0" applyFont="1" applyBorder="1" applyAlignment="1">
      <alignment horizontal="left" vertical="center" wrapText="1"/>
    </xf>
    <xf numFmtId="0" fontId="49" fillId="0" borderId="21" xfId="0" applyFont="1" applyBorder="1" applyAlignment="1">
      <alignment horizontal="left" vertical="center" wrapText="1"/>
    </xf>
    <xf numFmtId="43" fontId="49" fillId="0" borderId="21" xfId="2" applyFont="1" applyBorder="1" applyAlignment="1">
      <alignment horizontal="center" vertical="center" wrapText="1"/>
    </xf>
    <xf numFmtId="43" fontId="49" fillId="0" borderId="22" xfId="2" applyFont="1" applyBorder="1" applyAlignment="1">
      <alignment horizontal="center" vertical="center" wrapText="1"/>
    </xf>
    <xf numFmtId="164" fontId="49" fillId="0" borderId="23" xfId="17" applyFont="1" applyBorder="1" applyAlignment="1">
      <alignment horizontal="center" vertical="center"/>
    </xf>
    <xf numFmtId="164" fontId="49" fillId="0" borderId="25" xfId="17" applyFont="1" applyBorder="1" applyAlignment="1">
      <alignment horizontal="center" vertical="center"/>
    </xf>
    <xf numFmtId="43" fontId="49" fillId="0" borderId="38" xfId="0" applyNumberFormat="1" applyFont="1" applyBorder="1" applyAlignment="1">
      <alignment horizontal="center"/>
    </xf>
    <xf numFmtId="43" fontId="49" fillId="0" borderId="42" xfId="0" applyNumberFormat="1" applyFont="1" applyBorder="1" applyAlignment="1">
      <alignment horizontal="center"/>
    </xf>
    <xf numFmtId="43" fontId="49" fillId="0" borderId="40" xfId="0" applyNumberFormat="1" applyFont="1" applyBorder="1" applyAlignment="1">
      <alignment horizontal="center"/>
    </xf>
    <xf numFmtId="0" fontId="49" fillId="0" borderId="22" xfId="0" applyFont="1" applyBorder="1" applyAlignment="1">
      <alignment horizontal="left" vertical="center" wrapText="1"/>
    </xf>
    <xf numFmtId="164" fontId="49" fillId="0" borderId="17" xfId="17" applyFont="1" applyBorder="1" applyAlignment="1">
      <alignment horizontal="center" vertical="center"/>
    </xf>
    <xf numFmtId="164" fontId="49" fillId="0" borderId="18" xfId="17" applyFont="1" applyBorder="1" applyAlignment="1">
      <alignment horizontal="center" vertical="center"/>
    </xf>
    <xf numFmtId="43" fontId="49" fillId="0" borderId="113" xfId="2" applyFont="1" applyBorder="1" applyAlignment="1">
      <alignment horizontal="center" vertical="center"/>
    </xf>
    <xf numFmtId="43" fontId="49" fillId="0" borderId="19" xfId="2" applyFont="1" applyBorder="1" applyAlignment="1">
      <alignment horizontal="center" vertical="center"/>
    </xf>
    <xf numFmtId="43" fontId="49" fillId="0" borderId="18" xfId="2" applyFont="1" applyBorder="1" applyAlignment="1">
      <alignment horizontal="center" vertical="center"/>
    </xf>
    <xf numFmtId="43" fontId="49" fillId="0" borderId="17" xfId="2" applyFont="1" applyBorder="1" applyAlignment="1">
      <alignment horizontal="center" vertical="center" wrapText="1"/>
    </xf>
    <xf numFmtId="43" fontId="49" fillId="0" borderId="18" xfId="2" applyFont="1" applyBorder="1" applyAlignment="1">
      <alignment horizontal="center" vertical="center" wrapText="1"/>
    </xf>
    <xf numFmtId="0" fontId="49" fillId="0" borderId="0" xfId="0" applyFont="1" applyAlignment="1">
      <alignment horizontal="left" wrapText="1"/>
    </xf>
    <xf numFmtId="43" fontId="49" fillId="0" borderId="23" xfId="2" applyFont="1" applyBorder="1" applyAlignment="1">
      <alignment horizontal="center" vertical="center"/>
    </xf>
    <xf numFmtId="0" fontId="49" fillId="0" borderId="23" xfId="0" applyFont="1" applyBorder="1" applyAlignment="1">
      <alignment horizontal="left" vertical="center" wrapText="1"/>
    </xf>
    <xf numFmtId="0" fontId="49" fillId="0" borderId="25" xfId="0" applyFont="1" applyBorder="1" applyAlignment="1">
      <alignment horizontal="left" vertical="center" wrapText="1"/>
    </xf>
    <xf numFmtId="0" fontId="49" fillId="0" borderId="17" xfId="0" applyFont="1" applyBorder="1" applyAlignment="1">
      <alignment horizontal="left" vertical="center"/>
    </xf>
    <xf numFmtId="0" fontId="49" fillId="0" borderId="19" xfId="0" applyFont="1" applyBorder="1" applyAlignment="1">
      <alignment horizontal="left" vertical="center"/>
    </xf>
    <xf numFmtId="0" fontId="49" fillId="0" borderId="18" xfId="0" applyFont="1" applyBorder="1" applyAlignment="1">
      <alignment horizontal="left" vertical="center"/>
    </xf>
    <xf numFmtId="43" fontId="49" fillId="0" borderId="94" xfId="2" applyFont="1" applyBorder="1" applyAlignment="1">
      <alignment horizontal="center"/>
    </xf>
    <xf numFmtId="1" fontId="49" fillId="0" borderId="17" xfId="2" applyNumberFormat="1" applyFont="1" applyBorder="1" applyAlignment="1">
      <alignment horizontal="center"/>
    </xf>
    <xf numFmtId="1" fontId="49" fillId="0" borderId="19" xfId="2" applyNumberFormat="1" applyFont="1" applyBorder="1" applyAlignment="1">
      <alignment horizontal="center"/>
    </xf>
    <xf numFmtId="1" fontId="49" fillId="0" borderId="18" xfId="2" applyNumberFormat="1" applyFont="1" applyBorder="1" applyAlignment="1">
      <alignment horizontal="center"/>
    </xf>
    <xf numFmtId="43" fontId="49" fillId="0" borderId="17" xfId="0" applyNumberFormat="1" applyFont="1" applyBorder="1" applyAlignment="1">
      <alignment horizontal="center"/>
    </xf>
    <xf numFmtId="43" fontId="49" fillId="0" borderId="17" xfId="2" applyFont="1" applyBorder="1" applyAlignment="1">
      <alignment horizontal="center" vertical="center"/>
    </xf>
    <xf numFmtId="43" fontId="92" fillId="0" borderId="17" xfId="2" applyFont="1" applyBorder="1" applyAlignment="1">
      <alignment horizontal="center" vertical="center" wrapText="1"/>
    </xf>
    <xf numFmtId="43" fontId="92" fillId="0" borderId="19" xfId="2" applyFont="1" applyBorder="1" applyAlignment="1">
      <alignment horizontal="center" vertical="center" wrapText="1"/>
    </xf>
    <xf numFmtId="43" fontId="92" fillId="0" borderId="18" xfId="2" applyFont="1" applyBorder="1" applyAlignment="1">
      <alignment horizontal="center" vertical="center" wrapText="1"/>
    </xf>
    <xf numFmtId="43" fontId="49" fillId="0" borderId="19" xfId="2" applyFont="1" applyBorder="1" applyAlignment="1">
      <alignment horizontal="center" vertical="center" wrapText="1"/>
    </xf>
    <xf numFmtId="43" fontId="49" fillId="0" borderId="20" xfId="2" applyFont="1" applyBorder="1" applyAlignment="1">
      <alignment horizontal="center" vertical="center" wrapText="1"/>
    </xf>
    <xf numFmtId="43" fontId="49" fillId="0" borderId="104" xfId="2" applyFont="1" applyBorder="1" applyAlignment="1">
      <alignment horizontal="center"/>
    </xf>
    <xf numFmtId="170" fontId="44" fillId="7" borderId="0" xfId="17" applyNumberFormat="1" applyFont="1" applyFill="1" applyAlignment="1">
      <alignment horizontal="right"/>
    </xf>
    <xf numFmtId="170" fontId="68" fillId="7" borderId="0" xfId="2" applyNumberFormat="1" applyFont="1" applyFill="1" applyAlignment="1">
      <alignment horizontal="center" vertical="center"/>
    </xf>
    <xf numFmtId="170" fontId="44" fillId="7" borderId="0" xfId="17" applyNumberFormat="1" applyFont="1" applyFill="1" applyAlignment="1">
      <alignment horizontal="center" vertical="center"/>
    </xf>
    <xf numFmtId="0" fontId="49" fillId="0" borderId="33" xfId="0" applyFont="1" applyBorder="1" applyAlignment="1">
      <alignment horizontal="left" vertical="center"/>
    </xf>
    <xf numFmtId="0" fontId="94" fillId="0" borderId="50" xfId="0" applyFont="1" applyBorder="1" applyAlignment="1">
      <alignment horizontal="center" vertical="center"/>
    </xf>
    <xf numFmtId="43" fontId="92" fillId="0" borderId="17" xfId="2" applyFont="1" applyBorder="1" applyAlignment="1">
      <alignment horizontal="center" vertical="center"/>
    </xf>
    <xf numFmtId="43" fontId="92" fillId="0" borderId="18" xfId="2" applyFont="1" applyBorder="1" applyAlignment="1">
      <alignment horizontal="center" vertical="center"/>
    </xf>
    <xf numFmtId="0" fontId="49" fillId="7" borderId="73" xfId="0" applyFont="1" applyFill="1" applyBorder="1" applyAlignment="1">
      <alignment horizontal="center" vertical="center"/>
    </xf>
    <xf numFmtId="0" fontId="49" fillId="0" borderId="23" xfId="0" applyFont="1" applyBorder="1" applyAlignment="1">
      <alignment horizontal="left" vertical="center"/>
    </xf>
    <xf numFmtId="0" fontId="49" fillId="0" borderId="24" xfId="0" applyFont="1" applyBorder="1" applyAlignment="1">
      <alignment horizontal="left" vertical="center"/>
    </xf>
    <xf numFmtId="0" fontId="49" fillId="0" borderId="25" xfId="0" applyFont="1" applyBorder="1" applyAlignment="1">
      <alignment horizontal="left" vertical="center"/>
    </xf>
    <xf numFmtId="1" fontId="49" fillId="0" borderId="23" xfId="0" applyNumberFormat="1" applyFont="1" applyBorder="1" applyAlignment="1">
      <alignment horizontal="center"/>
    </xf>
    <xf numFmtId="43" fontId="49" fillId="0" borderId="24" xfId="0" applyNumberFormat="1" applyFont="1" applyBorder="1" applyAlignment="1">
      <alignment horizontal="center"/>
    </xf>
    <xf numFmtId="43" fontId="49" fillId="0" borderId="23" xfId="0" applyNumberFormat="1" applyFont="1" applyBorder="1" applyAlignment="1">
      <alignment horizontal="center" vertical="center"/>
    </xf>
    <xf numFmtId="0" fontId="49" fillId="0" borderId="24" xfId="0" applyFont="1" applyBorder="1" applyAlignment="1">
      <alignment horizontal="center" vertical="center"/>
    </xf>
    <xf numFmtId="43" fontId="49" fillId="0" borderId="19" xfId="2" applyFont="1" applyFill="1" applyBorder="1" applyAlignment="1">
      <alignment horizontal="center"/>
    </xf>
    <xf numFmtId="43" fontId="49" fillId="0" borderId="18" xfId="2" applyFont="1" applyFill="1" applyBorder="1" applyAlignment="1">
      <alignment horizontal="center"/>
    </xf>
    <xf numFmtId="0" fontId="49" fillId="7" borderId="50" xfId="0" applyFont="1" applyFill="1" applyBorder="1" applyAlignment="1">
      <alignment horizontal="center" vertical="center"/>
    </xf>
    <xf numFmtId="0" fontId="44" fillId="7" borderId="72" xfId="0" applyFont="1" applyFill="1" applyBorder="1" applyAlignment="1">
      <alignment horizontal="center" vertical="center"/>
    </xf>
    <xf numFmtId="0" fontId="44" fillId="7" borderId="74" xfId="0" applyFont="1" applyFill="1" applyBorder="1" applyAlignment="1">
      <alignment horizontal="center" vertical="center"/>
    </xf>
    <xf numFmtId="4" fontId="49" fillId="0" borderId="23" xfId="0" applyNumberFormat="1" applyFont="1" applyBorder="1" applyAlignment="1">
      <alignment horizontal="center"/>
    </xf>
    <xf numFmtId="4" fontId="49" fillId="0" borderId="24" xfId="0" applyNumberFormat="1" applyFont="1" applyBorder="1" applyAlignment="1">
      <alignment horizontal="center"/>
    </xf>
    <xf numFmtId="4" fontId="49" fillId="0" borderId="25" xfId="0" applyNumberFormat="1" applyFont="1" applyBorder="1" applyAlignment="1">
      <alignment horizontal="center"/>
    </xf>
    <xf numFmtId="4" fontId="49" fillId="0" borderId="23" xfId="0" applyNumberFormat="1" applyFont="1" applyBorder="1" applyAlignment="1">
      <alignment horizontal="right"/>
    </xf>
    <xf numFmtId="4" fontId="49" fillId="0" borderId="24" xfId="0" applyNumberFormat="1" applyFont="1" applyBorder="1" applyAlignment="1">
      <alignment horizontal="right"/>
    </xf>
    <xf numFmtId="4" fontId="49" fillId="0" borderId="25" xfId="0" applyNumberFormat="1" applyFont="1" applyBorder="1" applyAlignment="1">
      <alignment horizontal="right"/>
    </xf>
    <xf numFmtId="4" fontId="49" fillId="0" borderId="19" xfId="0" applyNumberFormat="1" applyFont="1" applyBorder="1" applyAlignment="1">
      <alignment horizontal="center"/>
    </xf>
    <xf numFmtId="4" fontId="49" fillId="0" borderId="18" xfId="0" applyNumberFormat="1" applyFont="1" applyBorder="1" applyAlignment="1">
      <alignment horizontal="center"/>
    </xf>
    <xf numFmtId="0" fontId="49" fillId="20" borderId="107" xfId="0" applyFont="1" applyFill="1" applyBorder="1" applyAlignment="1">
      <alignment horizontal="center"/>
    </xf>
    <xf numFmtId="0" fontId="49" fillId="7" borderId="107" xfId="0" applyFont="1" applyFill="1" applyBorder="1" applyAlignment="1">
      <alignment horizontal="center"/>
    </xf>
    <xf numFmtId="0" fontId="49" fillId="7" borderId="50" xfId="0" applyFont="1" applyFill="1" applyBorder="1" applyAlignment="1">
      <alignment horizontal="center"/>
    </xf>
    <xf numFmtId="0" fontId="49" fillId="0" borderId="94" xfId="0" applyFont="1" applyBorder="1" applyAlignment="1">
      <alignment horizontal="center"/>
    </xf>
    <xf numFmtId="0" fontId="49" fillId="0" borderId="107" xfId="0" applyFont="1" applyBorder="1" applyAlignment="1">
      <alignment horizontal="center"/>
    </xf>
    <xf numFmtId="0" fontId="49" fillId="0" borderId="118" xfId="0" applyFont="1" applyBorder="1" applyAlignment="1">
      <alignment horizontal="center"/>
    </xf>
    <xf numFmtId="0" fontId="0" fillId="0" borderId="106" xfId="0" applyBorder="1" applyAlignment="1">
      <alignment horizontal="center"/>
    </xf>
    <xf numFmtId="0" fontId="0" fillId="0" borderId="107" xfId="0" applyBorder="1" applyAlignment="1">
      <alignment horizontal="center"/>
    </xf>
    <xf numFmtId="43" fontId="49" fillId="0" borderId="108" xfId="2" applyFont="1" applyBorder="1" applyAlignment="1">
      <alignment horizontal="center"/>
    </xf>
    <xf numFmtId="0" fontId="49" fillId="0" borderId="104" xfId="0" applyFont="1" applyBorder="1" applyAlignment="1">
      <alignment horizontal="center"/>
    </xf>
    <xf numFmtId="0" fontId="0" fillId="0" borderId="34" xfId="0" applyBorder="1" applyAlignment="1">
      <alignment horizontal="left"/>
    </xf>
    <xf numFmtId="0" fontId="0" fillId="0" borderId="94" xfId="0" applyBorder="1" applyAlignment="1">
      <alignment horizontal="left"/>
    </xf>
    <xf numFmtId="0" fontId="0" fillId="0" borderId="34" xfId="0" applyBorder="1" applyAlignment="1">
      <alignment horizontal="left" wrapText="1"/>
    </xf>
    <xf numFmtId="0" fontId="0" fillId="0" borderId="94" xfId="0" applyBorder="1" applyAlignment="1">
      <alignment horizontal="left" wrapText="1"/>
    </xf>
    <xf numFmtId="0" fontId="0" fillId="0" borderId="109" xfId="0" applyBorder="1" applyAlignment="1">
      <alignment horizontal="left"/>
    </xf>
    <xf numFmtId="0" fontId="0" fillId="0" borderId="104" xfId="0" applyBorder="1" applyAlignment="1">
      <alignment horizontal="left"/>
    </xf>
    <xf numFmtId="43" fontId="49" fillId="7" borderId="72" xfId="0" applyNumberFormat="1" applyFont="1" applyFill="1"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49" fillId="0" borderId="106" xfId="0" applyFont="1" applyBorder="1" applyAlignment="1">
      <alignment horizontal="center"/>
    </xf>
    <xf numFmtId="0" fontId="49" fillId="0" borderId="47" xfId="0" applyFont="1" applyBorder="1" applyAlignment="1">
      <alignment horizontal="center"/>
    </xf>
    <xf numFmtId="0" fontId="49" fillId="0" borderId="119" xfId="0" applyFont="1" applyBorder="1" applyAlignment="1">
      <alignment horizontal="center"/>
    </xf>
    <xf numFmtId="0" fontId="49" fillId="0" borderId="113" xfId="0" applyFont="1" applyBorder="1" applyAlignment="1">
      <alignment horizontal="center"/>
    </xf>
    <xf numFmtId="0" fontId="49" fillId="0" borderId="120" xfId="0" applyFont="1" applyBorder="1" applyAlignment="1">
      <alignment horizontal="center"/>
    </xf>
    <xf numFmtId="0" fontId="0" fillId="0" borderId="113" xfId="0" applyBorder="1" applyAlignment="1">
      <alignment horizont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43" fontId="49" fillId="0" borderId="34" xfId="2" applyFont="1" applyBorder="1" applyAlignment="1">
      <alignment horizontal="center"/>
    </xf>
    <xf numFmtId="43" fontId="49" fillId="0" borderId="121" xfId="2" applyFont="1" applyBorder="1" applyAlignment="1">
      <alignment horizontal="center"/>
    </xf>
    <xf numFmtId="2" fontId="49" fillId="0" borderId="35" xfId="0" applyNumberFormat="1" applyFont="1" applyBorder="1" applyAlignment="1">
      <alignment horizontal="center"/>
    </xf>
    <xf numFmtId="2" fontId="49" fillId="0" borderId="21" xfId="0" applyNumberFormat="1" applyFont="1" applyBorder="1" applyAlignment="1">
      <alignment horizontal="center"/>
    </xf>
    <xf numFmtId="2" fontId="49" fillId="0" borderId="121" xfId="0" applyNumberFormat="1" applyFont="1" applyBorder="1" applyAlignment="1">
      <alignment horizontal="center"/>
    </xf>
    <xf numFmtId="43" fontId="49" fillId="0" borderId="35" xfId="2" applyFont="1" applyBorder="1" applyAlignment="1">
      <alignment horizontal="center"/>
    </xf>
    <xf numFmtId="0" fontId="0" fillId="0" borderId="35"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43" fontId="49" fillId="0" borderId="103" xfId="2" applyFont="1" applyBorder="1" applyAlignment="1">
      <alignment horizontal="center"/>
    </xf>
    <xf numFmtId="0" fontId="0" fillId="0" borderId="37"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43" fontId="49" fillId="0" borderId="47" xfId="2" applyFont="1" applyBorder="1" applyAlignment="1">
      <alignment horizontal="center" vertical="center"/>
    </xf>
    <xf numFmtId="43" fontId="49" fillId="0" borderId="45" xfId="2" applyFont="1" applyBorder="1" applyAlignment="1">
      <alignment horizontal="center" vertical="center"/>
    </xf>
    <xf numFmtId="43" fontId="49" fillId="0" borderId="46" xfId="2" applyFont="1" applyBorder="1" applyAlignment="1">
      <alignment horizontal="center" vertical="center"/>
    </xf>
    <xf numFmtId="43" fontId="49" fillId="0" borderId="27" xfId="2" applyFont="1" applyBorder="1" applyAlignment="1">
      <alignment horizontal="center" vertical="center"/>
    </xf>
    <xf numFmtId="43" fontId="49" fillId="0" borderId="0" xfId="2" applyFont="1" applyBorder="1" applyAlignment="1">
      <alignment horizontal="center" vertical="center"/>
    </xf>
    <xf numFmtId="43" fontId="49" fillId="0" borderId="3" xfId="2" applyFont="1" applyBorder="1" applyAlignment="1">
      <alignment horizontal="center" vertical="center"/>
    </xf>
    <xf numFmtId="43" fontId="49" fillId="0" borderId="39" xfId="2" applyFont="1" applyBorder="1" applyAlignment="1">
      <alignment horizontal="center" vertical="center"/>
    </xf>
    <xf numFmtId="43" fontId="49" fillId="0" borderId="112" xfId="2" applyFont="1" applyBorder="1" applyAlignment="1">
      <alignment horizontal="center" vertical="center"/>
    </xf>
    <xf numFmtId="43" fontId="49" fillId="0" borderId="111" xfId="2" applyFont="1" applyBorder="1" applyAlignment="1">
      <alignment horizontal="center" vertical="center"/>
    </xf>
    <xf numFmtId="43" fontId="49" fillId="0" borderId="47" xfId="2" applyFont="1" applyBorder="1" applyAlignment="1">
      <alignment horizontal="center" vertical="center" wrapText="1"/>
    </xf>
    <xf numFmtId="43" fontId="49" fillId="0" borderId="45" xfId="2" applyFont="1" applyBorder="1" applyAlignment="1">
      <alignment horizontal="center" vertical="center" wrapText="1"/>
    </xf>
    <xf numFmtId="43" fontId="49" fillId="0" borderId="46" xfId="2" applyFont="1" applyBorder="1" applyAlignment="1">
      <alignment horizontal="center" vertical="center" wrapText="1"/>
    </xf>
    <xf numFmtId="43" fontId="49" fillId="0" borderId="27" xfId="2" applyFont="1" applyBorder="1" applyAlignment="1">
      <alignment horizontal="center" vertical="center" wrapText="1"/>
    </xf>
    <xf numFmtId="43" fontId="49" fillId="0" borderId="0" xfId="2" applyFont="1" applyBorder="1" applyAlignment="1">
      <alignment horizontal="center" vertical="center" wrapText="1"/>
    </xf>
    <xf numFmtId="43" fontId="49" fillId="0" borderId="3" xfId="2" applyFont="1" applyBorder="1" applyAlignment="1">
      <alignment horizontal="center" vertical="center" wrapText="1"/>
    </xf>
    <xf numFmtId="43" fontId="49" fillId="0" borderId="39" xfId="2" applyFont="1" applyBorder="1" applyAlignment="1">
      <alignment horizontal="center" vertical="center" wrapText="1"/>
    </xf>
    <xf numFmtId="43" fontId="49" fillId="0" borderId="112" xfId="2" applyFont="1" applyBorder="1" applyAlignment="1">
      <alignment horizontal="center" vertical="center" wrapText="1"/>
    </xf>
    <xf numFmtId="43" fontId="49" fillId="0" borderId="111" xfId="2" applyFont="1" applyBorder="1" applyAlignment="1">
      <alignment horizontal="center" vertical="center" wrapText="1"/>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49" fillId="0" borderId="39" xfId="0" applyFont="1" applyBorder="1" applyAlignment="1">
      <alignment horizontal="center" vertical="center"/>
    </xf>
    <xf numFmtId="0" fontId="49" fillId="0" borderId="111" xfId="0" applyFont="1" applyBorder="1" applyAlignment="1">
      <alignment horizontal="center" vertical="center"/>
    </xf>
    <xf numFmtId="4" fontId="82" fillId="3" borderId="48" xfId="0" applyNumberFormat="1" applyFont="1" applyFill="1" applyBorder="1" applyAlignment="1" applyProtection="1">
      <alignment horizontal="center" vertical="center" wrapText="1" shrinkToFit="1"/>
      <protection hidden="1"/>
    </xf>
    <xf numFmtId="4" fontId="82" fillId="3" borderId="49" xfId="0" applyNumberFormat="1" applyFont="1" applyFill="1" applyBorder="1" applyAlignment="1" applyProtection="1">
      <alignment horizontal="center" vertical="center" wrapText="1" shrinkToFit="1"/>
      <protection hidden="1"/>
    </xf>
    <xf numFmtId="4" fontId="82" fillId="3" borderId="31" xfId="0" applyNumberFormat="1" applyFont="1" applyFill="1" applyBorder="1" applyAlignment="1" applyProtection="1">
      <alignment horizontal="center" vertical="center" wrapText="1" shrinkToFit="1"/>
      <protection hidden="1"/>
    </xf>
    <xf numFmtId="0" fontId="19" fillId="0" borderId="38" xfId="19" applyFont="1" applyBorder="1" applyAlignment="1">
      <alignment horizontal="center" vertical="center"/>
    </xf>
    <xf numFmtId="0" fontId="19" fillId="0" borderId="27" xfId="19" applyFont="1" applyBorder="1" applyAlignment="1">
      <alignment horizontal="center" vertical="center"/>
    </xf>
    <xf numFmtId="0" fontId="19" fillId="0" borderId="39" xfId="19" applyFont="1" applyBorder="1" applyAlignment="1">
      <alignment horizontal="center" vertical="center"/>
    </xf>
    <xf numFmtId="0" fontId="27" fillId="0" borderId="50" xfId="19" applyFont="1" applyBorder="1" applyAlignment="1">
      <alignment horizontal="left" vertical="center"/>
    </xf>
    <xf numFmtId="0" fontId="0" fillId="0" borderId="27" xfId="0" applyBorder="1" applyAlignment="1">
      <alignment horizontal="center"/>
    </xf>
    <xf numFmtId="0" fontId="0" fillId="0" borderId="0" xfId="0" applyAlignment="1">
      <alignment horizontal="center"/>
    </xf>
    <xf numFmtId="0" fontId="51" fillId="0" borderId="11" xfId="0" applyFont="1" applyBorder="1" applyAlignment="1">
      <alignment horizontal="center"/>
    </xf>
    <xf numFmtId="0" fontId="51" fillId="0" borderId="10" xfId="0" applyFont="1" applyBorder="1" applyAlignment="1">
      <alignment horizontal="center"/>
    </xf>
    <xf numFmtId="0" fontId="51" fillId="0" borderId="60" xfId="0" applyFont="1" applyBorder="1" applyAlignment="1">
      <alignment horizontal="center"/>
    </xf>
    <xf numFmtId="43" fontId="0" fillId="0" borderId="122" xfId="0" applyNumberFormat="1" applyBorder="1" applyAlignment="1">
      <alignment horizontal="center" vertical="center"/>
    </xf>
    <xf numFmtId="4" fontId="85" fillId="3" borderId="47" xfId="8" applyNumberFormat="1" applyFont="1" applyFill="1" applyBorder="1" applyAlignment="1" applyProtection="1">
      <alignment horizontal="left" vertical="center"/>
      <protection locked="0"/>
    </xf>
    <xf numFmtId="4" fontId="85" fillId="3" borderId="45" xfId="8" applyNumberFormat="1" applyFont="1" applyFill="1" applyBorder="1" applyAlignment="1" applyProtection="1">
      <alignment horizontal="left" vertical="center"/>
      <protection locked="0"/>
    </xf>
    <xf numFmtId="4" fontId="85" fillId="3" borderId="46" xfId="8" applyNumberFormat="1" applyFont="1" applyFill="1" applyBorder="1" applyAlignment="1" applyProtection="1">
      <alignment horizontal="left" vertical="center"/>
      <protection locked="0"/>
    </xf>
    <xf numFmtId="43" fontId="82" fillId="3" borderId="47"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 fontId="85" fillId="3" borderId="48" xfId="8" applyNumberFormat="1" applyFont="1" applyFill="1" applyBorder="1" applyAlignment="1" applyProtection="1">
      <alignment horizontal="left" vertical="center"/>
      <protection locked="0"/>
    </xf>
    <xf numFmtId="4" fontId="85" fillId="3" borderId="49" xfId="8" applyNumberFormat="1" applyFont="1" applyFill="1" applyBorder="1" applyAlignment="1" applyProtection="1">
      <alignment horizontal="left" vertical="center"/>
      <protection locked="0"/>
    </xf>
    <xf numFmtId="4" fontId="85" fillId="3" borderId="31" xfId="8" applyNumberFormat="1" applyFont="1" applyFill="1" applyBorder="1" applyAlignment="1" applyProtection="1">
      <alignment horizontal="left" vertical="center"/>
      <protection locked="0"/>
    </xf>
    <xf numFmtId="43" fontId="82" fillId="3" borderId="48"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45" xfId="18"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49" xfId="18" applyFont="1" applyFill="1" applyBorder="1" applyAlignment="1" applyProtection="1">
      <alignment horizontal="center" vertical="center"/>
      <protection locked="0"/>
    </xf>
    <xf numFmtId="43" fontId="82" fillId="3" borderId="27" xfId="18" applyFont="1" applyFill="1" applyBorder="1" applyAlignment="1" applyProtection="1">
      <alignment horizontal="center" vertical="center"/>
      <protection locked="0"/>
    </xf>
  </cellXfs>
  <cellStyles count="83">
    <cellStyle name="Moeda" xfId="17" builtinId="4"/>
    <cellStyle name="Moeda 11 3" xfId="35" xr:uid="{A3A88A68-E96C-4F74-BF82-70734D70E2E0}"/>
    <cellStyle name="Moeda 15 2" xfId="34" xr:uid="{7B7CAD6A-2786-41FE-89E1-A277CECA5576}"/>
    <cellStyle name="Moeda 2" xfId="15" xr:uid="{00000000-0005-0000-0000-000001000000}"/>
    <cellStyle name="Moeda 2 2" xfId="45" xr:uid="{194D81C2-A8C1-4AC8-8957-DCE440E092DD}"/>
    <cellStyle name="Moeda 2 7" xfId="29" xr:uid="{C544ECDD-FA1F-4D75-90AC-DD8475F9E769}"/>
    <cellStyle name="Moeda 3" xfId="41" xr:uid="{522C3A2F-4C76-42F3-B61C-FEEA8DD98F1C}"/>
    <cellStyle name="Moeda 3 2" xfId="53" xr:uid="{071A748B-1A12-457F-BEFB-4868A17AE4DA}"/>
    <cellStyle name="Moeda 4" xfId="81" xr:uid="{418A6E92-ED23-43C8-AC2B-8348F7EBE1D9}"/>
    <cellStyle name="Moeda 5" xfId="65" xr:uid="{E2A4A0EE-527F-4A41-A63A-453AD5653995}"/>
    <cellStyle name="Moeda 8" xfId="31" xr:uid="{E4BDC1D4-9B00-4AD9-93DB-48F2E05ED06D}"/>
    <cellStyle name="Normal" xfId="0" builtinId="0"/>
    <cellStyle name="Normal 10 2 3" xfId="36" xr:uid="{7109F0C8-63E3-4D17-8BB9-13C63AE87550}"/>
    <cellStyle name="Normal 11 3" xfId="19" xr:uid="{B029FD7B-AEAB-4DD8-957D-8FFB5D70238F}"/>
    <cellStyle name="Normal 11 3 4 2" xfId="22" xr:uid="{1EC1A630-61BB-415C-837F-521BB0C2CE1C}"/>
    <cellStyle name="Normal 11 3 5" xfId="20" xr:uid="{D840BD55-F2F9-4C15-836B-56A828DDBBCF}"/>
    <cellStyle name="Normal 12" xfId="51" xr:uid="{3EA06DF3-6DAD-40E6-8831-0DB8112B1DF2}"/>
    <cellStyle name="Normal 12 2" xfId="82" xr:uid="{54CEBAF1-DB05-40D7-8FA0-5F558C0F7FA4}"/>
    <cellStyle name="Normal 14" xfId="39" xr:uid="{B1A2D155-9931-4649-B06F-D013248BC200}"/>
    <cellStyle name="Normal 15" xfId="38" xr:uid="{495047D9-E695-48F6-BF9D-2313E6892791}"/>
    <cellStyle name="Normal 2" xfId="3" xr:uid="{00000000-0005-0000-0000-000003000000}"/>
    <cellStyle name="Normal 2 2" xfId="46" xr:uid="{D6CF70D3-2255-4FB6-A223-BF40AE13DCCA}"/>
    <cellStyle name="Normal 2 2 2" xfId="49" xr:uid="{8A1B1625-92B6-4D40-9917-5DEC3E33B28F}"/>
    <cellStyle name="Normal 2 3" xfId="42" xr:uid="{1BB590D0-7F97-4F5E-9BB7-D17C678647CA}"/>
    <cellStyle name="Normal 21 2 2" xfId="24" xr:uid="{7EA87087-20AE-496C-8A44-A9704E03E0F5}"/>
    <cellStyle name="Normal 21 3" xfId="33" xr:uid="{803A27CE-57C1-415C-9A69-900C8BEC58B4}"/>
    <cellStyle name="Normal 3" xfId="10" xr:uid="{00000000-0005-0000-0000-000005000000}"/>
    <cellStyle name="Normal 3 2" xfId="48" xr:uid="{D300FBC0-EA10-47D3-8294-CCB93944B2B1}"/>
    <cellStyle name="Normal 3 3" xfId="54" xr:uid="{74E6D515-8142-41D2-9EE2-2DC2095756E0}"/>
    <cellStyle name="Normal 34" xfId="43" xr:uid="{B1A58FE7-5D7B-4C87-88E5-C702EFE27370}"/>
    <cellStyle name="Normal 4" xfId="55" xr:uid="{C358E7E9-C265-403F-9B8D-920CDF0DA6FF}"/>
    <cellStyle name="Normal 4 2" xfId="8" xr:uid="{00000000-0005-0000-0000-000006000000}"/>
    <cellStyle name="Normal 5" xfId="4" xr:uid="{00000000-0005-0000-0000-000007000000}"/>
    <cellStyle name="Normal 5 2" xfId="56" xr:uid="{6EA243B9-6114-47DB-8785-245EA0B02514}"/>
    <cellStyle name="Normal 9" xfId="25" xr:uid="{557E216C-617A-4A14-B006-EF966394786E}"/>
    <cellStyle name="Normal_ORCA REDE AGUA PADRAO1" xfId="26" xr:uid="{C34D826D-480E-48EF-9A1F-D287AA196528}"/>
    <cellStyle name="Normal_Relatorio_1" xfId="37" xr:uid="{326A7363-8AD7-42DF-AFFB-DC86BBC94AAE}"/>
    <cellStyle name="Porcentagem" xfId="1" builtinId="5"/>
    <cellStyle name="Porcentagem 2" xfId="7" xr:uid="{00000000-0005-0000-0000-000009000000}"/>
    <cellStyle name="Separador de milhares 11" xfId="57" xr:uid="{A28C347F-7ADA-45ED-B115-B613B91EFAEE}"/>
    <cellStyle name="Separador de milhares 11 2" xfId="70" xr:uid="{A9B438CB-E985-488B-9696-A50909B0B8AA}"/>
    <cellStyle name="Separador de milhares 2" xfId="12" xr:uid="{00000000-0005-0000-0000-00000A000000}"/>
    <cellStyle name="Separador de milhares 2 2" xfId="47" xr:uid="{6C40ECB4-7878-4D4B-9BA1-410FCE583BB0}"/>
    <cellStyle name="Separador de milhares 2 2 2" xfId="72" xr:uid="{E3407884-F984-4312-A71C-E0D82845F1FB}"/>
    <cellStyle name="Separador de milhares 2 2 3" xfId="59" xr:uid="{FD86D597-065C-4ED0-A457-A162B4826E7F}"/>
    <cellStyle name="Separador de milhares 2 2 5" xfId="6" xr:uid="{00000000-0005-0000-0000-00000B000000}"/>
    <cellStyle name="Separador de milhares 2 3" xfId="60" xr:uid="{4C247991-71E6-4767-AE92-4928C7E3AC2A}"/>
    <cellStyle name="Separador de milhares 2 3 2" xfId="73" xr:uid="{707556EE-E111-4582-A784-8011D2FAF204}"/>
    <cellStyle name="Separador de milhares 2 3 4" xfId="5" xr:uid="{00000000-0005-0000-0000-00000C000000}"/>
    <cellStyle name="Separador de milhares 2 4" xfId="71" xr:uid="{BE34BC7A-D31B-4713-9C2B-112412B8F326}"/>
    <cellStyle name="Separador de milhares 2 5" xfId="58" xr:uid="{35492F94-B391-4097-8348-AA85597B1778}"/>
    <cellStyle name="Separador de milhares 3" xfId="11" xr:uid="{00000000-0005-0000-0000-00000D000000}"/>
    <cellStyle name="Separador de milhares 3 2" xfId="13" xr:uid="{00000000-0005-0000-0000-00000E000000}"/>
    <cellStyle name="Separador de milhares 3 2 2" xfId="74" xr:uid="{3DB1470A-E76F-440A-8094-A9D8D4F8A08F}"/>
    <cellStyle name="Separador de milhares 3 3" xfId="61" xr:uid="{9B2B1752-59C2-4C9A-8DC0-3D4C4459DA65}"/>
    <cellStyle name="Separador de milhares 4" xfId="62" xr:uid="{F783233D-5145-45F6-9B51-40518EB51AC6}"/>
    <cellStyle name="Separador de milhares 4 2" xfId="75" xr:uid="{815F1D4E-40FD-4EBA-ABDA-3F73DECDF8AD}"/>
    <cellStyle name="Separador de milhares 5" xfId="63" xr:uid="{50DC4364-DA97-43FF-BCF8-04BA47BF08B8}"/>
    <cellStyle name="Separador de milhares 5 2" xfId="76" xr:uid="{4765F6F4-B996-4CD2-BDBA-20ED0426CA67}"/>
    <cellStyle name="Separador de milhares 7" xfId="67" xr:uid="{D2F31B43-5E84-4D7C-A687-81B0DBD391B3}"/>
    <cellStyle name="Separador de milhares 7 2" xfId="79" xr:uid="{F0F0C8AE-C215-4E2D-BB83-C2C73ADBDB71}"/>
    <cellStyle name="Vírgula" xfId="2" builtinId="3"/>
    <cellStyle name="Vírgula 11" xfId="30" xr:uid="{141D9742-B2C0-422E-8855-22751D7B23CF}"/>
    <cellStyle name="Vírgula 2" xfId="9" xr:uid="{00000000-0005-0000-0000-000010000000}"/>
    <cellStyle name="Vírgula 2 2" xfId="44" xr:uid="{D913472C-9477-41BF-843B-D1B20BF3AC17}"/>
    <cellStyle name="Vírgula 2 2 2" xfId="77" xr:uid="{5ED53011-F08E-431E-9F39-6AB76426AFBF}"/>
    <cellStyle name="Vírgula 2 3" xfId="69" xr:uid="{03B63A40-E483-42A4-AB7D-87C1E9E75941}"/>
    <cellStyle name="Vírgula 2 6" xfId="28" xr:uid="{4DDEE9AC-F358-44C0-8AF0-45608D5DF236}"/>
    <cellStyle name="Vírgula 2 7" xfId="23" xr:uid="{F8F9C05A-F096-4AF2-9428-82CE965D0DE5}"/>
    <cellStyle name="Vírgula 3" xfId="14" xr:uid="{00000000-0005-0000-0000-000011000000}"/>
    <cellStyle name="Vírgula 3 2" xfId="78" xr:uid="{275A9CFB-0209-49FE-BB41-B866FFF7E2BF}"/>
    <cellStyle name="Vírgula 3 2 2" xfId="16" xr:uid="{00000000-0005-0000-0000-000012000000}"/>
    <cellStyle name="Vírgula 3 3" xfId="64" xr:uid="{A4CA8D12-0A23-41FA-AD8F-B31157573033}"/>
    <cellStyle name="Vírgula 4" xfId="18" xr:uid="{00000000-0005-0000-0000-000013000000}"/>
    <cellStyle name="Vírgula 4 2" xfId="40" xr:uid="{A5EF37F0-B4E3-41EC-B61D-E4578ED35768}"/>
    <cellStyle name="Vírgula 4 2 2" xfId="68" xr:uid="{51CDFE89-5438-4688-BA4F-A16D1D020A69}"/>
    <cellStyle name="Vírgula 4 3" xfId="52" xr:uid="{BCEDD428-1230-485D-B2D1-9D1E9E9B725A}"/>
    <cellStyle name="Vírgula 4 6" xfId="27" xr:uid="{526C9910-9598-4C7B-A3AE-FD820CDB6A0E}"/>
    <cellStyle name="Vírgula 5" xfId="32" xr:uid="{0BECDFE7-B216-4BB3-904A-B32C407FF7D8}"/>
    <cellStyle name="Vírgula 5 2" xfId="80" xr:uid="{3FEC674E-0DB3-4A2A-A241-F4607F27267F}"/>
    <cellStyle name="Vírgula 6" xfId="50" xr:uid="{A932B4D8-97C3-4B1A-80D6-A115233A8C63}"/>
    <cellStyle name="Vírgula 7" xfId="66" xr:uid="{F5255344-92F8-4FE2-9DEB-6A9BBD13FCD2}"/>
    <cellStyle name="Vírgula 9" xfId="21" xr:uid="{11CC57F3-B1AA-4D6C-A242-E3B101A46BFA}"/>
  </cellStyles>
  <dxfs count="483">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s>
  <tableStyles count="0" defaultTableStyle="TableStyleMedium9" defaultPivotStyle="PivotStyleLight16"/>
  <colors>
    <mruColors>
      <color rgb="FF1066A0"/>
      <color rgb="FFF2ACF4"/>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30-EC42-11CE-9E0D-00AA006002F3}" r:id="rId1"/>
</file>

<file path=xl/activeX/activeX5.xml><?xml version="1.0" encoding="utf-8"?>
<ax:ocx xmlns:ax="http://schemas.microsoft.com/office/2006/activeX" xmlns:r="http://schemas.openxmlformats.org/officeDocument/2006/relationships" ax:classid="{978C9E23-D4B0-11CE-BF2D-00AA003F40D0}"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978C9E23-D4B0-11CE-BF2D-00AA003F40D0}"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978C9E23-D4B0-11CE-BF2D-00AA003F40D0}"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978C9E23-D4B0-11CE-BF2D-00AA003F40D0}"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978C9E23-D4B0-11CE-BF2D-00AA003F40D0}"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978C9E23-D4B0-11CE-BF2D-00AA003F40D0}"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978C9E23-D4B0-11CE-BF2D-00AA003F40D0}"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8BD21D30-EC42-11CE-9E0D-00AA006002F3}" r:id="rId1"/>
</file>

<file path=xl/activeX/activeX21.xml><?xml version="1.0" encoding="utf-8"?>
<ax:ocx xmlns:ax="http://schemas.microsoft.com/office/2006/activeX" xmlns:r="http://schemas.openxmlformats.org/officeDocument/2006/relationships" ax:classid="{978C9E23-D4B0-11CE-BF2D-00AA003F40D0}" r:id="rId1"/>
</file>

<file path=xl/activeX/activeX22.xml><?xml version="1.0" encoding="utf-8"?>
<ax:ocx xmlns:ax="http://schemas.microsoft.com/office/2006/activeX" xmlns:r="http://schemas.openxmlformats.org/officeDocument/2006/relationships" ax:classid="{8BD21D30-EC42-11CE-9E0D-00AA006002F3}" r:id="rId1"/>
</file>

<file path=xl/activeX/activeX23.xml><?xml version="1.0" encoding="utf-8"?>
<ax:ocx xmlns:ax="http://schemas.microsoft.com/office/2006/activeX" xmlns:r="http://schemas.openxmlformats.org/officeDocument/2006/relationships" ax:classid="{978C9E23-D4B0-11CE-BF2D-00AA003F40D0}" r:id="rId1"/>
</file>

<file path=xl/activeX/activeX24.xml><?xml version="1.0" encoding="utf-8"?>
<ax:ocx xmlns:ax="http://schemas.microsoft.com/office/2006/activeX" xmlns:r="http://schemas.openxmlformats.org/officeDocument/2006/relationships" ax:classid="{8BD21D30-EC42-11CE-9E0D-00AA006002F3}" r:id="rId1"/>
</file>

<file path=xl/activeX/activeX25.xml><?xml version="1.0" encoding="utf-8"?>
<ax:ocx xmlns:ax="http://schemas.microsoft.com/office/2006/activeX" xmlns:r="http://schemas.openxmlformats.org/officeDocument/2006/relationships" ax:classid="{978C9E23-D4B0-11CE-BF2D-00AA003F40D0}" r:id="rId1"/>
</file>

<file path=xl/activeX/activeX26.xml><?xml version="1.0" encoding="utf-8"?>
<ax:ocx xmlns:ax="http://schemas.microsoft.com/office/2006/activeX" xmlns:r="http://schemas.openxmlformats.org/officeDocument/2006/relationships" ax:classid="{8BD21D30-EC42-11CE-9E0D-00AA006002F3}" r:id="rId1"/>
</file>

<file path=xl/activeX/activeX27.xml><?xml version="1.0" encoding="utf-8"?>
<ax:ocx xmlns:ax="http://schemas.microsoft.com/office/2006/activeX" xmlns:r="http://schemas.openxmlformats.org/officeDocument/2006/relationships" ax:classid="{978C9E23-D4B0-11CE-BF2D-00AA003F40D0}" r:id="rId1"/>
</file>

<file path=xl/activeX/activeX28.xml><?xml version="1.0" encoding="utf-8"?>
<ax:ocx xmlns:ax="http://schemas.microsoft.com/office/2006/activeX" xmlns:r="http://schemas.openxmlformats.org/officeDocument/2006/relationships" ax:classid="{8BD21D30-EC42-11CE-9E0D-00AA006002F3}" r:id="rId1"/>
</file>

<file path=xl/activeX/activeX29.xml><?xml version="1.0" encoding="utf-8"?>
<ax:ocx xmlns:ax="http://schemas.microsoft.com/office/2006/activeX" xmlns:r="http://schemas.openxmlformats.org/officeDocument/2006/relationships" ax:classid="{978C9E23-D4B0-11CE-BF2D-00AA003F40D0}" r:id="rId1"/>
</file>

<file path=xl/activeX/activeX30.xml><?xml version="1.0" encoding="utf-8"?>
<ax:ocx xmlns:ax="http://schemas.microsoft.com/office/2006/activeX" xmlns:r="http://schemas.openxmlformats.org/officeDocument/2006/relationships" ax:classid="{8BD21D30-EC42-11CE-9E0D-00AA006002F3}" r:id="rId1"/>
</file>

<file path=xl/activeX/activeX31.xml><?xml version="1.0" encoding="utf-8"?>
<ax:ocx xmlns:ax="http://schemas.microsoft.com/office/2006/activeX" xmlns:r="http://schemas.openxmlformats.org/officeDocument/2006/relationships" ax:classid="{978C9E23-D4B0-11CE-BF2D-00AA003F40D0}" r:id="rId1"/>
</file>

<file path=xl/activeX/activeX32.xml><?xml version="1.0" encoding="utf-8"?>
<ax:ocx xmlns:ax="http://schemas.microsoft.com/office/2006/activeX" xmlns:r="http://schemas.openxmlformats.org/officeDocument/2006/relationships" ax:classid="{8BD21D30-EC42-11CE-9E0D-00AA006002F3}" r:id="rId1"/>
</file>

<file path=xl/activeX/activeX33.xml><?xml version="1.0" encoding="utf-8"?>
<ax:ocx xmlns:ax="http://schemas.microsoft.com/office/2006/activeX" xmlns:r="http://schemas.openxmlformats.org/officeDocument/2006/relationships" ax:classid="{978C9E23-D4B0-11CE-BF2D-00AA003F40D0}" r:id="rId1"/>
</file>

<file path=xl/activeX/activeX34.xml><?xml version="1.0" encoding="utf-8"?>
<ax:ocx xmlns:ax="http://schemas.microsoft.com/office/2006/activeX" xmlns:r="http://schemas.openxmlformats.org/officeDocument/2006/relationships" ax:classid="{8BD21D30-EC42-11CE-9E0D-00AA006002F3}"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8BD21D30-EC42-11CE-9E0D-00AA006002F3}" r:id="rId1"/>
</file>

<file path=xl/activeX/activeX37.xml><?xml version="1.0" encoding="utf-8"?>
<ax:ocx xmlns:ax="http://schemas.microsoft.com/office/2006/activeX" xmlns:r="http://schemas.openxmlformats.org/officeDocument/2006/relationships" ax:classid="{978C9E23-D4B0-11CE-BF2D-00AA003F40D0}" r:id="rId1"/>
</file>

<file path=xl/activeX/activeX38.xml><?xml version="1.0" encoding="utf-8"?>
<ax:ocx xmlns:ax="http://schemas.microsoft.com/office/2006/activeX" xmlns:r="http://schemas.openxmlformats.org/officeDocument/2006/relationships" ax:classid="{8BD21D30-EC42-11CE-9E0D-00AA006002F3}" r:id="rId1"/>
</file>

<file path=xl/activeX/activeX39.xml><?xml version="1.0" encoding="utf-8"?>
<ax:ocx xmlns:ax="http://schemas.microsoft.com/office/2006/activeX" xmlns:r="http://schemas.openxmlformats.org/officeDocument/2006/relationships" ax:classid="{978C9E23-D4B0-11CE-BF2D-00AA003F40D0}" r:id="rId1"/>
</file>

<file path=xl/activeX/activeX40.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Radio" firstButton="1" fmlaLink="$G$8" lockText="1"/>
</file>

<file path=xl/ctrlProps/ctrlProp2.xml><?xml version="1.0" encoding="utf-8"?>
<formControlPr xmlns="http://schemas.microsoft.com/office/spreadsheetml/2009/9/main" objectType="Radio" checked="Checked" lockText="1"/>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0</xdr:row>
          <xdr:rowOff>175260</xdr:rowOff>
        </xdr:from>
        <xdr:to>
          <xdr:col>3</xdr:col>
          <xdr:colOff>502920</xdr:colOff>
          <xdr:row>0</xdr:row>
          <xdr:rowOff>411480</xdr:rowOff>
        </xdr:to>
        <xdr:sp macro="" textlink="">
          <xdr:nvSpPr>
            <xdr:cNvPr id="148482" name="ComboBox3" hidden="1">
              <a:extLst>
                <a:ext uri="{63B3BB69-23CF-44E3-9099-C40C66FF867C}">
                  <a14:compatExt spid="_x0000_s148482"/>
                </a:ext>
                <a:ext uri="{FF2B5EF4-FFF2-40B4-BE49-F238E27FC236}">
                  <a16:creationId xmlns:a16="http://schemas.microsoft.com/office/drawing/2014/main" id="{00000000-0008-0000-0000-000002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236220</xdr:colOff>
          <xdr:row>0</xdr:row>
          <xdr:rowOff>22860</xdr:rowOff>
        </xdr:from>
        <xdr:to>
          <xdr:col>3</xdr:col>
          <xdr:colOff>388620</xdr:colOff>
          <xdr:row>0</xdr:row>
          <xdr:rowOff>152400</xdr:rowOff>
        </xdr:to>
        <xdr:sp macro="" textlink="">
          <xdr:nvSpPr>
            <xdr:cNvPr id="148483" name="Label1" hidden="1">
              <a:extLst>
                <a:ext uri="{63B3BB69-23CF-44E3-9099-C40C66FF867C}">
                  <a14:compatExt spid="_x0000_s148483"/>
                </a:ext>
                <a:ext uri="{FF2B5EF4-FFF2-40B4-BE49-F238E27FC236}">
                  <a16:creationId xmlns:a16="http://schemas.microsoft.com/office/drawing/2014/main" id="{00000000-0008-0000-0000-000003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96964</xdr:colOff>
      <xdr:row>0</xdr:row>
      <xdr:rowOff>95250</xdr:rowOff>
    </xdr:from>
    <xdr:to>
      <xdr:col>1</xdr:col>
      <xdr:colOff>1154906</xdr:colOff>
      <xdr:row>3</xdr:row>
      <xdr:rowOff>272682</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964" y="95250"/>
          <a:ext cx="1748505" cy="891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617220</xdr:colOff>
          <xdr:row>2</xdr:row>
          <xdr:rowOff>175260</xdr:rowOff>
        </xdr:from>
        <xdr:to>
          <xdr:col>12</xdr:col>
          <xdr:colOff>480060</xdr:colOff>
          <xdr:row>3</xdr:row>
          <xdr:rowOff>114300</xdr:rowOff>
        </xdr:to>
        <xdr:sp macro="" textlink="">
          <xdr:nvSpPr>
            <xdr:cNvPr id="1025" name="ComboBox8"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670560</xdr:colOff>
          <xdr:row>2</xdr:row>
          <xdr:rowOff>22860</xdr:rowOff>
        </xdr:from>
        <xdr:to>
          <xdr:col>12</xdr:col>
          <xdr:colOff>365760</xdr:colOff>
          <xdr:row>2</xdr:row>
          <xdr:rowOff>152400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0</xdr:row>
          <xdr:rowOff>175260</xdr:rowOff>
        </xdr:from>
        <xdr:to>
          <xdr:col>5</xdr:col>
          <xdr:colOff>944880</xdr:colOff>
          <xdr:row>0</xdr:row>
          <xdr:rowOff>411480</xdr:rowOff>
        </xdr:to>
        <xdr:sp macro="" textlink="">
          <xdr:nvSpPr>
            <xdr:cNvPr id="149506" name="ComboBox4" hidden="1">
              <a:extLst>
                <a:ext uri="{63B3BB69-23CF-44E3-9099-C40C66FF867C}">
                  <a14:compatExt spid="_x0000_s149506"/>
                </a:ext>
                <a:ext uri="{FF2B5EF4-FFF2-40B4-BE49-F238E27FC236}">
                  <a16:creationId xmlns:a16="http://schemas.microsoft.com/office/drawing/2014/main" id="{00000000-0008-0000-0200-000002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0</xdr:row>
          <xdr:rowOff>22860</xdr:rowOff>
        </xdr:from>
        <xdr:to>
          <xdr:col>5</xdr:col>
          <xdr:colOff>830580</xdr:colOff>
          <xdr:row>0</xdr:row>
          <xdr:rowOff>152400</xdr:rowOff>
        </xdr:to>
        <xdr:sp macro="" textlink="">
          <xdr:nvSpPr>
            <xdr:cNvPr id="149507" name="Label1" hidden="1">
              <a:extLst>
                <a:ext uri="{63B3BB69-23CF-44E3-9099-C40C66FF867C}">
                  <a14:compatExt spid="_x0000_s149507"/>
                </a:ext>
                <a:ext uri="{FF2B5EF4-FFF2-40B4-BE49-F238E27FC236}">
                  <a16:creationId xmlns:a16="http://schemas.microsoft.com/office/drawing/2014/main" id="{00000000-0008-0000-0200-000003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168088</xdr:colOff>
      <xdr:row>0</xdr:row>
      <xdr:rowOff>67235</xdr:rowOff>
    </xdr:from>
    <xdr:to>
      <xdr:col>1</xdr:col>
      <xdr:colOff>1315775</xdr:colOff>
      <xdr:row>3</xdr:row>
      <xdr:rowOff>95250</xdr:rowOff>
    </xdr:to>
    <xdr:pic>
      <xdr:nvPicPr>
        <xdr:cNvPr id="2" name="Imagem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8088" y="67235"/>
          <a:ext cx="1500112" cy="5899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346364</xdr:colOff>
      <xdr:row>52</xdr:row>
      <xdr:rowOff>49353</xdr:rowOff>
    </xdr:from>
    <xdr:to>
      <xdr:col>3</xdr:col>
      <xdr:colOff>726950</xdr:colOff>
      <xdr:row>53</xdr:row>
      <xdr:rowOff>129887</xdr:rowOff>
    </xdr:to>
    <xdr:pic>
      <xdr:nvPicPr>
        <xdr:cNvPr id="10" name="Imagem 9">
          <a:extLst>
            <a:ext uri="{FF2B5EF4-FFF2-40B4-BE49-F238E27FC236}">
              <a16:creationId xmlns:a16="http://schemas.microsoft.com/office/drawing/2014/main" id="{378EBF52-CE26-48FB-A867-8E7F02D4E8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32614" y="4638671"/>
          <a:ext cx="1012700" cy="2710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582084</xdr:colOff>
      <xdr:row>3</xdr:row>
      <xdr:rowOff>158750</xdr:rowOff>
    </xdr:from>
    <xdr:to>
      <xdr:col>1</xdr:col>
      <xdr:colOff>1157778</xdr:colOff>
      <xdr:row>6</xdr:row>
      <xdr:rowOff>169334</xdr:rowOff>
    </xdr:to>
    <xdr:pic>
      <xdr:nvPicPr>
        <xdr:cNvPr id="4" name="Imagem 3">
          <a:extLst>
            <a:ext uri="{FF2B5EF4-FFF2-40B4-BE49-F238E27FC236}">
              <a16:creationId xmlns:a16="http://schemas.microsoft.com/office/drawing/2014/main" id="{5881B887-30FF-4D19-AB26-6DD3B06BB3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2084" y="952500"/>
          <a:ext cx="1189527" cy="5820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179917</xdr:colOff>
      <xdr:row>18</xdr:row>
      <xdr:rowOff>162082</xdr:rowOff>
    </xdr:from>
    <xdr:to>
      <xdr:col>12</xdr:col>
      <xdr:colOff>548159</xdr:colOff>
      <xdr:row>35</xdr:row>
      <xdr:rowOff>5792</xdr:rowOff>
    </xdr:to>
    <xdr:pic>
      <xdr:nvPicPr>
        <xdr:cNvPr id="5" name="Imagem 4">
          <a:extLst>
            <a:ext uri="{FF2B5EF4-FFF2-40B4-BE49-F238E27FC236}">
              <a16:creationId xmlns:a16="http://schemas.microsoft.com/office/drawing/2014/main" id="{4BF8968F-E8B1-A5B6-273D-107ABF5C26C1}"/>
            </a:ext>
          </a:extLst>
        </xdr:cNvPr>
        <xdr:cNvPicPr>
          <a:picLocks noChangeAspect="1"/>
        </xdr:cNvPicPr>
      </xdr:nvPicPr>
      <xdr:blipFill>
        <a:blip xmlns:r="http://schemas.openxmlformats.org/officeDocument/2006/relationships" r:embed="rId2"/>
        <a:stretch>
          <a:fillRect/>
        </a:stretch>
      </xdr:blipFill>
      <xdr:spPr>
        <a:xfrm>
          <a:off x="2857500" y="3813332"/>
          <a:ext cx="6189076" cy="30822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206028</xdr:colOff>
      <xdr:row>3</xdr:row>
      <xdr:rowOff>133350</xdr:rowOff>
    </xdr:to>
    <xdr:pic>
      <xdr:nvPicPr>
        <xdr:cNvPr id="2" name="Imagem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495078"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1051560</xdr:colOff>
          <xdr:row>1</xdr:row>
          <xdr:rowOff>99060</xdr:rowOff>
        </xdr:from>
        <xdr:to>
          <xdr:col>6</xdr:col>
          <xdr:colOff>68580</xdr:colOff>
          <xdr:row>2</xdr:row>
          <xdr:rowOff>160020</xdr:rowOff>
        </xdr:to>
        <xdr:sp macro="" textlink="">
          <xdr:nvSpPr>
            <xdr:cNvPr id="2050" name="ComboBox10"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1287780</xdr:colOff>
          <xdr:row>0</xdr:row>
          <xdr:rowOff>76200</xdr:rowOff>
        </xdr:from>
        <xdr:to>
          <xdr:col>6</xdr:col>
          <xdr:colOff>144780</xdr:colOff>
          <xdr:row>1</xdr:row>
          <xdr:rowOff>38100</xdr:rowOff>
        </xdr:to>
        <xdr:sp macro="" textlink="">
          <xdr:nvSpPr>
            <xdr:cNvPr id="2051" name="Label1" hidden="1">
              <a:extLst>
                <a:ext uri="{63B3BB69-23CF-44E3-9099-C40C66FF867C}">
                  <a14:compatExt spid="_x0000_s2051"/>
                </a:ext>
                <a:ext uri="{FF2B5EF4-FFF2-40B4-BE49-F238E27FC236}">
                  <a16:creationId xmlns:a16="http://schemas.microsoft.com/office/drawing/2014/main" id="{00000000-0008-0000-08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6</xdr:row>
          <xdr:rowOff>228600</xdr:rowOff>
        </xdr:from>
        <xdr:to>
          <xdr:col>7</xdr:col>
          <xdr:colOff>868680</xdr:colOff>
          <xdr:row>7</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800-000004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7</xdr:row>
          <xdr:rowOff>182880</xdr:rowOff>
        </xdr:from>
        <xdr:to>
          <xdr:col>7</xdr:col>
          <xdr:colOff>868680</xdr:colOff>
          <xdr:row>9</xdr:row>
          <xdr:rowOff>106680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8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133350</xdr:colOff>
      <xdr:row>1</xdr:row>
      <xdr:rowOff>0</xdr:rowOff>
    </xdr:from>
    <xdr:to>
      <xdr:col>1</xdr:col>
      <xdr:colOff>1657668</xdr:colOff>
      <xdr:row>3</xdr:row>
      <xdr:rowOff>212725</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190500"/>
          <a:ext cx="1509078" cy="603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198120</xdr:colOff>
          <xdr:row>1</xdr:row>
          <xdr:rowOff>60960</xdr:rowOff>
        </xdr:from>
        <xdr:to>
          <xdr:col>12</xdr:col>
          <xdr:colOff>693420</xdr:colOff>
          <xdr:row>2</xdr:row>
          <xdr:rowOff>114300</xdr:rowOff>
        </xdr:to>
        <xdr:sp macro="" textlink="">
          <xdr:nvSpPr>
            <xdr:cNvPr id="4097" name="ComboBox1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0</xdr:row>
          <xdr:rowOff>99060</xdr:rowOff>
        </xdr:from>
        <xdr:to>
          <xdr:col>12</xdr:col>
          <xdr:colOff>579120</xdr:colOff>
          <xdr:row>1</xdr:row>
          <xdr:rowOff>45720</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629073</xdr:colOff>
      <xdr:row>4</xdr:row>
      <xdr:rowOff>117257</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7066" y="105834"/>
          <a:ext cx="1329267" cy="6464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7620</xdr:colOff>
          <xdr:row>2</xdr:row>
          <xdr:rowOff>7620</xdr:rowOff>
        </xdr:from>
        <xdr:to>
          <xdr:col>20</xdr:col>
          <xdr:colOff>883920</xdr:colOff>
          <xdr:row>3</xdr:row>
          <xdr:rowOff>83820</xdr:rowOff>
        </xdr:to>
        <xdr:sp macro="" textlink="">
          <xdr:nvSpPr>
            <xdr:cNvPr id="6145" name="ComboBox13" hidden="1">
              <a:extLst>
                <a:ext uri="{63B3BB69-23CF-44E3-9099-C40C66FF867C}">
                  <a14:compatExt spid="_x0000_s6145"/>
                </a:ext>
                <a:ext uri="{FF2B5EF4-FFF2-40B4-BE49-F238E27FC236}">
                  <a16:creationId xmlns:a16="http://schemas.microsoft.com/office/drawing/2014/main" id="{00000000-0008-0000-0E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0</xdr:row>
          <xdr:rowOff>38100</xdr:rowOff>
        </xdr:from>
        <xdr:to>
          <xdr:col>20</xdr:col>
          <xdr:colOff>609600</xdr:colOff>
          <xdr:row>1</xdr:row>
          <xdr:rowOff>22860</xdr:rowOff>
        </xdr:to>
        <xdr:sp macro="" textlink="">
          <xdr:nvSpPr>
            <xdr:cNvPr id="6146" name="Label1" hidden="1">
              <a:extLst>
                <a:ext uri="{63B3BB69-23CF-44E3-9099-C40C66FF867C}">
                  <a14:compatExt spid="_x0000_s6146"/>
                </a:ext>
                <a:ext uri="{FF2B5EF4-FFF2-40B4-BE49-F238E27FC236}">
                  <a16:creationId xmlns:a16="http://schemas.microsoft.com/office/drawing/2014/main" id="{00000000-0008-0000-0E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6001" name="ComboBox13" hidden="1">
              <a:extLst>
                <a:ext uri="{63B3BB69-23CF-44E3-9099-C40C66FF867C}">
                  <a14:compatExt spid="_x0000_s256001"/>
                </a:ext>
                <a:ext uri="{FF2B5EF4-FFF2-40B4-BE49-F238E27FC236}">
                  <a16:creationId xmlns:a16="http://schemas.microsoft.com/office/drawing/2014/main" id="{00000000-0008-0000-0F00-000001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6002" name="Label1" hidden="1">
              <a:extLst>
                <a:ext uri="{63B3BB69-23CF-44E3-9099-C40C66FF867C}">
                  <a14:compatExt spid="_x0000_s256002"/>
                </a:ext>
                <a:ext uri="{FF2B5EF4-FFF2-40B4-BE49-F238E27FC236}">
                  <a16:creationId xmlns:a16="http://schemas.microsoft.com/office/drawing/2014/main" id="{00000000-0008-0000-0F00-000002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7025" name="ComboBox13" hidden="1">
              <a:extLst>
                <a:ext uri="{63B3BB69-23CF-44E3-9099-C40C66FF867C}">
                  <a14:compatExt spid="_x0000_s257025"/>
                </a:ext>
                <a:ext uri="{FF2B5EF4-FFF2-40B4-BE49-F238E27FC236}">
                  <a16:creationId xmlns:a16="http://schemas.microsoft.com/office/drawing/2014/main" id="{00000000-0008-0000-10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7026" name="Label1" hidden="1">
              <a:extLst>
                <a:ext uri="{63B3BB69-23CF-44E3-9099-C40C66FF867C}">
                  <a14:compatExt spid="_x0000_s257026"/>
                </a:ext>
                <a:ext uri="{FF2B5EF4-FFF2-40B4-BE49-F238E27FC236}">
                  <a16:creationId xmlns:a16="http://schemas.microsoft.com/office/drawing/2014/main" id="{00000000-0008-0000-10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817532</xdr:colOff>
      <xdr:row>5</xdr:row>
      <xdr:rowOff>57566</xdr:rowOff>
    </xdr:to>
    <xdr:pic>
      <xdr:nvPicPr>
        <xdr:cNvPr id="2" name="Imagem 1">
          <a:extLst>
            <a:ext uri="{FF2B5EF4-FFF2-40B4-BE49-F238E27FC236}">
              <a16:creationId xmlns:a16="http://schemas.microsoft.com/office/drawing/2014/main" id="{8D110360-2D3B-40CC-8E10-3D08AE9DAE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27674"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316417" name="ComboBox13" hidden="1">
              <a:extLst>
                <a:ext uri="{63B3BB69-23CF-44E3-9099-C40C66FF867C}">
                  <a14:compatExt spid="_x0000_s316417"/>
                </a:ext>
                <a:ext uri="{FF2B5EF4-FFF2-40B4-BE49-F238E27FC236}">
                  <a16:creationId xmlns:a16="http://schemas.microsoft.com/office/drawing/2014/main" id="{00000000-0008-0000-1100-000001D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316418" name="Label1" hidden="1">
              <a:extLst>
                <a:ext uri="{63B3BB69-23CF-44E3-9099-C40C66FF867C}">
                  <a14:compatExt spid="_x0000_s316418"/>
                </a:ext>
                <a:ext uri="{FF2B5EF4-FFF2-40B4-BE49-F238E27FC236}">
                  <a16:creationId xmlns:a16="http://schemas.microsoft.com/office/drawing/2014/main" id="{00000000-0008-0000-1100-000002D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613833</xdr:colOff>
      <xdr:row>4</xdr:row>
      <xdr:rowOff>117257</xdr:rowOff>
    </xdr:to>
    <xdr:pic>
      <xdr:nvPicPr>
        <xdr:cNvPr id="2" name="Imagem 1">
          <a:extLst>
            <a:ext uri="{FF2B5EF4-FFF2-40B4-BE49-F238E27FC236}">
              <a16:creationId xmlns:a16="http://schemas.microsoft.com/office/drawing/2014/main" id="{8B0F307C-48B2-4002-9AAB-AA7893691C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323975" cy="6591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9526</xdr:colOff>
      <xdr:row>24</xdr:row>
      <xdr:rowOff>104775</xdr:rowOff>
    </xdr:from>
    <xdr:to>
      <xdr:col>7</xdr:col>
      <xdr:colOff>336078</xdr:colOff>
      <xdr:row>39</xdr:row>
      <xdr:rowOff>86149</xdr:rowOff>
    </xdr:to>
    <xdr:pic>
      <xdr:nvPicPr>
        <xdr:cNvPr id="3" name="Imagem 2">
          <a:extLst>
            <a:ext uri="{FF2B5EF4-FFF2-40B4-BE49-F238E27FC236}">
              <a16:creationId xmlns:a16="http://schemas.microsoft.com/office/drawing/2014/main" id="{B9DCE786-CBAD-6F2B-C970-09D09947BD1D}"/>
            </a:ext>
          </a:extLst>
        </xdr:cNvPr>
        <xdr:cNvPicPr>
          <a:picLocks noChangeAspect="1"/>
        </xdr:cNvPicPr>
      </xdr:nvPicPr>
      <xdr:blipFill>
        <a:blip xmlns:r="http://schemas.openxmlformats.org/officeDocument/2006/relationships" r:embed="rId2"/>
        <a:stretch>
          <a:fillRect/>
        </a:stretch>
      </xdr:blipFill>
      <xdr:spPr>
        <a:xfrm>
          <a:off x="238126" y="4391025"/>
          <a:ext cx="4155602" cy="241024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173566</xdr:colOff>
      <xdr:row>0</xdr:row>
      <xdr:rowOff>63500</xdr:rowOff>
    </xdr:from>
    <xdr:to>
      <xdr:col>4</xdr:col>
      <xdr:colOff>649257</xdr:colOff>
      <xdr:row>5</xdr:row>
      <xdr:rowOff>22852</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3566" y="63500"/>
          <a:ext cx="1523441" cy="7454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350520</xdr:colOff>
          <xdr:row>3</xdr:row>
          <xdr:rowOff>0</xdr:rowOff>
        </xdr:to>
        <xdr:sp macro="" textlink="">
          <xdr:nvSpPr>
            <xdr:cNvPr id="237569" name="ComboBox13" hidden="1">
              <a:extLst>
                <a:ext uri="{63B3BB69-23CF-44E3-9099-C40C66FF867C}">
                  <a14:compatExt spid="_x0000_s237569"/>
                </a:ext>
                <a:ext uri="{FF2B5EF4-FFF2-40B4-BE49-F238E27FC236}">
                  <a16:creationId xmlns:a16="http://schemas.microsoft.com/office/drawing/2014/main" id="{00000000-0008-0000-1300-000001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190500</xdr:colOff>
          <xdr:row>1</xdr:row>
          <xdr:rowOff>68580</xdr:rowOff>
        </xdr:to>
        <xdr:sp macro="" textlink="">
          <xdr:nvSpPr>
            <xdr:cNvPr id="237570" name="Label1" hidden="1">
              <a:extLst>
                <a:ext uri="{63B3BB69-23CF-44E3-9099-C40C66FF867C}">
                  <a14:compatExt spid="_x0000_s237570"/>
                </a:ext>
                <a:ext uri="{FF2B5EF4-FFF2-40B4-BE49-F238E27FC236}">
                  <a16:creationId xmlns:a16="http://schemas.microsoft.com/office/drawing/2014/main" id="{00000000-0008-0000-1300-000002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8593" name="ComboBox13" hidden="1">
              <a:extLst>
                <a:ext uri="{63B3BB69-23CF-44E3-9099-C40C66FF867C}">
                  <a14:compatExt spid="_x0000_s238593"/>
                </a:ext>
                <a:ext uri="{FF2B5EF4-FFF2-40B4-BE49-F238E27FC236}">
                  <a16:creationId xmlns:a16="http://schemas.microsoft.com/office/drawing/2014/main" id="{00000000-0008-0000-1400-000001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8594" name="Label1" hidden="1">
              <a:extLst>
                <a:ext uri="{63B3BB69-23CF-44E3-9099-C40C66FF867C}">
                  <a14:compatExt spid="_x0000_s238594"/>
                </a:ext>
                <a:ext uri="{FF2B5EF4-FFF2-40B4-BE49-F238E27FC236}">
                  <a16:creationId xmlns:a16="http://schemas.microsoft.com/office/drawing/2014/main" id="{00000000-0008-0000-1400-000002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809912</xdr:colOff>
      <xdr:row>5</xdr:row>
      <xdr:rowOff>53756</xdr:rowOff>
    </xdr:to>
    <xdr:pic>
      <xdr:nvPicPr>
        <xdr:cNvPr id="2" name="Imagem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9617" name="ComboBox13" hidden="1">
              <a:extLst>
                <a:ext uri="{63B3BB69-23CF-44E3-9099-C40C66FF867C}">
                  <a14:compatExt spid="_x0000_s239617"/>
                </a:ext>
                <a:ext uri="{FF2B5EF4-FFF2-40B4-BE49-F238E27FC236}">
                  <a16:creationId xmlns:a16="http://schemas.microsoft.com/office/drawing/2014/main" id="{00000000-0008-0000-15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9618" name="Label1" hidden="1">
              <a:extLst>
                <a:ext uri="{63B3BB69-23CF-44E3-9099-C40C66FF867C}">
                  <a14:compatExt spid="_x0000_s239618"/>
                </a:ext>
                <a:ext uri="{FF2B5EF4-FFF2-40B4-BE49-F238E27FC236}">
                  <a16:creationId xmlns:a16="http://schemas.microsoft.com/office/drawing/2014/main" id="{00000000-0008-0000-15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1665" name="ComboBox13" hidden="1">
              <a:extLst>
                <a:ext uri="{63B3BB69-23CF-44E3-9099-C40C66FF867C}">
                  <a14:compatExt spid="_x0000_s241665"/>
                </a:ext>
                <a:ext uri="{FF2B5EF4-FFF2-40B4-BE49-F238E27FC236}">
                  <a16:creationId xmlns:a16="http://schemas.microsoft.com/office/drawing/2014/main" id="{00000000-0008-0000-16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1666" name="Label1" hidden="1">
              <a:extLst>
                <a:ext uri="{63B3BB69-23CF-44E3-9099-C40C66FF867C}">
                  <a14:compatExt spid="_x0000_s241666"/>
                </a:ext>
                <a:ext uri="{FF2B5EF4-FFF2-40B4-BE49-F238E27FC236}">
                  <a16:creationId xmlns:a16="http://schemas.microsoft.com/office/drawing/2014/main" id="{00000000-0008-0000-16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6</xdr:col>
      <xdr:colOff>840603</xdr:colOff>
      <xdr:row>4</xdr:row>
      <xdr:rowOff>41691</xdr:rowOff>
    </xdr:to>
    <xdr:pic>
      <xdr:nvPicPr>
        <xdr:cNvPr id="2" name="Imagem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358" y="105834"/>
          <a:ext cx="1719232" cy="697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182880</xdr:colOff>
          <xdr:row>1</xdr:row>
          <xdr:rowOff>76200</xdr:rowOff>
        </xdr:from>
        <xdr:to>
          <xdr:col>39</xdr:col>
          <xdr:colOff>7620</xdr:colOff>
          <xdr:row>2</xdr:row>
          <xdr:rowOff>137160</xdr:rowOff>
        </xdr:to>
        <xdr:sp macro="" textlink="">
          <xdr:nvSpPr>
            <xdr:cNvPr id="143362" name="ComboBox22" hidden="1">
              <a:extLst>
                <a:ext uri="{63B3BB69-23CF-44E3-9099-C40C66FF867C}">
                  <a14:compatExt spid="_x0000_s143362"/>
                </a:ext>
                <a:ext uri="{FF2B5EF4-FFF2-40B4-BE49-F238E27FC236}">
                  <a16:creationId xmlns:a16="http://schemas.microsoft.com/office/drawing/2014/main" id="{00000000-0008-0000-1700-000002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0</xdr:row>
          <xdr:rowOff>114300</xdr:rowOff>
        </xdr:from>
        <xdr:to>
          <xdr:col>38</xdr:col>
          <xdr:colOff>45720</xdr:colOff>
          <xdr:row>1</xdr:row>
          <xdr:rowOff>68580</xdr:rowOff>
        </xdr:to>
        <xdr:sp macro="" textlink="">
          <xdr:nvSpPr>
            <xdr:cNvPr id="143363" name="Label1" hidden="1">
              <a:extLst>
                <a:ext uri="{63B3BB69-23CF-44E3-9099-C40C66FF867C}">
                  <a14:compatExt spid="_x0000_s143363"/>
                </a:ext>
                <a:ext uri="{FF2B5EF4-FFF2-40B4-BE49-F238E27FC236}">
                  <a16:creationId xmlns:a16="http://schemas.microsoft.com/office/drawing/2014/main" id="{00000000-0008-0000-1700-000003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0641" name="ComboBox13" hidden="1">
              <a:extLst>
                <a:ext uri="{63B3BB69-23CF-44E3-9099-C40C66FF867C}">
                  <a14:compatExt spid="_x0000_s240641"/>
                </a:ext>
                <a:ext uri="{FF2B5EF4-FFF2-40B4-BE49-F238E27FC236}">
                  <a16:creationId xmlns:a16="http://schemas.microsoft.com/office/drawing/2014/main" id="{00000000-0008-0000-1800-000001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0642" name="Label1" hidden="1">
              <a:extLst>
                <a:ext uri="{63B3BB69-23CF-44E3-9099-C40C66FF867C}">
                  <a14:compatExt spid="_x0000_s240642"/>
                </a:ext>
                <a:ext uri="{FF2B5EF4-FFF2-40B4-BE49-F238E27FC236}">
                  <a16:creationId xmlns:a16="http://schemas.microsoft.com/office/drawing/2014/main" id="{00000000-0008-0000-1800-000002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175260</xdr:rowOff>
        </xdr:from>
        <xdr:to>
          <xdr:col>8</xdr:col>
          <xdr:colOff>7620</xdr:colOff>
          <xdr:row>0</xdr:row>
          <xdr:rowOff>411480</xdr:rowOff>
        </xdr:to>
        <xdr:sp macro="" textlink="">
          <xdr:nvSpPr>
            <xdr:cNvPr id="152578" name="ComboBox6" hidden="1">
              <a:extLst>
                <a:ext uri="{63B3BB69-23CF-44E3-9099-C40C66FF867C}">
                  <a14:compatExt spid="_x0000_s152578"/>
                </a:ext>
                <a:ext uri="{FF2B5EF4-FFF2-40B4-BE49-F238E27FC236}">
                  <a16:creationId xmlns:a16="http://schemas.microsoft.com/office/drawing/2014/main" id="{00000000-0008-0000-1A00-000002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22860</xdr:rowOff>
        </xdr:from>
        <xdr:to>
          <xdr:col>7</xdr:col>
          <xdr:colOff>457200</xdr:colOff>
          <xdr:row>0</xdr:row>
          <xdr:rowOff>152400</xdr:rowOff>
        </xdr:to>
        <xdr:sp macro="" textlink="">
          <xdr:nvSpPr>
            <xdr:cNvPr id="152579" name="Label1" hidden="1">
              <a:extLst>
                <a:ext uri="{63B3BB69-23CF-44E3-9099-C40C66FF867C}">
                  <a14:compatExt spid="_x0000_s152579"/>
                </a:ext>
                <a:ext uri="{FF2B5EF4-FFF2-40B4-BE49-F238E27FC236}">
                  <a16:creationId xmlns:a16="http://schemas.microsoft.com/office/drawing/2014/main" id="{00000000-0008-0000-1A00-000003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175260</xdr:rowOff>
        </xdr:from>
        <xdr:to>
          <xdr:col>16</xdr:col>
          <xdr:colOff>297180</xdr:colOff>
          <xdr:row>0</xdr:row>
          <xdr:rowOff>411480</xdr:rowOff>
        </xdr:to>
        <xdr:sp macro="" textlink="">
          <xdr:nvSpPr>
            <xdr:cNvPr id="153602" name="ComboBox7" hidden="1">
              <a:extLst>
                <a:ext uri="{63B3BB69-23CF-44E3-9099-C40C66FF867C}">
                  <a14:compatExt spid="_x0000_s153602"/>
                </a:ext>
                <a:ext uri="{FF2B5EF4-FFF2-40B4-BE49-F238E27FC236}">
                  <a16:creationId xmlns:a16="http://schemas.microsoft.com/office/drawing/2014/main" id="{00000000-0008-0000-1B00-000002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22860</xdr:rowOff>
        </xdr:from>
        <xdr:to>
          <xdr:col>16</xdr:col>
          <xdr:colOff>137160</xdr:colOff>
          <xdr:row>0</xdr:row>
          <xdr:rowOff>152400</xdr:rowOff>
        </xdr:to>
        <xdr:sp macro="" textlink="">
          <xdr:nvSpPr>
            <xdr:cNvPr id="153603" name="Label1" hidden="1">
              <a:extLst>
                <a:ext uri="{63B3BB69-23CF-44E3-9099-C40C66FF867C}">
                  <a14:compatExt spid="_x0000_s153603"/>
                </a:ext>
                <a:ext uri="{FF2B5EF4-FFF2-40B4-BE49-F238E27FC236}">
                  <a16:creationId xmlns:a16="http://schemas.microsoft.com/office/drawing/2014/main" id="{00000000-0008-0000-1B00-000003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0</xdr:colOff>
      <xdr:row>0</xdr:row>
      <xdr:rowOff>171450</xdr:rowOff>
    </xdr:from>
    <xdr:to>
      <xdr:col>16</xdr:col>
      <xdr:colOff>381000</xdr:colOff>
      <xdr:row>0</xdr:row>
      <xdr:rowOff>415925</xdr:rowOff>
    </xdr:to>
    <xdr:sp macro="" textlink="">
      <xdr:nvSpPr>
        <xdr:cNvPr id="2" name="ComboBox7" hidden="1">
          <a:extLst>
            <a:ext uri="{63B3BB69-23CF-44E3-9099-C40C66FF867C}">
              <a14:compatExt xmlns:a14="http://schemas.microsoft.com/office/drawing/2010/main" spid="_x0000_s153604"/>
            </a:ext>
            <a:ext uri="{FF2B5EF4-FFF2-40B4-BE49-F238E27FC236}">
              <a16:creationId xmlns:a16="http://schemas.microsoft.com/office/drawing/2014/main" id="{583FF8CA-DD92-4C7E-8E02-C54C5233175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0</xdr:row>
      <xdr:rowOff>19050</xdr:rowOff>
    </xdr:from>
    <xdr:to>
      <xdr:col>16</xdr:col>
      <xdr:colOff>225425</xdr:colOff>
      <xdr:row>0</xdr:row>
      <xdr:rowOff>152400</xdr:rowOff>
    </xdr:to>
    <xdr:sp macro="" textlink="">
      <xdr:nvSpPr>
        <xdr:cNvPr id="3" name="Label1" hidden="1">
          <a:extLst>
            <a:ext uri="{63B3BB69-23CF-44E3-9099-C40C66FF867C}">
              <a14:compatExt xmlns:a14="http://schemas.microsoft.com/office/drawing/2010/main" spid="_x0000_s153605"/>
            </a:ext>
            <a:ext uri="{FF2B5EF4-FFF2-40B4-BE49-F238E27FC236}">
              <a16:creationId xmlns:a16="http://schemas.microsoft.com/office/drawing/2014/main" id="{293DDF1A-ABB7-44C0-82BE-80A6F7E8C61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0</xdr:row>
      <xdr:rowOff>171450</xdr:rowOff>
    </xdr:from>
    <xdr:to>
      <xdr:col>16</xdr:col>
      <xdr:colOff>381000</xdr:colOff>
      <xdr:row>0</xdr:row>
      <xdr:rowOff>415925</xdr:rowOff>
    </xdr:to>
    <xdr:pic>
      <xdr:nvPicPr>
        <xdr:cNvPr id="153604" name="Picture 4">
          <a:extLst>
            <a:ext uri="{FF2B5EF4-FFF2-40B4-BE49-F238E27FC236}">
              <a16:creationId xmlns:a16="http://schemas.microsoft.com/office/drawing/2014/main" id="{A65FDACC-0C1F-F5B2-BC3C-19D4CA73749C}"/>
            </a:ext>
          </a:extLst>
        </xdr:cNvPr>
        <xdr:cNvPicPr preferRelativeResize="0">
          <a:picLocks noChangeAspect="1"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53625" y="171450"/>
          <a:ext cx="385762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0</xdr:colOff>
      <xdr:row>0</xdr:row>
      <xdr:rowOff>19050</xdr:rowOff>
    </xdr:from>
    <xdr:to>
      <xdr:col>16</xdr:col>
      <xdr:colOff>225425</xdr:colOff>
      <xdr:row>0</xdr:row>
      <xdr:rowOff>152400</xdr:rowOff>
    </xdr:to>
    <xdr:pic>
      <xdr:nvPicPr>
        <xdr:cNvPr id="153605" name="Picture 5">
          <a:extLst>
            <a:ext uri="{FF2B5EF4-FFF2-40B4-BE49-F238E27FC236}">
              <a16:creationId xmlns:a16="http://schemas.microsoft.com/office/drawing/2014/main" id="{4819B3F1-A241-631D-0FC1-73106B90749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53625" y="19050"/>
          <a:ext cx="3695700"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0</xdr:row>
          <xdr:rowOff>175260</xdr:rowOff>
        </xdr:from>
        <xdr:to>
          <xdr:col>1</xdr:col>
          <xdr:colOff>3086100</xdr:colOff>
          <xdr:row>0</xdr:row>
          <xdr:rowOff>411480</xdr:rowOff>
        </xdr:to>
        <xdr:sp macro="" textlink="">
          <xdr:nvSpPr>
            <xdr:cNvPr id="151554" name="ComboBox5" hidden="1">
              <a:extLst>
                <a:ext uri="{63B3BB69-23CF-44E3-9099-C40C66FF867C}">
                  <a14:compatExt spid="_x0000_s151554"/>
                </a:ext>
                <a:ext uri="{FF2B5EF4-FFF2-40B4-BE49-F238E27FC236}">
                  <a16:creationId xmlns:a16="http://schemas.microsoft.com/office/drawing/2014/main" id="{00000000-0008-0000-1C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22860</xdr:rowOff>
        </xdr:from>
        <xdr:to>
          <xdr:col>1</xdr:col>
          <xdr:colOff>2971800</xdr:colOff>
          <xdr:row>0</xdr:row>
          <xdr:rowOff>152400</xdr:rowOff>
        </xdr:to>
        <xdr:sp macro="" textlink="">
          <xdr:nvSpPr>
            <xdr:cNvPr id="151555" name="Label1" hidden="1">
              <a:extLst>
                <a:ext uri="{63B3BB69-23CF-44E3-9099-C40C66FF867C}">
                  <a14:compatExt spid="_x0000_s151555"/>
                </a:ext>
                <a:ext uri="{FF2B5EF4-FFF2-40B4-BE49-F238E27FC236}">
                  <a16:creationId xmlns:a16="http://schemas.microsoft.com/office/drawing/2014/main" id="{00000000-0008-0000-1C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213360</xdr:rowOff>
        </xdr:from>
        <xdr:to>
          <xdr:col>6</xdr:col>
          <xdr:colOff>594360</xdr:colOff>
          <xdr:row>0</xdr:row>
          <xdr:rowOff>449580</xdr:rowOff>
        </xdr:to>
        <xdr:sp macro="" textlink="">
          <xdr:nvSpPr>
            <xdr:cNvPr id="161793" name="ComboBox16" hidden="1">
              <a:extLst>
                <a:ext uri="{63B3BB69-23CF-44E3-9099-C40C66FF867C}">
                  <a14:compatExt spid="_x0000_s161793"/>
                </a:ext>
                <a:ext uri="{FF2B5EF4-FFF2-40B4-BE49-F238E27FC236}">
                  <a16:creationId xmlns:a16="http://schemas.microsoft.com/office/drawing/2014/main" id="{00000000-0008-0000-1D00-000001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60960</xdr:rowOff>
        </xdr:from>
        <xdr:to>
          <xdr:col>6</xdr:col>
          <xdr:colOff>426720</xdr:colOff>
          <xdr:row>0</xdr:row>
          <xdr:rowOff>190500</xdr:rowOff>
        </xdr:to>
        <xdr:sp macro="" textlink="">
          <xdr:nvSpPr>
            <xdr:cNvPr id="161794" name="Label1" hidden="1">
              <a:extLst>
                <a:ext uri="{63B3BB69-23CF-44E3-9099-C40C66FF867C}">
                  <a14:compatExt spid="_x0000_s161794"/>
                </a:ext>
                <a:ext uri="{FF2B5EF4-FFF2-40B4-BE49-F238E27FC236}">
                  <a16:creationId xmlns:a16="http://schemas.microsoft.com/office/drawing/2014/main" id="{00000000-0008-0000-1D00-000002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83820</xdr:rowOff>
        </xdr:from>
        <xdr:to>
          <xdr:col>12</xdr:col>
          <xdr:colOff>609600</xdr:colOff>
          <xdr:row>2</xdr:row>
          <xdr:rowOff>144780</xdr:rowOff>
        </xdr:to>
        <xdr:sp macro="" textlink="">
          <xdr:nvSpPr>
            <xdr:cNvPr id="116738" name="ComboBox25" hidden="1">
              <a:extLst>
                <a:ext uri="{63B3BB69-23CF-44E3-9099-C40C66FF867C}">
                  <a14:compatExt spid="_x0000_s116738"/>
                </a:ext>
                <a:ext uri="{FF2B5EF4-FFF2-40B4-BE49-F238E27FC236}">
                  <a16:creationId xmlns:a16="http://schemas.microsoft.com/office/drawing/2014/main" id="{00000000-0008-0000-23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0</xdr:row>
          <xdr:rowOff>121920</xdr:rowOff>
        </xdr:from>
        <xdr:to>
          <xdr:col>12</xdr:col>
          <xdr:colOff>487680</xdr:colOff>
          <xdr:row>1</xdr:row>
          <xdr:rowOff>76200</xdr:rowOff>
        </xdr:to>
        <xdr:sp macro="" textlink="">
          <xdr:nvSpPr>
            <xdr:cNvPr id="116739" name="Label1" hidden="1">
              <a:extLst>
                <a:ext uri="{63B3BB69-23CF-44E3-9099-C40C66FF867C}">
                  <a14:compatExt spid="_x0000_s116739"/>
                </a:ext>
                <a:ext uri="{FF2B5EF4-FFF2-40B4-BE49-F238E27FC236}">
                  <a16:creationId xmlns:a16="http://schemas.microsoft.com/office/drawing/2014/main" id="{00000000-0008-0000-2300-000003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6.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8.xml"/><Relationship Id="rId5" Type="http://schemas.openxmlformats.org/officeDocument/2006/relationships/image" Target="../media/image1.emf"/><Relationship Id="rId4" Type="http://schemas.openxmlformats.org/officeDocument/2006/relationships/control" Target="../activeX/activeX7.xml"/><Relationship Id="rId9"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image" Target="../media/image2.emf"/><Relationship Id="rId5" Type="http://schemas.openxmlformats.org/officeDocument/2006/relationships/control" Target="../activeX/activeX10.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image" Target="../media/image2.emf"/><Relationship Id="rId5" Type="http://schemas.openxmlformats.org/officeDocument/2006/relationships/control" Target="../activeX/activeX12.xml"/><Relationship Id="rId4" Type="http://schemas.openxmlformats.org/officeDocument/2006/relationships/image" Target="../media/image1.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2.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4.xml"/><Relationship Id="rId5" Type="http://schemas.openxmlformats.org/officeDocument/2006/relationships/image" Target="../media/image9.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image" Target="../media/image2.emf"/><Relationship Id="rId5" Type="http://schemas.openxmlformats.org/officeDocument/2006/relationships/control" Target="../activeX/activeX16.xml"/><Relationship Id="rId4" Type="http://schemas.openxmlformats.org/officeDocument/2006/relationships/image" Target="../media/image1.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image" Target="../media/image2.emf"/><Relationship Id="rId5" Type="http://schemas.openxmlformats.org/officeDocument/2006/relationships/control" Target="../activeX/activeX18.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0.vml"/><Relationship Id="rId1" Type="http://schemas.openxmlformats.org/officeDocument/2006/relationships/drawing" Target="../drawings/drawing13.xml"/><Relationship Id="rId6" Type="http://schemas.openxmlformats.org/officeDocument/2006/relationships/image" Target="../media/image2.emf"/><Relationship Id="rId5" Type="http://schemas.openxmlformats.org/officeDocument/2006/relationships/control" Target="../activeX/activeX20.xml"/><Relationship Id="rId4" Type="http://schemas.openxmlformats.org/officeDocument/2006/relationships/image" Target="../media/image9.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11.vml"/><Relationship Id="rId1" Type="http://schemas.openxmlformats.org/officeDocument/2006/relationships/drawing" Target="../drawings/drawing14.xml"/><Relationship Id="rId6" Type="http://schemas.openxmlformats.org/officeDocument/2006/relationships/image" Target="../media/image2.emf"/><Relationship Id="rId5" Type="http://schemas.openxmlformats.org/officeDocument/2006/relationships/control" Target="../activeX/activeX22.xml"/><Relationship Id="rId4" Type="http://schemas.openxmlformats.org/officeDocument/2006/relationships/image" Target="../media/image1.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12.vml"/><Relationship Id="rId1" Type="http://schemas.openxmlformats.org/officeDocument/2006/relationships/drawing" Target="../drawings/drawing15.xml"/><Relationship Id="rId6" Type="http://schemas.openxmlformats.org/officeDocument/2006/relationships/image" Target="../media/image2.emf"/><Relationship Id="rId5" Type="http://schemas.openxmlformats.org/officeDocument/2006/relationships/control" Target="../activeX/activeX24.xml"/><Relationship Id="rId4" Type="http://schemas.openxmlformats.org/officeDocument/2006/relationships/image" Target="../media/image1.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3.vml"/><Relationship Id="rId1" Type="http://schemas.openxmlformats.org/officeDocument/2006/relationships/drawing" Target="../drawings/drawing16.xml"/><Relationship Id="rId6" Type="http://schemas.openxmlformats.org/officeDocument/2006/relationships/image" Target="../media/image2.emf"/><Relationship Id="rId5" Type="http://schemas.openxmlformats.org/officeDocument/2006/relationships/control" Target="../activeX/activeX26.xml"/><Relationship Id="rId4" Type="http://schemas.openxmlformats.org/officeDocument/2006/relationships/image" Target="../media/image1.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14.vml"/><Relationship Id="rId1" Type="http://schemas.openxmlformats.org/officeDocument/2006/relationships/drawing" Target="../drawings/drawing17.xml"/><Relationship Id="rId6" Type="http://schemas.openxmlformats.org/officeDocument/2006/relationships/image" Target="../media/image12.emf"/><Relationship Id="rId5" Type="http://schemas.openxmlformats.org/officeDocument/2006/relationships/control" Target="../activeX/activeX28.xml"/><Relationship Id="rId4" Type="http://schemas.openxmlformats.org/officeDocument/2006/relationships/image" Target="../media/image11.emf"/></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15.vml"/><Relationship Id="rId1" Type="http://schemas.openxmlformats.org/officeDocument/2006/relationships/drawing" Target="../drawings/drawing18.xml"/><Relationship Id="rId6" Type="http://schemas.openxmlformats.org/officeDocument/2006/relationships/image" Target="../media/image2.emf"/><Relationship Id="rId5" Type="http://schemas.openxmlformats.org/officeDocument/2006/relationships/control" Target="../activeX/activeX30.xml"/><Relationship Id="rId4" Type="http://schemas.openxmlformats.org/officeDocument/2006/relationships/image" Target="../media/image1.emf"/></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1.xml"/><Relationship Id="rId2" Type="http://schemas.openxmlformats.org/officeDocument/2006/relationships/vmlDrawing" Target="../drawings/vmlDrawing16.vml"/><Relationship Id="rId1" Type="http://schemas.openxmlformats.org/officeDocument/2006/relationships/drawing" Target="../drawings/drawing19.xml"/><Relationship Id="rId6" Type="http://schemas.openxmlformats.org/officeDocument/2006/relationships/image" Target="../media/image14.emf"/><Relationship Id="rId5" Type="http://schemas.openxmlformats.org/officeDocument/2006/relationships/control" Target="../activeX/activeX32.xml"/><Relationship Id="rId4" Type="http://schemas.openxmlformats.org/officeDocument/2006/relationships/image" Target="../media/image13.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3.xml"/><Relationship Id="rId7" Type="http://schemas.openxmlformats.org/officeDocument/2006/relationships/comments" Target="../comments1.xml"/><Relationship Id="rId2" Type="http://schemas.openxmlformats.org/officeDocument/2006/relationships/vmlDrawing" Target="../drawings/vmlDrawing17.vml"/><Relationship Id="rId1" Type="http://schemas.openxmlformats.org/officeDocument/2006/relationships/drawing" Target="../drawings/drawing20.xml"/><Relationship Id="rId6" Type="http://schemas.openxmlformats.org/officeDocument/2006/relationships/image" Target="../media/image2.emf"/><Relationship Id="rId5" Type="http://schemas.openxmlformats.org/officeDocument/2006/relationships/control" Target="../activeX/activeX34.xml"/><Relationship Id="rId4" Type="http://schemas.openxmlformats.org/officeDocument/2006/relationships/image" Target="../media/image1.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image" Target="../media/image2.emf"/><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1.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19.vml"/><Relationship Id="rId1" Type="http://schemas.openxmlformats.org/officeDocument/2006/relationships/drawing" Target="../drawings/drawing22.xml"/><Relationship Id="rId6" Type="http://schemas.openxmlformats.org/officeDocument/2006/relationships/image" Target="../media/image2.emf"/><Relationship Id="rId5" Type="http://schemas.openxmlformats.org/officeDocument/2006/relationships/control" Target="../activeX/activeX38.xml"/><Relationship Id="rId4" Type="http://schemas.openxmlformats.org/officeDocument/2006/relationships/image" Target="../media/image1.emf"/></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image" Target="../media/image12.emf"/><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ontrol" Target="../activeX/activeX40.xml"/><Relationship Id="rId5" Type="http://schemas.openxmlformats.org/officeDocument/2006/relationships/image" Target="../media/image17.emf"/><Relationship Id="rId4" Type="http://schemas.openxmlformats.org/officeDocument/2006/relationships/control" Target="../activeX/activeX39.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BCDC2-EAF5-4A9A-8F86-116C2DC5A23E}">
  <sheetPr codeName="Planilha28">
    <tabColor theme="1"/>
  </sheetPr>
  <dimension ref="B1:I64"/>
  <sheetViews>
    <sheetView showGridLines="0" workbookViewId="0">
      <pane ySplit="8" topLeftCell="A9" activePane="bottomLeft" state="frozen"/>
      <selection pane="bottomLeft" activeCell="H10" sqref="H10"/>
    </sheetView>
  </sheetViews>
  <sheetFormatPr defaultRowHeight="14.4"/>
  <cols>
    <col min="1" max="1" width="2.6640625" customWidth="1"/>
    <col min="2" max="2" width="12.109375" customWidth="1"/>
    <col min="3" max="3" width="51.6640625" customWidth="1"/>
    <col min="4" max="4" width="12" bestFit="1" customWidth="1"/>
    <col min="6" max="6" width="13" customWidth="1"/>
    <col min="7" max="7" width="50" customWidth="1"/>
    <col min="8" max="8" width="13.33203125" customWidth="1"/>
  </cols>
  <sheetData>
    <row r="1" spans="2:9" s="241" customFormat="1" ht="33.75" customHeight="1" thickBot="1">
      <c r="C1" s="242"/>
      <c r="D1" s="243"/>
      <c r="E1" s="244"/>
    </row>
    <row r="2" spans="2:9" s="241" customFormat="1" ht="13.2">
      <c r="B2" s="245" t="s">
        <v>0</v>
      </c>
      <c r="C2" s="246" t="s">
        <v>1</v>
      </c>
      <c r="D2" s="247"/>
      <c r="E2" s="248"/>
      <c r="F2" s="245" t="s">
        <v>0</v>
      </c>
      <c r="G2" s="246" t="s">
        <v>1</v>
      </c>
      <c r="H2" s="247"/>
      <c r="I2" s="248"/>
    </row>
    <row r="3" spans="2:9" s="241" customFormat="1" ht="13.2">
      <c r="B3" s="249" t="s">
        <v>2</v>
      </c>
      <c r="C3" s="250" t="s">
        <v>3</v>
      </c>
      <c r="D3" s="243"/>
      <c r="E3" s="251"/>
      <c r="F3" s="249" t="s">
        <v>2</v>
      </c>
      <c r="G3" s="250" t="s">
        <v>3</v>
      </c>
      <c r="H3" s="243"/>
      <c r="I3" s="251"/>
    </row>
    <row r="4" spans="2:9" s="241" customFormat="1" ht="13.2">
      <c r="B4" s="249" t="s">
        <v>4</v>
      </c>
      <c r="C4" s="250" t="s">
        <v>3</v>
      </c>
      <c r="D4" s="243"/>
      <c r="E4" s="251"/>
      <c r="F4" s="249" t="s">
        <v>4</v>
      </c>
      <c r="G4" s="250" t="s">
        <v>3</v>
      </c>
      <c r="H4" s="243"/>
      <c r="I4" s="251"/>
    </row>
    <row r="5" spans="2:9" s="241" customFormat="1" ht="13.2">
      <c r="B5" s="249" t="s">
        <v>5</v>
      </c>
      <c r="C5" s="250" t="s">
        <v>3</v>
      </c>
      <c r="D5" s="243"/>
      <c r="E5" s="251"/>
      <c r="F5" s="249" t="s">
        <v>5</v>
      </c>
      <c r="G5" s="250" t="s">
        <v>3</v>
      </c>
      <c r="H5" s="243"/>
      <c r="I5" s="251"/>
    </row>
    <row r="6" spans="2:9" s="241" customFormat="1" ht="13.2">
      <c r="B6" s="252"/>
      <c r="C6" s="253"/>
      <c r="D6" s="254"/>
      <c r="E6" s="251"/>
      <c r="F6" s="252"/>
      <c r="G6" s="253"/>
      <c r="H6" s="254"/>
      <c r="I6" s="251"/>
    </row>
    <row r="7" spans="2:9" s="241" customFormat="1" ht="13.2">
      <c r="B7" s="255" t="s">
        <v>6</v>
      </c>
      <c r="C7" s="256"/>
      <c r="D7" s="243"/>
      <c r="E7" s="251"/>
      <c r="F7" s="255" t="s">
        <v>6</v>
      </c>
      <c r="G7" s="256"/>
      <c r="H7" s="243"/>
      <c r="I7" s="251"/>
    </row>
    <row r="8" spans="2:9" s="241" customFormat="1" ht="13.8" thickBot="1">
      <c r="B8" s="257"/>
      <c r="C8" s="258" t="s">
        <v>7</v>
      </c>
      <c r="D8" s="259"/>
      <c r="E8" s="260"/>
      <c r="F8" s="257"/>
      <c r="G8" s="258" t="s">
        <v>8</v>
      </c>
      <c r="H8" s="259"/>
      <c r="I8" s="260"/>
    </row>
    <row r="9" spans="2:9" s="241" customFormat="1" ht="18.75" customHeight="1">
      <c r="B9" s="261" t="s">
        <v>9</v>
      </c>
      <c r="C9" s="262"/>
      <c r="D9" s="263"/>
      <c r="E9" s="264"/>
      <c r="F9" s="261" t="s">
        <v>9</v>
      </c>
      <c r="G9" s="262"/>
      <c r="H9" s="263"/>
      <c r="I9" s="264"/>
    </row>
    <row r="10" spans="2:9" s="241" customFormat="1" ht="18.75" customHeight="1" thickBot="1">
      <c r="B10" s="265"/>
      <c r="C10" s="266" t="s">
        <v>10</v>
      </c>
      <c r="D10" s="267">
        <f>SUM(E13:E60)</f>
        <v>1.7770311111111112</v>
      </c>
      <c r="E10" s="268"/>
      <c r="F10" s="265"/>
      <c r="G10" s="266" t="s">
        <v>10</v>
      </c>
      <c r="H10" s="669">
        <f>SUM(I13:I60)</f>
        <v>1.06</v>
      </c>
      <c r="I10" s="268"/>
    </row>
    <row r="11" spans="2:9" s="241" customFormat="1" ht="12" customHeight="1" thickBot="1">
      <c r="B11" s="252"/>
      <c r="C11" s="269"/>
      <c r="D11" s="270"/>
      <c r="E11" s="271"/>
      <c r="F11" s="252"/>
      <c r="G11" s="269"/>
      <c r="H11" s="270"/>
      <c r="I11" s="272"/>
    </row>
    <row r="12" spans="2:9" s="241" customFormat="1" ht="18.75" customHeight="1" thickBot="1">
      <c r="B12" s="273"/>
      <c r="C12" s="274" t="s">
        <v>11</v>
      </c>
      <c r="D12" s="275" t="s">
        <v>12</v>
      </c>
      <c r="E12" s="276" t="s">
        <v>13</v>
      </c>
      <c r="F12" s="277"/>
      <c r="G12" s="274" t="s">
        <v>11</v>
      </c>
      <c r="H12" s="275" t="s">
        <v>12</v>
      </c>
      <c r="I12" s="276" t="s">
        <v>13</v>
      </c>
    </row>
    <row r="13" spans="2:9" s="241" customFormat="1" ht="12.75" customHeight="1">
      <c r="B13" s="278"/>
      <c r="C13" s="279"/>
      <c r="D13" s="280"/>
      <c r="E13" s="281"/>
      <c r="F13" s="278"/>
      <c r="G13" s="279"/>
      <c r="H13" s="280"/>
      <c r="I13" s="281"/>
    </row>
    <row r="14" spans="2:9" s="241" customFormat="1" ht="13.2">
      <c r="B14" s="282" t="s">
        <v>14</v>
      </c>
      <c r="C14" s="283" t="s">
        <v>15</v>
      </c>
      <c r="D14" s="284"/>
      <c r="E14" s="285">
        <f>SUM(D15:D23)</f>
        <v>0.37800000000000011</v>
      </c>
      <c r="F14" s="282" t="s">
        <v>14</v>
      </c>
      <c r="G14" s="283" t="s">
        <v>15</v>
      </c>
      <c r="H14" s="284"/>
      <c r="I14" s="285">
        <f>SUM(H15:H23)</f>
        <v>0.37800000000000011</v>
      </c>
    </row>
    <row r="15" spans="2:9" s="241" customFormat="1" ht="13.2">
      <c r="B15" s="286" t="s">
        <v>16</v>
      </c>
      <c r="C15" s="287" t="s">
        <v>17</v>
      </c>
      <c r="D15" s="288">
        <v>0.2</v>
      </c>
      <c r="E15" s="289"/>
      <c r="F15" s="286" t="s">
        <v>16</v>
      </c>
      <c r="G15" s="287" t="s">
        <v>17</v>
      </c>
      <c r="H15" s="288">
        <v>0.2</v>
      </c>
      <c r="I15" s="289"/>
    </row>
    <row r="16" spans="2:9" s="241" customFormat="1" ht="13.2">
      <c r="B16" s="286" t="s">
        <v>18</v>
      </c>
      <c r="C16" s="287" t="s">
        <v>19</v>
      </c>
      <c r="D16" s="288">
        <v>0.08</v>
      </c>
      <c r="E16" s="289"/>
      <c r="F16" s="286" t="s">
        <v>18</v>
      </c>
      <c r="G16" s="287" t="s">
        <v>19</v>
      </c>
      <c r="H16" s="288">
        <v>0.08</v>
      </c>
      <c r="I16" s="289"/>
    </row>
    <row r="17" spans="2:9" s="241" customFormat="1" ht="13.2">
      <c r="B17" s="286" t="s">
        <v>20</v>
      </c>
      <c r="C17" s="287" t="s">
        <v>21</v>
      </c>
      <c r="D17" s="288">
        <v>2.5000000000000001E-2</v>
      </c>
      <c r="E17" s="289"/>
      <c r="F17" s="286" t="s">
        <v>20</v>
      </c>
      <c r="G17" s="287" t="s">
        <v>21</v>
      </c>
      <c r="H17" s="288">
        <v>2.5000000000000001E-2</v>
      </c>
      <c r="I17" s="289"/>
    </row>
    <row r="18" spans="2:9" s="241" customFormat="1" ht="13.2">
      <c r="B18" s="286" t="s">
        <v>22</v>
      </c>
      <c r="C18" s="287" t="s">
        <v>23</v>
      </c>
      <c r="D18" s="288">
        <v>1.4999999999999999E-2</v>
      </c>
      <c r="E18" s="289"/>
      <c r="F18" s="286" t="s">
        <v>22</v>
      </c>
      <c r="G18" s="287" t="s">
        <v>23</v>
      </c>
      <c r="H18" s="288">
        <v>1.4999999999999999E-2</v>
      </c>
      <c r="I18" s="289"/>
    </row>
    <row r="19" spans="2:9" s="241" customFormat="1" ht="13.2">
      <c r="B19" s="286" t="s">
        <v>24</v>
      </c>
      <c r="C19" s="287" t="s">
        <v>25</v>
      </c>
      <c r="D19" s="288">
        <v>0.01</v>
      </c>
      <c r="E19" s="289"/>
      <c r="F19" s="286" t="s">
        <v>24</v>
      </c>
      <c r="G19" s="287" t="s">
        <v>25</v>
      </c>
      <c r="H19" s="288">
        <v>0.01</v>
      </c>
      <c r="I19" s="289"/>
    </row>
    <row r="20" spans="2:9" s="241" customFormat="1" ht="13.2">
      <c r="B20" s="286" t="s">
        <v>26</v>
      </c>
      <c r="C20" s="287" t="s">
        <v>27</v>
      </c>
      <c r="D20" s="288">
        <v>6.0000000000000001E-3</v>
      </c>
      <c r="E20" s="289"/>
      <c r="F20" s="286" t="s">
        <v>26</v>
      </c>
      <c r="G20" s="287" t="s">
        <v>27</v>
      </c>
      <c r="H20" s="288">
        <v>6.0000000000000001E-3</v>
      </c>
      <c r="I20" s="289"/>
    </row>
    <row r="21" spans="2:9" s="241" customFormat="1" ht="13.2">
      <c r="B21" s="286" t="s">
        <v>28</v>
      </c>
      <c r="C21" s="287" t="s">
        <v>29</v>
      </c>
      <c r="D21" s="288">
        <v>2E-3</v>
      </c>
      <c r="E21" s="289"/>
      <c r="F21" s="286" t="s">
        <v>28</v>
      </c>
      <c r="G21" s="287" t="s">
        <v>29</v>
      </c>
      <c r="H21" s="288">
        <v>2E-3</v>
      </c>
      <c r="I21" s="289"/>
    </row>
    <row r="22" spans="2:9" s="241" customFormat="1" ht="13.2">
      <c r="B22" s="286" t="s">
        <v>30</v>
      </c>
      <c r="C22" s="287" t="s">
        <v>31</v>
      </c>
      <c r="D22" s="288">
        <v>0.03</v>
      </c>
      <c r="E22" s="289"/>
      <c r="F22" s="286" t="s">
        <v>30</v>
      </c>
      <c r="G22" s="287" t="s">
        <v>31</v>
      </c>
      <c r="H22" s="288">
        <v>0.03</v>
      </c>
      <c r="I22" s="289"/>
    </row>
    <row r="23" spans="2:9" s="241" customFormat="1" ht="13.2">
      <c r="B23" s="286" t="s">
        <v>32</v>
      </c>
      <c r="C23" s="287" t="s">
        <v>33</v>
      </c>
      <c r="D23" s="288">
        <v>0.01</v>
      </c>
      <c r="E23" s="289"/>
      <c r="F23" s="286" t="s">
        <v>32</v>
      </c>
      <c r="G23" s="287" t="s">
        <v>33</v>
      </c>
      <c r="H23" s="288">
        <v>0.01</v>
      </c>
      <c r="I23" s="289"/>
    </row>
    <row r="24" spans="2:9" s="241" customFormat="1" ht="13.2">
      <c r="B24" s="286"/>
      <c r="C24" s="287"/>
      <c r="D24" s="288"/>
      <c r="E24" s="289"/>
      <c r="F24" s="286"/>
      <c r="G24" s="287"/>
      <c r="H24" s="288"/>
      <c r="I24" s="289"/>
    </row>
    <row r="25" spans="2:9" s="241" customFormat="1" ht="13.2">
      <c r="B25" s="282" t="s">
        <v>34</v>
      </c>
      <c r="C25" s="283" t="s">
        <v>35</v>
      </c>
      <c r="D25" s="288"/>
      <c r="E25" s="285">
        <f>SUM(D26:D36)</f>
        <v>0.47839999999999994</v>
      </c>
      <c r="F25" s="282" t="s">
        <v>34</v>
      </c>
      <c r="G25" s="283" t="s">
        <v>35</v>
      </c>
      <c r="H25" s="288"/>
      <c r="I25" s="285">
        <f>SUM(H26:H36)</f>
        <v>9.9400000000000002E-2</v>
      </c>
    </row>
    <row r="26" spans="2:9" s="241" customFormat="1" ht="13.2">
      <c r="B26" s="286" t="s">
        <v>36</v>
      </c>
      <c r="C26" s="287" t="s">
        <v>37</v>
      </c>
      <c r="D26" s="288">
        <v>0.21199999999999999</v>
      </c>
      <c r="E26" s="289"/>
      <c r="F26" s="286" t="s">
        <v>36</v>
      </c>
      <c r="G26" s="287" t="s">
        <v>38</v>
      </c>
      <c r="H26" s="288">
        <v>9.9400000000000002E-2</v>
      </c>
      <c r="I26" s="289"/>
    </row>
    <row r="27" spans="2:9" s="241" customFormat="1" ht="13.2">
      <c r="B27" s="286" t="s">
        <v>39</v>
      </c>
      <c r="C27" s="287" t="s">
        <v>40</v>
      </c>
      <c r="D27" s="288">
        <v>1.24E-2</v>
      </c>
      <c r="E27" s="289"/>
      <c r="F27" s="286" t="s">
        <v>39</v>
      </c>
      <c r="G27" s="287" t="s">
        <v>41</v>
      </c>
      <c r="H27" s="288"/>
      <c r="I27" s="289"/>
    </row>
    <row r="28" spans="2:9" s="241" customFormat="1" ht="13.2">
      <c r="B28" s="286" t="s">
        <v>42</v>
      </c>
      <c r="C28" s="287" t="s">
        <v>43</v>
      </c>
      <c r="D28" s="288">
        <v>3.3999999999999998E-3</v>
      </c>
      <c r="E28" s="289"/>
      <c r="F28" s="286" t="s">
        <v>42</v>
      </c>
      <c r="G28" s="290" t="s">
        <v>44</v>
      </c>
      <c r="H28" s="291"/>
      <c r="I28" s="292"/>
    </row>
    <row r="29" spans="2:9" s="241" customFormat="1" ht="13.2">
      <c r="B29" s="286" t="s">
        <v>45</v>
      </c>
      <c r="C29" s="287" t="s">
        <v>38</v>
      </c>
      <c r="D29" s="288">
        <v>0.1057</v>
      </c>
      <c r="E29" s="289"/>
      <c r="F29" s="286" t="s">
        <v>45</v>
      </c>
      <c r="G29" s="290" t="s">
        <v>46</v>
      </c>
      <c r="H29" s="291"/>
      <c r="I29" s="292"/>
    </row>
    <row r="30" spans="2:9" s="241" customFormat="1" ht="13.2">
      <c r="B30" s="286" t="s">
        <v>47</v>
      </c>
      <c r="C30" s="287" t="s">
        <v>48</v>
      </c>
      <c r="D30" s="288">
        <v>6.3200000000000006E-2</v>
      </c>
      <c r="E30" s="289"/>
      <c r="F30" s="286" t="s">
        <v>47</v>
      </c>
      <c r="G30" s="290" t="s">
        <v>49</v>
      </c>
      <c r="H30" s="291"/>
      <c r="I30" s="292"/>
    </row>
    <row r="31" spans="2:9" s="241" customFormat="1" ht="13.2">
      <c r="B31" s="286" t="s">
        <v>50</v>
      </c>
      <c r="C31" s="293" t="s">
        <v>51</v>
      </c>
      <c r="D31" s="288"/>
      <c r="E31" s="289"/>
      <c r="F31" s="286" t="s">
        <v>50</v>
      </c>
      <c r="G31" s="290" t="s">
        <v>43</v>
      </c>
      <c r="H31" s="291"/>
      <c r="I31" s="292"/>
    </row>
    <row r="32" spans="2:9" s="241" customFormat="1" ht="13.2">
      <c r="B32" s="286" t="s">
        <v>52</v>
      </c>
      <c r="C32" s="293" t="s">
        <v>53</v>
      </c>
      <c r="D32" s="288"/>
      <c r="E32" s="289"/>
      <c r="F32" s="286" t="s">
        <v>52</v>
      </c>
      <c r="G32" s="293" t="s">
        <v>54</v>
      </c>
      <c r="H32" s="291"/>
      <c r="I32" s="292"/>
    </row>
    <row r="33" spans="2:9" s="241" customFormat="1" ht="13.2">
      <c r="B33" s="286" t="s">
        <v>55</v>
      </c>
      <c r="C33" s="287" t="s">
        <v>56</v>
      </c>
      <c r="D33" s="288">
        <v>0.01</v>
      </c>
      <c r="E33" s="289"/>
      <c r="F33" s="286" t="s">
        <v>55</v>
      </c>
      <c r="G33" s="293" t="s">
        <v>51</v>
      </c>
      <c r="H33" s="291"/>
      <c r="I33" s="292"/>
    </row>
    <row r="34" spans="2:9" s="241" customFormat="1" ht="13.2">
      <c r="B34" s="286" t="s">
        <v>57</v>
      </c>
      <c r="C34" s="287" t="s">
        <v>58</v>
      </c>
      <c r="D34" s="288">
        <v>1.66E-2</v>
      </c>
      <c r="E34" s="289"/>
      <c r="F34" s="286" t="s">
        <v>57</v>
      </c>
      <c r="G34" s="293" t="s">
        <v>53</v>
      </c>
      <c r="H34" s="291"/>
      <c r="I34" s="292"/>
    </row>
    <row r="35" spans="2:9" s="241" customFormat="1" ht="13.2">
      <c r="B35" s="286" t="s">
        <v>59</v>
      </c>
      <c r="C35" s="287" t="s">
        <v>60</v>
      </c>
      <c r="D35" s="288">
        <v>5.5100000000000003E-2</v>
      </c>
      <c r="E35" s="289"/>
      <c r="F35" s="286" t="s">
        <v>59</v>
      </c>
      <c r="G35" s="293" t="s">
        <v>60</v>
      </c>
      <c r="H35" s="291"/>
      <c r="I35" s="292"/>
    </row>
    <row r="36" spans="2:9" s="241" customFormat="1" ht="13.2">
      <c r="B36" s="286"/>
      <c r="C36" s="287"/>
      <c r="D36" s="288"/>
      <c r="E36" s="289"/>
      <c r="F36" s="294"/>
      <c r="H36" s="291"/>
      <c r="I36" s="292"/>
    </row>
    <row r="37" spans="2:9" s="241" customFormat="1" ht="13.2">
      <c r="B37" s="282" t="s">
        <v>61</v>
      </c>
      <c r="C37" s="283" t="s">
        <v>62</v>
      </c>
      <c r="D37" s="288"/>
      <c r="E37" s="285">
        <f>SUM(D38:D41)</f>
        <v>0.40529999999999999</v>
      </c>
      <c r="F37" s="282" t="s">
        <v>61</v>
      </c>
      <c r="G37" s="283" t="s">
        <v>62</v>
      </c>
      <c r="H37" s="288"/>
      <c r="I37" s="285">
        <f>SUM(H38:H41)</f>
        <v>0.40300000000000002</v>
      </c>
    </row>
    <row r="38" spans="2:9" s="241" customFormat="1" ht="13.2">
      <c r="B38" s="286" t="s">
        <v>63</v>
      </c>
      <c r="C38" s="287" t="s">
        <v>64</v>
      </c>
      <c r="D38" s="288">
        <v>6.25E-2</v>
      </c>
      <c r="E38" s="289"/>
      <c r="F38" s="286" t="s">
        <v>63</v>
      </c>
      <c r="G38" s="287" t="s">
        <v>64</v>
      </c>
      <c r="H38" s="288">
        <v>6.0199999999999997E-2</v>
      </c>
      <c r="I38" s="289"/>
    </row>
    <row r="39" spans="2:9" s="241" customFormat="1" ht="13.2">
      <c r="B39" s="286" t="s">
        <v>65</v>
      </c>
      <c r="C39" s="287" t="s">
        <v>66</v>
      </c>
      <c r="D39" s="288">
        <v>0.13250000000000001</v>
      </c>
      <c r="E39" s="289"/>
      <c r="F39" s="286" t="s">
        <v>65</v>
      </c>
      <c r="G39" s="287" t="s">
        <v>66</v>
      </c>
      <c r="H39" s="288">
        <v>0.13250000000000001</v>
      </c>
      <c r="I39" s="289"/>
    </row>
    <row r="40" spans="2:9" s="241" customFormat="1" ht="13.2">
      <c r="B40" s="286" t="s">
        <v>67</v>
      </c>
      <c r="C40" s="287" t="s">
        <v>68</v>
      </c>
      <c r="D40" s="288">
        <v>0.12130000000000001</v>
      </c>
      <c r="E40" s="289"/>
      <c r="F40" s="286" t="s">
        <v>67</v>
      </c>
      <c r="G40" s="287" t="s">
        <v>68</v>
      </c>
      <c r="H40" s="288">
        <v>0.12130000000000001</v>
      </c>
      <c r="I40" s="289"/>
    </row>
    <row r="41" spans="2:9" s="241" customFormat="1" ht="13.2">
      <c r="B41" s="286" t="s">
        <v>69</v>
      </c>
      <c r="C41" s="287" t="s">
        <v>70</v>
      </c>
      <c r="D41" s="288">
        <v>8.8999999999999996E-2</v>
      </c>
      <c r="E41" s="289"/>
      <c r="F41" s="286" t="s">
        <v>69</v>
      </c>
      <c r="G41" s="287" t="s">
        <v>70</v>
      </c>
      <c r="H41" s="288">
        <v>8.8999999999999996E-2</v>
      </c>
      <c r="I41" s="289"/>
    </row>
    <row r="42" spans="2:9" s="241" customFormat="1" ht="13.2">
      <c r="B42" s="286"/>
      <c r="C42" s="287"/>
      <c r="D42" s="288"/>
      <c r="E42" s="289"/>
      <c r="F42" s="286"/>
      <c r="G42" s="287"/>
      <c r="H42" s="288"/>
      <c r="I42" s="289"/>
    </row>
    <row r="43" spans="2:9" s="241" customFormat="1" ht="13.2">
      <c r="B43" s="282" t="s">
        <v>71</v>
      </c>
      <c r="C43" s="283" t="s">
        <v>72</v>
      </c>
      <c r="D43" s="288"/>
      <c r="E43" s="285">
        <f>SUM(D44:D45)</f>
        <v>0.19069999999999998</v>
      </c>
      <c r="F43" s="282" t="s">
        <v>71</v>
      </c>
      <c r="G43" s="283" t="s">
        <v>72</v>
      </c>
      <c r="H43" s="288"/>
      <c r="I43" s="285">
        <f>SUM(H44:H45)</f>
        <v>4.7399999999999998E-2</v>
      </c>
    </row>
    <row r="44" spans="2:9" s="241" customFormat="1" ht="13.2">
      <c r="B44" s="286" t="s">
        <v>73</v>
      </c>
      <c r="C44" s="287" t="s">
        <v>74</v>
      </c>
      <c r="D44" s="288">
        <f>ROUNDUP(E14*E25,4)</f>
        <v>0.18089999999999998</v>
      </c>
      <c r="E44" s="289"/>
      <c r="F44" s="286" t="s">
        <v>73</v>
      </c>
      <c r="G44" s="287" t="s">
        <v>74</v>
      </c>
      <c r="H44" s="288">
        <f>ROUNDUP(I14*I25,4)</f>
        <v>3.7600000000000001E-2</v>
      </c>
      <c r="I44" s="285"/>
    </row>
    <row r="45" spans="2:9" s="241" customFormat="1" ht="13.2">
      <c r="B45" s="286" t="s">
        <v>75</v>
      </c>
      <c r="C45" s="287" t="s">
        <v>76</v>
      </c>
      <c r="D45" s="288">
        <f>ROUNDUP(D16*D40,4)</f>
        <v>9.7999999999999997E-3</v>
      </c>
      <c r="E45" s="289"/>
      <c r="F45" s="286" t="s">
        <v>73</v>
      </c>
      <c r="G45" s="287" t="s">
        <v>76</v>
      </c>
      <c r="H45" s="288">
        <f>ROUNDUP(H16*H40,4)</f>
        <v>9.7999999999999997E-3</v>
      </c>
      <c r="I45" s="289"/>
    </row>
    <row r="46" spans="2:9" s="241" customFormat="1" ht="13.2">
      <c r="B46" s="286"/>
      <c r="C46" s="287"/>
      <c r="D46" s="288"/>
      <c r="E46" s="289"/>
      <c r="F46" s="286"/>
      <c r="G46" s="287"/>
      <c r="H46" s="288"/>
      <c r="I46" s="289"/>
    </row>
    <row r="47" spans="2:9" s="241" customFormat="1" ht="13.2">
      <c r="B47" s="282" t="s">
        <v>77</v>
      </c>
      <c r="C47" s="283" t="s">
        <v>78</v>
      </c>
      <c r="D47" s="288"/>
      <c r="E47" s="285">
        <f>SUM(D48:D51)</f>
        <v>0.10220000000000001</v>
      </c>
      <c r="F47" s="282" t="s">
        <v>77</v>
      </c>
      <c r="G47" s="283" t="s">
        <v>78</v>
      </c>
      <c r="H47" s="288"/>
      <c r="I47" s="285">
        <f>SUM(H48:H51)</f>
        <v>0.10220000000000001</v>
      </c>
    </row>
    <row r="48" spans="2:9" s="241" customFormat="1" ht="13.2">
      <c r="B48" s="286" t="s">
        <v>79</v>
      </c>
      <c r="C48" s="287" t="s">
        <v>80</v>
      </c>
      <c r="D48" s="288">
        <v>7.4999999999999997E-3</v>
      </c>
      <c r="E48" s="289"/>
      <c r="F48" s="286" t="s">
        <v>79</v>
      </c>
      <c r="G48" s="287" t="s">
        <v>80</v>
      </c>
      <c r="H48" s="288">
        <v>7.4999999999999997E-3</v>
      </c>
      <c r="I48" s="289"/>
    </row>
    <row r="49" spans="2:9" s="241" customFormat="1" ht="13.2">
      <c r="B49" s="286" t="s">
        <v>81</v>
      </c>
      <c r="C49" s="287" t="s">
        <v>82</v>
      </c>
      <c r="D49" s="288">
        <v>0</v>
      </c>
      <c r="E49" s="289"/>
      <c r="F49" s="286" t="s">
        <v>81</v>
      </c>
      <c r="G49" s="287" t="s">
        <v>82</v>
      </c>
      <c r="H49" s="288">
        <v>0</v>
      </c>
      <c r="I49" s="289"/>
    </row>
    <row r="50" spans="2:9" s="241" customFormat="1" ht="13.2">
      <c r="B50" s="286" t="s">
        <v>83</v>
      </c>
      <c r="C50" s="287" t="s">
        <v>84</v>
      </c>
      <c r="D50" s="288">
        <v>0</v>
      </c>
      <c r="E50" s="289"/>
      <c r="F50" s="286" t="s">
        <v>83</v>
      </c>
      <c r="G50" s="287" t="s">
        <v>84</v>
      </c>
      <c r="H50" s="288">
        <v>0</v>
      </c>
      <c r="I50" s="289"/>
    </row>
    <row r="51" spans="2:9" s="241" customFormat="1" ht="13.2">
      <c r="B51" s="286" t="s">
        <v>85</v>
      </c>
      <c r="C51" s="287" t="s">
        <v>86</v>
      </c>
      <c r="D51" s="288">
        <v>9.4700000000000006E-2</v>
      </c>
      <c r="E51" s="289"/>
      <c r="F51" s="286" t="s">
        <v>85</v>
      </c>
      <c r="G51" s="287" t="s">
        <v>86</v>
      </c>
      <c r="H51" s="288">
        <v>9.4700000000000006E-2</v>
      </c>
      <c r="I51" s="289"/>
    </row>
    <row r="52" spans="2:9" s="241" customFormat="1" ht="13.2">
      <c r="B52" s="286"/>
      <c r="C52" s="287"/>
      <c r="D52" s="288"/>
      <c r="E52" s="289"/>
      <c r="F52" s="286"/>
      <c r="G52" s="287"/>
      <c r="H52" s="288"/>
      <c r="I52" s="289"/>
    </row>
    <row r="53" spans="2:9" s="241" customFormat="1" ht="13.2">
      <c r="B53" s="282" t="s">
        <v>87</v>
      </c>
      <c r="C53" s="283" t="s">
        <v>88</v>
      </c>
      <c r="D53" s="288"/>
      <c r="E53" s="285">
        <f>SUM(D54:D57)</f>
        <v>0.19243111111111111</v>
      </c>
      <c r="F53" s="282" t="s">
        <v>87</v>
      </c>
      <c r="G53" s="283" t="s">
        <v>88</v>
      </c>
      <c r="H53" s="288"/>
      <c r="I53" s="285">
        <f>SUM(H54:H57)</f>
        <v>0</v>
      </c>
    </row>
    <row r="54" spans="2:9" s="241" customFormat="1" ht="13.2">
      <c r="B54" s="286" t="s">
        <v>89</v>
      </c>
      <c r="C54" s="287" t="s">
        <v>90</v>
      </c>
      <c r="D54" s="288">
        <f>((2*5*26)-(1800*0.06))/1800</f>
        <v>8.4444444444444447E-2</v>
      </c>
      <c r="E54" s="289"/>
      <c r="F54" s="286" t="s">
        <v>89</v>
      </c>
      <c r="G54" s="287" t="s">
        <v>90</v>
      </c>
      <c r="H54" s="288"/>
      <c r="I54" s="289"/>
    </row>
    <row r="55" spans="2:9" s="241" customFormat="1" ht="13.2">
      <c r="B55" s="286" t="s">
        <v>91</v>
      </c>
      <c r="C55" s="287" t="s">
        <v>92</v>
      </c>
      <c r="D55" s="288"/>
      <c r="E55" s="289"/>
      <c r="F55" s="286" t="s">
        <v>91</v>
      </c>
      <c r="G55" s="287" t="s">
        <v>92</v>
      </c>
      <c r="H55" s="288"/>
      <c r="I55" s="289"/>
    </row>
    <row r="56" spans="2:9" s="241" customFormat="1" ht="13.2">
      <c r="B56" s="286" t="s">
        <v>93</v>
      </c>
      <c r="C56" s="287" t="s">
        <v>94</v>
      </c>
      <c r="D56" s="288"/>
      <c r="E56" s="289"/>
      <c r="F56" s="286" t="s">
        <v>93</v>
      </c>
      <c r="G56" s="287" t="s">
        <v>94</v>
      </c>
      <c r="H56" s="288"/>
      <c r="I56" s="289"/>
    </row>
    <row r="57" spans="2:9" s="241" customFormat="1" ht="13.2">
      <c r="B57" s="286" t="s">
        <v>95</v>
      </c>
      <c r="C57" s="287" t="s">
        <v>96</v>
      </c>
      <c r="D57" s="288">
        <v>0.10798666666666666</v>
      </c>
      <c r="E57" s="289"/>
      <c r="F57" s="286" t="s">
        <v>95</v>
      </c>
      <c r="G57" s="287" t="s">
        <v>97</v>
      </c>
      <c r="H57" s="288"/>
      <c r="I57" s="289"/>
    </row>
    <row r="58" spans="2:9" s="241" customFormat="1" ht="13.2">
      <c r="B58" s="286"/>
      <c r="C58" s="287"/>
      <c r="D58" s="288"/>
      <c r="E58" s="289"/>
      <c r="F58" s="286"/>
      <c r="G58" s="287"/>
      <c r="H58" s="288"/>
      <c r="I58" s="289"/>
    </row>
    <row r="59" spans="2:9" s="241" customFormat="1" ht="13.2">
      <c r="B59" s="282" t="s">
        <v>77</v>
      </c>
      <c r="C59" s="283" t="s">
        <v>98</v>
      </c>
      <c r="D59" s="288"/>
      <c r="E59" s="285">
        <f>SUM(D60)</f>
        <v>0.03</v>
      </c>
      <c r="F59" s="282" t="s">
        <v>77</v>
      </c>
      <c r="G59" s="283" t="s">
        <v>98</v>
      </c>
      <c r="H59" s="288"/>
      <c r="I59" s="285">
        <f>SUM(H60)</f>
        <v>0.03</v>
      </c>
    </row>
    <row r="60" spans="2:9" s="241" customFormat="1" ht="13.8" thickBot="1">
      <c r="B60" s="296" t="s">
        <v>79</v>
      </c>
      <c r="C60" s="297" t="s">
        <v>99</v>
      </c>
      <c r="D60" s="298">
        <v>0.03</v>
      </c>
      <c r="E60" s="295"/>
      <c r="F60" s="296" t="s">
        <v>79</v>
      </c>
      <c r="G60" s="297" t="s">
        <v>99</v>
      </c>
      <c r="H60" s="298">
        <v>0.03</v>
      </c>
      <c r="I60" s="295"/>
    </row>
    <row r="64" spans="2:9">
      <c r="D64" s="301"/>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8483" r:id="rId3" name="Label1">
          <controlPr defaultSize="0" autoLine="0" r:id="rId4">
            <anchor moveWithCells="1">
              <from>
                <xdr:col>2</xdr:col>
                <xdr:colOff>236220</xdr:colOff>
                <xdr:row>0</xdr:row>
                <xdr:rowOff>22860</xdr:rowOff>
              </from>
              <to>
                <xdr:col>3</xdr:col>
                <xdr:colOff>388620</xdr:colOff>
                <xdr:row>0</xdr:row>
                <xdr:rowOff>152400</xdr:rowOff>
              </to>
            </anchor>
          </controlPr>
        </control>
      </mc:Choice>
      <mc:Fallback>
        <control shapeId="148483" r:id="rId3" name="Label1"/>
      </mc:Fallback>
    </mc:AlternateContent>
    <mc:AlternateContent xmlns:mc="http://schemas.openxmlformats.org/markup-compatibility/2006">
      <mc:Choice Requires="x14">
        <control shapeId="148482" r:id="rId5" name="ComboBox3">
          <controlPr defaultSize="0" autoLine="0" r:id="rId6">
            <anchor moveWithCells="1">
              <from>
                <xdr:col>2</xdr:col>
                <xdr:colOff>190500</xdr:colOff>
                <xdr:row>0</xdr:row>
                <xdr:rowOff>175260</xdr:rowOff>
              </from>
              <to>
                <xdr:col>3</xdr:col>
                <xdr:colOff>502920</xdr:colOff>
                <xdr:row>0</xdr:row>
                <xdr:rowOff>411480</xdr:rowOff>
              </to>
            </anchor>
          </controlPr>
        </control>
      </mc:Choice>
      <mc:Fallback>
        <control shapeId="148482" r:id="rId5" name="ComboBox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DE65C-2E8C-4727-862D-2512F6641131}">
  <sheetPr codeName="Planilha5">
    <tabColor theme="0" tint="-0.249977111117893"/>
  </sheetPr>
  <dimension ref="A1:O119"/>
  <sheetViews>
    <sheetView view="pageBreakPreview" zoomScale="80" zoomScaleNormal="100" zoomScaleSheetLayoutView="80" workbookViewId="0">
      <pane ySplit="8" topLeftCell="A9" activePane="bottomLeft" state="frozen"/>
      <selection activeCell="F27" sqref="F27:F34"/>
      <selection pane="bottomLeft" activeCell="I1" sqref="I1:N1048576"/>
    </sheetView>
  </sheetViews>
  <sheetFormatPr defaultColWidth="9.109375" defaultRowHeight="14.4"/>
  <cols>
    <col min="1" max="1" width="10.44140625" style="122" customWidth="1"/>
    <col min="2" max="2" width="20.33203125" style="122" customWidth="1"/>
    <col min="3" max="3" width="27.109375" style="122" customWidth="1"/>
    <col min="4" max="4" width="41.6640625" style="122" customWidth="1"/>
    <col min="5" max="5" width="15" style="122" bestFit="1" customWidth="1"/>
    <col min="6" max="6" width="11.44140625" style="122" customWidth="1"/>
    <col min="7" max="7" width="17.109375" style="118" customWidth="1"/>
    <col min="8" max="8" width="29.6640625" style="128" customWidth="1"/>
    <col min="9" max="9" width="18" style="119" bestFit="1" customWidth="1"/>
    <col min="10" max="10" width="13.44140625" style="119" bestFit="1" customWidth="1"/>
    <col min="11" max="11" width="14.44140625" style="156" bestFit="1" customWidth="1"/>
    <col min="12" max="12" width="12.33203125" style="119" bestFit="1" customWidth="1"/>
    <col min="13" max="13" width="14.44140625" style="156" bestFit="1" customWidth="1"/>
    <col min="14" max="15" width="12" style="119" customWidth="1"/>
    <col min="16" max="16384" width="9.109375" style="122"/>
  </cols>
  <sheetData>
    <row r="1" spans="1:15" s="119" customFormat="1" ht="15" customHeight="1">
      <c r="A1" s="224"/>
      <c r="B1" s="230"/>
      <c r="C1" s="1154" t="s">
        <v>100</v>
      </c>
      <c r="D1" s="1155"/>
      <c r="E1" s="228" t="s">
        <v>101</v>
      </c>
      <c r="F1" s="1163"/>
      <c r="G1" s="1163"/>
      <c r="H1" s="1164"/>
      <c r="K1" s="156"/>
      <c r="M1" s="156"/>
    </row>
    <row r="2" spans="1:15" s="119" customFormat="1" ht="18" customHeight="1" thickBot="1">
      <c r="A2" s="120"/>
      <c r="B2" s="231"/>
      <c r="C2" s="1156"/>
      <c r="D2" s="1157"/>
      <c r="E2" s="229" t="str">
        <f ca="1">UPPER(TEXT(E6,"MMM-AA"))</f>
        <v>ABR-26</v>
      </c>
      <c r="F2" s="1165"/>
      <c r="G2" s="1165"/>
      <c r="H2" s="1166"/>
      <c r="K2" s="156"/>
      <c r="M2" s="156"/>
    </row>
    <row r="3" spans="1:15" s="119" customFormat="1" ht="23.4">
      <c r="A3" s="117" t="s">
        <v>102</v>
      </c>
      <c r="B3" s="232"/>
      <c r="C3" s="1156" t="s">
        <v>103</v>
      </c>
      <c r="D3" s="1157"/>
      <c r="E3" s="1167" t="s">
        <v>104</v>
      </c>
      <c r="F3" s="1167"/>
      <c r="G3" s="1167"/>
      <c r="H3" s="1168"/>
      <c r="K3" s="156"/>
      <c r="M3" s="156"/>
    </row>
    <row r="4" spans="1:15" s="119" customFormat="1" ht="31.5" customHeight="1" thickBot="1">
      <c r="A4" s="120"/>
      <c r="B4" s="233"/>
      <c r="C4" s="1169"/>
      <c r="D4" s="1170"/>
      <c r="E4" s="1171"/>
      <c r="F4" s="1171"/>
      <c r="G4" s="1171"/>
      <c r="H4" s="1172"/>
      <c r="K4" s="156"/>
      <c r="M4" s="156"/>
    </row>
    <row r="5" spans="1:15" s="121" customFormat="1" ht="16.5" customHeight="1" thickBot="1">
      <c r="A5" s="1158" t="s">
        <v>105</v>
      </c>
      <c r="B5" s="1159"/>
      <c r="C5" s="1160"/>
      <c r="D5" s="226" t="s">
        <v>106</v>
      </c>
      <c r="E5" s="1161" t="s">
        <v>107</v>
      </c>
      <c r="F5" s="1162"/>
      <c r="G5" s="1145" t="s">
        <v>108</v>
      </c>
      <c r="H5" s="1146"/>
      <c r="J5" s="155"/>
      <c r="K5" s="157"/>
      <c r="M5" s="157"/>
    </row>
    <row r="6" spans="1:15" s="121" customFormat="1" ht="26.25" customHeight="1" thickBot="1">
      <c r="A6" s="1147" t="s">
        <v>109</v>
      </c>
      <c r="B6" s="1148"/>
      <c r="C6" s="1149"/>
      <c r="D6" s="227" t="s">
        <v>110</v>
      </c>
      <c r="E6" s="1150">
        <f ca="1">TODAY()</f>
        <v>46140</v>
      </c>
      <c r="F6" s="1151"/>
      <c r="G6" s="1173">
        <f ca="1">E6+20</f>
        <v>46160</v>
      </c>
      <c r="H6" s="1174"/>
      <c r="K6" s="157"/>
      <c r="M6" s="157"/>
    </row>
    <row r="7" spans="1:15" ht="15.75" customHeight="1" thickBot="1">
      <c r="A7" s="1175" t="s">
        <v>111</v>
      </c>
      <c r="B7" s="1177" t="s">
        <v>112</v>
      </c>
      <c r="C7" s="1178"/>
      <c r="D7" s="1179"/>
      <c r="E7" s="1183" t="s">
        <v>113</v>
      </c>
      <c r="F7" s="1183" t="s">
        <v>114</v>
      </c>
      <c r="G7" s="1152" t="s">
        <v>115</v>
      </c>
      <c r="H7" s="1153"/>
      <c r="M7" s="157"/>
      <c r="N7" s="121"/>
      <c r="O7" s="121"/>
    </row>
    <row r="8" spans="1:15" ht="15.75" customHeight="1" thickBot="1">
      <c r="A8" s="1176"/>
      <c r="B8" s="1180"/>
      <c r="C8" s="1181"/>
      <c r="D8" s="1182"/>
      <c r="E8" s="1184"/>
      <c r="F8" s="1184"/>
      <c r="G8" s="225" t="s">
        <v>116</v>
      </c>
      <c r="H8" s="189" t="s">
        <v>117</v>
      </c>
      <c r="M8" s="157"/>
      <c r="N8" s="121"/>
      <c r="O8" s="121"/>
    </row>
    <row r="9" spans="1:15" ht="11.25" customHeight="1" thickBot="1">
      <c r="A9" s="188"/>
      <c r="B9" s="1159"/>
      <c r="C9" s="1159"/>
      <c r="D9" s="1159"/>
      <c r="E9" s="1185"/>
      <c r="F9" s="1185"/>
      <c r="G9" s="1185"/>
      <c r="H9" s="1186"/>
      <c r="M9" s="157"/>
      <c r="N9" s="121"/>
      <c r="O9" s="121"/>
    </row>
    <row r="10" spans="1:15" ht="20.100000000000001" customHeight="1">
      <c r="A10" s="390">
        <v>1</v>
      </c>
      <c r="B10" s="391" t="str">
        <f>PLANEJAMENTO!C10</f>
        <v>SUPRESSÃO VEGETAL</v>
      </c>
      <c r="C10" s="392"/>
      <c r="D10" s="393"/>
      <c r="E10" s="394"/>
      <c r="F10" s="395"/>
      <c r="G10" s="396"/>
      <c r="H10" s="397">
        <f>SUBTOTAL(9,H11:H15)</f>
        <v>3290671.7337560663</v>
      </c>
      <c r="M10" s="157"/>
      <c r="N10" s="121"/>
      <c r="O10" s="121"/>
    </row>
    <row r="11" spans="1:15" ht="20.100000000000001" customHeight="1">
      <c r="A11" s="125" t="s">
        <v>118</v>
      </c>
      <c r="B11" s="1142" t="str">
        <f>VLOOKUP($A11,PLANEJAMENTO!$B$10:$Y$70,2,0)</f>
        <v xml:space="preserve"> Mobilização de pessoal e equipamentos</v>
      </c>
      <c r="C11" s="1143"/>
      <c r="D11" s="1144"/>
      <c r="E11" s="126">
        <f>VLOOKUP($A11,PLANEJAMENTO!$B$10:$Y$70,4,0)</f>
        <v>1</v>
      </c>
      <c r="F11" s="127" t="str">
        <f>VLOOKUP($A11,PLANEJAMENTO!$B$10:$Y$70,3,0)</f>
        <v>vb</v>
      </c>
      <c r="G11" s="677">
        <f>H11/E11</f>
        <v>2386304.4146510232</v>
      </c>
      <c r="H11" s="378">
        <f>VLOOKUP($A11,PLANEJAMENTO!$B$10:$Y$70,24,0)</f>
        <v>2386304.4146510232</v>
      </c>
      <c r="I11" s="154"/>
      <c r="J11" s="154"/>
      <c r="K11" s="160"/>
      <c r="L11" s="703"/>
      <c r="M11" s="157"/>
    </row>
    <row r="12" spans="1:15" ht="20.100000000000001" customHeight="1">
      <c r="A12" s="125" t="s">
        <v>119</v>
      </c>
      <c r="B12" s="1142" t="str">
        <f>VLOOKUP($A12,PLANEJAMENTO!$B$10:$Y$70,2,0)</f>
        <v xml:space="preserve"> Mobilização Canteiro de Obras</v>
      </c>
      <c r="C12" s="1143"/>
      <c r="D12" s="1144"/>
      <c r="E12" s="126">
        <f>VLOOKUP($A12,PLANEJAMENTO!$B$10:$Y$70,4,0)</f>
        <v>1</v>
      </c>
      <c r="F12" s="127" t="str">
        <f>VLOOKUP($A12,PLANEJAMENTO!$B$10:$Y$70,3,0)</f>
        <v>vb</v>
      </c>
      <c r="G12" s="677">
        <f>H12/E12</f>
        <v>476351.94168095343</v>
      </c>
      <c r="H12" s="378">
        <f>VLOOKUP($A12,PLANEJAMENTO!$B$10:$Y$70,24,0)</f>
        <v>476351.94168095343</v>
      </c>
      <c r="L12" s="703"/>
    </row>
    <row r="13" spans="1:15" ht="20.100000000000001" customHeight="1">
      <c r="A13" s="125" t="s">
        <v>120</v>
      </c>
      <c r="B13" s="1142" t="str">
        <f>VLOOKUP($A13,PLANEJAMENTO!$B$10:$Y$70,2,0)</f>
        <v xml:space="preserve"> Desmobilização Canteiro de Obras</v>
      </c>
      <c r="C13" s="1143"/>
      <c r="D13" s="1144"/>
      <c r="E13" s="126">
        <f>VLOOKUP($A13,PLANEJAMENTO!$B$10:$Y$70,4,0)</f>
        <v>1</v>
      </c>
      <c r="F13" s="127" t="str">
        <f>VLOOKUP($A13,PLANEJAMENTO!$B$10:$Y$70,3,0)</f>
        <v>vb</v>
      </c>
      <c r="G13" s="677">
        <f>H13/E13</f>
        <v>194014.82696290317</v>
      </c>
      <c r="H13" s="378">
        <f>VLOOKUP($A13,PLANEJAMENTO!$B$10:$Y$70,24,0)</f>
        <v>194014.82696290317</v>
      </c>
      <c r="L13" s="703"/>
    </row>
    <row r="14" spans="1:15" ht="20.100000000000001" customHeight="1">
      <c r="A14" s="125" t="s">
        <v>121</v>
      </c>
      <c r="B14" s="1142" t="str">
        <f>VLOOKUP($A14,PLANEJAMENTO!$B$10:$Y$70,2,0)</f>
        <v xml:space="preserve"> Desmobilização de pessoal e equipamentos</v>
      </c>
      <c r="C14" s="1143"/>
      <c r="D14" s="1144"/>
      <c r="E14" s="126">
        <f>VLOOKUP($A14,PLANEJAMENTO!$B$10:$Y$70,4,0)</f>
        <v>1</v>
      </c>
      <c r="F14" s="127" t="str">
        <f>VLOOKUP($A14,PLANEJAMENTO!$B$10:$Y$70,3,0)</f>
        <v>vb</v>
      </c>
      <c r="G14" s="677">
        <f>H14/E14</f>
        <v>234000.55046118639</v>
      </c>
      <c r="H14" s="378">
        <f>VLOOKUP($A14,PLANEJAMENTO!$B$10:$Y$70,24,0)</f>
        <v>234000.55046118639</v>
      </c>
      <c r="L14" s="703"/>
    </row>
    <row r="15" spans="1:15" ht="20.100000000000001" customHeight="1">
      <c r="A15" s="125"/>
      <c r="B15" s="1142"/>
      <c r="C15" s="1143"/>
      <c r="D15" s="1144"/>
      <c r="E15" s="126"/>
      <c r="F15" s="127"/>
      <c r="G15" s="677"/>
      <c r="H15" s="378"/>
      <c r="L15" s="703"/>
    </row>
    <row r="16" spans="1:15" ht="20.100000000000001" customHeight="1">
      <c r="A16" s="390">
        <v>2</v>
      </c>
      <c r="B16" s="391" t="e">
        <f>PLANEJAMENTO!#REF!</f>
        <v>#REF!</v>
      </c>
      <c r="C16" s="392"/>
      <c r="D16" s="393"/>
      <c r="E16" s="394"/>
      <c r="F16" s="395"/>
      <c r="G16" s="678"/>
      <c r="H16" s="397"/>
      <c r="I16" s="400"/>
      <c r="L16" s="703"/>
      <c r="M16" s="157"/>
      <c r="N16" s="121"/>
      <c r="O16" s="121"/>
    </row>
    <row r="17" spans="1:15" ht="20.100000000000001" customHeight="1">
      <c r="A17" s="125" t="s">
        <v>122</v>
      </c>
      <c r="B17" s="1142" t="str">
        <f>VLOOKUP($A17,PLANEJAMENTO!$B$10:$Y$70,2,0)</f>
        <v>Corte de Arvore Isolada, com destocamento com Ø &gt; 45cm</v>
      </c>
      <c r="C17" s="1143"/>
      <c r="D17" s="1144"/>
      <c r="E17" s="126">
        <f>VLOOKUP($A17,PLANEJAMENTO!$B$10:$Y$70,4,0)</f>
        <v>30</v>
      </c>
      <c r="F17" s="127" t="str">
        <f>VLOOKUP($A17,PLANEJAMENTO!$B$10:$Y$70,3,0)</f>
        <v>un</v>
      </c>
      <c r="G17" s="677">
        <f>H17/E17</f>
        <v>811.1889562584646</v>
      </c>
      <c r="H17" s="378">
        <f>VLOOKUP($A17,PLANEJAMENTO!$B$10:$Y$70,24,0)</f>
        <v>24335.66868775394</v>
      </c>
      <c r="I17" s="399"/>
      <c r="J17" s="154"/>
      <c r="K17" s="160"/>
      <c r="L17" s="703"/>
      <c r="M17" s="157"/>
    </row>
    <row r="18" spans="1:15" ht="20.100000000000001" customHeight="1">
      <c r="A18" s="379" t="s">
        <v>123</v>
      </c>
      <c r="B18" s="1142" t="str">
        <f>VLOOKUP($A18,PLANEJAMENTO!$B$10:$Y$70,2,0)</f>
        <v>Corte de Arvore Isolada, com destocamento com Ø &lt; 45cm</v>
      </c>
      <c r="C18" s="1143"/>
      <c r="D18" s="1144"/>
      <c r="E18" s="126">
        <f>VLOOKUP($A18,PLANEJAMENTO!$B$10:$Y$70,4,0)</f>
        <v>30</v>
      </c>
      <c r="F18" s="127" t="str">
        <f>VLOOKUP($A18,PLANEJAMENTO!$B$10:$Y$70,3,0)</f>
        <v>un</v>
      </c>
      <c r="G18" s="677">
        <f>H18/E18</f>
        <v>329.02324515705578</v>
      </c>
      <c r="H18" s="378">
        <f>VLOOKUP($A18,PLANEJAMENTO!$B$10:$Y$70,24,0)</f>
        <v>9870.6973547116741</v>
      </c>
      <c r="I18" s="400"/>
      <c r="L18" s="703"/>
    </row>
    <row r="19" spans="1:15" ht="20.100000000000001" customHeight="1">
      <c r="A19" s="379" t="s">
        <v>124</v>
      </c>
      <c r="B19" s="1142" t="str">
        <f>VLOOKUP($A19,PLANEJAMENTO!$B$10:$Y$70,2,0)</f>
        <v xml:space="preserve">Supressão vegetal com destocamento de vegetação com Ø =&lt; 45cm </v>
      </c>
      <c r="C19" s="1143"/>
      <c r="D19" s="1144"/>
      <c r="E19" s="126">
        <f>VLOOKUP($A19,PLANEJAMENTO!$B$10:$Y$70,4,0)</f>
        <v>40000</v>
      </c>
      <c r="F19" s="127" t="str">
        <f>VLOOKUP($A19,PLANEJAMENTO!$B$10:$Y$70,3,0)</f>
        <v>m²</v>
      </c>
      <c r="G19" s="677">
        <f>H19/E19</f>
        <v>4.7122809894114308</v>
      </c>
      <c r="H19" s="378">
        <f>VLOOKUP($A19,PLANEJAMENTO!$B$10:$Y$70,24,0)</f>
        <v>188491.23957645724</v>
      </c>
      <c r="I19" s="400"/>
      <c r="L19" s="703"/>
    </row>
    <row r="20" spans="1:15" ht="20.100000000000001" customHeight="1">
      <c r="A20" s="390">
        <v>3</v>
      </c>
      <c r="B20" s="391" t="e">
        <f>PLANEJAMENTO!#REF!</f>
        <v>#REF!</v>
      </c>
      <c r="C20" s="392"/>
      <c r="D20" s="393"/>
      <c r="E20" s="394"/>
      <c r="F20" s="395"/>
      <c r="G20" s="678"/>
      <c r="H20" s="397"/>
      <c r="L20" s="703"/>
      <c r="M20" s="157"/>
      <c r="N20" s="121"/>
      <c r="O20" s="121"/>
    </row>
    <row r="21" spans="1:15" ht="20.100000000000001" customHeight="1">
      <c r="A21" s="379" t="s">
        <v>125</v>
      </c>
      <c r="B21" s="1142" t="str">
        <f>VLOOKUP($A21,PLANEJAMENTO!$B$10:$Y$70,2,0)</f>
        <v>Escavação, carga e transporte de camada de solo superficial com espessura maxima de 15cm para a área de depósito - DMT 0 até 500 m</v>
      </c>
      <c r="C21" s="1143"/>
      <c r="D21" s="1144"/>
      <c r="E21" s="126">
        <f>VLOOKUP($A21,PLANEJAMENTO!$B$10:$Y$70,4,0)</f>
        <v>1</v>
      </c>
      <c r="F21" s="127" t="str">
        <f>VLOOKUP($A21,PLANEJAMENTO!$B$10:$Y$70,3,0)</f>
        <v>m³</v>
      </c>
      <c r="G21" s="677">
        <f>H21/E21</f>
        <v>12.735877795944223</v>
      </c>
      <c r="H21" s="378">
        <f>VLOOKUP($A21,PLANEJAMENTO!$B$10:$Y$70,24,0)</f>
        <v>12.735877795944223</v>
      </c>
      <c r="I21" s="400"/>
      <c r="L21" s="703"/>
    </row>
    <row r="22" spans="1:15" ht="20.100000000000001" customHeight="1">
      <c r="A22" s="379" t="s">
        <v>126</v>
      </c>
      <c r="B22" s="1142" t="str">
        <f>VLOOKUP($A22,PLANEJAMENTO!$B$10:$Y$70,2,0)</f>
        <v>Escavação, carga e transporte de camada de solo superficial com espessura maxima de 15cm para a área de depósito - DMT 501 até 1000 m</v>
      </c>
      <c r="C22" s="1143"/>
      <c r="D22" s="1144"/>
      <c r="E22" s="126">
        <f>VLOOKUP($A22,PLANEJAMENTO!$B$10:$Y$70,4,0)</f>
        <v>1</v>
      </c>
      <c r="F22" s="127" t="str">
        <f>VLOOKUP($A22,PLANEJAMENTO!$B$10:$Y$70,3,0)</f>
        <v>m³</v>
      </c>
      <c r="G22" s="677">
        <f>H22/E22</f>
        <v>14.700708939986399</v>
      </c>
      <c r="H22" s="378">
        <f>VLOOKUP($A22,PLANEJAMENTO!$B$10:$Y$70,24,0)</f>
        <v>14.700708939986399</v>
      </c>
      <c r="I22" s="400"/>
      <c r="L22" s="703"/>
    </row>
    <row r="23" spans="1:15" ht="20.100000000000001" customHeight="1">
      <c r="A23" s="379" t="s">
        <v>127</v>
      </c>
      <c r="B23" s="1142" t="str">
        <f>VLOOKUP($A23,PLANEJAMENTO!$B$10:$Y$70,2,0)</f>
        <v>Escavação, carga e transporte de camada de solo superficial com espessura maxima de 15cm para a área de depósito - DMT 1001 até 1500 m</v>
      </c>
      <c r="C23" s="1143"/>
      <c r="D23" s="1144"/>
      <c r="E23" s="126">
        <f>VLOOKUP($A23,PLANEJAMENTO!$B$10:$Y$70,4,0)</f>
        <v>1</v>
      </c>
      <c r="F23" s="127" t="str">
        <f>VLOOKUP($A23,PLANEJAMENTO!$B$10:$Y$70,3,0)</f>
        <v>m³</v>
      </c>
      <c r="G23" s="677">
        <f>H23/E23</f>
        <v>15.417816693156469</v>
      </c>
      <c r="H23" s="378">
        <f>VLOOKUP($A23,PLANEJAMENTO!$B$10:$Y$70,24,0)</f>
        <v>15.417816693156469</v>
      </c>
      <c r="I23" s="400"/>
      <c r="L23" s="703"/>
    </row>
    <row r="24" spans="1:15" ht="20.100000000000001" customHeight="1">
      <c r="A24" s="379"/>
      <c r="B24" s="1142"/>
      <c r="C24" s="1143"/>
      <c r="D24" s="1144"/>
      <c r="E24" s="126"/>
      <c r="F24" s="127"/>
      <c r="G24" s="677"/>
      <c r="H24" s="378"/>
      <c r="I24" s="400"/>
      <c r="L24" s="703"/>
    </row>
    <row r="25" spans="1:15" ht="20.100000000000001" customHeight="1">
      <c r="A25" s="390">
        <v>4</v>
      </c>
      <c r="B25" s="391" t="e">
        <f>PLANEJAMENTO!#REF!</f>
        <v>#REF!</v>
      </c>
      <c r="C25" s="392"/>
      <c r="D25" s="393"/>
      <c r="E25" s="394"/>
      <c r="F25" s="395"/>
      <c r="G25" s="678"/>
      <c r="H25" s="397"/>
      <c r="L25" s="703"/>
      <c r="M25" s="157"/>
      <c r="N25" s="121"/>
      <c r="O25" s="121"/>
    </row>
    <row r="26" spans="1:15" ht="20.100000000000001" customHeight="1">
      <c r="A26" s="379" t="s">
        <v>128</v>
      </c>
      <c r="B26" s="1142" t="e">
        <f>VLOOKUP($A26,PLANEJAMENTO!$B$10:$Y$70,2,0)</f>
        <v>#N/A</v>
      </c>
      <c r="C26" s="1143"/>
      <c r="D26" s="1144"/>
      <c r="E26" s="126" t="e">
        <f>VLOOKUP($A26,PLANEJAMENTO!$B$10:$Y$70,4,0)</f>
        <v>#N/A</v>
      </c>
      <c r="F26" s="127" t="e">
        <f>VLOOKUP($A26,PLANEJAMENTO!$B$10:$Y$70,3,0)</f>
        <v>#N/A</v>
      </c>
      <c r="G26" s="677" t="e">
        <f t="shared" ref="G26:G35" si="0">H26/E26</f>
        <v>#N/A</v>
      </c>
      <c r="H26" s="378" t="e">
        <f>VLOOKUP($A26,PLANEJAMENTO!$B$10:$Y$70,24,0)</f>
        <v>#N/A</v>
      </c>
      <c r="I26" s="400"/>
      <c r="L26" s="703"/>
      <c r="M26" s="157"/>
      <c r="N26" s="121"/>
      <c r="O26" s="121"/>
    </row>
    <row r="27" spans="1:15" ht="20.100000000000001" customHeight="1">
      <c r="A27" s="379" t="s">
        <v>129</v>
      </c>
      <c r="B27" s="1142" t="str">
        <f>VLOOKUP($A27,PLANEJAMENTO!$B$10:$Y$70,2,0)</f>
        <v>Escavação, Carga, Transporte e Espalhamento - material de 1° categoria - DMT 0 até 500m</v>
      </c>
      <c r="C27" s="1143"/>
      <c r="D27" s="1144"/>
      <c r="E27" s="126">
        <f>VLOOKUP($A27,PLANEJAMENTO!$B$10:$Y$70,4,0)</f>
        <v>32000</v>
      </c>
      <c r="F27" s="127" t="str">
        <f>VLOOKUP($A27,PLANEJAMENTO!$B$10:$Y$70,3,0)</f>
        <v>m³</v>
      </c>
      <c r="G27" s="677">
        <f t="shared" si="0"/>
        <v>13.911997784002278</v>
      </c>
      <c r="H27" s="378">
        <f>VLOOKUP($A27,PLANEJAMENTO!$B$10:$Y$70,24,0)</f>
        <v>445183.92908807291</v>
      </c>
      <c r="I27" s="400"/>
      <c r="L27" s="703"/>
    </row>
    <row r="28" spans="1:15" ht="20.100000000000001" customHeight="1">
      <c r="A28" s="379" t="s">
        <v>130</v>
      </c>
      <c r="B28" s="1142" t="str">
        <f>VLOOKUP($A28,PLANEJAMENTO!$B$10:$Y$70,2,0)</f>
        <v>Escavação, Carga, Transporte e Espalhamento - material de 1° categoria - DMT 501 até 1000m</v>
      </c>
      <c r="C28" s="1143"/>
      <c r="D28" s="1144"/>
      <c r="E28" s="126">
        <f>VLOOKUP($A28,PLANEJAMENTO!$B$10:$Y$70,4,0)</f>
        <v>32000</v>
      </c>
      <c r="F28" s="127" t="str">
        <f>VLOOKUP($A28,PLANEJAMENTO!$B$10:$Y$70,3,0)</f>
        <v>m³</v>
      </c>
      <c r="G28" s="677">
        <f t="shared" si="0"/>
        <v>14.432260621431013</v>
      </c>
      <c r="H28" s="378">
        <f>VLOOKUP($A28,PLANEJAMENTO!$B$10:$Y$70,24,0)</f>
        <v>461832.3398857924</v>
      </c>
      <c r="I28" s="400"/>
      <c r="L28" s="703"/>
    </row>
    <row r="29" spans="1:15" ht="20.100000000000001" customHeight="1">
      <c r="A29" s="379" t="s">
        <v>131</v>
      </c>
      <c r="B29" s="1142" t="str">
        <f>VLOOKUP($A29,PLANEJAMENTO!$B$10:$Y$70,2,0)</f>
        <v>Escavação, Carga, Transporte e Espalhamento - material de 1° categoria - DMT 1001 até 1500m</v>
      </c>
      <c r="C29" s="1143"/>
      <c r="D29" s="1144"/>
      <c r="E29" s="126">
        <f>VLOOKUP($A29,PLANEJAMENTO!$B$10:$Y$70,4,0)</f>
        <v>32000</v>
      </c>
      <c r="F29" s="127" t="str">
        <f>VLOOKUP($A29,PLANEJAMENTO!$B$10:$Y$70,3,0)</f>
        <v>m³</v>
      </c>
      <c r="G29" s="677">
        <f t="shared" si="0"/>
        <v>15.068996594669056</v>
      </c>
      <c r="H29" s="378">
        <f>VLOOKUP($A29,PLANEJAMENTO!$B$10:$Y$70,24,0)</f>
        <v>482207.89102940977</v>
      </c>
      <c r="I29" s="400"/>
      <c r="L29" s="703"/>
    </row>
    <row r="30" spans="1:15" ht="20.100000000000001" customHeight="1">
      <c r="A30" s="379" t="s">
        <v>132</v>
      </c>
      <c r="B30" s="1142" t="str">
        <f>VLOOKUP($A30,PLANEJAMENTO!$B$10:$Y$70,2,0)</f>
        <v>Escavação, Carga, Transporte e Espalhamento - material de 1° categoria - DMT 1501 até 2000m</v>
      </c>
      <c r="C30" s="1143"/>
      <c r="D30" s="1144"/>
      <c r="E30" s="126">
        <f>VLOOKUP($A30,PLANEJAMENTO!$B$10:$Y$70,4,0)</f>
        <v>32000</v>
      </c>
      <c r="F30" s="127" t="str">
        <f>VLOOKUP($A30,PLANEJAMENTO!$B$10:$Y$70,3,0)</f>
        <v>m³</v>
      </c>
      <c r="G30" s="677">
        <f t="shared" si="0"/>
        <v>15.685427169479587</v>
      </c>
      <c r="H30" s="378">
        <f>VLOOKUP($A30,PLANEJAMENTO!$B$10:$Y$70,24,0)</f>
        <v>501933.66942334676</v>
      </c>
      <c r="I30" s="400"/>
      <c r="L30" s="703"/>
    </row>
    <row r="31" spans="1:15" ht="20.100000000000001" customHeight="1">
      <c r="A31" s="379" t="s">
        <v>133</v>
      </c>
      <c r="B31" s="1142" t="str">
        <f>VLOOKUP($A31,PLANEJAMENTO!$B$10:$Y$70,2,0)</f>
        <v>Escavação, Carga, Transporte e Espalhamento - material de 1° categoria - DMT 2001 até 2500m</v>
      </c>
      <c r="C31" s="1143"/>
      <c r="D31" s="1144"/>
      <c r="E31" s="126">
        <f>VLOOKUP($A31,PLANEJAMENTO!$B$10:$Y$70,4,0)</f>
        <v>32000</v>
      </c>
      <c r="F31" s="127" t="str">
        <f>VLOOKUP($A31,PLANEJAMENTO!$B$10:$Y$70,3,0)</f>
        <v>m³</v>
      </c>
      <c r="G31" s="677">
        <f t="shared" si="0"/>
        <v>16.396552231778738</v>
      </c>
      <c r="H31" s="378">
        <f>VLOOKUP($A31,PLANEJAMENTO!$B$10:$Y$70,24,0)</f>
        <v>524689.67141691968</v>
      </c>
      <c r="I31" s="400"/>
      <c r="L31" s="703"/>
    </row>
    <row r="32" spans="1:15" ht="20.100000000000001" customHeight="1">
      <c r="A32" s="379" t="s">
        <v>134</v>
      </c>
      <c r="B32" s="1142" t="str">
        <f>VLOOKUP($A32,PLANEJAMENTO!$B$10:$Y$70,2,0)</f>
        <v>Escavação, Carga, Transporte e Espalhamento -  material de 1° categoria - DMT 2501 até 3000m</v>
      </c>
      <c r="C32" s="1143"/>
      <c r="D32" s="1144"/>
      <c r="E32" s="126">
        <f>VLOOKUP($A32,PLANEJAMENTO!$B$10:$Y$70,4,0)</f>
        <v>1</v>
      </c>
      <c r="F32" s="127" t="str">
        <f>VLOOKUP($A32,PLANEJAMENTO!$B$10:$Y$70,3,0)</f>
        <v>m³</v>
      </c>
      <c r="G32" s="677">
        <f t="shared" si="0"/>
        <v>17.409825800668276</v>
      </c>
      <c r="H32" s="378">
        <f>VLOOKUP($A32,PLANEJAMENTO!$B$10:$Y$70,24,0)</f>
        <v>17.409825800668276</v>
      </c>
      <c r="I32" s="400"/>
      <c r="L32" s="703"/>
    </row>
    <row r="33" spans="1:15" ht="20.100000000000001" customHeight="1">
      <c r="A33" s="379" t="s">
        <v>135</v>
      </c>
      <c r="B33" s="1142" t="str">
        <f>VLOOKUP($A33,PLANEJAMENTO!$B$10:$Y$70,2,0)</f>
        <v>Escavação, Carga, Transporte e Espalhamento - material de 2° categoria - DMT 0 até 500m</v>
      </c>
      <c r="C33" s="1143"/>
      <c r="D33" s="1144"/>
      <c r="E33" s="126">
        <f>VLOOKUP($A33,PLANEJAMENTO!$B$10:$Y$70,4,0)</f>
        <v>1</v>
      </c>
      <c r="F33" s="127" t="str">
        <f>VLOOKUP($A33,PLANEJAMENTO!$B$10:$Y$70,3,0)</f>
        <v>m³</v>
      </c>
      <c r="G33" s="677">
        <f t="shared" si="0"/>
        <v>17.117202315168441</v>
      </c>
      <c r="H33" s="378">
        <f>VLOOKUP($A33,PLANEJAMENTO!$B$10:$Y$70,24,0)</f>
        <v>17.117202315168441</v>
      </c>
      <c r="I33" s="400"/>
      <c r="L33" s="703"/>
    </row>
    <row r="34" spans="1:15" ht="20.100000000000001" customHeight="1">
      <c r="A34" s="379" t="s">
        <v>136</v>
      </c>
      <c r="B34" s="1142" t="str">
        <f>VLOOKUP($A34,PLANEJAMENTO!$B$10:$Y$70,2,0)</f>
        <v>Escavação, Carga, Transporte e Espalhamento -  material de 2° categoria -DMT 501 até 1000m</v>
      </c>
      <c r="C34" s="1143"/>
      <c r="D34" s="1144"/>
      <c r="E34" s="126">
        <f>VLOOKUP($A34,PLANEJAMENTO!$B$10:$Y$70,4,0)</f>
        <v>1</v>
      </c>
      <c r="F34" s="127" t="str">
        <f>VLOOKUP($A34,PLANEJAMENTO!$B$10:$Y$70,3,0)</f>
        <v>m³</v>
      </c>
      <c r="G34" s="677">
        <f t="shared" si="0"/>
        <v>18.630759760352614</v>
      </c>
      <c r="H34" s="378">
        <f>VLOOKUP($A34,PLANEJAMENTO!$B$10:$Y$70,24,0)</f>
        <v>18.630759760352614</v>
      </c>
      <c r="I34" s="400"/>
      <c r="L34" s="703"/>
    </row>
    <row r="35" spans="1:15" ht="20.100000000000001" customHeight="1">
      <c r="A35" s="379" t="s">
        <v>137</v>
      </c>
      <c r="B35" s="1142" t="str">
        <f>VLOOKUP($A35,PLANEJAMENTO!$B$10:$Y$70,2,0)</f>
        <v>Escavação, Carga, Transporte e Espalhamento -  material de 2° categoria -DMT 1001 até 1500m</v>
      </c>
      <c r="C35" s="1143"/>
      <c r="D35" s="1144"/>
      <c r="E35" s="126">
        <f>VLOOKUP($A35,PLANEJAMENTO!$B$10:$Y$70,4,0)</f>
        <v>1</v>
      </c>
      <c r="F35" s="127" t="str">
        <f>VLOOKUP($A35,PLANEJAMENTO!$B$10:$Y$70,3,0)</f>
        <v>m³</v>
      </c>
      <c r="G35" s="677">
        <f t="shared" si="0"/>
        <v>20.493835736387876</v>
      </c>
      <c r="H35" s="378">
        <f>VLOOKUP($A35,PLANEJAMENTO!$B$10:$Y$70,24,0)</f>
        <v>20.493835736387876</v>
      </c>
      <c r="I35" s="400"/>
      <c r="L35" s="703"/>
    </row>
    <row r="36" spans="1:15" ht="20.100000000000001" customHeight="1">
      <c r="A36" s="379"/>
      <c r="B36" s="1142"/>
      <c r="C36" s="1143"/>
      <c r="D36" s="1144"/>
      <c r="E36" s="126"/>
      <c r="F36" s="127"/>
      <c r="G36" s="677"/>
      <c r="H36" s="378"/>
      <c r="I36" s="400"/>
      <c r="L36" s="703"/>
    </row>
    <row r="37" spans="1:15" ht="20.100000000000001" customHeight="1">
      <c r="A37" s="390">
        <v>5</v>
      </c>
      <c r="B37" s="391" t="e">
        <f>PLANEJAMENTO!#REF!</f>
        <v>#REF!</v>
      </c>
      <c r="C37" s="392"/>
      <c r="D37" s="393"/>
      <c r="E37" s="394"/>
      <c r="F37" s="395"/>
      <c r="G37" s="678"/>
      <c r="H37" s="397"/>
      <c r="L37" s="703"/>
      <c r="M37" s="157"/>
      <c r="N37" s="121"/>
      <c r="O37" s="121"/>
    </row>
    <row r="38" spans="1:15" ht="20.100000000000001" customHeight="1">
      <c r="A38" s="379" t="s">
        <v>138</v>
      </c>
      <c r="B38" s="1142" t="str">
        <f>VLOOKUP($A38,PLANEJAMENTO!$B$10:$Y$70,2,0)</f>
        <v>Caminhão Traçado 6x4 (Basculante) 14m³</v>
      </c>
      <c r="C38" s="1143"/>
      <c r="D38" s="1144"/>
      <c r="E38" s="126">
        <f>VLOOKUP($A38,PLANEJAMENTO!$B$10:$Y$70,4,0)</f>
        <v>1</v>
      </c>
      <c r="F38" s="127" t="str">
        <f>VLOOKUP($A38,PLANEJAMENTO!$B$10:$Y$70,3,0)</f>
        <v>H</v>
      </c>
      <c r="G38" s="677">
        <f t="shared" ref="G38:G43" si="1">H38/E38</f>
        <v>292.17623165797289</v>
      </c>
      <c r="H38" s="378">
        <f>VLOOKUP($A38,PLANEJAMENTO!$B$10:$Y$70,24,0)</f>
        <v>292.17623165797289</v>
      </c>
      <c r="I38" s="400"/>
      <c r="L38" s="703"/>
    </row>
    <row r="39" spans="1:15" ht="20.100000000000001" customHeight="1">
      <c r="A39" s="379" t="s">
        <v>139</v>
      </c>
      <c r="B39" s="1142" t="str">
        <f>VLOOKUP($A39,PLANEJAMENTO!$B$10:$Y$70,2,0)</f>
        <v>Escavadeira Hidraulica - PC220 ou similar</v>
      </c>
      <c r="C39" s="1143"/>
      <c r="D39" s="1144"/>
      <c r="E39" s="126">
        <f>VLOOKUP($A39,PLANEJAMENTO!$B$10:$Y$70,4,0)</f>
        <v>1</v>
      </c>
      <c r="F39" s="127" t="str">
        <f>VLOOKUP($A39,PLANEJAMENTO!$B$10:$Y$70,3,0)</f>
        <v>H</v>
      </c>
      <c r="G39" s="677">
        <f t="shared" si="1"/>
        <v>295.58816360356838</v>
      </c>
      <c r="H39" s="378">
        <f>VLOOKUP($A39,PLANEJAMENTO!$B$10:$Y$70,24,0)</f>
        <v>295.58816360356838</v>
      </c>
      <c r="I39" s="400"/>
      <c r="L39" s="703"/>
    </row>
    <row r="40" spans="1:15" ht="20.100000000000001" customHeight="1">
      <c r="A40" s="379" t="s">
        <v>140</v>
      </c>
      <c r="B40" s="1142" t="str">
        <f>VLOOKUP($A40,PLANEJAMENTO!$B$10:$Y$70,2,0)</f>
        <v>Escavadeira Hidraulica - PC350 ou similar</v>
      </c>
      <c r="C40" s="1143"/>
      <c r="D40" s="1144"/>
      <c r="E40" s="126">
        <f>VLOOKUP($A40,PLANEJAMENTO!$B$10:$Y$70,4,0)</f>
        <v>1</v>
      </c>
      <c r="F40" s="127" t="str">
        <f>VLOOKUP($A40,PLANEJAMENTO!$B$10:$Y$70,3,0)</f>
        <v>H</v>
      </c>
      <c r="G40" s="677">
        <f t="shared" si="1"/>
        <v>409.66830400233988</v>
      </c>
      <c r="H40" s="378">
        <f>VLOOKUP($A40,PLANEJAMENTO!$B$10:$Y$70,24,0)</f>
        <v>409.66830400233988</v>
      </c>
      <c r="I40" s="400"/>
      <c r="L40" s="703"/>
    </row>
    <row r="41" spans="1:15" ht="20.100000000000001" customHeight="1">
      <c r="A41" s="379" t="s">
        <v>141</v>
      </c>
      <c r="B41" s="1142" t="str">
        <f>VLOOKUP($A41,PLANEJAMENTO!$B$10:$Y$70,2,0)</f>
        <v>Rolo Compactador, tipo: Pé de Carneiro - 20T SANY SSR200C ou  similar</v>
      </c>
      <c r="C41" s="1143"/>
      <c r="D41" s="1144"/>
      <c r="E41" s="126">
        <f>VLOOKUP($A41,PLANEJAMENTO!$B$10:$Y$70,4,0)</f>
        <v>1</v>
      </c>
      <c r="F41" s="127" t="str">
        <f>VLOOKUP($A41,PLANEJAMENTO!$B$10:$Y$70,3,0)</f>
        <v>H</v>
      </c>
      <c r="G41" s="677">
        <f t="shared" si="1"/>
        <v>244.91590698581382</v>
      </c>
      <c r="H41" s="378">
        <f>VLOOKUP($A41,PLANEJAMENTO!$B$10:$Y$70,24,0)</f>
        <v>244.91590698581382</v>
      </c>
      <c r="I41" s="400"/>
      <c r="L41" s="703"/>
    </row>
    <row r="42" spans="1:15" ht="20.100000000000001" customHeight="1">
      <c r="A42" s="379" t="s">
        <v>142</v>
      </c>
      <c r="B42" s="1142" t="str">
        <f>VLOOKUP($A42,PLANEJAMENTO!$B$10:$Y$70,2,0)</f>
        <v>Rolo Compactador, tipo: Liso - 20T SANY SSR200C ou similar</v>
      </c>
      <c r="C42" s="1143"/>
      <c r="D42" s="1144"/>
      <c r="E42" s="126">
        <f>VLOOKUP($A42,PLANEJAMENTO!$B$10:$Y$70,4,0)</f>
        <v>1</v>
      </c>
      <c r="F42" s="127" t="str">
        <f>VLOOKUP($A42,PLANEJAMENTO!$B$10:$Y$70,3,0)</f>
        <v>H</v>
      </c>
      <c r="G42" s="677">
        <f t="shared" si="1"/>
        <v>269.39060693218931</v>
      </c>
      <c r="H42" s="378">
        <f>VLOOKUP($A42,PLANEJAMENTO!$B$10:$Y$70,24,0)</f>
        <v>269.39060693218931</v>
      </c>
      <c r="I42" s="400"/>
      <c r="L42" s="703"/>
    </row>
    <row r="43" spans="1:15" ht="20.100000000000001" customHeight="1">
      <c r="A43" s="379" t="s">
        <v>143</v>
      </c>
      <c r="B43" s="1142" t="str">
        <f>VLOOKUP($A43,PLANEJAMENTO!$B$10:$Y$70,2,0)</f>
        <v>Pá Carregadeira - John Deere 724K ou similar</v>
      </c>
      <c r="C43" s="1143"/>
      <c r="D43" s="1144"/>
      <c r="E43" s="126">
        <f>VLOOKUP($A43,PLANEJAMENTO!$B$10:$Y$70,4,0)</f>
        <v>1</v>
      </c>
      <c r="F43" s="127" t="str">
        <f>VLOOKUP($A43,PLANEJAMENTO!$B$10:$Y$70,3,0)</f>
        <v>H</v>
      </c>
      <c r="G43" s="677">
        <f t="shared" si="1"/>
        <v>325.28210598157261</v>
      </c>
      <c r="H43" s="378">
        <f>VLOOKUP($A43,PLANEJAMENTO!$B$10:$Y$70,24,0)</f>
        <v>325.28210598157261</v>
      </c>
      <c r="I43" s="400"/>
      <c r="L43" s="703"/>
    </row>
    <row r="44" spans="1:15" ht="20.100000000000001" customHeight="1">
      <c r="A44" s="379"/>
      <c r="B44" s="1142"/>
      <c r="C44" s="1143"/>
      <c r="D44" s="1144"/>
      <c r="E44" s="126"/>
      <c r="F44" s="127"/>
      <c r="G44" s="677"/>
      <c r="H44" s="378"/>
      <c r="I44" s="400"/>
      <c r="L44" s="703"/>
    </row>
    <row r="45" spans="1:15" ht="20.100000000000001" customHeight="1">
      <c r="A45" s="390">
        <v>6</v>
      </c>
      <c r="B45" s="391" t="e">
        <f>VLOOKUP($A45,PLANEJAMENTO!$B$10:$Y$70,2,0)</f>
        <v>#N/A</v>
      </c>
      <c r="C45" s="392"/>
      <c r="D45" s="393"/>
      <c r="E45" s="394"/>
      <c r="F45" s="395"/>
      <c r="G45" s="678"/>
      <c r="H45" s="397"/>
      <c r="L45" s="703"/>
      <c r="M45" s="157"/>
      <c r="N45" s="121"/>
      <c r="O45" s="121"/>
    </row>
    <row r="46" spans="1:15" ht="36.75" customHeight="1">
      <c r="A46" s="390"/>
      <c r="B46" s="1198" t="e">
        <f>PLANEJAMENTO!#REF!</f>
        <v>#REF!</v>
      </c>
      <c r="C46" s="1199"/>
      <c r="D46" s="1200"/>
      <c r="E46" s="394"/>
      <c r="F46" s="395"/>
      <c r="G46" s="678"/>
      <c r="H46" s="397"/>
      <c r="L46" s="703"/>
      <c r="M46" s="157"/>
      <c r="N46" s="121"/>
      <c r="O46" s="121"/>
    </row>
    <row r="47" spans="1:15" ht="20.100000000000001" customHeight="1">
      <c r="A47" s="379" t="s">
        <v>144</v>
      </c>
      <c r="B47" s="1142" t="e">
        <f>VLOOKUP($A47,PLANEJAMENTO!$B$10:$Y$70,2,0)</f>
        <v>#N/A</v>
      </c>
      <c r="C47" s="1143"/>
      <c r="D47" s="1144"/>
      <c r="E47" s="126" t="e">
        <f>VLOOKUP($A47,PLANEJAMENTO!$B$10:$Y$70,4,0)</f>
        <v>#N/A</v>
      </c>
      <c r="F47" s="127" t="e">
        <f>VLOOKUP($A47,PLANEJAMENTO!$B$10:$Y$70,3,0)</f>
        <v>#N/A</v>
      </c>
      <c r="G47" s="677" t="e">
        <f>H47/E47</f>
        <v>#N/A</v>
      </c>
      <c r="H47" s="378" t="e">
        <f>VLOOKUP($A47,PLANEJAMENTO!$B$10:$Y$70,24,0)</f>
        <v>#N/A</v>
      </c>
      <c r="I47" s="400"/>
      <c r="L47" s="703"/>
    </row>
    <row r="48" spans="1:15" ht="20.100000000000001" customHeight="1">
      <c r="A48" s="379" t="s">
        <v>145</v>
      </c>
      <c r="B48" s="1142" t="e">
        <f>VLOOKUP($A48,PLANEJAMENTO!$B$10:$Y$70,2,0)</f>
        <v>#N/A</v>
      </c>
      <c r="C48" s="1143"/>
      <c r="D48" s="1144"/>
      <c r="E48" s="126" t="e">
        <f>VLOOKUP($A48,PLANEJAMENTO!$B$10:$Y$70,4,0)</f>
        <v>#N/A</v>
      </c>
      <c r="F48" s="127" t="e">
        <f>VLOOKUP($A48,PLANEJAMENTO!$B$10:$Y$70,3,0)</f>
        <v>#N/A</v>
      </c>
      <c r="G48" s="677" t="e">
        <f>H48/E48</f>
        <v>#N/A</v>
      </c>
      <c r="H48" s="378" t="e">
        <f>VLOOKUP($A48,PLANEJAMENTO!$B$10:$Y$70,24,0)</f>
        <v>#N/A</v>
      </c>
      <c r="I48" s="400"/>
      <c r="L48" s="703"/>
    </row>
    <row r="49" spans="1:15" ht="33.75" customHeight="1">
      <c r="A49" s="390"/>
      <c r="B49" s="1198" t="e">
        <f>PLANEJAMENTO!#REF!</f>
        <v>#REF!</v>
      </c>
      <c r="C49" s="1199"/>
      <c r="D49" s="1200"/>
      <c r="E49" s="394"/>
      <c r="F49" s="395"/>
      <c r="G49" s="678"/>
      <c r="H49" s="397"/>
      <c r="L49" s="703"/>
      <c r="M49" s="157"/>
      <c r="N49" s="121"/>
      <c r="O49" s="121"/>
    </row>
    <row r="50" spans="1:15" ht="20.100000000000001" customHeight="1">
      <c r="A50" s="379" t="s">
        <v>146</v>
      </c>
      <c r="B50" s="1142" t="e">
        <f>VLOOKUP($A50,PLANEJAMENTO!$B$10:$Y$70,2,0)</f>
        <v>#N/A</v>
      </c>
      <c r="C50" s="1143"/>
      <c r="D50" s="1144"/>
      <c r="E50" s="126" t="e">
        <f>VLOOKUP($A50,PLANEJAMENTO!$B$10:$Y$70,4,0)</f>
        <v>#N/A</v>
      </c>
      <c r="F50" s="127" t="e">
        <f>VLOOKUP($A50,PLANEJAMENTO!$B$10:$Y$70,3,0)</f>
        <v>#N/A</v>
      </c>
      <c r="G50" s="677" t="e">
        <f>H50/E50</f>
        <v>#N/A</v>
      </c>
      <c r="H50" s="378" t="e">
        <f>VLOOKUP($A50,PLANEJAMENTO!$B$10:$Y$70,24,0)</f>
        <v>#N/A</v>
      </c>
      <c r="I50" s="400"/>
      <c r="L50" s="703"/>
    </row>
    <row r="51" spans="1:15" ht="20.100000000000001" customHeight="1">
      <c r="A51" s="379"/>
      <c r="B51" s="1142"/>
      <c r="C51" s="1143"/>
      <c r="D51" s="1144"/>
      <c r="E51" s="126"/>
      <c r="F51" s="127"/>
      <c r="G51" s="677"/>
      <c r="H51" s="378"/>
      <c r="I51" s="400"/>
      <c r="L51" s="703"/>
    </row>
    <row r="52" spans="1:15" ht="20.100000000000001" customHeight="1">
      <c r="A52" s="390">
        <v>7</v>
      </c>
      <c r="B52" s="391" t="e">
        <f>VLOOKUP($A52,PLANEJAMENTO!$B$10:$Y$70,2,0)</f>
        <v>#N/A</v>
      </c>
      <c r="C52" s="392"/>
      <c r="D52" s="393"/>
      <c r="E52" s="394"/>
      <c r="F52" s="395"/>
      <c r="G52" s="678"/>
      <c r="H52" s="397"/>
      <c r="L52" s="703"/>
      <c r="M52" s="157"/>
      <c r="N52" s="121"/>
      <c r="O52" s="121"/>
    </row>
    <row r="53" spans="1:15" ht="20.100000000000001" customHeight="1">
      <c r="A53" s="379" t="s">
        <v>147</v>
      </c>
      <c r="B53" s="1142" t="e">
        <f>VLOOKUP($A53,PLANEJAMENTO!$B$10:$Y$70,2,0)</f>
        <v>#N/A</v>
      </c>
      <c r="C53" s="1143"/>
      <c r="D53" s="1144"/>
      <c r="E53" s="126" t="e">
        <f>VLOOKUP($A53,PLANEJAMENTO!$B$10:$Y$70,4,0)</f>
        <v>#N/A</v>
      </c>
      <c r="F53" s="127" t="e">
        <f>VLOOKUP($A53,PLANEJAMENTO!$B$10:$Y$70,3,0)</f>
        <v>#N/A</v>
      </c>
      <c r="G53" s="677" t="e">
        <f t="shared" ref="G53:G65" si="2">H53/E53</f>
        <v>#N/A</v>
      </c>
      <c r="H53" s="378" t="e">
        <f>VLOOKUP($A53,PLANEJAMENTO!$B$10:$Y$70,24,0)</f>
        <v>#N/A</v>
      </c>
      <c r="I53" s="400"/>
      <c r="L53" s="703"/>
    </row>
    <row r="54" spans="1:15" ht="20.100000000000001" customHeight="1">
      <c r="A54" s="379" t="s">
        <v>148</v>
      </c>
      <c r="B54" s="1142" t="e">
        <f>VLOOKUP($A54,PLANEJAMENTO!$B$10:$Y$70,2,0)</f>
        <v>#N/A</v>
      </c>
      <c r="C54" s="1143"/>
      <c r="D54" s="1144"/>
      <c r="E54" s="126" t="e">
        <f>VLOOKUP($A54,PLANEJAMENTO!$B$10:$Y$70,4,0)</f>
        <v>#N/A</v>
      </c>
      <c r="F54" s="127" t="e">
        <f>VLOOKUP($A54,PLANEJAMENTO!$B$10:$Y$70,3,0)</f>
        <v>#N/A</v>
      </c>
      <c r="G54" s="677" t="e">
        <f t="shared" si="2"/>
        <v>#N/A</v>
      </c>
      <c r="H54" s="378" t="e">
        <f>VLOOKUP($A54,PLANEJAMENTO!$B$10:$Y$70,24,0)</f>
        <v>#N/A</v>
      </c>
      <c r="I54" s="400"/>
      <c r="L54" s="703"/>
    </row>
    <row r="55" spans="1:15" ht="20.100000000000001" customHeight="1">
      <c r="A55" s="379" t="s">
        <v>149</v>
      </c>
      <c r="B55" s="1142" t="e">
        <f>VLOOKUP($A55,PLANEJAMENTO!$B$10:$Y$70,2,0)</f>
        <v>#N/A</v>
      </c>
      <c r="C55" s="1143"/>
      <c r="D55" s="1144"/>
      <c r="E55" s="126" t="e">
        <f>VLOOKUP($A55,PLANEJAMENTO!$B$10:$Y$70,4,0)</f>
        <v>#N/A</v>
      </c>
      <c r="F55" s="127" t="e">
        <f>VLOOKUP($A55,PLANEJAMENTO!$B$10:$Y$70,3,0)</f>
        <v>#N/A</v>
      </c>
      <c r="G55" s="677" t="e">
        <f t="shared" si="2"/>
        <v>#N/A</v>
      </c>
      <c r="H55" s="378" t="e">
        <f>VLOOKUP($A55,PLANEJAMENTO!$B$10:$Y$70,24,0)</f>
        <v>#N/A</v>
      </c>
      <c r="I55" s="400"/>
      <c r="L55" s="703"/>
    </row>
    <row r="56" spans="1:15" ht="20.100000000000001" customHeight="1">
      <c r="A56" s="379"/>
      <c r="B56" s="1142"/>
      <c r="C56" s="1143"/>
      <c r="D56" s="1144"/>
      <c r="E56" s="126"/>
      <c r="F56" s="127"/>
      <c r="G56" s="677"/>
      <c r="H56" s="378"/>
      <c r="I56" s="400"/>
      <c r="L56" s="703"/>
    </row>
    <row r="57" spans="1:15" ht="20.100000000000001" customHeight="1">
      <c r="A57" s="390">
        <v>8</v>
      </c>
      <c r="B57" s="391" t="e">
        <f>VLOOKUP($A57,PLANEJAMENTO!$B$10:$Y$70,2,0)</f>
        <v>#N/A</v>
      </c>
      <c r="C57" s="392"/>
      <c r="D57" s="393"/>
      <c r="E57" s="394"/>
      <c r="F57" s="395"/>
      <c r="G57" s="678"/>
      <c r="H57" s="397"/>
      <c r="L57" s="703"/>
      <c r="M57" s="157"/>
      <c r="N57" s="121"/>
      <c r="O57" s="121"/>
    </row>
    <row r="58" spans="1:15" ht="20.100000000000001" customHeight="1">
      <c r="A58" s="379" t="s">
        <v>150</v>
      </c>
      <c r="B58" s="1142" t="e">
        <f>VLOOKUP($A58,PLANEJAMENTO!$B$10:$Y$70,2,0)</f>
        <v>#N/A</v>
      </c>
      <c r="C58" s="1143"/>
      <c r="D58" s="1144"/>
      <c r="E58" s="126" t="e">
        <f>VLOOKUP($A58,PLANEJAMENTO!$B$10:$Y$70,4,0)</f>
        <v>#N/A</v>
      </c>
      <c r="F58" s="127" t="e">
        <f>VLOOKUP($A58,PLANEJAMENTO!$B$10:$Y$70,3,0)</f>
        <v>#N/A</v>
      </c>
      <c r="G58" s="677" t="e">
        <f t="shared" si="2"/>
        <v>#N/A</v>
      </c>
      <c r="H58" s="378" t="e">
        <f>VLOOKUP($A58,PLANEJAMENTO!$B$10:$Y$70,24,0)</f>
        <v>#N/A</v>
      </c>
      <c r="I58" s="400"/>
      <c r="L58" s="703"/>
    </row>
    <row r="59" spans="1:15" ht="20.100000000000001" customHeight="1">
      <c r="A59" s="379" t="s">
        <v>151</v>
      </c>
      <c r="B59" s="1142" t="e">
        <f>VLOOKUP($A59,PLANEJAMENTO!$B$10:$Y$70,2,0)</f>
        <v>#N/A</v>
      </c>
      <c r="C59" s="1143"/>
      <c r="D59" s="1144"/>
      <c r="E59" s="126" t="e">
        <f>VLOOKUP($A59,PLANEJAMENTO!$B$10:$Y$70,4,0)</f>
        <v>#N/A</v>
      </c>
      <c r="F59" s="127" t="e">
        <f>VLOOKUP($A59,PLANEJAMENTO!$B$10:$Y$70,3,0)</f>
        <v>#N/A</v>
      </c>
      <c r="G59" s="677" t="e">
        <f t="shared" si="2"/>
        <v>#N/A</v>
      </c>
      <c r="H59" s="378" t="e">
        <f>VLOOKUP($A59,PLANEJAMENTO!$B$10:$Y$70,24,0)</f>
        <v>#N/A</v>
      </c>
      <c r="I59" s="400"/>
      <c r="L59" s="703"/>
    </row>
    <row r="60" spans="1:15" ht="20.100000000000001" customHeight="1">
      <c r="A60" s="379" t="s">
        <v>152</v>
      </c>
      <c r="B60" s="1142" t="e">
        <f>VLOOKUP($A60,PLANEJAMENTO!$B$10:$Y$70,2,0)</f>
        <v>#N/A</v>
      </c>
      <c r="C60" s="1143"/>
      <c r="D60" s="1144"/>
      <c r="E60" s="126" t="e">
        <f>VLOOKUP($A60,PLANEJAMENTO!$B$10:$Y$70,4,0)</f>
        <v>#N/A</v>
      </c>
      <c r="F60" s="127" t="e">
        <f>VLOOKUP($A60,PLANEJAMENTO!$B$10:$Y$70,3,0)</f>
        <v>#N/A</v>
      </c>
      <c r="G60" s="677" t="e">
        <f t="shared" si="2"/>
        <v>#N/A</v>
      </c>
      <c r="H60" s="378" t="e">
        <f>VLOOKUP($A60,PLANEJAMENTO!$B$10:$Y$70,24,0)</f>
        <v>#N/A</v>
      </c>
      <c r="I60" s="400"/>
      <c r="L60" s="703"/>
    </row>
    <row r="61" spans="1:15" ht="20.100000000000001" hidden="1" customHeight="1">
      <c r="A61" s="379" t="s">
        <v>153</v>
      </c>
      <c r="B61" s="1142" t="e">
        <f>VLOOKUP($A61,PLANEJAMENTO!$B$10:$Y$70,2,0)</f>
        <v>#N/A</v>
      </c>
      <c r="C61" s="1143"/>
      <c r="D61" s="1144"/>
      <c r="E61" s="126" t="e">
        <f>VLOOKUP($A61,PLANEJAMENTO!$B$10:$Y$70,4,0)</f>
        <v>#N/A</v>
      </c>
      <c r="F61" s="127" t="e">
        <f>VLOOKUP($A61,PLANEJAMENTO!$B$10:$Y$70,3,0)</f>
        <v>#N/A</v>
      </c>
      <c r="G61" s="677" t="e">
        <f t="shared" si="2"/>
        <v>#N/A</v>
      </c>
      <c r="H61" s="378" t="e">
        <f>VLOOKUP($A61,PLANEJAMENTO!$B$10:$Y$70,24,0)</f>
        <v>#N/A</v>
      </c>
      <c r="I61" s="400"/>
      <c r="L61" s="703"/>
    </row>
    <row r="62" spans="1:15" ht="20.100000000000001" customHeight="1">
      <c r="A62" s="379"/>
      <c r="B62" s="1142"/>
      <c r="C62" s="1143"/>
      <c r="D62" s="1144"/>
      <c r="E62" s="126"/>
      <c r="F62" s="127"/>
      <c r="G62" s="677"/>
      <c r="H62" s="378"/>
      <c r="I62" s="400"/>
      <c r="L62" s="703"/>
    </row>
    <row r="63" spans="1:15" ht="20.100000000000001" customHeight="1">
      <c r="A63" s="390">
        <v>9</v>
      </c>
      <c r="B63" s="391" t="e">
        <f>VLOOKUP($A63,PLANEJAMENTO!$B$10:$Y$70,2,0)</f>
        <v>#N/A</v>
      </c>
      <c r="C63" s="392"/>
      <c r="D63" s="393"/>
      <c r="E63" s="394"/>
      <c r="F63" s="395"/>
      <c r="G63" s="678"/>
      <c r="H63" s="397"/>
      <c r="L63" s="703"/>
      <c r="M63" s="157"/>
      <c r="N63" s="121"/>
      <c r="O63" s="121"/>
    </row>
    <row r="64" spans="1:15" ht="20.100000000000001" customHeight="1">
      <c r="A64" s="379" t="s">
        <v>154</v>
      </c>
      <c r="B64" s="1142" t="e">
        <f>VLOOKUP($A64,PLANEJAMENTO!$B$10:$Y$70,2,0)</f>
        <v>#N/A</v>
      </c>
      <c r="C64" s="1143"/>
      <c r="D64" s="1144"/>
      <c r="E64" s="126" t="e">
        <f>VLOOKUP($A64,PLANEJAMENTO!$B$10:$Y$70,4,0)</f>
        <v>#N/A</v>
      </c>
      <c r="F64" s="127" t="e">
        <f>VLOOKUP($A64,PLANEJAMENTO!$B$10:$Y$70,3,0)</f>
        <v>#N/A</v>
      </c>
      <c r="G64" s="677" t="e">
        <f t="shared" si="2"/>
        <v>#N/A</v>
      </c>
      <c r="H64" s="378" t="e">
        <f>VLOOKUP($A64,PLANEJAMENTO!$B$10:$Y$70,24,0)</f>
        <v>#N/A</v>
      </c>
      <c r="I64" s="400"/>
      <c r="L64" s="703"/>
    </row>
    <row r="65" spans="1:15" ht="20.100000000000001" customHeight="1">
      <c r="A65" s="379" t="s">
        <v>155</v>
      </c>
      <c r="B65" s="1142" t="e">
        <f>VLOOKUP($A65,PLANEJAMENTO!$B$10:$Y$70,2,0)</f>
        <v>#N/A</v>
      </c>
      <c r="C65" s="1143"/>
      <c r="D65" s="1144"/>
      <c r="E65" s="126" t="e">
        <f>VLOOKUP($A65,PLANEJAMENTO!$B$10:$Y$70,4,0)</f>
        <v>#N/A</v>
      </c>
      <c r="F65" s="127" t="e">
        <f>VLOOKUP($A65,PLANEJAMENTO!$B$10:$Y$70,3,0)</f>
        <v>#N/A</v>
      </c>
      <c r="G65" s="677" t="e">
        <f t="shared" si="2"/>
        <v>#N/A</v>
      </c>
      <c r="H65" s="378" t="e">
        <f>VLOOKUP($A65,PLANEJAMENTO!$B$10:$Y$70,24,0)</f>
        <v>#N/A</v>
      </c>
      <c r="I65" s="400"/>
      <c r="L65" s="703"/>
    </row>
    <row r="66" spans="1:15" ht="20.100000000000001" customHeight="1">
      <c r="A66" s="379" t="s">
        <v>156</v>
      </c>
      <c r="B66" s="1142" t="e">
        <f>VLOOKUP($A66,PLANEJAMENTO!$B$10:$Y$70,2,0)</f>
        <v>#N/A</v>
      </c>
      <c r="C66" s="1143"/>
      <c r="D66" s="1144"/>
      <c r="E66" s="126" t="e">
        <f>VLOOKUP($A66,PLANEJAMENTO!$B$10:$Y$70,4,0)</f>
        <v>#N/A</v>
      </c>
      <c r="F66" s="127" t="e">
        <f>VLOOKUP($A66,PLANEJAMENTO!$B$10:$Y$70,3,0)</f>
        <v>#N/A</v>
      </c>
      <c r="G66" s="677" t="e">
        <f t="shared" ref="G66:G71" si="3">H66/E66</f>
        <v>#N/A</v>
      </c>
      <c r="H66" s="378" t="e">
        <f>VLOOKUP($A66,PLANEJAMENTO!$B$10:$Y$70,24,0)</f>
        <v>#N/A</v>
      </c>
      <c r="I66" s="400"/>
      <c r="L66" s="703"/>
    </row>
    <row r="67" spans="1:15" ht="20.100000000000001" customHeight="1">
      <c r="A67" s="379" t="s">
        <v>157</v>
      </c>
      <c r="B67" s="1142" t="e">
        <f>VLOOKUP($A67,PLANEJAMENTO!$B$10:$Y$70,2,0)</f>
        <v>#N/A</v>
      </c>
      <c r="C67" s="1143"/>
      <c r="D67" s="1144"/>
      <c r="E67" s="126" t="e">
        <f>VLOOKUP($A67,PLANEJAMENTO!$B$10:$Y$70,4,0)</f>
        <v>#N/A</v>
      </c>
      <c r="F67" s="127" t="e">
        <f>VLOOKUP($A67,PLANEJAMENTO!$B$10:$Y$70,3,0)</f>
        <v>#N/A</v>
      </c>
      <c r="G67" s="677" t="e">
        <f t="shared" si="3"/>
        <v>#N/A</v>
      </c>
      <c r="H67" s="378" t="e">
        <f>VLOOKUP($A67,PLANEJAMENTO!$B$10:$Y$70,24,0)</f>
        <v>#N/A</v>
      </c>
      <c r="I67" s="400"/>
      <c r="L67" s="703"/>
    </row>
    <row r="68" spans="1:15" ht="20.100000000000001" customHeight="1">
      <c r="A68" s="379" t="s">
        <v>158</v>
      </c>
      <c r="B68" s="1142" t="e">
        <f>VLOOKUP($A68,PLANEJAMENTO!$B$10:$Y$70,2,0)</f>
        <v>#N/A</v>
      </c>
      <c r="C68" s="1143"/>
      <c r="D68" s="1144"/>
      <c r="E68" s="126" t="e">
        <f>VLOOKUP($A68,PLANEJAMENTO!$B$10:$Y$70,4,0)</f>
        <v>#N/A</v>
      </c>
      <c r="F68" s="127" t="e">
        <f>VLOOKUP($A68,PLANEJAMENTO!$B$10:$Y$70,3,0)</f>
        <v>#N/A</v>
      </c>
      <c r="G68" s="677" t="e">
        <f t="shared" si="3"/>
        <v>#N/A</v>
      </c>
      <c r="H68" s="378" t="e">
        <f>VLOOKUP($A68,PLANEJAMENTO!$B$10:$Y$70,24,0)</f>
        <v>#N/A</v>
      </c>
      <c r="I68" s="400"/>
      <c r="L68" s="703"/>
    </row>
    <row r="69" spans="1:15" ht="20.100000000000001" customHeight="1">
      <c r="A69" s="379" t="s">
        <v>159</v>
      </c>
      <c r="B69" s="1142" t="e">
        <f>VLOOKUP($A69,PLANEJAMENTO!$B$10:$Y$70,2,0)</f>
        <v>#N/A</v>
      </c>
      <c r="C69" s="1143"/>
      <c r="D69" s="1144"/>
      <c r="E69" s="126" t="e">
        <f>VLOOKUP($A69,PLANEJAMENTO!$B$10:$Y$70,4,0)</f>
        <v>#N/A</v>
      </c>
      <c r="F69" s="127" t="e">
        <f>VLOOKUP($A69,PLANEJAMENTO!$B$10:$Y$70,3,0)</f>
        <v>#N/A</v>
      </c>
      <c r="G69" s="677" t="e">
        <f t="shared" si="3"/>
        <v>#N/A</v>
      </c>
      <c r="H69" s="378" t="e">
        <f>VLOOKUP($A69,PLANEJAMENTO!$B$10:$Y$70,24,0)</f>
        <v>#N/A</v>
      </c>
      <c r="I69" s="400"/>
      <c r="L69" s="703"/>
    </row>
    <row r="70" spans="1:15" ht="20.100000000000001" customHeight="1">
      <c r="A70" s="379" t="s">
        <v>160</v>
      </c>
      <c r="B70" s="1142" t="e">
        <f>VLOOKUP($A70,PLANEJAMENTO!$B$10:$Y$70,2,0)</f>
        <v>#N/A</v>
      </c>
      <c r="C70" s="1143"/>
      <c r="D70" s="1144"/>
      <c r="E70" s="126" t="e">
        <f>VLOOKUP($A70,PLANEJAMENTO!$B$10:$Y$70,4,0)</f>
        <v>#N/A</v>
      </c>
      <c r="F70" s="127" t="e">
        <f>VLOOKUP($A70,PLANEJAMENTO!$B$10:$Y$70,3,0)</f>
        <v>#N/A</v>
      </c>
      <c r="G70" s="677" t="e">
        <f t="shared" si="3"/>
        <v>#N/A</v>
      </c>
      <c r="H70" s="378" t="e">
        <f>VLOOKUP($A70,PLANEJAMENTO!$B$10:$Y$70,24,0)</f>
        <v>#N/A</v>
      </c>
      <c r="I70" s="400"/>
      <c r="L70" s="703"/>
    </row>
    <row r="71" spans="1:15" ht="20.100000000000001" customHeight="1">
      <c r="A71" s="379" t="s">
        <v>161</v>
      </c>
      <c r="B71" s="1142" t="e">
        <f>VLOOKUP($A71,PLANEJAMENTO!$B$10:$Y$70,2,0)</f>
        <v>#N/A</v>
      </c>
      <c r="C71" s="1143"/>
      <c r="D71" s="1144"/>
      <c r="E71" s="126" t="e">
        <f>VLOOKUP($A71,PLANEJAMENTO!$B$10:$Y$70,4,0)</f>
        <v>#N/A</v>
      </c>
      <c r="F71" s="127" t="e">
        <f>VLOOKUP($A71,PLANEJAMENTO!$B$10:$Y$70,3,0)</f>
        <v>#N/A</v>
      </c>
      <c r="G71" s="677" t="e">
        <f t="shared" si="3"/>
        <v>#N/A</v>
      </c>
      <c r="H71" s="378" t="e">
        <f>VLOOKUP($A71,PLANEJAMENTO!$B$10:$Y$70,24,0)</f>
        <v>#N/A</v>
      </c>
      <c r="I71" s="400"/>
      <c r="L71" s="703"/>
    </row>
    <row r="72" spans="1:15" ht="20.100000000000001" customHeight="1">
      <c r="A72" s="379"/>
      <c r="B72" s="1142"/>
      <c r="C72" s="1143"/>
      <c r="D72" s="1144"/>
      <c r="E72" s="126"/>
      <c r="F72" s="127"/>
      <c r="G72" s="677"/>
      <c r="H72" s="378"/>
      <c r="I72" s="400"/>
      <c r="L72" s="703"/>
    </row>
    <row r="73" spans="1:15" ht="20.100000000000001" customHeight="1">
      <c r="A73" s="390">
        <v>10</v>
      </c>
      <c r="B73" s="391" t="e">
        <f>VLOOKUP($A73,PLANEJAMENTO!$B$10:$Y$70,2,0)</f>
        <v>#N/A</v>
      </c>
      <c r="C73" s="392"/>
      <c r="D73" s="393"/>
      <c r="E73" s="394"/>
      <c r="F73" s="395"/>
      <c r="G73" s="678"/>
      <c r="H73" s="397"/>
      <c r="L73" s="703"/>
      <c r="N73" s="121"/>
      <c r="O73" s="121"/>
    </row>
    <row r="74" spans="1:15" ht="20.100000000000001" customHeight="1">
      <c r="A74" s="379" t="s">
        <v>162</v>
      </c>
      <c r="B74" s="1142" t="e">
        <f>VLOOKUP($A74,PLANEJAMENTO!$B$10:$Y$70,2,0)</f>
        <v>#N/A</v>
      </c>
      <c r="C74" s="1143"/>
      <c r="D74" s="1144"/>
      <c r="E74" s="126" t="e">
        <f>VLOOKUP($A74,PLANEJAMENTO!$B$10:$Y$70,4,0)</f>
        <v>#N/A</v>
      </c>
      <c r="F74" s="127" t="e">
        <f>VLOOKUP($A74,PLANEJAMENTO!$B$10:$Y$70,3,0)</f>
        <v>#N/A</v>
      </c>
      <c r="G74" s="677" t="e">
        <f t="shared" ref="G74:G79" si="4">H74/E74</f>
        <v>#N/A</v>
      </c>
      <c r="H74" s="378" t="e">
        <f>VLOOKUP($A74,PLANEJAMENTO!$B$10:$Y$70,24,0)</f>
        <v>#N/A</v>
      </c>
      <c r="I74" s="400"/>
      <c r="L74" s="703"/>
    </row>
    <row r="75" spans="1:15" ht="20.100000000000001" customHeight="1">
      <c r="A75" s="379" t="s">
        <v>163</v>
      </c>
      <c r="B75" s="1142" t="e">
        <f>VLOOKUP($A75,PLANEJAMENTO!$B$10:$Y$70,2,0)</f>
        <v>#N/A</v>
      </c>
      <c r="C75" s="1143"/>
      <c r="D75" s="1144"/>
      <c r="E75" s="126" t="e">
        <f>VLOOKUP($A75,PLANEJAMENTO!$B$10:$Y$70,4,0)</f>
        <v>#N/A</v>
      </c>
      <c r="F75" s="127" t="e">
        <f>VLOOKUP($A75,PLANEJAMENTO!$B$10:$Y$70,3,0)</f>
        <v>#N/A</v>
      </c>
      <c r="G75" s="677" t="e">
        <f t="shared" si="4"/>
        <v>#N/A</v>
      </c>
      <c r="H75" s="378" t="e">
        <f>VLOOKUP($A75,PLANEJAMENTO!$B$10:$Y$70,24,0)</f>
        <v>#N/A</v>
      </c>
      <c r="I75" s="400"/>
      <c r="L75" s="703"/>
    </row>
    <row r="76" spans="1:15" ht="20.100000000000001" customHeight="1">
      <c r="A76" s="379" t="s">
        <v>164</v>
      </c>
      <c r="B76" s="1142" t="e">
        <f>VLOOKUP($A76,PLANEJAMENTO!$B$10:$Y$70,2,0)</f>
        <v>#N/A</v>
      </c>
      <c r="C76" s="1143"/>
      <c r="D76" s="1144"/>
      <c r="E76" s="126" t="e">
        <f>VLOOKUP($A76,PLANEJAMENTO!$B$10:$Y$70,4,0)</f>
        <v>#N/A</v>
      </c>
      <c r="F76" s="127" t="e">
        <f>VLOOKUP($A76,PLANEJAMENTO!$B$10:$Y$70,3,0)</f>
        <v>#N/A</v>
      </c>
      <c r="G76" s="677" t="e">
        <f t="shared" si="4"/>
        <v>#N/A</v>
      </c>
      <c r="H76" s="378" t="e">
        <f>VLOOKUP($A76,PLANEJAMENTO!$B$10:$Y$70,24,0)</f>
        <v>#N/A</v>
      </c>
      <c r="I76" s="400"/>
      <c r="L76" s="703"/>
    </row>
    <row r="77" spans="1:15" ht="20.100000000000001" customHeight="1">
      <c r="A77" s="379" t="s">
        <v>165</v>
      </c>
      <c r="B77" s="1142" t="e">
        <f>VLOOKUP($A77,PLANEJAMENTO!$B$10:$Y$70,2,0)</f>
        <v>#N/A</v>
      </c>
      <c r="C77" s="1143"/>
      <c r="D77" s="1144"/>
      <c r="E77" s="126" t="e">
        <f>VLOOKUP($A77,PLANEJAMENTO!$B$10:$Y$70,4,0)</f>
        <v>#N/A</v>
      </c>
      <c r="F77" s="127" t="e">
        <f>VLOOKUP($A77,PLANEJAMENTO!$B$10:$Y$70,3,0)</f>
        <v>#N/A</v>
      </c>
      <c r="G77" s="677" t="e">
        <f t="shared" si="4"/>
        <v>#N/A</v>
      </c>
      <c r="H77" s="378" t="e">
        <f>VLOOKUP($A77,PLANEJAMENTO!$B$10:$Y$70,24,0)</f>
        <v>#N/A</v>
      </c>
      <c r="I77" s="400"/>
      <c r="L77" s="703"/>
      <c r="M77" s="157"/>
    </row>
    <row r="78" spans="1:15" ht="20.100000000000001" customHeight="1">
      <c r="A78" s="379" t="s">
        <v>166</v>
      </c>
      <c r="B78" s="1142" t="e">
        <f>VLOOKUP($A78,PLANEJAMENTO!$B$10:$Y$70,2,0)</f>
        <v>#N/A</v>
      </c>
      <c r="C78" s="1143"/>
      <c r="D78" s="1144"/>
      <c r="E78" s="126" t="e">
        <f>VLOOKUP($A78,PLANEJAMENTO!$B$10:$Y$70,4,0)</f>
        <v>#N/A</v>
      </c>
      <c r="F78" s="127" t="e">
        <f>VLOOKUP($A78,PLANEJAMENTO!$B$10:$Y$70,3,0)</f>
        <v>#N/A</v>
      </c>
      <c r="G78" s="677" t="e">
        <f t="shared" si="4"/>
        <v>#N/A</v>
      </c>
      <c r="H78" s="378" t="e">
        <f>VLOOKUP($A78,PLANEJAMENTO!$B$10:$Y$70,24,0)</f>
        <v>#N/A</v>
      </c>
      <c r="I78" s="400"/>
      <c r="K78" s="704"/>
      <c r="L78" s="705"/>
    </row>
    <row r="79" spans="1:15" ht="20.100000000000001" customHeight="1">
      <c r="A79" s="379" t="s">
        <v>167</v>
      </c>
      <c r="B79" s="1142" t="e">
        <f>VLOOKUP($A79,PLANEJAMENTO!$B$10:$Y$70,2,0)</f>
        <v>#N/A</v>
      </c>
      <c r="C79" s="1143"/>
      <c r="D79" s="1144"/>
      <c r="E79" s="126" t="e">
        <f>VLOOKUP($A79,PLANEJAMENTO!$B$10:$Y$70,4,0)</f>
        <v>#N/A</v>
      </c>
      <c r="F79" s="127" t="e">
        <f>VLOOKUP($A79,PLANEJAMENTO!$B$10:$Y$70,3,0)</f>
        <v>#N/A</v>
      </c>
      <c r="G79" s="677" t="e">
        <f t="shared" si="4"/>
        <v>#N/A</v>
      </c>
      <c r="H79" s="378" t="e">
        <f>VLOOKUP($A79,PLANEJAMENTO!$B$10:$Y$70,24,0)</f>
        <v>#N/A</v>
      </c>
      <c r="I79" s="400"/>
      <c r="K79" s="704"/>
      <c r="L79" s="705"/>
    </row>
    <row r="80" spans="1:15" ht="20.100000000000001" customHeight="1">
      <c r="A80" s="379"/>
      <c r="B80" s="407"/>
      <c r="C80" s="408"/>
      <c r="D80" s="409"/>
      <c r="E80" s="126"/>
      <c r="F80" s="127"/>
      <c r="G80" s="677"/>
      <c r="H80" s="378"/>
      <c r="I80" s="400"/>
      <c r="L80" s="703"/>
    </row>
    <row r="81" spans="1:15" ht="20.100000000000001" customHeight="1">
      <c r="A81" s="390">
        <v>11</v>
      </c>
      <c r="B81" s="391" t="e">
        <f>VLOOKUP($A81,PLANEJAMENTO!$B$10:$Y$70,2,0)</f>
        <v>#N/A</v>
      </c>
      <c r="C81" s="392"/>
      <c r="D81" s="393"/>
      <c r="E81" s="394"/>
      <c r="F81" s="395"/>
      <c r="G81" s="678"/>
      <c r="H81" s="397" t="e">
        <f>SUBTOTAL(9,H82:H90)</f>
        <v>#N/A</v>
      </c>
      <c r="L81" s="703"/>
      <c r="N81" s="121"/>
      <c r="O81" s="121"/>
    </row>
    <row r="82" spans="1:15" ht="20.100000000000001" customHeight="1">
      <c r="A82" s="379" t="s">
        <v>168</v>
      </c>
      <c r="B82" s="1142" t="e">
        <f>VLOOKUP($A82,PLANEJAMENTO!$B$10:$Y$70,2,0)</f>
        <v>#N/A</v>
      </c>
      <c r="C82" s="1143"/>
      <c r="D82" s="1144"/>
      <c r="E82" s="126" t="e">
        <f>VLOOKUP($A82,PLANEJAMENTO!$B$10:$Y$70,4,0)</f>
        <v>#N/A</v>
      </c>
      <c r="F82" s="127" t="e">
        <f>VLOOKUP($A82,PLANEJAMENTO!$B$10:$Y$70,3,0)</f>
        <v>#N/A</v>
      </c>
      <c r="G82" s="677" t="e">
        <f t="shared" ref="G82:G88" si="5">H82/E82</f>
        <v>#N/A</v>
      </c>
      <c r="H82" s="378" t="e">
        <f>VLOOKUP($A82,PLANEJAMENTO!$B$10:$Y$70,24,0)</f>
        <v>#N/A</v>
      </c>
      <c r="L82" s="703"/>
    </row>
    <row r="83" spans="1:15" ht="20.100000000000001" customHeight="1">
      <c r="A83" s="379" t="s">
        <v>169</v>
      </c>
      <c r="B83" s="1142" t="e">
        <f>VLOOKUP($A83,PLANEJAMENTO!$B$10:$Y$70,2,0)</f>
        <v>#N/A</v>
      </c>
      <c r="C83" s="1143"/>
      <c r="D83" s="1144"/>
      <c r="E83" s="126" t="e">
        <f>VLOOKUP($A83,PLANEJAMENTO!$B$10:$Y$70,4,0)</f>
        <v>#N/A</v>
      </c>
      <c r="F83" s="127" t="e">
        <f>VLOOKUP($A83,PLANEJAMENTO!$B$10:$Y$70,3,0)</f>
        <v>#N/A</v>
      </c>
      <c r="G83" s="677" t="e">
        <f t="shared" si="5"/>
        <v>#N/A</v>
      </c>
      <c r="H83" s="378" t="e">
        <f>VLOOKUP($A83,PLANEJAMENTO!$B$10:$Y$70,24,0)</f>
        <v>#N/A</v>
      </c>
      <c r="I83" s="154"/>
      <c r="J83" s="154"/>
      <c r="L83" s="703"/>
    </row>
    <row r="84" spans="1:15" ht="20.100000000000001" customHeight="1">
      <c r="A84" s="379" t="s">
        <v>170</v>
      </c>
      <c r="B84" s="1142" t="e">
        <f>VLOOKUP($A84,PLANEJAMENTO!$B$10:$Y$70,2,0)</f>
        <v>#N/A</v>
      </c>
      <c r="C84" s="1143"/>
      <c r="D84" s="1144"/>
      <c r="E84" s="126" t="e">
        <f>VLOOKUP($A84,PLANEJAMENTO!$B$10:$Y$70,4,0)</f>
        <v>#N/A</v>
      </c>
      <c r="F84" s="127" t="e">
        <f>VLOOKUP($A84,PLANEJAMENTO!$B$10:$Y$70,3,0)</f>
        <v>#N/A</v>
      </c>
      <c r="G84" s="677" t="e">
        <f t="shared" si="5"/>
        <v>#N/A</v>
      </c>
      <c r="H84" s="378" t="e">
        <f>VLOOKUP($A84,PLANEJAMENTO!$B$10:$Y$70,24,0)</f>
        <v>#N/A</v>
      </c>
      <c r="I84" s="154"/>
      <c r="J84" s="154"/>
      <c r="L84" s="703"/>
    </row>
    <row r="85" spans="1:15" ht="20.100000000000001" customHeight="1">
      <c r="A85" s="379" t="s">
        <v>171</v>
      </c>
      <c r="B85" s="1142" t="e">
        <f>VLOOKUP($A85,PLANEJAMENTO!$B$10:$Y$70,2,0)</f>
        <v>#N/A</v>
      </c>
      <c r="C85" s="1143"/>
      <c r="D85" s="1144"/>
      <c r="E85" s="126" t="e">
        <f>VLOOKUP($A85,PLANEJAMENTO!$B$10:$Y$70,4,0)</f>
        <v>#N/A</v>
      </c>
      <c r="F85" s="127" t="e">
        <f>VLOOKUP($A85,PLANEJAMENTO!$B$10:$Y$70,3,0)</f>
        <v>#N/A</v>
      </c>
      <c r="G85" s="677" t="e">
        <f t="shared" si="5"/>
        <v>#N/A</v>
      </c>
      <c r="H85" s="378" t="e">
        <f>VLOOKUP($A85,PLANEJAMENTO!$B$10:$Y$70,24,0)</f>
        <v>#N/A</v>
      </c>
      <c r="I85" s="154"/>
      <c r="J85" s="154"/>
      <c r="L85" s="703"/>
      <c r="M85" s="157"/>
    </row>
    <row r="86" spans="1:15" ht="20.100000000000001" customHeight="1">
      <c r="A86" s="379" t="s">
        <v>172</v>
      </c>
      <c r="B86" s="1142" t="e">
        <f>VLOOKUP($A86,PLANEJAMENTO!$B$10:$Y$70,2,0)</f>
        <v>#N/A</v>
      </c>
      <c r="C86" s="1143"/>
      <c r="D86" s="1144"/>
      <c r="E86" s="126" t="e">
        <f>VLOOKUP($A86,PLANEJAMENTO!$B$10:$Y$70,4,0)</f>
        <v>#N/A</v>
      </c>
      <c r="F86" s="127" t="e">
        <f>VLOOKUP($A86,PLANEJAMENTO!$B$10:$Y$70,3,0)</f>
        <v>#N/A</v>
      </c>
      <c r="G86" s="677" t="e">
        <f t="shared" si="5"/>
        <v>#N/A</v>
      </c>
      <c r="H86" s="378" t="e">
        <f>VLOOKUP($A86,PLANEJAMENTO!$B$10:$Y$70,24,0)</f>
        <v>#N/A</v>
      </c>
      <c r="I86" s="154"/>
      <c r="J86" s="154"/>
      <c r="L86" s="703"/>
    </row>
    <row r="87" spans="1:15" ht="20.100000000000001" customHeight="1">
      <c r="A87" s="379" t="s">
        <v>173</v>
      </c>
      <c r="B87" s="1142" t="e">
        <f>VLOOKUP($A87,PLANEJAMENTO!$B$10:$Y$70,2,0)</f>
        <v>#N/A</v>
      </c>
      <c r="C87" s="1143"/>
      <c r="D87" s="1144"/>
      <c r="E87" s="126" t="e">
        <f>VLOOKUP($A87,PLANEJAMENTO!$B$10:$Y$70,4,0)</f>
        <v>#N/A</v>
      </c>
      <c r="F87" s="127" t="e">
        <f>VLOOKUP($A87,PLANEJAMENTO!$B$10:$Y$70,3,0)</f>
        <v>#N/A</v>
      </c>
      <c r="G87" s="677" t="e">
        <f t="shared" si="5"/>
        <v>#N/A</v>
      </c>
      <c r="H87" s="378" t="e">
        <f>VLOOKUP($A87,PLANEJAMENTO!$B$10:$Y$70,24,0)</f>
        <v>#N/A</v>
      </c>
      <c r="I87" s="154"/>
      <c r="J87" s="154"/>
      <c r="L87" s="703"/>
      <c r="M87" s="157"/>
    </row>
    <row r="88" spans="1:15" ht="20.100000000000001" customHeight="1">
      <c r="A88" s="379" t="s">
        <v>174</v>
      </c>
      <c r="B88" s="1142" t="e">
        <f>VLOOKUP($A88,PLANEJAMENTO!$B$10:$Y$70,2,0)</f>
        <v>#N/A</v>
      </c>
      <c r="C88" s="1143"/>
      <c r="D88" s="1144"/>
      <c r="E88" s="126" t="e">
        <f>VLOOKUP($A88,PLANEJAMENTO!$B$10:$Y$70,4,0)</f>
        <v>#N/A</v>
      </c>
      <c r="F88" s="127" t="e">
        <f>VLOOKUP($A88,PLANEJAMENTO!$B$10:$Y$70,3,0)</f>
        <v>#N/A</v>
      </c>
      <c r="G88" s="677" t="e">
        <f t="shared" si="5"/>
        <v>#N/A</v>
      </c>
      <c r="H88" s="378" t="e">
        <f>VLOOKUP($A88,PLANEJAMENTO!$B$10:$Y$70,24,0)</f>
        <v>#N/A</v>
      </c>
      <c r="I88" s="154"/>
      <c r="J88" s="154"/>
      <c r="L88" s="703"/>
      <c r="M88" s="157"/>
    </row>
    <row r="89" spans="1:15" ht="20.100000000000001" customHeight="1">
      <c r="A89" s="379"/>
      <c r="B89" s="407"/>
      <c r="C89" s="408"/>
      <c r="D89" s="409"/>
      <c r="E89" s="126"/>
      <c r="F89" s="127"/>
      <c r="G89" s="677"/>
      <c r="H89" s="378"/>
      <c r="I89" s="154"/>
      <c r="J89" s="154"/>
      <c r="K89" s="160"/>
      <c r="L89" s="703"/>
      <c r="M89" s="157"/>
    </row>
    <row r="90" spans="1:15" ht="20.100000000000001" customHeight="1" thickBot="1">
      <c r="A90" s="379"/>
      <c r="B90" s="382"/>
      <c r="C90" s="383"/>
      <c r="D90" s="384"/>
      <c r="E90" s="380"/>
      <c r="F90" s="381"/>
      <c r="G90" s="376"/>
      <c r="H90" s="377"/>
      <c r="K90" s="160"/>
      <c r="L90" s="703"/>
      <c r="M90" s="157"/>
    </row>
    <row r="91" spans="1:15" s="124" customFormat="1" ht="18" customHeight="1" thickBot="1">
      <c r="A91" s="234"/>
      <c r="B91" s="1190" t="s">
        <v>175</v>
      </c>
      <c r="C91" s="1190"/>
      <c r="D91" s="1191"/>
      <c r="E91" s="1195"/>
      <c r="F91" s="1196"/>
      <c r="G91" s="1197"/>
      <c r="H91" s="235" t="e">
        <f>SUBTOTAL(9,H10:H90)</f>
        <v>#N/A</v>
      </c>
      <c r="I91" s="685"/>
      <c r="J91" s="123"/>
      <c r="K91" s="160"/>
      <c r="L91" s="703"/>
      <c r="M91" s="157"/>
      <c r="N91" s="123"/>
      <c r="O91" s="123"/>
    </row>
    <row r="92" spans="1:15" s="119" customFormat="1" ht="15.6">
      <c r="A92" s="208"/>
      <c r="B92" s="209"/>
      <c r="C92" s="209"/>
      <c r="D92" s="209"/>
      <c r="E92" s="209"/>
      <c r="F92" s="209"/>
      <c r="G92" s="210"/>
      <c r="H92" s="211"/>
      <c r="K92" s="160"/>
      <c r="L92" s="703"/>
      <c r="M92" s="157"/>
    </row>
    <row r="93" spans="1:15" s="119" customFormat="1" ht="15.6">
      <c r="A93" s="212"/>
      <c r="B93" s="213"/>
      <c r="C93" s="213"/>
      <c r="D93" s="213"/>
      <c r="E93" s="213"/>
      <c r="F93" s="213"/>
      <c r="G93" s="214"/>
      <c r="H93" s="215"/>
      <c r="K93" s="160"/>
      <c r="L93" s="703"/>
      <c r="M93" s="157"/>
    </row>
    <row r="94" spans="1:15" s="119" customFormat="1" ht="15.6">
      <c r="A94" s="212"/>
      <c r="B94" s="213"/>
      <c r="C94" s="213"/>
      <c r="D94" s="213"/>
      <c r="E94" s="213"/>
      <c r="F94" s="213"/>
      <c r="G94" s="214"/>
      <c r="H94" s="215"/>
      <c r="K94" s="160"/>
      <c r="L94" s="703"/>
      <c r="M94" s="156"/>
    </row>
    <row r="95" spans="1:15" s="119" customFormat="1" ht="15.6">
      <c r="A95" s="120"/>
      <c r="B95" s="213"/>
      <c r="C95" s="213"/>
      <c r="D95" s="218"/>
      <c r="G95" s="216"/>
      <c r="H95" s="217"/>
      <c r="I95" s="707"/>
      <c r="K95" s="160"/>
      <c r="L95" s="703"/>
      <c r="M95" s="158"/>
    </row>
    <row r="96" spans="1:15" s="119" customFormat="1" ht="15.6">
      <c r="A96" s="120"/>
      <c r="B96" s="213"/>
      <c r="C96" s="213"/>
      <c r="D96" s="219"/>
      <c r="G96" s="216"/>
      <c r="H96" s="217"/>
      <c r="I96" s="706"/>
      <c r="K96" s="156"/>
      <c r="L96" s="703"/>
      <c r="M96" s="156"/>
    </row>
    <row r="97" spans="1:15" s="119" customFormat="1" ht="15.6">
      <c r="A97" s="120"/>
      <c r="B97" s="213"/>
      <c r="C97" s="213"/>
      <c r="D97" s="219"/>
      <c r="G97" s="216"/>
      <c r="H97" s="217"/>
      <c r="K97" s="158"/>
      <c r="M97" s="156"/>
    </row>
    <row r="98" spans="1:15" s="119" customFormat="1" ht="15.6">
      <c r="A98" s="120"/>
      <c r="B98" s="213"/>
      <c r="C98" s="213"/>
      <c r="D98" s="219"/>
      <c r="G98" s="216"/>
      <c r="H98" s="217"/>
      <c r="K98" s="156"/>
      <c r="L98" s="123"/>
      <c r="M98" s="156"/>
    </row>
    <row r="99" spans="1:15" s="119" customFormat="1">
      <c r="A99" s="1192" t="s">
        <v>176</v>
      </c>
      <c r="B99" s="1193"/>
      <c r="C99" s="1193"/>
      <c r="D99" s="1193"/>
      <c r="E99" s="1193"/>
      <c r="F99" s="1193"/>
      <c r="G99" s="1193"/>
      <c r="H99" s="1194"/>
      <c r="K99" s="156"/>
      <c r="M99" s="156"/>
    </row>
    <row r="100" spans="1:15" s="119" customFormat="1" ht="26.4" customHeight="1">
      <c r="A100" s="1187" t="s">
        <v>177</v>
      </c>
      <c r="B100" s="1188"/>
      <c r="C100" s="1188"/>
      <c r="D100" s="1188"/>
      <c r="E100" s="1188"/>
      <c r="F100" s="1188"/>
      <c r="G100" s="1188"/>
      <c r="H100" s="1189"/>
      <c r="K100" s="156"/>
      <c r="M100" s="156"/>
    </row>
    <row r="101" spans="1:15" s="119" customFormat="1" ht="14.4" customHeight="1">
      <c r="A101" s="120"/>
      <c r="G101" s="216"/>
      <c r="H101" s="217"/>
      <c r="K101" s="156"/>
      <c r="M101" s="156"/>
    </row>
    <row r="102" spans="1:15" s="119" customFormat="1">
      <c r="A102" s="120"/>
      <c r="G102" s="118"/>
      <c r="H102" s="215"/>
      <c r="K102" s="156"/>
      <c r="M102" s="156"/>
    </row>
    <row r="103" spans="1:15" s="119" customFormat="1">
      <c r="A103" s="120"/>
      <c r="G103" s="118"/>
      <c r="H103" s="215"/>
      <c r="K103" s="156"/>
      <c r="M103" s="156"/>
    </row>
    <row r="104" spans="1:15" s="119" customFormat="1">
      <c r="A104" s="120"/>
      <c r="G104" s="118"/>
      <c r="H104" s="215"/>
      <c r="K104" s="156"/>
      <c r="M104" s="156"/>
    </row>
    <row r="105" spans="1:15" s="119" customFormat="1" ht="15" thickBot="1">
      <c r="A105" s="220"/>
      <c r="B105" s="221"/>
      <c r="C105" s="221"/>
      <c r="D105" s="221"/>
      <c r="E105" s="221"/>
      <c r="F105" s="221"/>
      <c r="G105" s="222"/>
      <c r="H105" s="223"/>
      <c r="K105" s="156"/>
      <c r="M105" s="156"/>
    </row>
    <row r="106" spans="1:15" s="119" customFormat="1">
      <c r="G106" s="118"/>
      <c r="H106" s="118"/>
      <c r="K106" s="156"/>
      <c r="M106" s="156"/>
    </row>
    <row r="107" spans="1:15">
      <c r="B107" s="119"/>
      <c r="C107" s="119"/>
      <c r="D107" s="119"/>
      <c r="I107" s="122"/>
      <c r="J107" s="122"/>
      <c r="N107" s="122"/>
      <c r="O107" s="122"/>
    </row>
    <row r="108" spans="1:15">
      <c r="B108" s="119"/>
      <c r="C108" s="119"/>
      <c r="D108" s="119"/>
      <c r="I108" s="122"/>
      <c r="J108" s="122"/>
      <c r="N108" s="122"/>
      <c r="O108" s="122"/>
    </row>
    <row r="109" spans="1:15">
      <c r="B109" s="119"/>
      <c r="C109" s="119"/>
      <c r="D109" s="119"/>
      <c r="I109" s="122"/>
      <c r="J109" s="122"/>
      <c r="N109" s="122"/>
      <c r="O109" s="122"/>
    </row>
    <row r="110" spans="1:15">
      <c r="B110" s="119"/>
      <c r="C110" s="119"/>
      <c r="D110" s="119"/>
      <c r="I110" s="122"/>
      <c r="J110" s="122"/>
      <c r="N110" s="122"/>
      <c r="O110" s="122"/>
    </row>
    <row r="111" spans="1:15">
      <c r="B111" s="119"/>
      <c r="C111" s="119"/>
      <c r="D111" s="119"/>
      <c r="I111" s="122"/>
      <c r="J111" s="122"/>
      <c r="M111" s="159"/>
      <c r="N111" s="122"/>
      <c r="O111" s="122"/>
    </row>
    <row r="112" spans="1:15">
      <c r="B112" s="119"/>
      <c r="C112" s="119"/>
      <c r="D112" s="119"/>
      <c r="I112" s="122"/>
      <c r="J112" s="122"/>
      <c r="M112" s="159"/>
      <c r="N112" s="122"/>
      <c r="O112" s="122"/>
    </row>
    <row r="113" spans="11:13">
      <c r="K113" s="159"/>
      <c r="M113" s="159"/>
    </row>
    <row r="114" spans="11:13">
      <c r="K114" s="159"/>
      <c r="L114" s="122"/>
      <c r="M114" s="159"/>
    </row>
    <row r="115" spans="11:13">
      <c r="K115" s="159"/>
      <c r="L115" s="122"/>
      <c r="M115" s="159"/>
    </row>
    <row r="116" spans="11:13">
      <c r="K116" s="159"/>
      <c r="L116" s="122"/>
      <c r="M116" s="159"/>
    </row>
    <row r="117" spans="11:13">
      <c r="K117" s="159"/>
      <c r="L117" s="122"/>
    </row>
    <row r="118" spans="11:13">
      <c r="K118" s="159"/>
      <c r="L118" s="122"/>
    </row>
    <row r="119" spans="11:13">
      <c r="L119" s="122"/>
    </row>
  </sheetData>
  <mergeCells count="90">
    <mergeCell ref="B42:D42"/>
    <mergeCell ref="B43:D43"/>
    <mergeCell ref="B78:D78"/>
    <mergeCell ref="B72:D72"/>
    <mergeCell ref="B67:D67"/>
    <mergeCell ref="B77:D77"/>
    <mergeCell ref="B55:D55"/>
    <mergeCell ref="B56:D56"/>
    <mergeCell ref="B64:D64"/>
    <mergeCell ref="B65:D65"/>
    <mergeCell ref="B66:D66"/>
    <mergeCell ref="B61:D61"/>
    <mergeCell ref="B79:D79"/>
    <mergeCell ref="B68:D68"/>
    <mergeCell ref="B69:D69"/>
    <mergeCell ref="B70:D70"/>
    <mergeCell ref="B71:D71"/>
    <mergeCell ref="B88:D88"/>
    <mergeCell ref="B83:D83"/>
    <mergeCell ref="B84:D84"/>
    <mergeCell ref="B85:D85"/>
    <mergeCell ref="B86:D86"/>
    <mergeCell ref="B87:D87"/>
    <mergeCell ref="A100:H100"/>
    <mergeCell ref="B91:D91"/>
    <mergeCell ref="A99:H99"/>
    <mergeCell ref="E91:G91"/>
    <mergeCell ref="B15:D15"/>
    <mergeCell ref="B17:D17"/>
    <mergeCell ref="B18:D18"/>
    <mergeCell ref="B82:D82"/>
    <mergeCell ref="B21:D21"/>
    <mergeCell ref="B22:D22"/>
    <mergeCell ref="B46:D46"/>
    <mergeCell ref="B35:D35"/>
    <mergeCell ref="B49:D49"/>
    <mergeCell ref="B36:D36"/>
    <mergeCell ref="B38:D38"/>
    <mergeCell ref="B39:D39"/>
    <mergeCell ref="B19:D19"/>
    <mergeCell ref="C1:D2"/>
    <mergeCell ref="A5:C5"/>
    <mergeCell ref="E5:F5"/>
    <mergeCell ref="F1:H2"/>
    <mergeCell ref="C3:D3"/>
    <mergeCell ref="E3:H3"/>
    <mergeCell ref="C4:D4"/>
    <mergeCell ref="E4:H4"/>
    <mergeCell ref="G6:H6"/>
    <mergeCell ref="A7:A8"/>
    <mergeCell ref="B7:D8"/>
    <mergeCell ref="E7:E8"/>
    <mergeCell ref="B9:D9"/>
    <mergeCell ref="E9:H9"/>
    <mergeCell ref="F7:F8"/>
    <mergeCell ref="G5:H5"/>
    <mergeCell ref="A6:C6"/>
    <mergeCell ref="E6:F6"/>
    <mergeCell ref="B13:D13"/>
    <mergeCell ref="B14:D14"/>
    <mergeCell ref="B12:D12"/>
    <mergeCell ref="B11:D11"/>
    <mergeCell ref="G7:H7"/>
    <mergeCell ref="B23:D23"/>
    <mergeCell ref="B24:D24"/>
    <mergeCell ref="B27:D27"/>
    <mergeCell ref="B28:D28"/>
    <mergeCell ref="B29:D29"/>
    <mergeCell ref="B26:D26"/>
    <mergeCell ref="B30:D30"/>
    <mergeCell ref="B31:D31"/>
    <mergeCell ref="B32:D32"/>
    <mergeCell ref="B33:D33"/>
    <mergeCell ref="B34:D34"/>
    <mergeCell ref="B40:D40"/>
    <mergeCell ref="B41:D41"/>
    <mergeCell ref="B74:D74"/>
    <mergeCell ref="B75:D75"/>
    <mergeCell ref="B76:D76"/>
    <mergeCell ref="B50:D50"/>
    <mergeCell ref="B51:D51"/>
    <mergeCell ref="B44:D44"/>
    <mergeCell ref="B47:D47"/>
    <mergeCell ref="B48:D48"/>
    <mergeCell ref="B58:D58"/>
    <mergeCell ref="B59:D59"/>
    <mergeCell ref="B60:D60"/>
    <mergeCell ref="B62:D62"/>
    <mergeCell ref="B53:D53"/>
    <mergeCell ref="B54:D54"/>
  </mergeCells>
  <phoneticPr fontId="45" type="noConversion"/>
  <pageMargins left="0.70866141732283472" right="0.70866141732283472" top="0.74803149606299213" bottom="0.74803149606299213" header="0.31496062992125984" footer="0.31496062992125984"/>
  <pageSetup paperSize="9" scale="36" orientation="portrait" r:id="rId1"/>
  <drawing r:id="rId2"/>
  <legacyDrawing r:id="rId3"/>
  <controls>
    <mc:AlternateContent xmlns:mc="http://schemas.openxmlformats.org/markup-compatibility/2006">
      <mc:Choice Requires="x14">
        <control shapeId="1026" r:id="rId4" name="Label1">
          <controlPr defaultSize="0" autoLine="0" r:id="rId5">
            <anchor moveWithCells="1">
              <from>
                <xdr:col>8</xdr:col>
                <xdr:colOff>670560</xdr:colOff>
                <xdr:row>2</xdr:row>
                <xdr:rowOff>22860</xdr:rowOff>
              </from>
              <to>
                <xdr:col>12</xdr:col>
                <xdr:colOff>365760</xdr:colOff>
                <xdr:row>2</xdr:row>
                <xdr:rowOff>152400</xdr:rowOff>
              </to>
            </anchor>
          </controlPr>
        </control>
      </mc:Choice>
      <mc:Fallback>
        <control shapeId="1026" r:id="rId4" name="Label1"/>
      </mc:Fallback>
    </mc:AlternateContent>
    <mc:AlternateContent xmlns:mc="http://schemas.openxmlformats.org/markup-compatibility/2006">
      <mc:Choice Requires="x14">
        <control shapeId="1025" r:id="rId6" name="ComboBox8">
          <controlPr defaultSize="0" autoLine="0" r:id="rId7">
            <anchor moveWithCells="1">
              <from>
                <xdr:col>8</xdr:col>
                <xdr:colOff>617220</xdr:colOff>
                <xdr:row>2</xdr:row>
                <xdr:rowOff>175260</xdr:rowOff>
              </from>
              <to>
                <xdr:col>12</xdr:col>
                <xdr:colOff>480060</xdr:colOff>
                <xdr:row>3</xdr:row>
                <xdr:rowOff>114300</xdr:rowOff>
              </to>
            </anchor>
          </controlPr>
        </control>
      </mc:Choice>
      <mc:Fallback>
        <control shapeId="1025" r:id="rId6" name="ComboBox8"/>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C6C9-C9E3-4F1C-BD67-2539AF18C315}">
  <sheetPr codeName="Planilha2">
    <tabColor theme="1"/>
  </sheetPr>
  <dimension ref="A1:Y18"/>
  <sheetViews>
    <sheetView showGridLines="0" zoomScale="80" zoomScaleNormal="80" workbookViewId="0">
      <selection activeCell="R3" sqref="R3"/>
    </sheetView>
  </sheetViews>
  <sheetFormatPr defaultRowHeight="14.4"/>
  <cols>
    <col min="1" max="1" width="6.109375" bestFit="1" customWidth="1"/>
    <col min="2" max="2" width="23" bestFit="1" customWidth="1"/>
    <col min="3" max="3" width="14.6640625" bestFit="1" customWidth="1"/>
    <col min="4" max="4" width="1.33203125" customWidth="1"/>
    <col min="5" max="5" width="8.5546875" customWidth="1"/>
    <col min="6" max="6" width="23" bestFit="1" customWidth="1"/>
    <col min="7" max="7" width="14.6640625" bestFit="1" customWidth="1"/>
    <col min="8" max="8" width="1.33203125" customWidth="1"/>
    <col min="9" max="9" width="8.5546875" customWidth="1"/>
    <col min="10" max="10" width="23" bestFit="1" customWidth="1"/>
    <col min="11" max="11" width="14.6640625" bestFit="1" customWidth="1"/>
    <col min="12" max="12" width="1.33203125" customWidth="1"/>
    <col min="13" max="13" width="6.109375" bestFit="1" customWidth="1"/>
    <col min="14" max="14" width="23.109375" bestFit="1" customWidth="1"/>
    <col min="15" max="15" width="15" bestFit="1" customWidth="1"/>
    <col min="16" max="16" width="2" customWidth="1"/>
    <col min="17" max="17" width="6.109375" bestFit="1" customWidth="1"/>
    <col min="18" max="18" width="23.109375" bestFit="1" customWidth="1"/>
    <col min="19" max="19" width="15" bestFit="1" customWidth="1"/>
  </cols>
  <sheetData>
    <row r="1" spans="1:25" ht="36.75" customHeight="1"/>
    <row r="2" spans="1:25">
      <c r="A2" s="1201" t="s">
        <v>837</v>
      </c>
      <c r="B2" s="1201"/>
      <c r="C2" s="1201"/>
      <c r="E2" s="1201" t="s">
        <v>838</v>
      </c>
      <c r="F2" s="1201"/>
      <c r="G2" s="1201"/>
      <c r="I2" s="1201" t="s">
        <v>839</v>
      </c>
      <c r="J2" s="1201"/>
      <c r="K2" s="1201"/>
      <c r="M2" s="1201" t="s">
        <v>840</v>
      </c>
      <c r="N2" s="1201"/>
      <c r="O2" s="1201"/>
      <c r="Q2" s="1201" t="s">
        <v>1214</v>
      </c>
      <c r="R2" s="1201"/>
      <c r="S2" s="1201"/>
      <c r="Y2" s="961"/>
    </row>
    <row r="3" spans="1:25">
      <c r="A3" s="309" t="s">
        <v>249</v>
      </c>
      <c r="B3" s="309" t="s">
        <v>183</v>
      </c>
      <c r="C3" s="309" t="s">
        <v>841</v>
      </c>
      <c r="D3" s="183"/>
      <c r="E3" s="309" t="s">
        <v>249</v>
      </c>
      <c r="F3" s="309" t="s">
        <v>183</v>
      </c>
      <c r="G3" s="309"/>
      <c r="H3" s="183"/>
      <c r="I3" s="309" t="s">
        <v>249</v>
      </c>
      <c r="J3" s="309" t="s">
        <v>183</v>
      </c>
      <c r="K3" s="309" t="s">
        <v>841</v>
      </c>
      <c r="L3" s="183"/>
      <c r="M3" s="309" t="s">
        <v>249</v>
      </c>
      <c r="N3" s="309" t="s">
        <v>183</v>
      </c>
      <c r="O3" s="309" t="s">
        <v>841</v>
      </c>
      <c r="Q3" s="309" t="s">
        <v>249</v>
      </c>
      <c r="R3" s="309" t="s">
        <v>183</v>
      </c>
      <c r="S3" s="309">
        <v>2</v>
      </c>
    </row>
    <row r="4" spans="1:25">
      <c r="A4" s="302" t="s">
        <v>842</v>
      </c>
      <c r="B4" s="302" t="s">
        <v>843</v>
      </c>
      <c r="C4" s="303">
        <v>0.05</v>
      </c>
      <c r="E4" s="302" t="s">
        <v>842</v>
      </c>
      <c r="F4" s="302" t="s">
        <v>843</v>
      </c>
      <c r="G4" s="303">
        <f>C4</f>
        <v>0.05</v>
      </c>
      <c r="I4" s="302" t="s">
        <v>842</v>
      </c>
      <c r="J4" s="302" t="s">
        <v>843</v>
      </c>
      <c r="K4" s="303">
        <f>C4</f>
        <v>0.05</v>
      </c>
      <c r="M4" s="302" t="s">
        <v>842</v>
      </c>
      <c r="N4" s="302" t="s">
        <v>843</v>
      </c>
      <c r="O4" s="303">
        <v>0.05</v>
      </c>
      <c r="Q4" s="302" t="s">
        <v>842</v>
      </c>
      <c r="R4" s="302" t="s">
        <v>843</v>
      </c>
      <c r="S4" s="303"/>
    </row>
    <row r="5" spans="1:25">
      <c r="A5" s="302" t="s">
        <v>844</v>
      </c>
      <c r="B5" s="302" t="s">
        <v>845</v>
      </c>
      <c r="C5" s="303">
        <v>0</v>
      </c>
      <c r="E5" s="302" t="s">
        <v>844</v>
      </c>
      <c r="F5" s="302" t="s">
        <v>845</v>
      </c>
      <c r="G5" s="303">
        <f>C5</f>
        <v>0</v>
      </c>
      <c r="I5" s="302" t="s">
        <v>844</v>
      </c>
      <c r="J5" s="302" t="s">
        <v>845</v>
      </c>
      <c r="K5" s="303">
        <v>0</v>
      </c>
      <c r="M5" s="302" t="s">
        <v>844</v>
      </c>
      <c r="N5" s="302" t="s">
        <v>845</v>
      </c>
      <c r="O5" s="303">
        <f>C5</f>
        <v>0</v>
      </c>
      <c r="Q5" s="302" t="s">
        <v>844</v>
      </c>
      <c r="R5" s="302" t="s">
        <v>845</v>
      </c>
      <c r="S5" s="303"/>
    </row>
    <row r="6" spans="1:25">
      <c r="A6" s="302" t="s">
        <v>846</v>
      </c>
      <c r="B6" s="302" t="s">
        <v>847</v>
      </c>
      <c r="C6" s="303">
        <v>0.01</v>
      </c>
      <c r="E6" s="302" t="s">
        <v>846</v>
      </c>
      <c r="F6" s="302" t="s">
        <v>847</v>
      </c>
      <c r="G6" s="303">
        <f>C6</f>
        <v>0.01</v>
      </c>
      <c r="I6" s="302" t="s">
        <v>846</v>
      </c>
      <c r="J6" s="302" t="s">
        <v>847</v>
      </c>
      <c r="K6" s="303">
        <v>0.01</v>
      </c>
      <c r="M6" s="302" t="s">
        <v>846</v>
      </c>
      <c r="N6" s="302" t="s">
        <v>847</v>
      </c>
      <c r="O6" s="303">
        <v>0.01</v>
      </c>
      <c r="Q6" s="302" t="s">
        <v>846</v>
      </c>
      <c r="R6" s="302" t="s">
        <v>847</v>
      </c>
      <c r="S6" s="303"/>
    </row>
    <row r="7" spans="1:25">
      <c r="A7" s="302" t="s">
        <v>415</v>
      </c>
      <c r="B7" s="302" t="s">
        <v>848</v>
      </c>
      <c r="C7" s="303">
        <v>0.15</v>
      </c>
      <c r="E7" s="302" t="s">
        <v>415</v>
      </c>
      <c r="F7" s="302" t="s">
        <v>848</v>
      </c>
      <c r="G7" s="306">
        <f>C7</f>
        <v>0.15</v>
      </c>
      <c r="I7" s="302" t="s">
        <v>415</v>
      </c>
      <c r="J7" s="302" t="s">
        <v>848</v>
      </c>
      <c r="K7" s="303">
        <v>0.15</v>
      </c>
      <c r="M7" s="302" t="s">
        <v>415</v>
      </c>
      <c r="N7" s="302" t="s">
        <v>848</v>
      </c>
      <c r="O7" s="306">
        <v>0.05</v>
      </c>
      <c r="Q7" s="302" t="s">
        <v>415</v>
      </c>
      <c r="R7" s="302" t="s">
        <v>848</v>
      </c>
      <c r="S7" s="303"/>
    </row>
    <row r="8" spans="1:25">
      <c r="A8" s="304"/>
      <c r="B8" s="304" t="s">
        <v>849</v>
      </c>
      <c r="C8" s="305">
        <v>0.03</v>
      </c>
      <c r="E8" s="304"/>
      <c r="F8" s="304" t="s">
        <v>849</v>
      </c>
      <c r="G8" s="305">
        <f>IF(TRIBUTOS=2,3%,7.6%)</f>
        <v>0.03</v>
      </c>
      <c r="I8" s="304"/>
      <c r="J8" s="304" t="s">
        <v>849</v>
      </c>
      <c r="K8" s="305">
        <f>IF(TRIBUTOS=2,3%,7.6%)</f>
        <v>0.03</v>
      </c>
      <c r="M8" s="304"/>
      <c r="N8" s="304" t="s">
        <v>849</v>
      </c>
      <c r="O8" s="305">
        <f>IF(TRIBUTOS=2,3%,7.6%)</f>
        <v>0.03</v>
      </c>
      <c r="Q8" s="304"/>
      <c r="R8" s="304" t="s">
        <v>849</v>
      </c>
      <c r="S8" s="305"/>
    </row>
    <row r="9" spans="1:25">
      <c r="A9" s="304"/>
      <c r="B9" s="304" t="s">
        <v>850</v>
      </c>
      <c r="C9" s="305">
        <v>0.05</v>
      </c>
      <c r="E9" s="304"/>
      <c r="F9" s="304" t="s">
        <v>850</v>
      </c>
      <c r="G9" s="305">
        <v>0.05</v>
      </c>
      <c r="I9" s="304"/>
      <c r="J9" s="304" t="s">
        <v>850</v>
      </c>
      <c r="K9" s="305">
        <v>0.05</v>
      </c>
      <c r="M9" s="304"/>
      <c r="N9" s="304" t="s">
        <v>850</v>
      </c>
      <c r="O9" s="305">
        <v>0.05</v>
      </c>
      <c r="Q9" s="304"/>
      <c r="R9" s="304" t="s">
        <v>850</v>
      </c>
      <c r="S9" s="305"/>
    </row>
    <row r="10" spans="1:25">
      <c r="A10" s="304"/>
      <c r="B10" s="304" t="s">
        <v>851</v>
      </c>
      <c r="C10" s="305">
        <f>IF(TRIBUTOS=2,0.65%,1.65%)</f>
        <v>6.5000000000000006E-3</v>
      </c>
      <c r="E10" s="304"/>
      <c r="F10" s="304" t="s">
        <v>851</v>
      </c>
      <c r="G10" s="305">
        <f>IF(TRIBUTOS=2,0.65%,1.65%)</f>
        <v>6.5000000000000006E-3</v>
      </c>
      <c r="I10" s="304"/>
      <c r="J10" s="304" t="s">
        <v>851</v>
      </c>
      <c r="K10" s="305">
        <f>IF(TRIBUTOS=2,0.65%,1.65%)</f>
        <v>6.5000000000000006E-3</v>
      </c>
      <c r="M10" s="304"/>
      <c r="N10" s="304" t="s">
        <v>851</v>
      </c>
      <c r="O10" s="305">
        <f>IF(TRIBUTOS=2,0.65%,1.65%)</f>
        <v>6.5000000000000006E-3</v>
      </c>
      <c r="Q10" s="304"/>
      <c r="R10" s="304" t="s">
        <v>851</v>
      </c>
      <c r="S10" s="305"/>
    </row>
    <row r="11" spans="1:25">
      <c r="A11" s="304"/>
      <c r="B11" s="304" t="s">
        <v>852</v>
      </c>
      <c r="C11" s="305">
        <v>1.9900000000000001E-2</v>
      </c>
      <c r="E11" s="304"/>
      <c r="F11" s="304" t="s">
        <v>852</v>
      </c>
      <c r="G11" s="305">
        <v>1.9900000000000001E-2</v>
      </c>
      <c r="I11" s="304"/>
      <c r="J11" s="304" t="s">
        <v>852</v>
      </c>
      <c r="K11" s="305">
        <v>1.9900000000000001E-2</v>
      </c>
      <c r="M11" s="304"/>
      <c r="N11" s="304" t="s">
        <v>852</v>
      </c>
      <c r="O11" s="305">
        <v>1.9900000000000001E-2</v>
      </c>
      <c r="Q11" s="304"/>
      <c r="R11" s="304" t="s">
        <v>852</v>
      </c>
      <c r="S11" s="305"/>
    </row>
    <row r="12" spans="1:25">
      <c r="A12" s="304"/>
      <c r="B12" s="304" t="s">
        <v>853</v>
      </c>
      <c r="C12" s="305">
        <v>2.7400000000000001E-2</v>
      </c>
      <c r="E12" s="304"/>
      <c r="F12" s="304" t="s">
        <v>853</v>
      </c>
      <c r="G12" s="305">
        <v>2.7400000000000001E-2</v>
      </c>
      <c r="I12" s="304"/>
      <c r="J12" s="304" t="s">
        <v>853</v>
      </c>
      <c r="K12" s="305">
        <v>2.7400000000000001E-2</v>
      </c>
      <c r="M12" s="304"/>
      <c r="N12" s="304" t="s">
        <v>853</v>
      </c>
      <c r="O12" s="305">
        <v>2.7400000000000001E-2</v>
      </c>
      <c r="Q12" s="304"/>
      <c r="R12" s="304" t="s">
        <v>853</v>
      </c>
      <c r="S12" s="305"/>
    </row>
    <row r="13" spans="1:25">
      <c r="A13" s="302" t="s">
        <v>854</v>
      </c>
      <c r="B13" s="302" t="s">
        <v>855</v>
      </c>
      <c r="C13" s="303">
        <f>SUM(C8:C12)</f>
        <v>0.1338</v>
      </c>
      <c r="E13" s="302" t="s">
        <v>854</v>
      </c>
      <c r="F13" s="302" t="s">
        <v>855</v>
      </c>
      <c r="G13" s="303">
        <f>SUM(G8:G12)</f>
        <v>0.1338</v>
      </c>
      <c r="I13" s="302" t="s">
        <v>854</v>
      </c>
      <c r="J13" s="302" t="s">
        <v>855</v>
      </c>
      <c r="K13" s="303">
        <f>SUM(K8:K12)</f>
        <v>0.1338</v>
      </c>
      <c r="M13" s="302" t="s">
        <v>854</v>
      </c>
      <c r="N13" s="302" t="s">
        <v>855</v>
      </c>
      <c r="O13" s="303">
        <f>SUM(O8:O12)</f>
        <v>0.1338</v>
      </c>
      <c r="Q13" s="302" t="s">
        <v>854</v>
      </c>
      <c r="R13" s="302" t="s">
        <v>855</v>
      </c>
      <c r="S13" s="303"/>
    </row>
    <row r="14" spans="1:25" hidden="1">
      <c r="A14" s="302" t="s">
        <v>856</v>
      </c>
      <c r="B14" s="302" t="s">
        <v>857</v>
      </c>
      <c r="C14" s="303">
        <v>0</v>
      </c>
      <c r="E14" s="302" t="s">
        <v>856</v>
      </c>
      <c r="F14" s="302" t="s">
        <v>857</v>
      </c>
      <c r="G14" s="306">
        <f>C14</f>
        <v>0</v>
      </c>
      <c r="I14" s="302" t="s">
        <v>856</v>
      </c>
      <c r="J14" s="302" t="s">
        <v>857</v>
      </c>
      <c r="K14" s="306">
        <f>C14</f>
        <v>0</v>
      </c>
      <c r="M14" s="302" t="s">
        <v>856</v>
      </c>
      <c r="N14" s="302" t="s">
        <v>857</v>
      </c>
      <c r="O14" s="306">
        <f>K14</f>
        <v>0</v>
      </c>
      <c r="Q14" s="302" t="s">
        <v>856</v>
      </c>
      <c r="R14" s="302" t="s">
        <v>857</v>
      </c>
      <c r="S14" s="303">
        <f>O14</f>
        <v>0</v>
      </c>
    </row>
    <row r="16" spans="1:25">
      <c r="A16" s="307" t="s">
        <v>858</v>
      </c>
      <c r="B16" s="307" t="s">
        <v>859</v>
      </c>
      <c r="C16" s="308">
        <f>((((1+C4)*(1+C5)*(1+C6)*(1+C7)*(1+C14))/(1-C13))-1)</f>
        <v>0.40796005541445379</v>
      </c>
      <c r="E16" s="307" t="s">
        <v>858</v>
      </c>
      <c r="F16" s="307" t="s">
        <v>859</v>
      </c>
      <c r="G16" s="308">
        <f>((((1+G4)*(1+G5)*(1+G6)*(1+G7)*(1+G14))/(1-G13))-1)</f>
        <v>0.40796005541445379</v>
      </c>
      <c r="I16" s="307" t="s">
        <v>858</v>
      </c>
      <c r="J16" s="307" t="s">
        <v>859</v>
      </c>
      <c r="K16" s="308">
        <f>((((1+K4)*(1+K5)*(1+K6)*(1+K7)*(1+K14))/(1-K13))-1)</f>
        <v>0.40796005541445379</v>
      </c>
      <c r="M16" s="307" t="s">
        <v>858</v>
      </c>
      <c r="N16" s="307" t="s">
        <v>859</v>
      </c>
      <c r="O16" s="308">
        <f>((((1+O4)*(1+O5)*(1+O6)*(1+O7)*(1+O14))/(1-O13))-1)</f>
        <v>0.28552874624797986</v>
      </c>
      <c r="Q16" s="307" t="s">
        <v>858</v>
      </c>
      <c r="R16" s="307" t="s">
        <v>859</v>
      </c>
      <c r="S16" s="308">
        <f>((((1+S4)*(1+S5)*(1+S6)*(1+S7)*(1+S14))/(1-S13))-1)</f>
        <v>0</v>
      </c>
    </row>
    <row r="18" spans="3:15">
      <c r="C18" s="187">
        <v>0.40796005541445379</v>
      </c>
      <c r="O18">
        <v>0.28552874624797986</v>
      </c>
    </row>
  </sheetData>
  <mergeCells count="5">
    <mergeCell ref="A2:C2"/>
    <mergeCell ref="E2:G2"/>
    <mergeCell ref="I2:K2"/>
    <mergeCell ref="M2:O2"/>
    <mergeCell ref="Q2:S2"/>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9507" r:id="rId3" name="Label1">
          <controlPr defaultSize="0" autoLine="0" r:id="rId4">
            <anchor moveWithCells="1">
              <from>
                <xdr:col>1</xdr:col>
                <xdr:colOff>411480</xdr:colOff>
                <xdr:row>0</xdr:row>
                <xdr:rowOff>22860</xdr:rowOff>
              </from>
              <to>
                <xdr:col>5</xdr:col>
                <xdr:colOff>830580</xdr:colOff>
                <xdr:row>0</xdr:row>
                <xdr:rowOff>152400</xdr:rowOff>
              </to>
            </anchor>
          </controlPr>
        </control>
      </mc:Choice>
      <mc:Fallback>
        <control shapeId="149507" r:id="rId3" name="Label1"/>
      </mc:Fallback>
    </mc:AlternateContent>
    <mc:AlternateContent xmlns:mc="http://schemas.openxmlformats.org/markup-compatibility/2006">
      <mc:Choice Requires="x14">
        <control shapeId="149506" r:id="rId5" name="ComboBox4">
          <controlPr defaultSize="0" autoLine="0" r:id="rId6">
            <anchor moveWithCells="1">
              <from>
                <xdr:col>1</xdr:col>
                <xdr:colOff>365760</xdr:colOff>
                <xdr:row>0</xdr:row>
                <xdr:rowOff>175260</xdr:rowOff>
              </from>
              <to>
                <xdr:col>5</xdr:col>
                <xdr:colOff>944880</xdr:colOff>
                <xdr:row>0</xdr:row>
                <xdr:rowOff>411480</xdr:rowOff>
              </to>
            </anchor>
          </controlPr>
        </control>
      </mc:Choice>
      <mc:Fallback>
        <control shapeId="149506" r:id="rId5" name="ComboBox4"/>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4762-C65A-4D10-90A8-24C3551B8252}">
  <sheetPr codeName="Planilha34">
    <tabColor theme="1"/>
  </sheetPr>
  <dimension ref="A1:S67"/>
  <sheetViews>
    <sheetView showGridLines="0" zoomScaleNormal="100" workbookViewId="0">
      <selection activeCell="C10" sqref="C10"/>
    </sheetView>
  </sheetViews>
  <sheetFormatPr defaultRowHeight="14.4"/>
  <cols>
    <col min="1" max="1" width="5.44140625" style="640" bestFit="1" customWidth="1"/>
    <col min="2" max="2" width="58.88671875" style="640" customWidth="1"/>
    <col min="3" max="3" width="9.44140625" style="640" customWidth="1"/>
    <col min="4" max="4" width="13.44140625" style="640" customWidth="1"/>
    <col min="5" max="5" width="27.5546875" style="640" bestFit="1" customWidth="1"/>
    <col min="6" max="6" width="12.44140625" hidden="1" customWidth="1"/>
    <col min="7" max="7" width="10.88671875" hidden="1" customWidth="1"/>
    <col min="8" max="9" width="10.44140625" hidden="1" customWidth="1"/>
    <col min="10" max="10" width="13.109375" hidden="1" customWidth="1"/>
    <col min="11" max="11" width="10" hidden="1" customWidth="1"/>
    <col min="12" max="12" width="13.33203125" hidden="1" customWidth="1"/>
    <col min="13" max="13" width="13.33203125" style="755" hidden="1" customWidth="1"/>
    <col min="14" max="14" width="10.5546875" bestFit="1" customWidth="1"/>
    <col min="15" max="15" width="13.44140625" bestFit="1" customWidth="1"/>
    <col min="17" max="17" width="11.5546875" bestFit="1" customWidth="1"/>
  </cols>
  <sheetData>
    <row r="1" spans="1:19">
      <c r="A1" s="1211" t="s">
        <v>897</v>
      </c>
      <c r="B1" s="1212"/>
      <c r="C1" s="1212"/>
      <c r="D1" s="1212"/>
      <c r="E1" s="1213"/>
    </row>
    <row r="2" spans="1:19">
      <c r="A2" s="1214"/>
      <c r="B2" s="1215"/>
      <c r="C2" s="1215"/>
      <c r="D2" s="1215"/>
      <c r="E2" s="1216"/>
    </row>
    <row r="3" spans="1:19">
      <c r="A3" s="1214"/>
      <c r="B3" s="1215"/>
      <c r="C3" s="1215"/>
      <c r="D3" s="1215"/>
      <c r="E3" s="1216"/>
    </row>
    <row r="4" spans="1:19" ht="15" thickBot="1">
      <c r="A4" s="1214"/>
      <c r="B4" s="1215"/>
      <c r="C4" s="1215"/>
      <c r="D4" s="1215"/>
      <c r="E4" s="1216"/>
      <c r="L4">
        <f>316/30</f>
        <v>10.533333333333333</v>
      </c>
    </row>
    <row r="5" spans="1:19">
      <c r="A5" s="1217" t="s">
        <v>183</v>
      </c>
      <c r="B5" s="1220" t="s">
        <v>250</v>
      </c>
      <c r="C5" s="1223" t="s">
        <v>185</v>
      </c>
      <c r="D5" s="1223" t="s">
        <v>898</v>
      </c>
      <c r="E5" s="1225" t="s">
        <v>899</v>
      </c>
      <c r="I5" s="58"/>
      <c r="J5" s="58"/>
      <c r="K5" s="58"/>
      <c r="L5" s="58">
        <f>9.5*30</f>
        <v>285</v>
      </c>
      <c r="N5" s="58"/>
      <c r="O5" s="58"/>
      <c r="P5" s="58"/>
      <c r="Q5" s="58"/>
      <c r="R5" s="58"/>
      <c r="S5" s="58"/>
    </row>
    <row r="6" spans="1:19">
      <c r="A6" s="1218"/>
      <c r="B6" s="1221"/>
      <c r="C6" s="1224"/>
      <c r="D6" s="1224"/>
      <c r="E6" s="1226"/>
      <c r="I6" s="58"/>
      <c r="J6" s="58"/>
      <c r="K6" s="58"/>
      <c r="L6" s="58"/>
      <c r="N6" s="58"/>
      <c r="P6" s="58"/>
      <c r="Q6" s="58"/>
      <c r="R6" s="58"/>
      <c r="S6" s="58"/>
    </row>
    <row r="7" spans="1:19" ht="15" thickBot="1">
      <c r="A7" s="1219"/>
      <c r="B7" s="1222"/>
      <c r="C7" s="1224"/>
      <c r="D7" s="1224"/>
      <c r="E7" s="625" t="s">
        <v>1084</v>
      </c>
      <c r="I7" s="58"/>
      <c r="K7" s="58"/>
      <c r="L7" s="58"/>
      <c r="N7" s="58"/>
      <c r="O7" s="116"/>
      <c r="P7" s="58"/>
      <c r="Q7" s="58"/>
      <c r="R7" s="58"/>
      <c r="S7" s="58"/>
    </row>
    <row r="8" spans="1:19" ht="15" thickBot="1">
      <c r="A8" s="626">
        <v>1</v>
      </c>
      <c r="B8" s="627" t="s">
        <v>329</v>
      </c>
      <c r="C8" s="628"/>
      <c r="D8" s="628"/>
      <c r="E8" s="629"/>
      <c r="I8" s="58"/>
      <c r="J8" s="831"/>
      <c r="K8" s="58"/>
      <c r="L8" s="58"/>
      <c r="N8" s="58"/>
      <c r="O8" s="58"/>
      <c r="P8" s="58"/>
      <c r="Q8" s="58"/>
      <c r="R8" s="58"/>
      <c r="S8" s="58"/>
    </row>
    <row r="9" spans="1:19" hidden="1">
      <c r="A9" s="630" t="s">
        <v>118</v>
      </c>
      <c r="B9" s="631" t="s">
        <v>900</v>
      </c>
      <c r="C9" s="632" t="s">
        <v>901</v>
      </c>
      <c r="D9" s="633">
        <f>5/8</f>
        <v>0.625</v>
      </c>
      <c r="E9" s="634">
        <f>D9*9</f>
        <v>5.625</v>
      </c>
      <c r="I9" s="58"/>
      <c r="J9" s="831"/>
      <c r="K9" s="58"/>
      <c r="L9" s="58"/>
      <c r="N9" s="58"/>
      <c r="O9" s="58"/>
      <c r="P9" s="58"/>
      <c r="Q9" s="58"/>
      <c r="R9" s="58"/>
      <c r="S9" s="58"/>
    </row>
    <row r="10" spans="1:19" ht="27" thickBot="1">
      <c r="A10" s="630" t="s">
        <v>119</v>
      </c>
      <c r="B10" s="631" t="s">
        <v>902</v>
      </c>
      <c r="C10" s="632" t="s">
        <v>203</v>
      </c>
      <c r="D10" s="633">
        <f>3200/8</f>
        <v>400</v>
      </c>
      <c r="E10" s="634">
        <f>D10*8</f>
        <v>3200</v>
      </c>
      <c r="I10" s="58"/>
      <c r="J10" s="831"/>
      <c r="K10" s="58"/>
      <c r="L10" s="58"/>
      <c r="N10" s="58"/>
      <c r="O10" s="116"/>
      <c r="P10" s="58"/>
      <c r="Q10" s="58"/>
      <c r="R10" s="58"/>
      <c r="S10" s="58"/>
    </row>
    <row r="11" spans="1:19" ht="15" hidden="1" thickBot="1">
      <c r="A11" s="630" t="s">
        <v>120</v>
      </c>
      <c r="B11" s="631" t="s">
        <v>903</v>
      </c>
      <c r="C11" s="632" t="s">
        <v>904</v>
      </c>
      <c r="D11" s="633">
        <f>0.2*10000/8</f>
        <v>250</v>
      </c>
      <c r="E11" s="634">
        <f>D11*9</f>
        <v>2250</v>
      </c>
      <c r="I11" s="58"/>
      <c r="J11" s="831"/>
      <c r="K11" s="58"/>
      <c r="L11" s="58"/>
      <c r="N11" s="58"/>
      <c r="O11" s="58"/>
      <c r="P11" s="58"/>
      <c r="Q11" s="58"/>
      <c r="R11" s="58"/>
      <c r="S11" s="58"/>
    </row>
    <row r="12" spans="1:19" hidden="1">
      <c r="A12" s="630" t="s">
        <v>121</v>
      </c>
      <c r="B12" s="631" t="s">
        <v>905</v>
      </c>
      <c r="C12" s="632" t="s">
        <v>203</v>
      </c>
      <c r="D12" s="633">
        <v>500</v>
      </c>
      <c r="E12" s="634">
        <f>D12*9</f>
        <v>4500</v>
      </c>
      <c r="I12" s="58"/>
      <c r="J12" s="831"/>
      <c r="K12" s="58"/>
      <c r="L12" s="58"/>
      <c r="N12" s="58"/>
      <c r="O12" s="58"/>
      <c r="P12" s="58"/>
      <c r="Q12" s="58"/>
      <c r="R12" s="58"/>
      <c r="S12" s="58"/>
    </row>
    <row r="13" spans="1:19" ht="27" hidden="1" thickBot="1">
      <c r="A13" s="630" t="s">
        <v>209</v>
      </c>
      <c r="B13" s="631" t="s">
        <v>906</v>
      </c>
      <c r="C13" s="632" t="s">
        <v>203</v>
      </c>
      <c r="D13" s="633">
        <f>D10*2</f>
        <v>800</v>
      </c>
      <c r="E13" s="634">
        <f>D13*9</f>
        <v>7200</v>
      </c>
      <c r="I13" s="58"/>
      <c r="J13" s="831"/>
      <c r="K13" s="58"/>
      <c r="L13" s="58"/>
      <c r="N13" s="58"/>
      <c r="O13" s="58"/>
      <c r="P13" s="58"/>
      <c r="Q13" s="58"/>
      <c r="R13" s="58"/>
      <c r="S13" s="58"/>
    </row>
    <row r="14" spans="1:19" ht="15" thickBot="1">
      <c r="A14" s="626">
        <v>2</v>
      </c>
      <c r="B14" s="627" t="s">
        <v>202</v>
      </c>
      <c r="C14" s="628"/>
      <c r="D14" s="628"/>
      <c r="E14" s="629"/>
      <c r="I14" s="58"/>
      <c r="J14" s="831"/>
      <c r="K14" s="58"/>
      <c r="L14" s="58"/>
      <c r="N14" s="58"/>
      <c r="O14" s="58"/>
      <c r="P14" s="58"/>
      <c r="Q14" s="137">
        <v>298422</v>
      </c>
      <c r="R14" s="58">
        <f>Q14/(E38*3)</f>
        <v>71.05285714285715</v>
      </c>
      <c r="S14" s="58">
        <f>R14/30</f>
        <v>2.3684285714285718</v>
      </c>
    </row>
    <row r="15" spans="1:19">
      <c r="A15" s="630" t="s">
        <v>122</v>
      </c>
      <c r="B15" s="631" t="s">
        <v>1223</v>
      </c>
      <c r="C15" s="632" t="s">
        <v>931</v>
      </c>
      <c r="D15" s="633">
        <v>160</v>
      </c>
      <c r="E15" s="634">
        <f>D15*8</f>
        <v>1280</v>
      </c>
      <c r="I15" s="58"/>
      <c r="J15" s="831"/>
      <c r="K15" s="58"/>
      <c r="L15" s="58"/>
      <c r="N15" s="58"/>
      <c r="O15" s="58"/>
      <c r="P15" s="58"/>
      <c r="Q15" s="58"/>
      <c r="R15" s="58"/>
      <c r="S15" s="58"/>
    </row>
    <row r="16" spans="1:19">
      <c r="A16" s="630"/>
      <c r="B16" s="631" t="s">
        <v>1155</v>
      </c>
      <c r="C16" s="632" t="s">
        <v>931</v>
      </c>
      <c r="D16" s="633">
        <v>210</v>
      </c>
      <c r="E16" s="634">
        <f>D16*8</f>
        <v>1680</v>
      </c>
      <c r="I16" s="58"/>
      <c r="J16" s="831"/>
      <c r="K16" s="58"/>
      <c r="L16" s="58"/>
      <c r="N16" s="58"/>
      <c r="O16" s="58"/>
      <c r="P16" s="58"/>
      <c r="Q16" s="58"/>
      <c r="R16" s="58"/>
      <c r="S16" s="58"/>
    </row>
    <row r="17" spans="1:19">
      <c r="A17" s="630" t="s">
        <v>123</v>
      </c>
      <c r="B17" s="631" t="s">
        <v>907</v>
      </c>
      <c r="C17" s="632" t="s">
        <v>931</v>
      </c>
      <c r="D17" s="633">
        <v>160</v>
      </c>
      <c r="E17" s="634">
        <f>D17*8</f>
        <v>1280</v>
      </c>
      <c r="I17" s="58"/>
      <c r="J17" s="831"/>
      <c r="K17" s="58"/>
      <c r="L17" s="58"/>
      <c r="N17" s="58"/>
      <c r="O17" s="58"/>
      <c r="P17" s="58"/>
      <c r="Q17" s="58"/>
      <c r="R17" s="58"/>
      <c r="S17" s="58"/>
    </row>
    <row r="18" spans="1:19">
      <c r="A18" s="630" t="s">
        <v>124</v>
      </c>
      <c r="B18" s="631" t="s">
        <v>908</v>
      </c>
      <c r="C18" s="632" t="s">
        <v>208</v>
      </c>
      <c r="D18" s="633">
        <v>180</v>
      </c>
      <c r="E18" s="634">
        <f t="shared" ref="E18:E23" si="0">D18*9</f>
        <v>1620</v>
      </c>
      <c r="I18" s="58"/>
      <c r="J18" s="831"/>
      <c r="K18" s="58"/>
      <c r="L18" s="58"/>
      <c r="N18" s="58"/>
      <c r="O18" s="58"/>
      <c r="P18" s="58"/>
      <c r="Q18" s="58"/>
      <c r="R18" s="58"/>
      <c r="S18" s="58"/>
    </row>
    <row r="19" spans="1:19" ht="26.4">
      <c r="A19" s="630" t="s">
        <v>222</v>
      </c>
      <c r="B19" s="631" t="s">
        <v>909</v>
      </c>
      <c r="C19" s="632" t="s">
        <v>208</v>
      </c>
      <c r="D19" s="633">
        <v>177.32</v>
      </c>
      <c r="E19" s="634">
        <f t="shared" si="0"/>
        <v>1595.8799999999999</v>
      </c>
      <c r="I19" s="58"/>
      <c r="J19" s="831"/>
      <c r="K19" s="58"/>
      <c r="L19" s="58"/>
      <c r="N19" s="58"/>
      <c r="O19" s="58"/>
      <c r="P19" s="58"/>
      <c r="Q19" s="58"/>
      <c r="R19" s="58"/>
      <c r="S19" s="58"/>
    </row>
    <row r="20" spans="1:19" ht="26.4">
      <c r="A20" s="630" t="s">
        <v>223</v>
      </c>
      <c r="B20" s="631" t="s">
        <v>910</v>
      </c>
      <c r="C20" s="632" t="s">
        <v>208</v>
      </c>
      <c r="D20" s="633">
        <v>110</v>
      </c>
      <c r="E20" s="634">
        <f t="shared" si="0"/>
        <v>990</v>
      </c>
      <c r="I20" s="58"/>
      <c r="J20" s="831"/>
      <c r="K20" s="58"/>
      <c r="L20" s="58"/>
      <c r="N20" s="58"/>
      <c r="O20" s="58"/>
      <c r="P20" s="58"/>
      <c r="Q20" s="58"/>
      <c r="R20" s="58"/>
      <c r="S20" s="58"/>
    </row>
    <row r="21" spans="1:19">
      <c r="A21" s="630" t="s">
        <v>224</v>
      </c>
      <c r="B21" s="631" t="s">
        <v>911</v>
      </c>
      <c r="C21" s="632" t="s">
        <v>912</v>
      </c>
      <c r="D21" s="633">
        <v>35</v>
      </c>
      <c r="E21" s="634">
        <f t="shared" si="0"/>
        <v>315</v>
      </c>
      <c r="I21" s="58"/>
      <c r="J21" s="831"/>
      <c r="K21" s="58"/>
      <c r="L21" s="58"/>
      <c r="N21" s="58"/>
      <c r="O21" s="58"/>
      <c r="P21" s="58"/>
      <c r="Q21" s="58"/>
      <c r="R21" s="58"/>
      <c r="S21" s="58"/>
    </row>
    <row r="22" spans="1:19" ht="26.4">
      <c r="A22" s="630" t="s">
        <v>226</v>
      </c>
      <c r="B22" s="631" t="s">
        <v>913</v>
      </c>
      <c r="C22" s="632" t="s">
        <v>912</v>
      </c>
      <c r="D22" s="633">
        <f>D17*70%</f>
        <v>112</v>
      </c>
      <c r="E22" s="634">
        <f t="shared" si="0"/>
        <v>1008</v>
      </c>
      <c r="I22" s="58"/>
      <c r="J22" s="831"/>
      <c r="K22" s="58"/>
      <c r="L22" s="58"/>
      <c r="N22" s="58"/>
      <c r="O22" s="58"/>
      <c r="P22" s="58"/>
      <c r="Q22" s="58"/>
      <c r="R22" s="58"/>
      <c r="S22" s="58"/>
    </row>
    <row r="23" spans="1:19" ht="15" thickBot="1">
      <c r="A23" s="630" t="s">
        <v>228</v>
      </c>
      <c r="B23" s="631" t="s">
        <v>914</v>
      </c>
      <c r="C23" s="632" t="s">
        <v>915</v>
      </c>
      <c r="D23" s="633">
        <f>D15*1.3*0.833*3</f>
        <v>519.79199999999992</v>
      </c>
      <c r="E23" s="634">
        <f t="shared" si="0"/>
        <v>4678.1279999999988</v>
      </c>
      <c r="I23" s="58"/>
      <c r="J23" s="831"/>
      <c r="K23" s="58"/>
      <c r="L23" s="58"/>
      <c r="N23" s="58"/>
      <c r="O23" s="58"/>
      <c r="P23" s="58"/>
      <c r="Q23" s="58"/>
      <c r="R23" s="58"/>
      <c r="S23" s="58"/>
    </row>
    <row r="24" spans="1:19" ht="15" thickBot="1">
      <c r="A24" s="626">
        <v>6</v>
      </c>
      <c r="B24" s="627" t="s">
        <v>230</v>
      </c>
      <c r="C24" s="628"/>
      <c r="D24" s="628"/>
      <c r="E24" s="629"/>
      <c r="I24" s="58"/>
      <c r="J24" s="831"/>
      <c r="K24" s="58"/>
      <c r="L24" s="58"/>
      <c r="N24" s="58"/>
      <c r="O24" s="58"/>
      <c r="P24" s="58"/>
      <c r="Q24" s="58"/>
      <c r="R24" s="58"/>
      <c r="S24" s="58"/>
    </row>
    <row r="25" spans="1:19" ht="26.4">
      <c r="A25" s="630" t="s">
        <v>144</v>
      </c>
      <c r="B25" s="631" t="s">
        <v>917</v>
      </c>
      <c r="C25" s="632" t="s">
        <v>203</v>
      </c>
      <c r="D25" s="633">
        <v>300</v>
      </c>
      <c r="E25" s="634">
        <f t="shared" ref="E25:E35" si="1">D25*9</f>
        <v>2700</v>
      </c>
      <c r="I25" s="58"/>
      <c r="J25" s="831"/>
      <c r="K25" s="58"/>
      <c r="L25" s="58"/>
      <c r="N25" s="58"/>
      <c r="O25" s="58"/>
      <c r="P25" s="58"/>
      <c r="Q25" s="58"/>
      <c r="R25" s="58"/>
      <c r="S25" s="58"/>
    </row>
    <row r="26" spans="1:19">
      <c r="A26" s="630"/>
      <c r="B26" s="631" t="s">
        <v>918</v>
      </c>
      <c r="C26" s="632" t="s">
        <v>208</v>
      </c>
      <c r="D26" s="633">
        <v>220</v>
      </c>
      <c r="E26" s="634">
        <f t="shared" si="1"/>
        <v>1980</v>
      </c>
      <c r="I26" s="58"/>
      <c r="J26" s="831"/>
      <c r="K26" s="58"/>
      <c r="L26" s="58"/>
      <c r="N26" s="58"/>
      <c r="O26" s="116"/>
      <c r="P26" s="58"/>
      <c r="Q26" s="58"/>
      <c r="R26" s="58"/>
      <c r="S26" s="58"/>
    </row>
    <row r="27" spans="1:19">
      <c r="A27" s="630" t="s">
        <v>145</v>
      </c>
      <c r="B27" s="631" t="s">
        <v>919</v>
      </c>
      <c r="C27" s="632" t="s">
        <v>208</v>
      </c>
      <c r="D27" s="633">
        <v>55</v>
      </c>
      <c r="E27" s="634">
        <f t="shared" si="1"/>
        <v>495</v>
      </c>
      <c r="I27" s="58"/>
      <c r="J27" s="831"/>
      <c r="K27" s="58"/>
      <c r="L27" s="58"/>
      <c r="N27" s="58"/>
      <c r="O27" s="58"/>
      <c r="P27" s="58"/>
      <c r="Q27" s="58"/>
      <c r="R27" s="58"/>
      <c r="S27" s="58"/>
    </row>
    <row r="28" spans="1:19">
      <c r="A28" s="630" t="s">
        <v>146</v>
      </c>
      <c r="B28" s="631" t="s">
        <v>920</v>
      </c>
      <c r="C28" s="632" t="s">
        <v>208</v>
      </c>
      <c r="D28" s="633">
        <v>55</v>
      </c>
      <c r="E28" s="634">
        <f t="shared" si="1"/>
        <v>495</v>
      </c>
      <c r="I28" s="58"/>
      <c r="J28" s="831"/>
      <c r="K28" s="58"/>
      <c r="L28" s="58"/>
      <c r="N28" s="58"/>
      <c r="O28" s="58"/>
      <c r="P28" s="58"/>
      <c r="Q28" s="58"/>
      <c r="R28" s="58"/>
      <c r="S28" s="58"/>
    </row>
    <row r="29" spans="1:19">
      <c r="A29" s="630" t="s">
        <v>921</v>
      </c>
      <c r="B29" s="631" t="s">
        <v>922</v>
      </c>
      <c r="C29" s="632" t="s">
        <v>203</v>
      </c>
      <c r="D29" s="633">
        <v>900</v>
      </c>
      <c r="E29" s="634">
        <f t="shared" si="1"/>
        <v>8100</v>
      </c>
      <c r="I29" s="58"/>
      <c r="J29" s="831"/>
      <c r="K29" s="58"/>
      <c r="L29" s="58"/>
      <c r="N29" s="58"/>
      <c r="O29" s="58"/>
      <c r="P29" s="58"/>
      <c r="Q29" s="58"/>
      <c r="R29" s="58"/>
      <c r="S29" s="58"/>
    </row>
    <row r="30" spans="1:19">
      <c r="A30" s="630" t="s">
        <v>923</v>
      </c>
      <c r="B30" s="631" t="s">
        <v>924</v>
      </c>
      <c r="C30" s="632" t="s">
        <v>203</v>
      </c>
      <c r="D30" s="633">
        <f>D31</f>
        <v>816.66666666666674</v>
      </c>
      <c r="E30" s="634">
        <f>D30*8</f>
        <v>6533.3333333333339</v>
      </c>
      <c r="I30" s="58"/>
      <c r="J30" s="831"/>
      <c r="K30" s="58"/>
      <c r="L30" s="58"/>
      <c r="N30" s="58"/>
      <c r="O30" s="58"/>
      <c r="P30" s="58"/>
      <c r="Q30" s="58"/>
      <c r="R30" s="58"/>
      <c r="S30" s="58"/>
    </row>
    <row r="31" spans="1:19">
      <c r="A31" s="630" t="s">
        <v>925</v>
      </c>
      <c r="B31" s="631" t="s">
        <v>926</v>
      </c>
      <c r="C31" s="632" t="s">
        <v>203</v>
      </c>
      <c r="D31" s="633">
        <f>(14*14)/(0.03)/8</f>
        <v>816.66666666666674</v>
      </c>
      <c r="E31" s="634">
        <f>D31*8</f>
        <v>6533.3333333333339</v>
      </c>
      <c r="I31" s="58"/>
      <c r="J31" s="831"/>
      <c r="K31" s="58"/>
      <c r="L31" s="58"/>
      <c r="N31" s="58"/>
      <c r="O31" s="58"/>
      <c r="P31" s="58"/>
      <c r="Q31" s="58"/>
      <c r="R31" s="58"/>
      <c r="S31" s="58"/>
    </row>
    <row r="32" spans="1:19">
      <c r="A32" s="630" t="s">
        <v>927</v>
      </c>
      <c r="B32" s="631" t="s">
        <v>928</v>
      </c>
      <c r="C32" s="632" t="s">
        <v>225</v>
      </c>
      <c r="D32" s="633">
        <f>60/9</f>
        <v>6.666666666666667</v>
      </c>
      <c r="E32" s="634">
        <f t="shared" si="1"/>
        <v>60</v>
      </c>
      <c r="I32" s="58"/>
      <c r="J32" s="831"/>
      <c r="K32" s="58"/>
      <c r="L32" s="58"/>
      <c r="N32" s="58"/>
      <c r="O32" s="58"/>
      <c r="P32" s="58"/>
      <c r="Q32" s="58"/>
      <c r="R32" s="58"/>
      <c r="S32" s="58"/>
    </row>
    <row r="33" spans="1:19">
      <c r="A33" s="630" t="s">
        <v>929</v>
      </c>
      <c r="B33" s="631" t="s">
        <v>930</v>
      </c>
      <c r="C33" s="632" t="s">
        <v>931</v>
      </c>
      <c r="D33" s="633">
        <f>870*0.6*0.05</f>
        <v>26.1</v>
      </c>
      <c r="E33" s="634">
        <f t="shared" si="1"/>
        <v>234.9</v>
      </c>
      <c r="I33" s="58"/>
      <c r="J33" s="831"/>
      <c r="K33" s="58"/>
      <c r="L33" s="58"/>
      <c r="N33" s="58"/>
      <c r="O33" s="58"/>
      <c r="P33" s="58"/>
      <c r="Q33" s="58"/>
      <c r="R33" s="58"/>
      <c r="S33" s="58"/>
    </row>
    <row r="34" spans="1:19">
      <c r="A34" s="630" t="s">
        <v>932</v>
      </c>
      <c r="B34" s="631" t="s">
        <v>933</v>
      </c>
      <c r="C34" s="632" t="s">
        <v>203</v>
      </c>
      <c r="D34" s="633">
        <f>(200*8)/2.4/9</f>
        <v>74.074074074074076</v>
      </c>
      <c r="E34" s="634">
        <f t="shared" si="1"/>
        <v>666.66666666666674</v>
      </c>
      <c r="I34" s="58"/>
      <c r="J34" s="831"/>
      <c r="K34" s="58"/>
      <c r="L34" s="58"/>
      <c r="N34" s="58"/>
      <c r="O34" s="58"/>
      <c r="P34" s="58"/>
      <c r="Q34" s="58"/>
      <c r="R34" s="58"/>
      <c r="S34" s="58"/>
    </row>
    <row r="35" spans="1:19" ht="15" thickBot="1">
      <c r="A35" s="635" t="s">
        <v>934</v>
      </c>
      <c r="B35" s="636" t="s">
        <v>935</v>
      </c>
      <c r="C35" s="637" t="s">
        <v>203</v>
      </c>
      <c r="D35" s="638">
        <v>277</v>
      </c>
      <c r="E35" s="639">
        <f t="shared" si="1"/>
        <v>2493</v>
      </c>
      <c r="I35" s="58"/>
      <c r="J35" s="831"/>
      <c r="K35" s="58"/>
      <c r="L35" s="58"/>
      <c r="N35" s="58"/>
      <c r="O35" s="116"/>
      <c r="P35" s="58"/>
      <c r="Q35" s="58"/>
      <c r="R35" s="58"/>
      <c r="S35" s="58"/>
    </row>
    <row r="36" spans="1:19">
      <c r="A36" s="842">
        <v>1</v>
      </c>
      <c r="B36" s="843"/>
      <c r="C36" s="844"/>
      <c r="D36" s="844"/>
      <c r="E36" s="845"/>
      <c r="F36" s="58"/>
      <c r="G36" s="58"/>
      <c r="H36" s="58"/>
      <c r="I36" s="58"/>
      <c r="J36" s="852"/>
      <c r="K36" s="58"/>
      <c r="L36" s="58"/>
      <c r="N36" s="58"/>
      <c r="O36" s="116"/>
      <c r="P36" s="58"/>
      <c r="Q36" s="58"/>
      <c r="R36" s="58"/>
      <c r="S36" s="58"/>
    </row>
    <row r="37" spans="1:19" hidden="1">
      <c r="A37" s="846" t="s">
        <v>118</v>
      </c>
      <c r="B37" s="847" t="s">
        <v>1081</v>
      </c>
      <c r="C37" s="846" t="s">
        <v>904</v>
      </c>
      <c r="D37" s="848">
        <f>10000/7</f>
        <v>1428.5714285714287</v>
      </c>
      <c r="E37" s="849">
        <f>D37*7</f>
        <v>10000</v>
      </c>
      <c r="F37" s="58"/>
      <c r="G37" s="58"/>
      <c r="H37" s="58"/>
      <c r="I37" s="58"/>
      <c r="J37" s="831" t="s">
        <v>1089</v>
      </c>
      <c r="K37" s="58"/>
      <c r="L37" s="58"/>
      <c r="R37" s="58"/>
      <c r="S37" s="58"/>
    </row>
    <row r="38" spans="1:19">
      <c r="A38" s="632" t="s">
        <v>119</v>
      </c>
      <c r="B38" s="631" t="s">
        <v>1082</v>
      </c>
      <c r="C38" s="632" t="s">
        <v>904</v>
      </c>
      <c r="D38" s="633">
        <f>1600/8</f>
        <v>200</v>
      </c>
      <c r="E38" s="850">
        <f>D38*7</f>
        <v>1400</v>
      </c>
      <c r="F38" s="58"/>
      <c r="G38" s="58"/>
      <c r="H38" s="58"/>
      <c r="I38" s="58"/>
      <c r="J38" s="116">
        <f>PLANEJAMENTO!E13+PLANEJAMENTO!E35</f>
        <v>72000</v>
      </c>
      <c r="K38" s="58" t="s">
        <v>1090</v>
      </c>
      <c r="L38" s="58"/>
      <c r="R38" s="58"/>
      <c r="S38" s="58"/>
    </row>
    <row r="39" spans="1:19">
      <c r="A39" s="632" t="s">
        <v>120</v>
      </c>
      <c r="B39" s="631" t="s">
        <v>1083</v>
      </c>
      <c r="C39" s="632" t="s">
        <v>904</v>
      </c>
      <c r="D39" s="633">
        <f>4000/7</f>
        <v>571.42857142857144</v>
      </c>
      <c r="E39" s="850">
        <f t="shared" ref="E39:E44" si="2">D39*7</f>
        <v>4000</v>
      </c>
      <c r="F39" s="137">
        <f>CRONOGRAMA!AT22+CRONOGRAMA!AT32</f>
        <v>40030</v>
      </c>
      <c r="G39" s="755">
        <v>45674</v>
      </c>
      <c r="H39" s="755">
        <f>G39+K39</f>
        <v>45781</v>
      </c>
      <c r="I39" s="854">
        <v>0.25</v>
      </c>
      <c r="J39" s="116">
        <f>J38*I39</f>
        <v>18000</v>
      </c>
      <c r="K39" s="735">
        <v>107</v>
      </c>
      <c r="L39" s="116">
        <f>CRONOGRAMA!AR22+CRONOGRAMA!AR32</f>
        <v>40030</v>
      </c>
      <c r="M39" s="755">
        <f>CRONOGRAMA!AS7</f>
        <v>46145</v>
      </c>
      <c r="R39" s="58"/>
      <c r="S39" s="58"/>
    </row>
    <row r="40" spans="1:19">
      <c r="A40" s="632" t="s">
        <v>121</v>
      </c>
      <c r="B40" s="631" t="s">
        <v>1085</v>
      </c>
      <c r="C40" s="632" t="s">
        <v>956</v>
      </c>
      <c r="D40" s="633">
        <v>13</v>
      </c>
      <c r="E40" s="850">
        <f t="shared" si="2"/>
        <v>91</v>
      </c>
      <c r="F40" s="137">
        <f>CRONOGRAMA!BP22+CRONOGRAMA!BP32</f>
        <v>40030</v>
      </c>
      <c r="G40" s="755"/>
      <c r="H40" s="755">
        <f>G39+K40</f>
        <v>45858</v>
      </c>
      <c r="I40" s="760">
        <v>0.5</v>
      </c>
      <c r="J40" s="116">
        <f>J38*I40</f>
        <v>36000</v>
      </c>
      <c r="K40" s="735">
        <v>184</v>
      </c>
      <c r="L40" s="116">
        <f>CRONOGRAMA!BN22+CRONOGRAMA!BN32</f>
        <v>40030</v>
      </c>
      <c r="M40" s="755">
        <f>CRONOGRAMA!BO7</f>
        <v>46222</v>
      </c>
      <c r="R40" s="58"/>
      <c r="S40" s="58"/>
    </row>
    <row r="41" spans="1:19">
      <c r="A41" s="632" t="s">
        <v>209</v>
      </c>
      <c r="B41" s="631" t="s">
        <v>1086</v>
      </c>
      <c r="C41" s="632" t="s">
        <v>984</v>
      </c>
      <c r="D41" s="633">
        <f>300/7</f>
        <v>42.857142857142854</v>
      </c>
      <c r="E41" s="850">
        <f t="shared" si="2"/>
        <v>300</v>
      </c>
      <c r="F41" s="116">
        <f>CRONOGRAMA!CL22+CRONOGRAMA!CL32</f>
        <v>40030</v>
      </c>
      <c r="G41" s="755"/>
      <c r="H41" s="755">
        <f>G39+K41</f>
        <v>45935</v>
      </c>
      <c r="I41" s="760">
        <v>0.75</v>
      </c>
      <c r="J41" s="116">
        <f>I41*J38</f>
        <v>54000</v>
      </c>
      <c r="K41" s="735">
        <v>261</v>
      </c>
      <c r="L41" s="116">
        <f>CRONOGRAMA!CD22+CRONOGRAMA!CD32</f>
        <v>40030</v>
      </c>
      <c r="M41" s="755">
        <f>CRONOGRAMA!BX7+14</f>
        <v>46265</v>
      </c>
      <c r="R41" s="58"/>
      <c r="S41" s="58"/>
    </row>
    <row r="42" spans="1:19">
      <c r="A42" s="632" t="s">
        <v>211</v>
      </c>
      <c r="B42" s="631" t="s">
        <v>1087</v>
      </c>
      <c r="C42" s="632" t="s">
        <v>984</v>
      </c>
      <c r="D42" s="633">
        <f>200/7</f>
        <v>28.571428571428573</v>
      </c>
      <c r="E42" s="850">
        <f t="shared" si="2"/>
        <v>200</v>
      </c>
      <c r="F42" s="137">
        <f>CRONOGRAMA!CR22+CRONOGRAMA!CT32</f>
        <v>40030</v>
      </c>
      <c r="G42" s="755"/>
      <c r="H42" s="755">
        <f>G39+K42</f>
        <v>45990</v>
      </c>
      <c r="I42" s="760">
        <v>1</v>
      </c>
      <c r="J42" s="116">
        <f>I42*J38</f>
        <v>72000</v>
      </c>
      <c r="K42" s="735">
        <v>316</v>
      </c>
      <c r="M42" s="755">
        <f>CRONOGRAMA!CS7-1+14</f>
        <v>46340</v>
      </c>
      <c r="R42" s="58"/>
      <c r="S42" s="58"/>
    </row>
    <row r="43" spans="1:19">
      <c r="A43" s="632" t="s">
        <v>213</v>
      </c>
      <c r="B43" s="631" t="s">
        <v>1088</v>
      </c>
      <c r="C43" s="632" t="s">
        <v>984</v>
      </c>
      <c r="D43" s="633">
        <f>300/7</f>
        <v>42.857142857142854</v>
      </c>
      <c r="E43" s="850">
        <f t="shared" si="2"/>
        <v>300</v>
      </c>
      <c r="I43" s="58"/>
      <c r="J43" s="58"/>
      <c r="K43" s="58"/>
      <c r="L43" s="58"/>
      <c r="N43" s="58"/>
      <c r="O43" s="58"/>
      <c r="P43" s="58"/>
      <c r="Q43" s="58"/>
      <c r="R43" s="58"/>
      <c r="S43" s="58"/>
    </row>
    <row r="44" spans="1:19">
      <c r="A44" s="632" t="s">
        <v>214</v>
      </c>
      <c r="B44" s="631" t="s">
        <v>1080</v>
      </c>
      <c r="C44" s="632" t="s">
        <v>984</v>
      </c>
      <c r="D44" s="633">
        <f>1000/7</f>
        <v>142.85714285714286</v>
      </c>
      <c r="E44" s="850">
        <f t="shared" si="2"/>
        <v>1000</v>
      </c>
      <c r="G44" s="755"/>
      <c r="H44" s="58"/>
      <c r="I44" s="58" t="s">
        <v>1070</v>
      </c>
      <c r="J44" s="58"/>
      <c r="K44" s="58"/>
    </row>
    <row r="45" spans="1:19">
      <c r="A45" s="637" t="s">
        <v>216</v>
      </c>
      <c r="B45" s="851" t="s">
        <v>1133</v>
      </c>
      <c r="C45" s="637" t="s">
        <v>381</v>
      </c>
      <c r="D45" s="638">
        <f>1/7</f>
        <v>0.14285714285714285</v>
      </c>
      <c r="E45" s="638">
        <f>D45*7</f>
        <v>1</v>
      </c>
      <c r="G45" s="755"/>
      <c r="H45" s="58"/>
      <c r="I45" s="116" t="e">
        <f>SUM(PLANEJAMENTO!#REF!)</f>
        <v>#REF!</v>
      </c>
      <c r="J45" s="58"/>
      <c r="K45" s="58"/>
    </row>
    <row r="46" spans="1:19">
      <c r="F46" s="137">
        <f>CRONOGRAMA!AR81+CRONOGRAMA!AT80/6*2</f>
        <v>1108.186379928316</v>
      </c>
      <c r="H46" s="755">
        <f>$G$39+J46</f>
        <v>45777</v>
      </c>
      <c r="I46" s="116" t="e">
        <f>I45*I39</f>
        <v>#REF!</v>
      </c>
      <c r="J46" s="735">
        <v>103</v>
      </c>
      <c r="K46" s="137">
        <f>CRONOGRAMA!AR81</f>
        <v>0</v>
      </c>
      <c r="L46" s="755"/>
    </row>
    <row r="47" spans="1:19">
      <c r="F47" s="137">
        <f>CRONOGRAMA!BL81+CRONOGRAMA!BN80/6*3</f>
        <v>32000</v>
      </c>
      <c r="H47" s="755">
        <f>$G$39+J47</f>
        <v>45848</v>
      </c>
      <c r="I47" s="116" t="e">
        <f>I45*I40</f>
        <v>#REF!</v>
      </c>
      <c r="J47" s="735">
        <v>174</v>
      </c>
      <c r="K47" s="137">
        <f>CRONOGRAMA!BL81</f>
        <v>32000</v>
      </c>
      <c r="L47" s="755"/>
    </row>
    <row r="48" spans="1:19">
      <c r="F48" s="137">
        <f>CRONOGRAMA!CH81+CRONOGRAMA!CH90+CRONOGRAMA!CH99</f>
        <v>96000</v>
      </c>
      <c r="H48" s="755">
        <f>$G$39+J48</f>
        <v>45919</v>
      </c>
      <c r="I48" s="116" t="e">
        <f>I45*I41</f>
        <v>#REF!</v>
      </c>
      <c r="J48" s="735">
        <v>245</v>
      </c>
      <c r="K48" s="137">
        <f>CRONOGRAMA!CF81+CRONOGRAMA!CF90+CRONOGRAMA!CF99</f>
        <v>96000</v>
      </c>
      <c r="L48" s="137">
        <f>CRONOGRAMA!CD81+CRONOGRAMA!CD90+CRONOGRAMA!CD99</f>
        <v>96000</v>
      </c>
      <c r="M48" s="755">
        <f>CRONOGRAMA!CE7-1</f>
        <v>46277</v>
      </c>
    </row>
    <row r="49" spans="2:14">
      <c r="F49" s="137" t="e">
        <f>CRONOGRAMA!CP99+CRONOGRAMA!CP90+CRONOGRAMA!CP81+CRONOGRAMA!CP108+CRONOGRAMA!#REF!</f>
        <v>#REF!</v>
      </c>
      <c r="H49" s="755">
        <f>$G$39+J49</f>
        <v>45974</v>
      </c>
      <c r="I49" s="116" t="e">
        <f>I42*I45</f>
        <v>#REF!</v>
      </c>
      <c r="J49" s="735">
        <v>300</v>
      </c>
      <c r="K49" s="137" t="e">
        <f>CRONOGRAMA!CN108+CRONOGRAMA!CN99+CRONOGRAMA!#REF!+CRONOGRAMA!CN81+CRONOGRAMA!CN90</f>
        <v>#REF!</v>
      </c>
      <c r="L49" s="755">
        <f>CRONOGRAMA!CO7-3</f>
        <v>46310</v>
      </c>
    </row>
    <row r="50" spans="2:14" hidden="1"/>
    <row r="51" spans="2:14" hidden="1">
      <c r="F51" s="640"/>
      <c r="G51" s="640"/>
      <c r="H51" s="640"/>
      <c r="I51" s="640"/>
      <c r="J51" s="640"/>
      <c r="K51" s="640"/>
      <c r="L51" s="640"/>
      <c r="M51" s="640"/>
      <c r="N51" s="640"/>
    </row>
    <row r="52" spans="2:14" ht="15" hidden="1" customHeight="1">
      <c r="B52" s="1202" t="s">
        <v>1147</v>
      </c>
      <c r="C52" s="1203"/>
      <c r="D52" s="1204"/>
      <c r="F52" s="640"/>
      <c r="G52" s="640"/>
      <c r="H52" s="640"/>
      <c r="I52" s="640"/>
      <c r="J52" s="640"/>
      <c r="K52" s="640"/>
      <c r="L52" s="640"/>
      <c r="M52" s="640"/>
      <c r="N52" s="640"/>
    </row>
    <row r="53" spans="2:14" ht="15" hidden="1" customHeight="1">
      <c r="B53" s="1205"/>
      <c r="C53" s="1206"/>
      <c r="D53" s="1207"/>
      <c r="F53" s="640"/>
      <c r="G53" s="640"/>
      <c r="H53" s="640"/>
      <c r="I53" s="640"/>
      <c r="J53" s="640"/>
      <c r="K53" s="640"/>
      <c r="L53" s="640"/>
      <c r="M53" s="640"/>
      <c r="N53" s="640"/>
    </row>
    <row r="54" spans="2:14" ht="15" hidden="1" customHeight="1">
      <c r="B54" s="1205"/>
      <c r="C54" s="1206"/>
      <c r="D54" s="1207"/>
      <c r="F54" s="640"/>
      <c r="G54" s="640"/>
      <c r="H54" s="640"/>
      <c r="I54" s="640"/>
      <c r="J54" s="640"/>
      <c r="K54" s="640"/>
      <c r="L54" s="640"/>
      <c r="M54" s="640"/>
      <c r="N54" s="640"/>
    </row>
    <row r="55" spans="2:14" ht="15" hidden="1" customHeight="1">
      <c r="B55" s="1208"/>
      <c r="C55" s="1209"/>
      <c r="D55" s="1210"/>
      <c r="F55" s="640"/>
      <c r="G55" s="640"/>
      <c r="H55" s="640"/>
      <c r="I55" s="640"/>
      <c r="J55" s="640"/>
      <c r="K55" s="640"/>
      <c r="L55" s="640"/>
      <c r="M55" s="640"/>
      <c r="N55" s="640"/>
    </row>
    <row r="56" spans="2:14" ht="15" hidden="1" customHeight="1">
      <c r="B56" s="878" t="s">
        <v>1143</v>
      </c>
      <c r="C56" s="878" t="s">
        <v>1144</v>
      </c>
      <c r="D56" s="878" t="s">
        <v>371</v>
      </c>
      <c r="F56" s="640"/>
      <c r="G56" s="640"/>
      <c r="H56" s="640"/>
      <c r="I56" s="640"/>
      <c r="J56" s="640"/>
      <c r="K56" s="640"/>
      <c r="L56" s="640"/>
      <c r="M56" s="640"/>
      <c r="N56" s="640"/>
    </row>
    <row r="57" spans="2:14" ht="15" hidden="1" customHeight="1">
      <c r="B57" s="880" t="s">
        <v>1145</v>
      </c>
      <c r="C57" s="882">
        <f>(PLANEJAMENTO!E13/EQUIPE!Y8)</f>
        <v>1333.3333333333333</v>
      </c>
      <c r="D57" s="879" t="s">
        <v>1150</v>
      </c>
      <c r="F57" s="640"/>
      <c r="G57" s="640"/>
      <c r="H57" s="640"/>
      <c r="I57" s="640"/>
      <c r="J57" s="640"/>
      <c r="K57" s="640"/>
      <c r="L57" s="640"/>
      <c r="M57" s="640"/>
      <c r="N57" s="640"/>
    </row>
    <row r="58" spans="2:14" ht="28.8" hidden="1">
      <c r="B58" s="880" t="s">
        <v>1146</v>
      </c>
      <c r="C58" s="882">
        <f>((PLANEJAMENTO!E35/EQUIPE!Y44))/2</f>
        <v>1066.6666666666667</v>
      </c>
      <c r="D58" s="879" t="s">
        <v>1150</v>
      </c>
    </row>
    <row r="59" spans="2:14" hidden="1">
      <c r="B59" s="880" t="s">
        <v>1148</v>
      </c>
      <c r="C59" s="882">
        <f>PLANEJAMENTO!E11/EQUIPE!Y70</f>
        <v>0.2</v>
      </c>
      <c r="D59" s="879" t="s">
        <v>1151</v>
      </c>
    </row>
    <row r="60" spans="2:14" ht="43.2" hidden="1">
      <c r="B60" s="880" t="s">
        <v>1065</v>
      </c>
      <c r="C60" s="882">
        <f>E42</f>
        <v>200</v>
      </c>
      <c r="D60" s="879" t="s">
        <v>1149</v>
      </c>
    </row>
    <row r="61" spans="2:14" ht="28.8" hidden="1">
      <c r="B61" s="880" t="s">
        <v>1066</v>
      </c>
      <c r="C61" s="882">
        <v>200</v>
      </c>
      <c r="D61" s="879" t="s">
        <v>1149</v>
      </c>
    </row>
    <row r="62" spans="2:14" ht="43.2" hidden="1">
      <c r="B62" s="880" t="s">
        <v>1067</v>
      </c>
      <c r="C62" s="882">
        <f>E41</f>
        <v>300</v>
      </c>
      <c r="D62" s="879" t="s">
        <v>1149</v>
      </c>
    </row>
    <row r="63" spans="2:14" ht="43.2" hidden="1">
      <c r="B63" s="880" t="s">
        <v>1131</v>
      </c>
      <c r="C63" s="882">
        <v>300</v>
      </c>
      <c r="D63" s="879" t="s">
        <v>1149</v>
      </c>
    </row>
    <row r="64" spans="2:14" ht="43.2" hidden="1">
      <c r="B64" s="880" t="s">
        <v>1132</v>
      </c>
      <c r="C64" s="882">
        <v>300</v>
      </c>
      <c r="D64" s="879" t="s">
        <v>1149</v>
      </c>
    </row>
    <row r="65" spans="2:4" hidden="1">
      <c r="B65" s="880" t="s">
        <v>1068</v>
      </c>
      <c r="C65" s="882">
        <f>300</f>
        <v>300</v>
      </c>
      <c r="D65" s="879" t="s">
        <v>1149</v>
      </c>
    </row>
    <row r="66" spans="2:4" hidden="1">
      <c r="B66" s="880" t="e">
        <f>PLANEJAMENTO!#REF!</f>
        <v>#REF!</v>
      </c>
      <c r="C66" s="881" t="e">
        <f>PLANEJAMENTO!#REF!/#REF!</f>
        <v>#REF!</v>
      </c>
      <c r="D66" s="879" t="s">
        <v>1152</v>
      </c>
    </row>
    <row r="67" spans="2:4" hidden="1">
      <c r="B67" s="880" t="e">
        <f>PLANEJAMENTO!#REF!</f>
        <v>#REF!</v>
      </c>
      <c r="C67" s="882" t="e">
        <f>PLANEJAMENTO!#REF!/#REF!</f>
        <v>#REF!</v>
      </c>
      <c r="D67" s="879" t="s">
        <v>1149</v>
      </c>
    </row>
  </sheetData>
  <mergeCells count="7">
    <mergeCell ref="B52:D55"/>
    <mergeCell ref="A1:E4"/>
    <mergeCell ref="A5:A7"/>
    <mergeCell ref="B5:B7"/>
    <mergeCell ref="C5:C7"/>
    <mergeCell ref="D5:D7"/>
    <mergeCell ref="E5:E6"/>
  </mergeCells>
  <phoneticPr fontId="45" type="noConversion"/>
  <printOptions horizontalCentered="1"/>
  <pageMargins left="0.51181102362204722" right="0.51181102362204722" top="0.78740157480314965" bottom="0.78740157480314965"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FA08-2417-49E8-9FC3-FEC92EFFE43A}">
  <sheetPr codeName="Planilha33">
    <tabColor theme="1"/>
  </sheetPr>
  <dimension ref="B1:AB24"/>
  <sheetViews>
    <sheetView showGridLines="0" topLeftCell="A2" zoomScale="90" zoomScaleNormal="90" workbookViewId="0">
      <selection activeCell="O28" sqref="O28"/>
    </sheetView>
  </sheetViews>
  <sheetFormatPr defaultRowHeight="14.4"/>
  <cols>
    <col min="2" max="2" width="31" bestFit="1" customWidth="1"/>
    <col min="3" max="14" width="8.6640625" customWidth="1"/>
    <col min="15" max="15" width="25.5546875" customWidth="1"/>
    <col min="16" max="16" width="52.5546875" customWidth="1"/>
    <col min="17" max="17" width="13.109375" customWidth="1"/>
    <col min="18" max="28" width="11.33203125" customWidth="1"/>
    <col min="29" max="29" width="9.109375" customWidth="1"/>
  </cols>
  <sheetData>
    <row r="1" spans="2:28" ht="32.25" customHeight="1">
      <c r="B1" s="1237" t="s">
        <v>815</v>
      </c>
      <c r="C1" s="1237"/>
      <c r="D1" s="1237"/>
      <c r="E1" s="1237"/>
      <c r="F1" s="1237"/>
      <c r="G1" s="1237"/>
      <c r="H1" s="1237"/>
      <c r="I1" s="1237"/>
      <c r="J1" s="1237"/>
      <c r="K1" s="1237"/>
      <c r="L1" s="1237"/>
      <c r="M1" s="1237"/>
      <c r="N1" s="1237"/>
      <c r="P1" s="832"/>
      <c r="Q1" s="833"/>
      <c r="R1" s="833"/>
      <c r="S1" s="833"/>
      <c r="T1" s="833"/>
      <c r="U1" s="833"/>
      <c r="V1" s="833"/>
      <c r="W1" s="833"/>
      <c r="X1" s="833"/>
      <c r="Y1" s="833"/>
      <c r="Z1" s="833"/>
      <c r="AA1" s="833"/>
      <c r="AB1" s="833"/>
    </row>
    <row r="2" spans="2:28" ht="12" customHeight="1">
      <c r="B2" s="3"/>
      <c r="C2" s="3"/>
      <c r="D2" s="3"/>
      <c r="E2" s="3"/>
      <c r="F2" s="3"/>
      <c r="G2" s="3"/>
      <c r="H2" s="3"/>
      <c r="I2" s="3"/>
      <c r="J2" s="3"/>
      <c r="K2" s="3"/>
      <c r="L2" s="3"/>
      <c r="M2" s="3"/>
      <c r="N2" s="3"/>
      <c r="P2" s="1244" t="s">
        <v>1378</v>
      </c>
      <c r="Q2" s="1245"/>
      <c r="R2" s="1245"/>
      <c r="S2" s="1245"/>
      <c r="T2" s="1245"/>
      <c r="U2" s="1245"/>
      <c r="V2" s="1245"/>
      <c r="W2" s="1245"/>
      <c r="X2" s="1245"/>
      <c r="Y2" s="1245"/>
      <c r="Z2" s="1245"/>
      <c r="AA2" s="1245"/>
      <c r="AB2" s="1246"/>
    </row>
    <row r="3" spans="2:28" ht="18" customHeight="1">
      <c r="B3" s="418" t="s">
        <v>816</v>
      </c>
      <c r="C3" s="3" t="s">
        <v>1377</v>
      </c>
      <c r="D3" s="3"/>
      <c r="E3" s="3"/>
      <c r="F3" s="3"/>
      <c r="G3" s="3"/>
      <c r="H3" s="3"/>
      <c r="I3" s="3"/>
      <c r="J3" s="3"/>
      <c r="K3" s="3"/>
      <c r="L3" s="3"/>
      <c r="M3" s="3"/>
      <c r="N3" s="3"/>
      <c r="P3" s="1247"/>
      <c r="Q3" s="1248"/>
      <c r="R3" s="1248"/>
      <c r="S3" s="1248"/>
      <c r="T3" s="1248"/>
      <c r="U3" s="1248"/>
      <c r="V3" s="1248"/>
      <c r="W3" s="1248"/>
      <c r="X3" s="1248"/>
      <c r="Y3" s="1248"/>
      <c r="Z3" s="1248"/>
      <c r="AA3" s="1248"/>
      <c r="AB3" s="1249"/>
    </row>
    <row r="4" spans="2:28">
      <c r="B4" s="419" t="s">
        <v>817</v>
      </c>
      <c r="C4" s="420" t="s">
        <v>818</v>
      </c>
      <c r="D4" s="3"/>
      <c r="E4" s="3"/>
      <c r="F4" s="3"/>
      <c r="G4" s="3"/>
      <c r="H4" s="3"/>
      <c r="I4" s="3"/>
      <c r="J4" s="3"/>
      <c r="K4" s="3"/>
      <c r="L4" s="3"/>
      <c r="M4" s="3"/>
      <c r="N4" s="3"/>
      <c r="P4" s="1247"/>
      <c r="Q4" s="1248"/>
      <c r="R4" s="1248"/>
      <c r="S4" s="1248"/>
      <c r="T4" s="1248"/>
      <c r="U4" s="1248"/>
      <c r="V4" s="1248"/>
      <c r="W4" s="1248"/>
      <c r="X4" s="1248"/>
      <c r="Y4" s="1248"/>
      <c r="Z4" s="1248"/>
      <c r="AA4" s="1248"/>
      <c r="AB4" s="1249"/>
    </row>
    <row r="5" spans="2:28">
      <c r="B5" s="419"/>
      <c r="C5" s="1241">
        <v>2026</v>
      </c>
      <c r="D5" s="1242"/>
      <c r="E5" s="1242"/>
      <c r="F5" s="1242"/>
      <c r="G5" s="1242"/>
      <c r="H5" s="1242"/>
      <c r="I5" s="1242"/>
      <c r="J5" s="1242"/>
      <c r="K5" s="1242"/>
      <c r="L5" s="1242"/>
      <c r="M5" s="1242"/>
      <c r="N5" s="1243"/>
      <c r="P5" s="1250"/>
      <c r="Q5" s="1251"/>
      <c r="R5" s="1251"/>
      <c r="S5" s="1251"/>
      <c r="T5" s="1251"/>
      <c r="U5" s="1251"/>
      <c r="V5" s="1251"/>
      <c r="W5" s="1251"/>
      <c r="X5" s="1251"/>
      <c r="Y5" s="1251"/>
      <c r="Z5" s="1251"/>
      <c r="AA5" s="1251"/>
      <c r="AB5" s="1252"/>
    </row>
    <row r="6" spans="2:28">
      <c r="C6" s="1238" t="s">
        <v>819</v>
      </c>
      <c r="D6" s="1239"/>
      <c r="E6" s="1239"/>
      <c r="F6" s="1239"/>
      <c r="G6" s="1239"/>
      <c r="H6" s="1239"/>
      <c r="I6" s="1239"/>
      <c r="J6" s="1239"/>
      <c r="K6" s="1239"/>
      <c r="L6" s="1239"/>
      <c r="M6" s="1239"/>
      <c r="N6" s="1240"/>
      <c r="P6" s="1235" t="s">
        <v>1079</v>
      </c>
      <c r="Q6" s="1232">
        <v>2026</v>
      </c>
      <c r="R6" s="1233"/>
      <c r="S6" s="1233"/>
      <c r="T6" s="1233"/>
      <c r="U6" s="1233"/>
      <c r="V6" s="1233"/>
      <c r="W6" s="1233"/>
      <c r="X6" s="1233"/>
      <c r="Y6" s="1233"/>
      <c r="Z6" s="1233"/>
      <c r="AA6" s="1233"/>
      <c r="AB6" s="1234"/>
    </row>
    <row r="7" spans="2:28">
      <c r="B7" s="184"/>
      <c r="C7" s="421" t="s">
        <v>820</v>
      </c>
      <c r="D7" s="421" t="s">
        <v>821</v>
      </c>
      <c r="E7" s="421" t="s">
        <v>822</v>
      </c>
      <c r="F7" s="421" t="s">
        <v>823</v>
      </c>
      <c r="G7" s="421" t="s">
        <v>282</v>
      </c>
      <c r="H7" s="421" t="s">
        <v>283</v>
      </c>
      <c r="I7" s="421" t="s">
        <v>284</v>
      </c>
      <c r="J7" s="421" t="s">
        <v>285</v>
      </c>
      <c r="K7" s="421" t="s">
        <v>824</v>
      </c>
      <c r="L7" s="421" t="s">
        <v>825</v>
      </c>
      <c r="M7" s="421" t="s">
        <v>826</v>
      </c>
      <c r="N7" s="421" t="s">
        <v>827</v>
      </c>
      <c r="P7" s="1236"/>
      <c r="Q7" s="923" t="s">
        <v>820</v>
      </c>
      <c r="R7" s="923" t="s">
        <v>821</v>
      </c>
      <c r="S7" s="923" t="s">
        <v>822</v>
      </c>
      <c r="T7" s="923" t="s">
        <v>823</v>
      </c>
      <c r="U7" s="923" t="s">
        <v>282</v>
      </c>
      <c r="V7" s="923" t="s">
        <v>283</v>
      </c>
      <c r="W7" s="923" t="s">
        <v>284</v>
      </c>
      <c r="X7" s="923" t="s">
        <v>285</v>
      </c>
      <c r="Y7" s="923" t="s">
        <v>824</v>
      </c>
      <c r="Z7" s="923" t="s">
        <v>825</v>
      </c>
      <c r="AA7" s="923" t="s">
        <v>826</v>
      </c>
      <c r="AB7" s="923" t="s">
        <v>827</v>
      </c>
    </row>
    <row r="8" spans="2:28">
      <c r="B8" s="422" t="s">
        <v>828</v>
      </c>
      <c r="C8" s="423">
        <v>31</v>
      </c>
      <c r="D8" s="423">
        <v>28</v>
      </c>
      <c r="E8" s="423">
        <v>31</v>
      </c>
      <c r="F8" s="423">
        <v>30</v>
      </c>
      <c r="G8" s="423">
        <v>31</v>
      </c>
      <c r="H8" s="423">
        <v>30</v>
      </c>
      <c r="I8" s="423">
        <v>31</v>
      </c>
      <c r="J8" s="423">
        <v>31</v>
      </c>
      <c r="K8" s="423">
        <v>30</v>
      </c>
      <c r="L8" s="423">
        <v>31</v>
      </c>
      <c r="M8" s="423">
        <v>30</v>
      </c>
      <c r="N8" s="424">
        <v>31</v>
      </c>
      <c r="P8" s="422" t="s">
        <v>828</v>
      </c>
      <c r="Q8" s="423">
        <v>31</v>
      </c>
      <c r="R8" s="423">
        <v>28</v>
      </c>
      <c r="S8" s="423">
        <v>31</v>
      </c>
      <c r="T8" s="423">
        <v>30</v>
      </c>
      <c r="U8" s="423">
        <v>31</v>
      </c>
      <c r="V8" s="423">
        <v>30</v>
      </c>
      <c r="W8" s="423">
        <v>31</v>
      </c>
      <c r="X8" s="423">
        <v>31</v>
      </c>
      <c r="Y8" s="423">
        <v>30</v>
      </c>
      <c r="Z8" s="423">
        <v>31</v>
      </c>
      <c r="AA8" s="423">
        <v>30</v>
      </c>
      <c r="AB8" s="424">
        <v>31</v>
      </c>
    </row>
    <row r="9" spans="2:28">
      <c r="B9" s="714" t="s">
        <v>829</v>
      </c>
      <c r="C9" s="715"/>
      <c r="D9" s="715"/>
      <c r="E9" s="715"/>
      <c r="F9" s="715"/>
      <c r="G9" s="715"/>
      <c r="H9" s="715"/>
      <c r="I9" s="715"/>
      <c r="J9" s="715"/>
      <c r="K9" s="715"/>
      <c r="L9" s="715"/>
      <c r="M9" s="715"/>
      <c r="N9" s="716"/>
      <c r="P9" s="714" t="s">
        <v>829</v>
      </c>
      <c r="Q9" s="715">
        <v>4</v>
      </c>
      <c r="R9" s="715">
        <v>4</v>
      </c>
      <c r="S9" s="715">
        <v>5</v>
      </c>
      <c r="T9" s="715">
        <v>4</v>
      </c>
      <c r="U9" s="715">
        <v>5</v>
      </c>
      <c r="V9" s="715">
        <v>4</v>
      </c>
      <c r="W9" s="715">
        <v>4</v>
      </c>
      <c r="X9" s="715">
        <v>5</v>
      </c>
      <c r="Y9" s="715">
        <v>4</v>
      </c>
      <c r="Z9" s="715">
        <v>4</v>
      </c>
      <c r="AA9" s="715">
        <v>5</v>
      </c>
      <c r="AB9" s="716">
        <v>4</v>
      </c>
    </row>
    <row r="10" spans="2:28">
      <c r="B10" s="714" t="s">
        <v>830</v>
      </c>
      <c r="C10" s="715"/>
      <c r="D10" s="715"/>
      <c r="E10" s="715"/>
      <c r="F10" s="715"/>
      <c r="G10" s="715"/>
      <c r="H10" s="715"/>
      <c r="I10" s="715"/>
      <c r="J10" s="715"/>
      <c r="K10" s="715"/>
      <c r="L10" s="715"/>
      <c r="M10" s="715"/>
      <c r="N10" s="716"/>
      <c r="P10" s="714" t="s">
        <v>830</v>
      </c>
      <c r="Q10" s="715">
        <v>4</v>
      </c>
      <c r="R10" s="715">
        <v>4</v>
      </c>
      <c r="S10" s="715">
        <v>5</v>
      </c>
      <c r="T10" s="715">
        <v>4</v>
      </c>
      <c r="U10" s="715">
        <v>4</v>
      </c>
      <c r="V10" s="715">
        <v>5</v>
      </c>
      <c r="W10" s="715">
        <v>4</v>
      </c>
      <c r="X10" s="715">
        <v>5</v>
      </c>
      <c r="Y10" s="715">
        <v>4</v>
      </c>
      <c r="Z10" s="715">
        <v>4</v>
      </c>
      <c r="AA10" s="715">
        <v>5</v>
      </c>
      <c r="AB10" s="716">
        <v>4</v>
      </c>
    </row>
    <row r="11" spans="2:28">
      <c r="B11" s="714" t="s">
        <v>831</v>
      </c>
      <c r="C11" s="715">
        <v>2</v>
      </c>
      <c r="D11" s="715">
        <v>3</v>
      </c>
      <c r="E11" s="715">
        <v>0</v>
      </c>
      <c r="F11" s="715">
        <v>3</v>
      </c>
      <c r="G11" s="715">
        <v>2</v>
      </c>
      <c r="H11" s="715">
        <v>3</v>
      </c>
      <c r="I11" s="715">
        <v>0</v>
      </c>
      <c r="J11" s="715">
        <v>0</v>
      </c>
      <c r="K11" s="715">
        <v>1</v>
      </c>
      <c r="L11" s="715">
        <v>0</v>
      </c>
      <c r="M11" s="715">
        <v>2</v>
      </c>
      <c r="N11" s="716">
        <v>4</v>
      </c>
      <c r="P11" s="714" t="s">
        <v>831</v>
      </c>
      <c r="Q11" s="715">
        <f>C11</f>
        <v>2</v>
      </c>
      <c r="R11" s="715">
        <f t="shared" ref="R11:AB11" si="0">D11</f>
        <v>3</v>
      </c>
      <c r="S11" s="715">
        <f t="shared" si="0"/>
        <v>0</v>
      </c>
      <c r="T11" s="715">
        <f t="shared" si="0"/>
        <v>3</v>
      </c>
      <c r="U11" s="715">
        <f t="shared" si="0"/>
        <v>2</v>
      </c>
      <c r="V11" s="715">
        <f t="shared" si="0"/>
        <v>3</v>
      </c>
      <c r="W11" s="715">
        <f t="shared" si="0"/>
        <v>0</v>
      </c>
      <c r="X11" s="715">
        <f t="shared" si="0"/>
        <v>0</v>
      </c>
      <c r="Y11" s="715">
        <f t="shared" si="0"/>
        <v>1</v>
      </c>
      <c r="Z11" s="715">
        <f t="shared" si="0"/>
        <v>0</v>
      </c>
      <c r="AA11" s="715">
        <f t="shared" si="0"/>
        <v>2</v>
      </c>
      <c r="AB11" s="427">
        <f t="shared" si="0"/>
        <v>4</v>
      </c>
    </row>
    <row r="12" spans="2:28">
      <c r="B12" s="714" t="s">
        <v>832</v>
      </c>
      <c r="C12" s="715">
        <f>C8-C10-C11-C9</f>
        <v>29</v>
      </c>
      <c r="D12" s="715">
        <f t="shared" ref="D12:N12" si="1">D8-D10-D11-D9</f>
        <v>25</v>
      </c>
      <c r="E12" s="715">
        <f t="shared" si="1"/>
        <v>31</v>
      </c>
      <c r="F12" s="715">
        <f t="shared" si="1"/>
        <v>27</v>
      </c>
      <c r="G12" s="715">
        <f t="shared" si="1"/>
        <v>29</v>
      </c>
      <c r="H12" s="715">
        <f t="shared" si="1"/>
        <v>27</v>
      </c>
      <c r="I12" s="715">
        <f t="shared" si="1"/>
        <v>31</v>
      </c>
      <c r="J12" s="715">
        <f t="shared" si="1"/>
        <v>31</v>
      </c>
      <c r="K12" s="715">
        <f t="shared" si="1"/>
        <v>29</v>
      </c>
      <c r="L12" s="715">
        <f t="shared" si="1"/>
        <v>31</v>
      </c>
      <c r="M12" s="715">
        <f t="shared" si="1"/>
        <v>28</v>
      </c>
      <c r="N12" s="715">
        <f t="shared" si="1"/>
        <v>27</v>
      </c>
      <c r="P12" s="924" t="s">
        <v>1379</v>
      </c>
      <c r="Q12" s="980">
        <f>Q8-Q11</f>
        <v>29</v>
      </c>
      <c r="R12" s="980">
        <f t="shared" ref="R12:AB12" si="2">R8-R11</f>
        <v>25</v>
      </c>
      <c r="S12" s="980">
        <f t="shared" si="2"/>
        <v>31</v>
      </c>
      <c r="T12" s="980">
        <f t="shared" si="2"/>
        <v>27</v>
      </c>
      <c r="U12" s="980">
        <f t="shared" si="2"/>
        <v>29</v>
      </c>
      <c r="V12" s="980">
        <f t="shared" si="2"/>
        <v>27</v>
      </c>
      <c r="W12" s="980">
        <f t="shared" si="2"/>
        <v>31</v>
      </c>
      <c r="X12" s="980">
        <f t="shared" si="2"/>
        <v>31</v>
      </c>
      <c r="Y12" s="980">
        <f t="shared" si="2"/>
        <v>29</v>
      </c>
      <c r="Z12" s="980">
        <f t="shared" si="2"/>
        <v>31</v>
      </c>
      <c r="AA12" s="980">
        <f t="shared" si="2"/>
        <v>28</v>
      </c>
      <c r="AB12" s="981">
        <f t="shared" si="2"/>
        <v>27</v>
      </c>
    </row>
    <row r="13" spans="2:28">
      <c r="B13" s="425" t="s">
        <v>833</v>
      </c>
      <c r="C13" s="426">
        <v>5.6</v>
      </c>
      <c r="D13" s="426">
        <v>6.7</v>
      </c>
      <c r="E13" s="426">
        <v>6.9</v>
      </c>
      <c r="F13" s="426">
        <v>3.9</v>
      </c>
      <c r="G13" s="426">
        <v>0.8</v>
      </c>
      <c r="H13" s="426">
        <v>0.1</v>
      </c>
      <c r="I13" s="426">
        <v>0</v>
      </c>
      <c r="J13" s="426">
        <v>0.1</v>
      </c>
      <c r="K13" s="426">
        <v>0.4</v>
      </c>
      <c r="L13" s="426">
        <v>3.4</v>
      </c>
      <c r="M13" s="426">
        <v>6.1</v>
      </c>
      <c r="N13" s="427">
        <v>6.3</v>
      </c>
      <c r="P13" s="425" t="s">
        <v>833</v>
      </c>
      <c r="Q13" s="426">
        <v>5.2</v>
      </c>
      <c r="R13" s="426">
        <v>4.7</v>
      </c>
      <c r="S13" s="426">
        <v>5.3</v>
      </c>
      <c r="T13" s="426">
        <v>2.6</v>
      </c>
      <c r="U13" s="426">
        <v>1.4</v>
      </c>
      <c r="V13" s="426">
        <v>0.8</v>
      </c>
      <c r="W13" s="426">
        <v>0.7</v>
      </c>
      <c r="X13" s="426">
        <v>1.3</v>
      </c>
      <c r="Y13" s="426">
        <v>2</v>
      </c>
      <c r="Z13" s="426">
        <v>3.6</v>
      </c>
      <c r="AA13" s="426">
        <v>4.7</v>
      </c>
      <c r="AB13" s="427">
        <v>4.3</v>
      </c>
    </row>
    <row r="14" spans="2:28">
      <c r="B14" s="425" t="s">
        <v>834</v>
      </c>
      <c r="C14" s="426">
        <v>7.9</v>
      </c>
      <c r="D14" s="426">
        <v>6.3</v>
      </c>
      <c r="E14" s="426">
        <v>6.8</v>
      </c>
      <c r="F14" s="426">
        <v>3.1</v>
      </c>
      <c r="G14" s="426">
        <v>0.2</v>
      </c>
      <c r="H14" s="426">
        <v>0</v>
      </c>
      <c r="I14" s="426">
        <v>0</v>
      </c>
      <c r="J14" s="426">
        <v>0</v>
      </c>
      <c r="K14" s="426">
        <v>0.3</v>
      </c>
      <c r="L14" s="426">
        <v>2.5</v>
      </c>
      <c r="M14" s="426">
        <v>6.2</v>
      </c>
      <c r="N14" s="427">
        <v>6.8</v>
      </c>
      <c r="P14" s="425" t="s">
        <v>834</v>
      </c>
      <c r="Q14" s="426">
        <v>8</v>
      </c>
      <c r="R14" s="426">
        <v>6.9</v>
      </c>
      <c r="S14" s="426">
        <v>6.4</v>
      </c>
      <c r="T14" s="426">
        <v>2.2000000000000002</v>
      </c>
      <c r="U14" s="426">
        <v>0.9</v>
      </c>
      <c r="V14" s="426">
        <v>0.9</v>
      </c>
      <c r="W14" s="426">
        <v>0.7</v>
      </c>
      <c r="X14" s="426">
        <v>0.7</v>
      </c>
      <c r="Y14" s="426">
        <v>1.7</v>
      </c>
      <c r="Z14" s="426">
        <v>4.7</v>
      </c>
      <c r="AA14" s="426">
        <v>6.4</v>
      </c>
      <c r="AB14" s="427">
        <v>8.5</v>
      </c>
    </row>
    <row r="15" spans="2:28">
      <c r="B15" s="425" t="s">
        <v>835</v>
      </c>
      <c r="C15" s="426">
        <v>3.7</v>
      </c>
      <c r="D15" s="426">
        <v>2.7</v>
      </c>
      <c r="E15" s="426">
        <v>2.1</v>
      </c>
      <c r="F15" s="426">
        <v>0.7</v>
      </c>
      <c r="G15" s="426">
        <v>0</v>
      </c>
      <c r="H15" s="426">
        <v>0</v>
      </c>
      <c r="I15" s="426">
        <v>0</v>
      </c>
      <c r="J15" s="426">
        <v>0</v>
      </c>
      <c r="K15" s="426">
        <v>0.1</v>
      </c>
      <c r="L15" s="426">
        <v>0.9</v>
      </c>
      <c r="M15" s="426">
        <v>2.2000000000000002</v>
      </c>
      <c r="N15" s="427">
        <v>3.6</v>
      </c>
      <c r="P15" s="425" t="s">
        <v>835</v>
      </c>
      <c r="Q15" s="426">
        <v>5</v>
      </c>
      <c r="R15" s="426">
        <v>3.1</v>
      </c>
      <c r="S15" s="426">
        <v>1.9</v>
      </c>
      <c r="T15" s="426">
        <v>0.5</v>
      </c>
      <c r="U15" s="426">
        <v>0.7</v>
      </c>
      <c r="V15" s="426">
        <v>0.2</v>
      </c>
      <c r="W15" s="426">
        <v>0.1</v>
      </c>
      <c r="X15" s="426">
        <v>0.1</v>
      </c>
      <c r="Y15" s="426">
        <v>1</v>
      </c>
      <c r="Z15" s="426">
        <v>1.5</v>
      </c>
      <c r="AA15" s="426">
        <v>3</v>
      </c>
      <c r="AB15" s="427">
        <v>4.5</v>
      </c>
    </row>
    <row r="16" spans="2:28">
      <c r="B16" s="428" t="s">
        <v>836</v>
      </c>
      <c r="C16" s="429">
        <f>(C8-C13-C14-C15)/C8</f>
        <v>0.44516129032258067</v>
      </c>
      <c r="D16" s="429">
        <f t="shared" ref="D16:N16" si="3">(D8-D13-D14-D15)/D8</f>
        <v>0.43928571428571433</v>
      </c>
      <c r="E16" s="429">
        <f t="shared" si="3"/>
        <v>0.49032258064516132</v>
      </c>
      <c r="F16" s="429">
        <f t="shared" si="3"/>
        <v>0.7433333333333334</v>
      </c>
      <c r="G16" s="429">
        <f t="shared" si="3"/>
        <v>0.967741935483871</v>
      </c>
      <c r="H16" s="429">
        <f t="shared" si="3"/>
        <v>0.99666666666666659</v>
      </c>
      <c r="I16" s="429">
        <f t="shared" si="3"/>
        <v>1</v>
      </c>
      <c r="J16" s="429">
        <f t="shared" si="3"/>
        <v>0.99677419354838703</v>
      </c>
      <c r="K16" s="429">
        <f t="shared" si="3"/>
        <v>0.97333333333333327</v>
      </c>
      <c r="L16" s="429">
        <f t="shared" si="3"/>
        <v>0.78064516129032269</v>
      </c>
      <c r="M16" s="429">
        <f t="shared" si="3"/>
        <v>0.51666666666666672</v>
      </c>
      <c r="N16" s="825">
        <f t="shared" si="3"/>
        <v>0.46129032258064512</v>
      </c>
      <c r="P16" s="425" t="s">
        <v>1074</v>
      </c>
      <c r="Q16" s="829">
        <v>1.0416666666666666E-2</v>
      </c>
      <c r="R16" s="829">
        <v>1.0416666666666666E-2</v>
      </c>
      <c r="S16" s="829">
        <v>1.0416666666666666E-2</v>
      </c>
      <c r="T16" s="829">
        <v>1.0416666666666666E-2</v>
      </c>
      <c r="U16" s="829">
        <v>1.0416666666666666E-2</v>
      </c>
      <c r="V16" s="829">
        <v>1.0416666666666666E-2</v>
      </c>
      <c r="W16" s="829">
        <v>1.0416666666666666E-2</v>
      </c>
      <c r="X16" s="829">
        <v>1.0416666666666666E-2</v>
      </c>
      <c r="Y16" s="829">
        <v>1.0416666666666666E-2</v>
      </c>
      <c r="Z16" s="829">
        <v>1.0416666666666666E-2</v>
      </c>
      <c r="AA16" s="829">
        <v>1.0416666666666666E-2</v>
      </c>
      <c r="AB16" s="830">
        <v>1.0416666666666666E-2</v>
      </c>
    </row>
    <row r="17" spans="2:28">
      <c r="C17" s="700"/>
      <c r="D17" s="700"/>
      <c r="E17" s="700"/>
      <c r="F17" s="700"/>
      <c r="G17" s="700"/>
      <c r="H17" s="700"/>
      <c r="I17" s="700"/>
      <c r="J17" s="700"/>
      <c r="K17" s="700"/>
      <c r="L17" s="700"/>
      <c r="M17" s="700"/>
      <c r="N17" s="700"/>
      <c r="P17" s="425" t="s">
        <v>1075</v>
      </c>
      <c r="Q17" s="829">
        <v>1.0416666666666666E-2</v>
      </c>
      <c r="R17" s="829">
        <v>1.0416666666666666E-2</v>
      </c>
      <c r="S17" s="829">
        <v>1.0416666666666666E-2</v>
      </c>
      <c r="T17" s="829">
        <v>1.0416666666666666E-2</v>
      </c>
      <c r="U17" s="829">
        <v>1.0416666666666666E-2</v>
      </c>
      <c r="V17" s="829">
        <v>1.0416666666666666E-2</v>
      </c>
      <c r="W17" s="829">
        <v>1.0416666666666666E-2</v>
      </c>
      <c r="X17" s="829">
        <v>1.0416666666666666E-2</v>
      </c>
      <c r="Y17" s="829">
        <v>1.0416666666666666E-2</v>
      </c>
      <c r="Z17" s="829">
        <v>1.0416666666666666E-2</v>
      </c>
      <c r="AA17" s="829">
        <v>1.0416666666666666E-2</v>
      </c>
      <c r="AB17" s="830">
        <v>1.0416666666666666E-2</v>
      </c>
    </row>
    <row r="18" spans="2:28">
      <c r="P18" s="425" t="s">
        <v>1076</v>
      </c>
      <c r="Q18" s="829">
        <v>0</v>
      </c>
      <c r="R18" s="829">
        <v>0</v>
      </c>
      <c r="S18" s="829">
        <v>0</v>
      </c>
      <c r="T18" s="829">
        <v>0</v>
      </c>
      <c r="U18" s="829">
        <v>0</v>
      </c>
      <c r="V18" s="829">
        <v>0</v>
      </c>
      <c r="W18" s="829">
        <v>0</v>
      </c>
      <c r="X18" s="829">
        <v>0</v>
      </c>
      <c r="Y18" s="829">
        <v>0</v>
      </c>
      <c r="Z18" s="829">
        <v>0</v>
      </c>
      <c r="AA18" s="829">
        <v>0</v>
      </c>
      <c r="AB18" s="830">
        <v>0</v>
      </c>
    </row>
    <row r="19" spans="2:28">
      <c r="B19" s="680"/>
      <c r="P19" s="425" t="s">
        <v>874</v>
      </c>
      <c r="Q19" s="829">
        <v>4.8611111111111112E-2</v>
      </c>
      <c r="R19" s="829">
        <v>4.8611111111111112E-2</v>
      </c>
      <c r="S19" s="829">
        <v>4.8611111111111112E-2</v>
      </c>
      <c r="T19" s="829">
        <v>4.8611111111111112E-2</v>
      </c>
      <c r="U19" s="829">
        <v>4.8611111111111112E-2</v>
      </c>
      <c r="V19" s="829">
        <v>4.8611111111111112E-2</v>
      </c>
      <c r="W19" s="829">
        <v>4.8611111111111112E-2</v>
      </c>
      <c r="X19" s="829">
        <v>4.8611111111111112E-2</v>
      </c>
      <c r="Y19" s="829">
        <v>4.8611111111111112E-2</v>
      </c>
      <c r="Z19" s="829">
        <v>4.8611111111111112E-2</v>
      </c>
      <c r="AA19" s="829">
        <v>4.8611111111111112E-2</v>
      </c>
      <c r="AB19" s="830">
        <v>4.8611111111111112E-2</v>
      </c>
    </row>
    <row r="20" spans="2:28">
      <c r="P20" s="425" t="s">
        <v>1077</v>
      </c>
      <c r="Q20" s="829">
        <v>1</v>
      </c>
      <c r="R20" s="829">
        <v>1</v>
      </c>
      <c r="S20" s="829">
        <v>1</v>
      </c>
      <c r="T20" s="829">
        <v>1</v>
      </c>
      <c r="U20" s="829">
        <v>1</v>
      </c>
      <c r="V20" s="829">
        <v>1</v>
      </c>
      <c r="W20" s="829">
        <v>1</v>
      </c>
      <c r="X20" s="829">
        <v>1</v>
      </c>
      <c r="Y20" s="829">
        <v>1</v>
      </c>
      <c r="Z20" s="829">
        <v>1</v>
      </c>
      <c r="AA20" s="829">
        <v>1</v>
      </c>
      <c r="AB20" s="830">
        <v>1</v>
      </c>
    </row>
    <row r="21" spans="2:28">
      <c r="P21" s="925" t="s">
        <v>1078</v>
      </c>
      <c r="Q21" s="926">
        <f>Q20-Q19-Q18-Q17-Q16</f>
        <v>0.93055555555555558</v>
      </c>
      <c r="R21" s="926">
        <f t="shared" ref="R21:AB21" si="4">R20-R19-R18-R17-R16</f>
        <v>0.93055555555555558</v>
      </c>
      <c r="S21" s="926">
        <f t="shared" si="4"/>
        <v>0.93055555555555558</v>
      </c>
      <c r="T21" s="926">
        <f t="shared" si="4"/>
        <v>0.93055555555555558</v>
      </c>
      <c r="U21" s="926">
        <f t="shared" si="4"/>
        <v>0.93055555555555558</v>
      </c>
      <c r="V21" s="926">
        <f t="shared" si="4"/>
        <v>0.93055555555555558</v>
      </c>
      <c r="W21" s="926">
        <f t="shared" si="4"/>
        <v>0.93055555555555558</v>
      </c>
      <c r="X21" s="926">
        <f t="shared" si="4"/>
        <v>0.93055555555555558</v>
      </c>
      <c r="Y21" s="926">
        <f t="shared" si="4"/>
        <v>0.93055555555555558</v>
      </c>
      <c r="Z21" s="926">
        <f t="shared" si="4"/>
        <v>0.93055555555555558</v>
      </c>
      <c r="AA21" s="926">
        <f t="shared" si="4"/>
        <v>0.93055555555555558</v>
      </c>
      <c r="AB21" s="927">
        <f t="shared" si="4"/>
        <v>0.93055555555555558</v>
      </c>
    </row>
    <row r="22" spans="2:28">
      <c r="O22" s="826"/>
      <c r="P22" s="837"/>
      <c r="Q22" s="832"/>
      <c r="R22" s="832"/>
      <c r="S22" s="832"/>
      <c r="T22" s="832"/>
      <c r="U22" s="832"/>
      <c r="V22" s="832"/>
      <c r="W22" s="832"/>
      <c r="X22" s="832"/>
      <c r="Y22" s="832"/>
      <c r="Z22" s="832"/>
      <c r="AA22" s="832"/>
      <c r="AB22" s="834"/>
    </row>
    <row r="23" spans="2:28">
      <c r="P23" s="835"/>
      <c r="W23" s="1227" t="s">
        <v>1073</v>
      </c>
      <c r="X23" s="1228"/>
      <c r="Y23" s="1228"/>
      <c r="Z23" s="1228"/>
      <c r="AA23" s="1229"/>
      <c r="AB23" s="836"/>
    </row>
    <row r="24" spans="2:28">
      <c r="P24" s="835"/>
      <c r="W24" s="827" t="s">
        <v>1072</v>
      </c>
      <c r="X24" s="828" t="s">
        <v>1071</v>
      </c>
      <c r="Y24" s="1230" t="s">
        <v>324</v>
      </c>
      <c r="Z24" s="1230"/>
      <c r="AA24" s="1231"/>
      <c r="AB24" s="836"/>
    </row>
  </sheetData>
  <mergeCells count="8">
    <mergeCell ref="W23:AA23"/>
    <mergeCell ref="Y24:AA24"/>
    <mergeCell ref="Q6:AB6"/>
    <mergeCell ref="P6:P7"/>
    <mergeCell ref="B1:N1"/>
    <mergeCell ref="C6:N6"/>
    <mergeCell ref="C5:N5"/>
    <mergeCell ref="P2:AB5"/>
  </mergeCells>
  <printOptions horizontalCentered="1" verticalCentered="1"/>
  <pageMargins left="0.51181102362204722" right="0.51181102362204722" top="0.78740157480314965" bottom="0.78740157480314965" header="0.31496062992125984" footer="0.31496062992125984"/>
  <pageSetup paperSize="9" scale="7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7">
    <tabColor theme="5" tint="0.39997558519241921"/>
  </sheetPr>
  <dimension ref="A1:HK176"/>
  <sheetViews>
    <sheetView tabSelected="1" zoomScale="70" zoomScaleNormal="70" zoomScaleSheetLayoutView="80" workbookViewId="0">
      <pane xSplit="10" ySplit="8" topLeftCell="K9" activePane="bottomRight" state="frozen"/>
      <selection activeCell="S23" sqref="S23:T23"/>
      <selection pane="topRight" activeCell="S23" sqref="S23:T23"/>
      <selection pane="bottomLeft" activeCell="S23" sqref="S23:T23"/>
      <selection pane="bottomRight" activeCell="AJ8" sqref="AJ8:AS8"/>
    </sheetView>
  </sheetViews>
  <sheetFormatPr defaultColWidth="9.109375" defaultRowHeight="13.2"/>
  <cols>
    <col min="1" max="1" width="7.44140625" style="3" customWidth="1"/>
    <col min="2" max="2" width="41.109375" style="3" customWidth="1"/>
    <col min="3" max="3" width="8.33203125" style="3" customWidth="1"/>
    <col min="4" max="4" width="20.88671875" style="3" bestFit="1" customWidth="1"/>
    <col min="5" max="5" width="24.88671875" style="3" hidden="1" customWidth="1"/>
    <col min="6" max="6" width="16" style="3" customWidth="1"/>
    <col min="7" max="7" width="12.44140625" style="3" customWidth="1"/>
    <col min="8" max="8" width="12.44140625" style="3" hidden="1" customWidth="1"/>
    <col min="9" max="9" width="11.6640625" style="3" hidden="1" customWidth="1"/>
    <col min="10" max="10" width="13.88671875" style="3" hidden="1" customWidth="1"/>
    <col min="11" max="11" width="30.33203125" style="3" bestFit="1" customWidth="1"/>
    <col min="12" max="13" width="10.33203125" style="3" hidden="1" customWidth="1"/>
    <col min="14" max="15" width="10" style="3" hidden="1" customWidth="1"/>
    <col min="16" max="16" width="9.6640625" style="3" hidden="1" customWidth="1"/>
    <col min="17" max="19" width="10.33203125" style="3" hidden="1" customWidth="1"/>
    <col min="20" max="20" width="10" style="3" hidden="1" customWidth="1"/>
    <col min="21" max="21" width="10.6640625" style="3" hidden="1" customWidth="1"/>
    <col min="22" max="22" width="10.5546875" style="3" hidden="1" customWidth="1"/>
    <col min="23" max="24" width="10.33203125" style="3" hidden="1" customWidth="1"/>
    <col min="25" max="25" width="10.6640625" style="3" hidden="1" customWidth="1"/>
    <col min="26" max="26" width="10.33203125" style="3" hidden="1" customWidth="1"/>
    <col min="27" max="27" width="10.5546875" style="3" hidden="1" customWidth="1"/>
    <col min="28" max="29" width="10.6640625" style="3" hidden="1" customWidth="1"/>
    <col min="30" max="30" width="10.5546875" style="3" hidden="1" customWidth="1"/>
    <col min="31" max="32" width="10.33203125" style="3" hidden="1" customWidth="1"/>
    <col min="33" max="33" width="10.6640625" style="3" hidden="1" customWidth="1"/>
    <col min="34" max="34" width="10.33203125" style="3" customWidth="1"/>
    <col min="35" max="35" width="10.5546875" style="3" customWidth="1"/>
    <col min="36" max="38" width="10.6640625" style="3" customWidth="1"/>
    <col min="39" max="39" width="10.33203125" style="3" customWidth="1"/>
    <col min="40" max="40" width="10" style="3" customWidth="1"/>
    <col min="41" max="41" width="10.109375" style="3" customWidth="1"/>
    <col min="42" max="42" width="12" style="3" customWidth="1"/>
    <col min="43" max="43" width="10.6640625" style="3" customWidth="1"/>
    <col min="44" max="45" width="11.109375" style="3" bestFit="1" customWidth="1"/>
    <col min="46" max="46" width="10.5546875" style="3" customWidth="1"/>
    <col min="47" max="47" width="10.33203125" style="3" customWidth="1"/>
    <col min="48" max="48" width="10.5546875" style="3" customWidth="1"/>
    <col min="49" max="49" width="10" style="3" customWidth="1"/>
    <col min="50" max="50" width="10.109375" style="3" customWidth="1"/>
    <col min="51" max="53" width="10.5546875" style="3" customWidth="1"/>
    <col min="54" max="54" width="10.5546875" style="3" bestFit="1" customWidth="1"/>
    <col min="55" max="55" width="10.5546875" style="3" customWidth="1"/>
    <col min="56" max="56" width="10.5546875" style="3" bestFit="1" customWidth="1"/>
    <col min="57" max="59" width="10.33203125" style="3" customWidth="1"/>
    <col min="60" max="61" width="10.6640625" style="3" customWidth="1"/>
    <col min="62" max="63" width="10.5546875" style="3" customWidth="1"/>
    <col min="64" max="64" width="12.88671875" style="3" bestFit="1" customWidth="1"/>
    <col min="65" max="65" width="10.109375" style="3" customWidth="1"/>
    <col min="66" max="66" width="9.6640625" style="3" customWidth="1"/>
    <col min="67" max="67" width="10" style="3" customWidth="1"/>
    <col min="68" max="68" width="10.109375" style="3" customWidth="1"/>
    <col min="69" max="69" width="10.5546875" style="3" customWidth="1"/>
    <col min="70" max="70" width="10.33203125" style="3" customWidth="1"/>
    <col min="71" max="71" width="12" style="3" customWidth="1"/>
    <col min="72" max="72" width="10.33203125" style="3" customWidth="1"/>
    <col min="73" max="73" width="10.5546875" style="3" customWidth="1"/>
    <col min="74" max="74" width="9.88671875" style="3" bestFit="1" customWidth="1"/>
    <col min="75" max="75" width="10.33203125" style="3" customWidth="1"/>
    <col min="76" max="76" width="10.109375" style="3" bestFit="1" customWidth="1"/>
    <col min="77" max="77" width="10.33203125" style="3" customWidth="1"/>
    <col min="78" max="80" width="10.6640625" style="3" customWidth="1"/>
    <col min="81" max="82" width="10.5546875" style="3" customWidth="1"/>
    <col min="83" max="83" width="10.109375" style="3" customWidth="1"/>
    <col min="84" max="84" width="10" style="3" bestFit="1" customWidth="1"/>
    <col min="85" max="85" width="9.88671875" style="3" bestFit="1" customWidth="1"/>
    <col min="86" max="86" width="10.5546875" style="3" bestFit="1" customWidth="1"/>
    <col min="87" max="87" width="12.109375" style="3" customWidth="1"/>
    <col min="88" max="88" width="10.5546875" style="3" bestFit="1" customWidth="1"/>
    <col min="89" max="90" width="10.109375" style="3" bestFit="1" customWidth="1"/>
    <col min="91" max="92" width="9.88671875" style="3" bestFit="1" customWidth="1"/>
    <col min="93" max="94" width="9.44140625" style="3" bestFit="1" customWidth="1"/>
    <col min="95" max="95" width="10.109375" style="3" bestFit="1" customWidth="1"/>
    <col min="96" max="96" width="10" style="3" bestFit="1" customWidth="1"/>
    <col min="97" max="97" width="9.88671875" style="3" bestFit="1" customWidth="1"/>
    <col min="98" max="98" width="10" style="3" bestFit="1" customWidth="1"/>
    <col min="99" max="99" width="10.5546875" style="3" bestFit="1" customWidth="1"/>
    <col min="100" max="100" width="9.44140625" style="3" bestFit="1" customWidth="1"/>
    <col min="101" max="102" width="9.88671875" style="3" bestFit="1" customWidth="1"/>
    <col min="103" max="103" width="11.33203125" style="3" customWidth="1"/>
    <col min="104" max="104" width="9.6640625" style="3" bestFit="1" customWidth="1"/>
    <col min="105" max="105" width="9.88671875" style="3" bestFit="1" customWidth="1"/>
    <col min="106" max="106" width="10.5546875" style="3" bestFit="1" customWidth="1"/>
    <col min="107" max="109" width="9.88671875" style="3" bestFit="1" customWidth="1"/>
    <col min="110" max="111" width="10.109375" style="3" bestFit="1" customWidth="1"/>
    <col min="112" max="112" width="12.6640625" style="3" customWidth="1"/>
    <col min="113" max="113" width="10.109375" style="3" customWidth="1"/>
    <col min="114" max="114" width="9.88671875" style="686" bestFit="1" customWidth="1"/>
    <col min="115" max="115" width="10.109375" style="686" bestFit="1" customWidth="1"/>
    <col min="116" max="116" width="15.88671875" style="3" bestFit="1" customWidth="1"/>
    <col min="117" max="117" width="9.88671875" style="3" customWidth="1"/>
    <col min="118" max="118" width="10.109375" style="3" customWidth="1"/>
    <col min="119" max="120" width="10.44140625" style="3" customWidth="1"/>
    <col min="121" max="122" width="10.109375" style="3" customWidth="1"/>
    <col min="123" max="126" width="10.44140625" style="3" customWidth="1"/>
    <col min="127" max="127" width="10.109375" style="3" customWidth="1"/>
    <col min="128" max="128" width="9.88671875" style="3" customWidth="1"/>
    <col min="129" max="130" width="10.109375" style="3" customWidth="1"/>
    <col min="131" max="132" width="10.44140625" style="3" customWidth="1"/>
    <col min="133" max="133" width="10.109375" style="3" customWidth="1"/>
    <col min="134" max="135" width="10.44140625" style="3" customWidth="1"/>
    <col min="136" max="136" width="10.109375" style="3" customWidth="1"/>
    <col min="137" max="137" width="11.5546875" style="3" customWidth="1"/>
    <col min="138" max="138" width="10.109375" style="3" customWidth="1"/>
    <col min="139" max="139" width="10.44140625" style="3" customWidth="1"/>
    <col min="140" max="140" width="10.44140625" style="3" bestFit="1" customWidth="1"/>
    <col min="141" max="141" width="11.109375" style="3" bestFit="1" customWidth="1"/>
    <col min="142" max="143" width="10.44140625" style="3" bestFit="1" customWidth="1"/>
    <col min="144" max="146" width="10.109375" style="3" bestFit="1" customWidth="1"/>
    <col min="147" max="148" width="10.44140625" style="3" bestFit="1" customWidth="1"/>
    <col min="149" max="150" width="10.109375" style="3" customWidth="1"/>
    <col min="151" max="152" width="10.44140625" style="3" customWidth="1"/>
    <col min="153" max="154" width="10.109375" style="3" customWidth="1"/>
    <col min="155" max="157" width="10.44140625" style="3" customWidth="1"/>
    <col min="158" max="158" width="10.109375" style="3" customWidth="1"/>
    <col min="159" max="160" width="10.44140625" style="3" customWidth="1"/>
    <col min="161" max="162" width="10.109375" style="3" customWidth="1"/>
    <col min="163" max="165" width="10.44140625" style="3" customWidth="1"/>
    <col min="166" max="166" width="10.109375" style="3" customWidth="1"/>
    <col min="167" max="168" width="10.44140625" style="3" customWidth="1"/>
    <col min="169" max="170" width="10.109375" style="3" customWidth="1"/>
    <col min="171" max="176" width="10.44140625" style="3" customWidth="1"/>
    <col min="177" max="179" width="10.109375" style="3" customWidth="1"/>
    <col min="180" max="182" width="10.44140625" style="3" customWidth="1"/>
    <col min="183" max="184" width="10.109375" style="3" customWidth="1"/>
    <col min="185" max="186" width="10.5546875" style="3" customWidth="1"/>
    <col min="187" max="187" width="9.88671875" style="3" customWidth="1"/>
    <col min="188" max="190" width="10.109375" style="3" customWidth="1"/>
    <col min="191" max="192" width="10.5546875" style="3" customWidth="1"/>
    <col min="193" max="193" width="9.44140625" style="3" customWidth="1"/>
    <col min="194" max="194" width="10.6640625" style="3" customWidth="1"/>
    <col min="195" max="195" width="9.88671875" style="3" customWidth="1"/>
    <col min="196" max="196" width="9.44140625" style="3" customWidth="1"/>
    <col min="197" max="198" width="9.88671875" style="3" customWidth="1"/>
    <col min="199" max="200" width="10.109375" style="3" customWidth="1"/>
    <col min="201" max="202" width="9.88671875" style="3" customWidth="1"/>
    <col min="203" max="203" width="10.109375" style="3" customWidth="1"/>
    <col min="204" max="204" width="9.88671875" style="3" customWidth="1"/>
    <col min="205" max="205" width="10.109375" style="3" customWidth="1"/>
    <col min="206" max="206" width="9.88671875" style="3" customWidth="1"/>
    <col min="207" max="207" width="10.109375" style="3" customWidth="1"/>
    <col min="208" max="208" width="9.88671875" style="3" customWidth="1"/>
    <col min="209" max="209" width="10.109375" style="3" customWidth="1"/>
    <col min="210" max="210" width="9.88671875" style="3" customWidth="1"/>
    <col min="211" max="211" width="10.109375" style="3" customWidth="1"/>
    <col min="212" max="212" width="9.88671875" style="3" customWidth="1"/>
    <col min="213" max="213" width="10.109375" style="3" customWidth="1"/>
    <col min="214" max="214" width="9.88671875" style="3" customWidth="1"/>
    <col min="215" max="215" width="10.109375" style="3" customWidth="1"/>
    <col min="216" max="216" width="9.88671875" style="3" customWidth="1"/>
    <col min="217" max="217" width="10.109375" style="3" customWidth="1"/>
    <col min="218" max="218" width="9.88671875" style="3" customWidth="1"/>
    <col min="219" max="219" width="10.109375" style="3" customWidth="1"/>
    <col min="220" max="223" width="9.109375" style="3" customWidth="1"/>
    <col min="224" max="16384" width="9.109375" style="3"/>
  </cols>
  <sheetData>
    <row r="1" spans="1:219" ht="11.25" customHeight="1">
      <c r="A1" s="1388" t="s">
        <v>1259</v>
      </c>
      <c r="B1" s="1388"/>
      <c r="C1" s="1388"/>
      <c r="D1" s="1388"/>
      <c r="E1" s="1388"/>
      <c r="F1" s="1388"/>
      <c r="G1" s="1388"/>
      <c r="H1" s="1388"/>
      <c r="I1" s="1388"/>
      <c r="J1" s="1388"/>
      <c r="K1" s="1388"/>
      <c r="L1" s="1388"/>
      <c r="M1" s="1388"/>
      <c r="N1" s="1388"/>
      <c r="O1" s="1388"/>
      <c r="P1" s="1388"/>
      <c r="Q1" s="1388"/>
      <c r="R1" s="1388"/>
      <c r="S1" s="1388"/>
      <c r="T1" s="1388"/>
      <c r="U1" s="1388"/>
      <c r="V1" s="1388"/>
      <c r="W1" s="1388"/>
      <c r="X1" s="1388"/>
      <c r="Y1" s="1388"/>
      <c r="Z1" s="1388"/>
      <c r="AA1" s="1388"/>
      <c r="AB1" s="1388"/>
      <c r="AC1" s="1388"/>
      <c r="AD1" s="1388"/>
      <c r="AE1" s="1388"/>
      <c r="AF1" s="1388"/>
      <c r="AG1" s="1388"/>
      <c r="AH1" s="1388"/>
      <c r="AI1" s="1388"/>
      <c r="AJ1" s="1388"/>
      <c r="AK1" s="1388"/>
      <c r="AL1" s="1388"/>
      <c r="AM1" s="1388"/>
      <c r="AN1" s="1388"/>
      <c r="AO1" s="1388"/>
      <c r="AP1" s="1388"/>
      <c r="AQ1" s="1388"/>
      <c r="AR1" s="1388"/>
      <c r="AS1" s="1388"/>
      <c r="AT1" s="1388"/>
      <c r="AU1" s="1388"/>
      <c r="AV1" s="1388"/>
      <c r="AW1" s="1388"/>
      <c r="AX1" s="1388"/>
      <c r="AY1" s="1388"/>
      <c r="AZ1" s="1388"/>
      <c r="BA1" s="1388"/>
      <c r="BB1" s="1388"/>
      <c r="BC1" s="1388"/>
      <c r="BD1" s="1388"/>
      <c r="BE1" s="1388"/>
      <c r="BF1" s="1388"/>
      <c r="BG1" s="1388"/>
      <c r="BH1" s="1388"/>
      <c r="BI1" s="1388"/>
      <c r="BJ1" s="1388"/>
      <c r="BK1" s="1388"/>
      <c r="BL1" s="1388"/>
      <c r="BM1" s="1388"/>
      <c r="BN1" s="1388"/>
      <c r="BO1" s="1388"/>
      <c r="BP1" s="1388"/>
      <c r="BQ1" s="1388"/>
      <c r="BR1" s="1388"/>
      <c r="BS1" s="1388"/>
      <c r="BT1" s="1388"/>
      <c r="BU1" s="1388"/>
      <c r="BV1" s="1388"/>
      <c r="BW1" s="1388"/>
      <c r="BX1" s="1388"/>
      <c r="BY1" s="1388"/>
      <c r="BZ1" s="1388"/>
      <c r="CA1" s="1388"/>
      <c r="CB1" s="1388"/>
      <c r="CC1" s="1388"/>
      <c r="CD1" s="1388"/>
      <c r="CE1" s="1388"/>
      <c r="CF1" s="1388"/>
      <c r="CG1" s="1388"/>
      <c r="CH1" s="1388"/>
      <c r="CI1" s="1388"/>
      <c r="CJ1" s="1388"/>
      <c r="CK1" s="1388"/>
      <c r="CL1" s="1388"/>
      <c r="CM1" s="1388"/>
      <c r="CN1" s="1388"/>
      <c r="CO1" s="1388"/>
      <c r="CP1" s="1388"/>
      <c r="CQ1" s="1388"/>
      <c r="CR1" s="1388"/>
      <c r="CS1" s="1388"/>
      <c r="CT1" s="1388"/>
      <c r="CU1" s="1388"/>
      <c r="CV1" s="1388"/>
      <c r="CW1" s="1388"/>
      <c r="CX1" s="1388"/>
      <c r="CY1" s="1388"/>
      <c r="CZ1" s="1388"/>
      <c r="DA1" s="1388"/>
      <c r="DB1" s="1388"/>
      <c r="DC1" s="1388"/>
    </row>
    <row r="2" spans="1:219" ht="9.75" customHeight="1">
      <c r="A2" s="1388"/>
      <c r="B2" s="1388"/>
      <c r="C2" s="1388"/>
      <c r="D2" s="1388"/>
      <c r="E2" s="1388"/>
      <c r="F2" s="1388"/>
      <c r="G2" s="1388"/>
      <c r="H2" s="1388"/>
      <c r="I2" s="1388"/>
      <c r="J2" s="1388"/>
      <c r="K2" s="1388"/>
      <c r="L2" s="1388"/>
      <c r="M2" s="1388"/>
      <c r="N2" s="1388"/>
      <c r="O2" s="1388"/>
      <c r="P2" s="1388"/>
      <c r="Q2" s="1388"/>
      <c r="R2" s="1388"/>
      <c r="S2" s="1388"/>
      <c r="T2" s="1388"/>
      <c r="U2" s="1388"/>
      <c r="V2" s="1388"/>
      <c r="W2" s="1388"/>
      <c r="X2" s="1388"/>
      <c r="Y2" s="1388"/>
      <c r="Z2" s="1388"/>
      <c r="AA2" s="1388"/>
      <c r="AB2" s="1388"/>
      <c r="AC2" s="1388"/>
      <c r="AD2" s="1388"/>
      <c r="AE2" s="1388"/>
      <c r="AF2" s="1388"/>
      <c r="AG2" s="1388"/>
      <c r="AH2" s="1388"/>
      <c r="AI2" s="1388"/>
      <c r="AJ2" s="1388"/>
      <c r="AK2" s="1388"/>
      <c r="AL2" s="1388"/>
      <c r="AM2" s="1388"/>
      <c r="AN2" s="1388"/>
      <c r="AO2" s="1388"/>
      <c r="AP2" s="1388"/>
      <c r="AQ2" s="1388"/>
      <c r="AR2" s="1388"/>
      <c r="AS2" s="1388"/>
      <c r="AT2" s="1388"/>
      <c r="AU2" s="1388"/>
      <c r="AV2" s="1388"/>
      <c r="AW2" s="1388"/>
      <c r="AX2" s="1388"/>
      <c r="AY2" s="1388"/>
      <c r="AZ2" s="1388"/>
      <c r="BA2" s="1388"/>
      <c r="BB2" s="1388"/>
      <c r="BC2" s="1388"/>
      <c r="BD2" s="1388"/>
      <c r="BE2" s="1388"/>
      <c r="BF2" s="1388"/>
      <c r="BG2" s="1388"/>
      <c r="BH2" s="1388"/>
      <c r="BI2" s="1388"/>
      <c r="BJ2" s="1388"/>
      <c r="BK2" s="1388"/>
      <c r="BL2" s="1388"/>
      <c r="BM2" s="1388"/>
      <c r="BN2" s="1388"/>
      <c r="BO2" s="1388"/>
      <c r="BP2" s="1388"/>
      <c r="BQ2" s="1388"/>
      <c r="BR2" s="1388"/>
      <c r="BS2" s="1388"/>
      <c r="BT2" s="1388"/>
      <c r="BU2" s="1388"/>
      <c r="BV2" s="1388"/>
      <c r="BW2" s="1388"/>
      <c r="BX2" s="1388"/>
      <c r="BY2" s="1388"/>
      <c r="BZ2" s="1388"/>
      <c r="CA2" s="1388"/>
      <c r="CB2" s="1388"/>
      <c r="CC2" s="1388"/>
      <c r="CD2" s="1388"/>
      <c r="CE2" s="1388"/>
      <c r="CF2" s="1388"/>
      <c r="CG2" s="1388"/>
      <c r="CH2" s="1388"/>
      <c r="CI2" s="1388"/>
      <c r="CJ2" s="1388"/>
      <c r="CK2" s="1388"/>
      <c r="CL2" s="1388"/>
      <c r="CM2" s="1388"/>
      <c r="CN2" s="1388"/>
      <c r="CO2" s="1388"/>
      <c r="CP2" s="1388"/>
      <c r="CQ2" s="1388"/>
      <c r="CR2" s="1388"/>
      <c r="CS2" s="1388"/>
      <c r="CT2" s="1388"/>
      <c r="CU2" s="1388"/>
      <c r="CV2" s="1388"/>
      <c r="CW2" s="1388"/>
      <c r="CX2" s="1388"/>
      <c r="CY2" s="1388"/>
      <c r="CZ2" s="1388"/>
      <c r="DA2" s="1388"/>
      <c r="DB2" s="1388"/>
      <c r="DC2" s="1388"/>
    </row>
    <row r="3" spans="1:219" s="4" customFormat="1" ht="14.25" customHeight="1">
      <c r="B3" s="840"/>
      <c r="C3" s="841"/>
      <c r="D3" s="840"/>
      <c r="F3" s="708"/>
      <c r="G3" s="910"/>
      <c r="I3" s="26" t="s">
        <v>268</v>
      </c>
      <c r="J3" s="1374">
        <v>46027</v>
      </c>
      <c r="K3" s="1374"/>
      <c r="AR3" s="838"/>
      <c r="BB3" s="840"/>
      <c r="BV3" s="840"/>
      <c r="CR3" s="840"/>
      <c r="CU3" s="876" t="e">
        <f>#REF!+#REF!</f>
        <v>#REF!</v>
      </c>
      <c r="DJ3" s="687"/>
      <c r="DK3" s="687"/>
      <c r="DL3" s="840"/>
    </row>
    <row r="4" spans="1:219" ht="15.75" customHeight="1" thickBot="1">
      <c r="B4" s="838"/>
      <c r="C4" s="839"/>
      <c r="D4" s="709"/>
      <c r="AN4" s="929"/>
      <c r="AP4" s="1298"/>
      <c r="AQ4" s="1298"/>
      <c r="AR4" s="838"/>
      <c r="BJ4" s="1298"/>
      <c r="BK4" s="1298"/>
      <c r="BR4" s="948" t="s">
        <v>219</v>
      </c>
      <c r="BS4" s="948"/>
      <c r="BX4" s="950" t="s">
        <v>1260</v>
      </c>
      <c r="BY4" s="949"/>
      <c r="CB4" s="4"/>
      <c r="CC4" s="4"/>
      <c r="CD4" s="4"/>
      <c r="CE4" s="4"/>
      <c r="CF4" s="4"/>
      <c r="CG4" s="4"/>
      <c r="CH4" s="4"/>
      <c r="CI4" s="4"/>
      <c r="CJ4" s="858"/>
      <c r="CK4" s="858"/>
      <c r="CL4" s="858"/>
      <c r="CM4" s="858"/>
    </row>
    <row r="5" spans="1:219" ht="15.75" customHeight="1" thickBot="1">
      <c r="A5" s="1364" t="s">
        <v>269</v>
      </c>
      <c r="B5" s="1364" t="s">
        <v>270</v>
      </c>
      <c r="C5" s="1365" t="s">
        <v>271</v>
      </c>
      <c r="D5" s="1222" t="s">
        <v>272</v>
      </c>
      <c r="E5" s="1222" t="s">
        <v>273</v>
      </c>
      <c r="F5" s="1222" t="s">
        <v>274</v>
      </c>
      <c r="G5" s="1222" t="s">
        <v>275</v>
      </c>
      <c r="H5" s="767"/>
      <c r="I5" s="1369" t="s">
        <v>276</v>
      </c>
      <c r="J5" s="1222" t="s">
        <v>277</v>
      </c>
      <c r="K5" s="1372"/>
      <c r="L5" s="1404" t="s">
        <v>278</v>
      </c>
      <c r="M5" s="1405"/>
      <c r="N5" s="1405"/>
      <c r="O5" s="1405"/>
      <c r="P5" s="1405"/>
      <c r="Q5" s="1405"/>
      <c r="R5" s="1405"/>
      <c r="S5" s="1406"/>
      <c r="T5" s="1404" t="s">
        <v>279</v>
      </c>
      <c r="U5" s="1405"/>
      <c r="V5" s="1405"/>
      <c r="W5" s="1405"/>
      <c r="X5" s="1405"/>
      <c r="Y5" s="1405"/>
      <c r="Z5" s="1405"/>
      <c r="AA5" s="1406"/>
      <c r="AB5" s="1404" t="s">
        <v>280</v>
      </c>
      <c r="AC5" s="1405"/>
      <c r="AD5" s="1405"/>
      <c r="AE5" s="1405"/>
      <c r="AF5" s="1405"/>
      <c r="AG5" s="1405"/>
      <c r="AH5" s="1405"/>
      <c r="AI5" s="1406"/>
      <c r="AJ5" s="1404" t="s">
        <v>281</v>
      </c>
      <c r="AK5" s="1405"/>
      <c r="AL5" s="1405"/>
      <c r="AM5" s="1405"/>
      <c r="AN5" s="1405"/>
      <c r="AO5" s="1405"/>
      <c r="AP5" s="1405"/>
      <c r="AQ5" s="1405"/>
      <c r="AR5" s="1405"/>
      <c r="AS5" s="1406"/>
      <c r="AT5" s="1404" t="s">
        <v>282</v>
      </c>
      <c r="AU5" s="1405"/>
      <c r="AV5" s="1405"/>
      <c r="AW5" s="1405"/>
      <c r="AX5" s="1405"/>
      <c r="AY5" s="1405"/>
      <c r="AZ5" s="1405"/>
      <c r="BA5" s="1406"/>
      <c r="BB5" s="1404" t="s">
        <v>283</v>
      </c>
      <c r="BC5" s="1405"/>
      <c r="BD5" s="1405"/>
      <c r="BE5" s="1405"/>
      <c r="BF5" s="1405"/>
      <c r="BG5" s="1405"/>
      <c r="BH5" s="1405"/>
      <c r="BI5" s="1406"/>
      <c r="BJ5" s="1404" t="s">
        <v>284</v>
      </c>
      <c r="BK5" s="1405"/>
      <c r="BL5" s="1405"/>
      <c r="BM5" s="1405"/>
      <c r="BN5" s="1405"/>
      <c r="BO5" s="1405"/>
      <c r="BP5" s="1405"/>
      <c r="BQ5" s="1405"/>
      <c r="BR5" s="1405"/>
      <c r="BS5" s="1406"/>
      <c r="BT5" s="1404" t="s">
        <v>285</v>
      </c>
      <c r="BU5" s="1405"/>
      <c r="BV5" s="1405"/>
      <c r="BW5" s="1405"/>
      <c r="BX5" s="1405"/>
      <c r="BY5" s="1405"/>
      <c r="BZ5" s="1405"/>
      <c r="CA5" s="1406"/>
      <c r="CB5" s="1404" t="s">
        <v>286</v>
      </c>
      <c r="CC5" s="1405"/>
      <c r="CD5" s="1405"/>
      <c r="CE5" s="1405"/>
      <c r="CF5" s="1405"/>
      <c r="CG5" s="1405"/>
      <c r="CH5" s="1405"/>
      <c r="CI5" s="1406"/>
      <c r="CJ5" s="1404" t="s">
        <v>287</v>
      </c>
      <c r="CK5" s="1405"/>
      <c r="CL5" s="1405"/>
      <c r="CM5" s="1405"/>
      <c r="CN5" s="1405"/>
      <c r="CO5" s="1405"/>
      <c r="CP5" s="1405"/>
      <c r="CQ5" s="1405"/>
      <c r="CR5" s="1405"/>
      <c r="CS5" s="1406"/>
      <c r="CT5" s="1404" t="s">
        <v>288</v>
      </c>
      <c r="CU5" s="1405"/>
      <c r="CV5" s="1405"/>
      <c r="CW5" s="1405"/>
      <c r="CX5" s="1405"/>
      <c r="CY5" s="1405"/>
      <c r="CZ5" s="1405"/>
      <c r="DA5" s="1406"/>
      <c r="DB5" s="1404" t="s">
        <v>289</v>
      </c>
      <c r="DC5" s="1405"/>
      <c r="DD5" s="1405"/>
      <c r="DE5" s="1405"/>
      <c r="DF5" s="1405"/>
      <c r="DG5" s="1405"/>
      <c r="DH5" s="1405"/>
      <c r="DI5" s="1405"/>
      <c r="DJ5" s="1405"/>
      <c r="DK5" s="1406"/>
      <c r="DL5" s="1404" t="s">
        <v>278</v>
      </c>
      <c r="DM5" s="1405"/>
      <c r="DN5" s="1405"/>
      <c r="DO5" s="1405"/>
      <c r="DP5" s="1405"/>
      <c r="DQ5" s="1405"/>
      <c r="DR5" s="1405"/>
      <c r="DS5" s="1406"/>
      <c r="DT5" s="1404" t="s">
        <v>279</v>
      </c>
      <c r="DU5" s="1405"/>
      <c r="DV5" s="1405"/>
      <c r="DW5" s="1405"/>
      <c r="DX5" s="1405"/>
      <c r="DY5" s="1405"/>
      <c r="DZ5" s="1405"/>
      <c r="EA5" s="1406"/>
      <c r="EB5" s="1404" t="s">
        <v>280</v>
      </c>
      <c r="EC5" s="1405"/>
      <c r="ED5" s="1405"/>
      <c r="EE5" s="1405"/>
      <c r="EF5" s="1405"/>
      <c r="EG5" s="1405"/>
      <c r="EH5" s="1405"/>
      <c r="EI5" s="1406"/>
      <c r="EJ5" s="1404" t="s">
        <v>281</v>
      </c>
      <c r="EK5" s="1405"/>
      <c r="EL5" s="1405"/>
      <c r="EM5" s="1405"/>
      <c r="EN5" s="1405"/>
      <c r="EO5" s="1405"/>
      <c r="EP5" s="1405"/>
      <c r="EQ5" s="1405"/>
      <c r="ER5" s="1405"/>
      <c r="ES5" s="1406"/>
      <c r="ET5" s="1404" t="s">
        <v>282</v>
      </c>
      <c r="EU5" s="1405"/>
      <c r="EV5" s="1405"/>
      <c r="EW5" s="1405"/>
      <c r="EX5" s="1405"/>
      <c r="EY5" s="1405"/>
      <c r="EZ5" s="1405"/>
      <c r="FA5" s="1406"/>
      <c r="FB5" s="1404" t="s">
        <v>283</v>
      </c>
      <c r="FC5" s="1405"/>
      <c r="FD5" s="1405"/>
      <c r="FE5" s="1405"/>
      <c r="FF5" s="1405"/>
      <c r="FG5" s="1405"/>
      <c r="FH5" s="1405"/>
      <c r="FI5" s="1405"/>
      <c r="FJ5" s="1405"/>
      <c r="FK5" s="1406"/>
      <c r="FL5" s="1404" t="s">
        <v>284</v>
      </c>
      <c r="FM5" s="1405"/>
      <c r="FN5" s="1405"/>
      <c r="FO5" s="1405"/>
      <c r="FP5" s="1405"/>
      <c r="FQ5" s="1405"/>
      <c r="FR5" s="1405"/>
      <c r="FS5" s="1406"/>
      <c r="FT5" s="1404" t="s">
        <v>285</v>
      </c>
      <c r="FU5" s="1405"/>
      <c r="FV5" s="1405"/>
      <c r="FW5" s="1405"/>
      <c r="FX5" s="1405"/>
      <c r="FY5" s="1405"/>
      <c r="FZ5" s="1405"/>
      <c r="GA5" s="1405"/>
      <c r="GB5" s="1405"/>
      <c r="GC5" s="1406"/>
      <c r="GD5" s="1404" t="s">
        <v>286</v>
      </c>
      <c r="GE5" s="1405"/>
      <c r="GF5" s="1405"/>
      <c r="GG5" s="1405"/>
      <c r="GH5" s="1405"/>
      <c r="GI5" s="1405"/>
      <c r="GJ5" s="1405"/>
      <c r="GK5" s="1406"/>
      <c r="GL5" s="1404" t="s">
        <v>287</v>
      </c>
      <c r="GM5" s="1405"/>
      <c r="GN5" s="1405"/>
      <c r="GO5" s="1405"/>
      <c r="GP5" s="1405"/>
      <c r="GQ5" s="1405"/>
      <c r="GR5" s="1405"/>
      <c r="GS5" s="1406"/>
      <c r="GT5" s="1404" t="s">
        <v>288</v>
      </c>
      <c r="GU5" s="1405"/>
      <c r="GV5" s="1405"/>
      <c r="GW5" s="1405"/>
      <c r="GX5" s="1405"/>
      <c r="GY5" s="1405"/>
      <c r="GZ5" s="1405"/>
      <c r="HA5" s="1406"/>
      <c r="HB5" s="1404" t="s">
        <v>289</v>
      </c>
      <c r="HC5" s="1405"/>
      <c r="HD5" s="1405"/>
      <c r="HE5" s="1405"/>
      <c r="HF5" s="1405"/>
      <c r="HG5" s="1405"/>
      <c r="HH5" s="1405"/>
      <c r="HI5" s="1406"/>
      <c r="HJ5" s="670" t="s">
        <v>278</v>
      </c>
      <c r="HK5" s="671"/>
    </row>
    <row r="6" spans="1:219" ht="29.1" customHeight="1">
      <c r="A6" s="1364"/>
      <c r="B6" s="1364"/>
      <c r="C6" s="1366"/>
      <c r="D6" s="1224"/>
      <c r="E6" s="1224"/>
      <c r="F6" s="1224"/>
      <c r="G6" s="1368"/>
      <c r="H6" s="759"/>
      <c r="I6" s="1224"/>
      <c r="J6" s="1224"/>
      <c r="K6" s="1373"/>
      <c r="L6" s="1409">
        <v>1</v>
      </c>
      <c r="M6" s="1408"/>
      <c r="N6" s="1407">
        <f>L6+1</f>
        <v>2</v>
      </c>
      <c r="O6" s="1408"/>
      <c r="P6" s="1407">
        <f>N6+1</f>
        <v>3</v>
      </c>
      <c r="Q6" s="1408"/>
      <c r="R6" s="1407">
        <f>P6+1</f>
        <v>4</v>
      </c>
      <c r="S6" s="1412"/>
      <c r="T6" s="1411">
        <f>R6+1</f>
        <v>5</v>
      </c>
      <c r="U6" s="1371"/>
      <c r="V6" s="1370">
        <f>T6+1</f>
        <v>6</v>
      </c>
      <c r="W6" s="1371"/>
      <c r="X6" s="1370">
        <f>V6+1</f>
        <v>7</v>
      </c>
      <c r="Y6" s="1371"/>
      <c r="Z6" s="1370">
        <f>X6+1</f>
        <v>8</v>
      </c>
      <c r="AA6" s="1410"/>
      <c r="AB6" s="1409">
        <f>Z6+1</f>
        <v>9</v>
      </c>
      <c r="AC6" s="1408"/>
      <c r="AD6" s="1407">
        <f>AB6+1</f>
        <v>10</v>
      </c>
      <c r="AE6" s="1408"/>
      <c r="AF6" s="1407">
        <f>AD6+1</f>
        <v>11</v>
      </c>
      <c r="AG6" s="1408"/>
      <c r="AH6" s="1407">
        <f>AF6+1</f>
        <v>12</v>
      </c>
      <c r="AI6" s="1408"/>
      <c r="AJ6" s="1370">
        <f>AH6+1</f>
        <v>13</v>
      </c>
      <c r="AK6" s="1371"/>
      <c r="AL6" s="1370">
        <f>AJ6+1</f>
        <v>14</v>
      </c>
      <c r="AM6" s="1371"/>
      <c r="AN6" s="1370">
        <f>AL6+1</f>
        <v>15</v>
      </c>
      <c r="AO6" s="1371"/>
      <c r="AP6" s="1370">
        <f>AN6+1</f>
        <v>16</v>
      </c>
      <c r="AQ6" s="1371"/>
      <c r="AR6" s="1370">
        <f>AP6+1</f>
        <v>17</v>
      </c>
      <c r="AS6" s="1371"/>
      <c r="AT6" s="1407">
        <f>AR6+1</f>
        <v>18</v>
      </c>
      <c r="AU6" s="1408"/>
      <c r="AV6" s="1407">
        <f>AT6+1</f>
        <v>19</v>
      </c>
      <c r="AW6" s="1408"/>
      <c r="AX6" s="1407">
        <f>AV6+1</f>
        <v>20</v>
      </c>
      <c r="AY6" s="1408"/>
      <c r="AZ6" s="1407">
        <f>AX6+1</f>
        <v>21</v>
      </c>
      <c r="BA6" s="1408"/>
      <c r="BB6" s="1370">
        <f>AZ6+1</f>
        <v>22</v>
      </c>
      <c r="BC6" s="1371"/>
      <c r="BD6" s="1370">
        <f>BB6+1</f>
        <v>23</v>
      </c>
      <c r="BE6" s="1371"/>
      <c r="BF6" s="1370">
        <f>BD6+1</f>
        <v>24</v>
      </c>
      <c r="BG6" s="1371"/>
      <c r="BH6" s="1370">
        <f>BF6+1</f>
        <v>25</v>
      </c>
      <c r="BI6" s="1371"/>
      <c r="BJ6" s="1407">
        <f>BH6+1</f>
        <v>26</v>
      </c>
      <c r="BK6" s="1408"/>
      <c r="BL6" s="1407">
        <f>BJ6+1</f>
        <v>27</v>
      </c>
      <c r="BM6" s="1408"/>
      <c r="BN6" s="1407">
        <f>BL6+1</f>
        <v>28</v>
      </c>
      <c r="BO6" s="1408"/>
      <c r="BP6" s="1407">
        <f>BN6+1</f>
        <v>29</v>
      </c>
      <c r="BQ6" s="1408"/>
      <c r="BR6" s="1407">
        <f>BP6+1</f>
        <v>30</v>
      </c>
      <c r="BS6" s="1408"/>
      <c r="BT6" s="1363">
        <f>BR6+1</f>
        <v>31</v>
      </c>
      <c r="BU6" s="1363"/>
      <c r="BV6" s="1363">
        <f>BT6+1</f>
        <v>32</v>
      </c>
      <c r="BW6" s="1363"/>
      <c r="BX6" s="1363">
        <f>BV6+1</f>
        <v>33</v>
      </c>
      <c r="BY6" s="1363"/>
      <c r="BZ6" s="1363">
        <f>BX6+1</f>
        <v>34</v>
      </c>
      <c r="CA6" s="1363"/>
      <c r="CB6" s="1321">
        <f>BZ6+1</f>
        <v>35</v>
      </c>
      <c r="CC6" s="1321"/>
      <c r="CD6" s="1321">
        <f>CB6+1</f>
        <v>36</v>
      </c>
      <c r="CE6" s="1321"/>
      <c r="CF6" s="1321">
        <f>CD6+1</f>
        <v>37</v>
      </c>
      <c r="CG6" s="1321"/>
      <c r="CH6" s="1321">
        <f>CF6+1</f>
        <v>38</v>
      </c>
      <c r="CI6" s="1321"/>
      <c r="CJ6" s="1363">
        <f>CH6+1</f>
        <v>39</v>
      </c>
      <c r="CK6" s="1363"/>
      <c r="CL6" s="1363">
        <f>CJ6+1</f>
        <v>40</v>
      </c>
      <c r="CM6" s="1363"/>
      <c r="CN6" s="1363">
        <f>CL6+1</f>
        <v>41</v>
      </c>
      <c r="CO6" s="1363"/>
      <c r="CP6" s="1363">
        <f>CN6+1</f>
        <v>42</v>
      </c>
      <c r="CQ6" s="1363"/>
      <c r="CR6" s="1363">
        <f>CP6+1</f>
        <v>43</v>
      </c>
      <c r="CS6" s="1363"/>
      <c r="CT6" s="1321">
        <f>CR6+1</f>
        <v>44</v>
      </c>
      <c r="CU6" s="1321"/>
      <c r="CV6" s="1321">
        <f>CT6+1</f>
        <v>45</v>
      </c>
      <c r="CW6" s="1321"/>
      <c r="CX6" s="1321">
        <f>CV6+1</f>
        <v>46</v>
      </c>
      <c r="CY6" s="1321"/>
      <c r="CZ6" s="1321">
        <f>CX6+1</f>
        <v>47</v>
      </c>
      <c r="DA6" s="1321"/>
      <c r="DB6" s="1335">
        <f>CZ6+1</f>
        <v>48</v>
      </c>
      <c r="DC6" s="1336"/>
      <c r="DD6" s="1335">
        <f>DB6+1</f>
        <v>49</v>
      </c>
      <c r="DE6" s="1336"/>
      <c r="DF6" s="1335">
        <f>DD6+1</f>
        <v>50</v>
      </c>
      <c r="DG6" s="1336"/>
      <c r="DH6" s="1335">
        <f>DF6+1</f>
        <v>51</v>
      </c>
      <c r="DI6" s="1336"/>
      <c r="DJ6" s="1337">
        <f>DH6+1</f>
        <v>52</v>
      </c>
      <c r="DK6" s="1338"/>
      <c r="DL6" s="1339">
        <f>DJ6+1</f>
        <v>53</v>
      </c>
      <c r="DM6" s="1339"/>
      <c r="DN6" s="1339">
        <f>DL6+1</f>
        <v>54</v>
      </c>
      <c r="DO6" s="1339"/>
      <c r="DP6" s="1339">
        <f>DN6+1</f>
        <v>55</v>
      </c>
      <c r="DQ6" s="1339"/>
      <c r="DR6" s="1339">
        <f>DP6+1</f>
        <v>56</v>
      </c>
      <c r="DS6" s="1339"/>
      <c r="DT6" s="1413">
        <f>DR6+1</f>
        <v>57</v>
      </c>
      <c r="DU6" s="1413"/>
      <c r="DV6" s="1413">
        <f>DT6+1</f>
        <v>58</v>
      </c>
      <c r="DW6" s="1413"/>
      <c r="DX6" s="1413">
        <f>DV6+1</f>
        <v>59</v>
      </c>
      <c r="DY6" s="1413"/>
      <c r="DZ6" s="1413">
        <f>DX6+1</f>
        <v>60</v>
      </c>
      <c r="EA6" s="1413"/>
      <c r="EB6" s="1339">
        <f>DZ6+1</f>
        <v>61</v>
      </c>
      <c r="EC6" s="1339"/>
      <c r="ED6" s="1339">
        <f>EB6+1</f>
        <v>62</v>
      </c>
      <c r="EE6" s="1339"/>
      <c r="EF6" s="1339">
        <f>ED6+1</f>
        <v>63</v>
      </c>
      <c r="EG6" s="1339"/>
      <c r="EH6" s="1339">
        <f>EF6+1</f>
        <v>64</v>
      </c>
      <c r="EI6" s="1339"/>
      <c r="EJ6" s="1363">
        <f>EH6+1</f>
        <v>65</v>
      </c>
      <c r="EK6" s="1363"/>
      <c r="EL6" s="1363">
        <f>EJ6+1</f>
        <v>66</v>
      </c>
      <c r="EM6" s="1363"/>
      <c r="EN6" s="1363">
        <f>EL6+1</f>
        <v>67</v>
      </c>
      <c r="EO6" s="1363"/>
      <c r="EP6" s="1363">
        <f>EN6+1</f>
        <v>68</v>
      </c>
      <c r="EQ6" s="1363"/>
      <c r="ER6" s="1363">
        <f>EP6+1</f>
        <v>69</v>
      </c>
      <c r="ES6" s="1363"/>
      <c r="ET6" s="1321">
        <f>ER6+1</f>
        <v>70</v>
      </c>
      <c r="EU6" s="1321"/>
      <c r="EV6" s="1321">
        <f>ET6+1</f>
        <v>71</v>
      </c>
      <c r="EW6" s="1321"/>
      <c r="EX6" s="1321">
        <f>EV6+1</f>
        <v>72</v>
      </c>
      <c r="EY6" s="1321"/>
      <c r="EZ6" s="1321">
        <f>EX6+1</f>
        <v>73</v>
      </c>
      <c r="FA6" s="1321"/>
      <c r="FB6" s="1363">
        <f>EZ6+1</f>
        <v>74</v>
      </c>
      <c r="FC6" s="1363"/>
      <c r="FD6" s="1363">
        <f>FB6+1</f>
        <v>75</v>
      </c>
      <c r="FE6" s="1363"/>
      <c r="FF6" s="1363">
        <f>FD6+1</f>
        <v>76</v>
      </c>
      <c r="FG6" s="1363"/>
      <c r="FH6" s="1363">
        <f>FF6+1</f>
        <v>77</v>
      </c>
      <c r="FI6" s="1363"/>
      <c r="FJ6" s="1363">
        <f>FH6+1</f>
        <v>78</v>
      </c>
      <c r="FK6" s="1363"/>
      <c r="FL6" s="1321">
        <f>FJ6+1</f>
        <v>79</v>
      </c>
      <c r="FM6" s="1321"/>
      <c r="FN6" s="1321">
        <f>FL6+1</f>
        <v>80</v>
      </c>
      <c r="FO6" s="1321"/>
      <c r="FP6" s="1321">
        <f>FN6+1</f>
        <v>81</v>
      </c>
      <c r="FQ6" s="1321"/>
      <c r="FR6" s="1321">
        <f>FP6+1</f>
        <v>82</v>
      </c>
      <c r="FS6" s="1321"/>
      <c r="FT6" s="1363">
        <f>FR6+1</f>
        <v>83</v>
      </c>
      <c r="FU6" s="1363"/>
      <c r="FV6" s="1363">
        <f>FT6+1</f>
        <v>84</v>
      </c>
      <c r="FW6" s="1363"/>
      <c r="FX6" s="1363">
        <f>FV6+1</f>
        <v>85</v>
      </c>
      <c r="FY6" s="1363"/>
      <c r="FZ6" s="1363">
        <f>FX6+1</f>
        <v>86</v>
      </c>
      <c r="GA6" s="1363"/>
      <c r="GB6" s="1363">
        <f>FZ6+1</f>
        <v>87</v>
      </c>
      <c r="GC6" s="1363"/>
      <c r="GD6" s="1321">
        <f>GB6+1</f>
        <v>88</v>
      </c>
      <c r="GE6" s="1321"/>
      <c r="GF6" s="1321">
        <f>GD6+1</f>
        <v>89</v>
      </c>
      <c r="GG6" s="1321"/>
      <c r="GH6" s="1321">
        <f>GF6+1</f>
        <v>90</v>
      </c>
      <c r="GI6" s="1321"/>
      <c r="GJ6" s="1321">
        <f>GH6+1</f>
        <v>91</v>
      </c>
      <c r="GK6" s="1321"/>
      <c r="GL6" s="1413">
        <f>GJ6+1</f>
        <v>92</v>
      </c>
      <c r="GM6" s="1413"/>
      <c r="GN6" s="1413">
        <f>GL6+1</f>
        <v>93</v>
      </c>
      <c r="GO6" s="1413"/>
      <c r="GP6" s="1413">
        <f>GN6+1</f>
        <v>94</v>
      </c>
      <c r="GQ6" s="1413"/>
      <c r="GR6" s="1413">
        <f>GP6+1</f>
        <v>95</v>
      </c>
      <c r="GS6" s="1413"/>
      <c r="GT6" s="1321">
        <f>GR6+1</f>
        <v>96</v>
      </c>
      <c r="GU6" s="1321"/>
      <c r="GV6" s="1321">
        <f>GT6+1</f>
        <v>97</v>
      </c>
      <c r="GW6" s="1321"/>
      <c r="GX6" s="1321">
        <f>GV6+1</f>
        <v>98</v>
      </c>
      <c r="GY6" s="1321"/>
      <c r="GZ6" s="1321">
        <f>GX6+1</f>
        <v>99</v>
      </c>
      <c r="HA6" s="1321"/>
      <c r="HB6" s="1413">
        <f>GZ6+1</f>
        <v>100</v>
      </c>
      <c r="HC6" s="1413"/>
      <c r="HD6" s="1413">
        <f>HB6+1</f>
        <v>101</v>
      </c>
      <c r="HE6" s="1413"/>
      <c r="HF6" s="1413">
        <f>HD6+1</f>
        <v>102</v>
      </c>
      <c r="HG6" s="1413"/>
      <c r="HH6" s="1413">
        <f>HF6+1</f>
        <v>103</v>
      </c>
      <c r="HI6" s="1413"/>
      <c r="HJ6" s="1321">
        <f>HH6+1</f>
        <v>104</v>
      </c>
      <c r="HK6" s="1321"/>
    </row>
    <row r="7" spans="1:219" ht="27" thickBot="1">
      <c r="A7" s="1364"/>
      <c r="B7" s="1364"/>
      <c r="C7" s="1367"/>
      <c r="D7" s="1368"/>
      <c r="E7" s="1368"/>
      <c r="F7" s="1368"/>
      <c r="G7" s="758" t="s">
        <v>1154</v>
      </c>
      <c r="H7" s="768"/>
      <c r="I7" s="1368"/>
      <c r="J7" s="1368"/>
      <c r="K7" s="1226"/>
      <c r="L7" s="769">
        <f>J3</f>
        <v>46027</v>
      </c>
      <c r="M7" s="770">
        <f>L7+6</f>
        <v>46033</v>
      </c>
      <c r="N7" s="770">
        <f>M7+1</f>
        <v>46034</v>
      </c>
      <c r="O7" s="770">
        <f>N7+6</f>
        <v>46040</v>
      </c>
      <c r="P7" s="770">
        <f>O7+1</f>
        <v>46041</v>
      </c>
      <c r="Q7" s="770">
        <f>P7+6</f>
        <v>46047</v>
      </c>
      <c r="R7" s="770">
        <f>Q7+1</f>
        <v>46048</v>
      </c>
      <c r="S7" s="771">
        <f>R7+6</f>
        <v>46054</v>
      </c>
      <c r="T7" s="769">
        <f>S7+1</f>
        <v>46055</v>
      </c>
      <c r="U7" s="770">
        <f>T7+6</f>
        <v>46061</v>
      </c>
      <c r="V7" s="770">
        <f>U7+1</f>
        <v>46062</v>
      </c>
      <c r="W7" s="770">
        <f>V7+6</f>
        <v>46068</v>
      </c>
      <c r="X7" s="770">
        <f>W7+1</f>
        <v>46069</v>
      </c>
      <c r="Y7" s="770">
        <f>X7+6</f>
        <v>46075</v>
      </c>
      <c r="Z7" s="770">
        <f>Y7+1</f>
        <v>46076</v>
      </c>
      <c r="AA7" s="771">
        <f>Z7+6</f>
        <v>46082</v>
      </c>
      <c r="AB7" s="772">
        <f>AA7+1</f>
        <v>46083</v>
      </c>
      <c r="AC7" s="773">
        <f>AB7+6</f>
        <v>46089</v>
      </c>
      <c r="AD7" s="773">
        <f>AC7+1</f>
        <v>46090</v>
      </c>
      <c r="AE7" s="773">
        <f>AD7+6</f>
        <v>46096</v>
      </c>
      <c r="AF7" s="773">
        <f>AE7+1</f>
        <v>46097</v>
      </c>
      <c r="AG7" s="773">
        <f>AF7+6</f>
        <v>46103</v>
      </c>
      <c r="AH7" s="773">
        <f>AG7+1</f>
        <v>46104</v>
      </c>
      <c r="AI7" s="773">
        <f>AH7+6</f>
        <v>46110</v>
      </c>
      <c r="AJ7" s="773">
        <f>AI7+1</f>
        <v>46111</v>
      </c>
      <c r="AK7" s="773">
        <f>AJ7+6</f>
        <v>46117</v>
      </c>
      <c r="AL7" s="773">
        <f>AK7+1</f>
        <v>46118</v>
      </c>
      <c r="AM7" s="773">
        <f>AL7+6</f>
        <v>46124</v>
      </c>
      <c r="AN7" s="773">
        <f>AM7+1</f>
        <v>46125</v>
      </c>
      <c r="AO7" s="773">
        <f>AN7+6</f>
        <v>46131</v>
      </c>
      <c r="AP7" s="773">
        <f>AO7+1</f>
        <v>46132</v>
      </c>
      <c r="AQ7" s="773">
        <f>AP7+6</f>
        <v>46138</v>
      </c>
      <c r="AR7" s="773">
        <f>AQ7+1</f>
        <v>46139</v>
      </c>
      <c r="AS7" s="773">
        <f>AR7+6</f>
        <v>46145</v>
      </c>
      <c r="AT7" s="773">
        <f>AS7+1</f>
        <v>46146</v>
      </c>
      <c r="AU7" s="773">
        <f>AT7+6</f>
        <v>46152</v>
      </c>
      <c r="AV7" s="773">
        <f>AU7+1</f>
        <v>46153</v>
      </c>
      <c r="AW7" s="773">
        <f>AV7+6</f>
        <v>46159</v>
      </c>
      <c r="AX7" s="773">
        <f>AW7+1</f>
        <v>46160</v>
      </c>
      <c r="AY7" s="773">
        <f>AX7+6</f>
        <v>46166</v>
      </c>
      <c r="AZ7" s="773">
        <f>AY7+1</f>
        <v>46167</v>
      </c>
      <c r="BA7" s="773">
        <f>AZ7+6</f>
        <v>46173</v>
      </c>
      <c r="BB7" s="773">
        <f>BA7+1</f>
        <v>46174</v>
      </c>
      <c r="BC7" s="773">
        <f>BB7+6</f>
        <v>46180</v>
      </c>
      <c r="BD7" s="773">
        <f>BC7+1</f>
        <v>46181</v>
      </c>
      <c r="BE7" s="773">
        <f>BD7+6</f>
        <v>46187</v>
      </c>
      <c r="BF7" s="773">
        <f>BE7+1</f>
        <v>46188</v>
      </c>
      <c r="BG7" s="773">
        <f>BF7+6</f>
        <v>46194</v>
      </c>
      <c r="BH7" s="773">
        <f>BG7+1</f>
        <v>46195</v>
      </c>
      <c r="BI7" s="773">
        <f>BH7+6</f>
        <v>46201</v>
      </c>
      <c r="BJ7" s="773">
        <f>BI7+1</f>
        <v>46202</v>
      </c>
      <c r="BK7" s="773">
        <f>BJ7+6</f>
        <v>46208</v>
      </c>
      <c r="BL7" s="773">
        <f>BK7+1</f>
        <v>46209</v>
      </c>
      <c r="BM7" s="773">
        <f>BL7+6</f>
        <v>46215</v>
      </c>
      <c r="BN7" s="773">
        <f>BM7+1</f>
        <v>46216</v>
      </c>
      <c r="BO7" s="773">
        <f>BN7+6</f>
        <v>46222</v>
      </c>
      <c r="BP7" s="773">
        <f>BO7+1</f>
        <v>46223</v>
      </c>
      <c r="BQ7" s="773">
        <f>BP7+6</f>
        <v>46229</v>
      </c>
      <c r="BR7" s="773">
        <f>BQ7+1</f>
        <v>46230</v>
      </c>
      <c r="BS7" s="773">
        <f>BR7+6</f>
        <v>46236</v>
      </c>
      <c r="BT7" s="773">
        <f>BS7+1</f>
        <v>46237</v>
      </c>
      <c r="BU7" s="773">
        <f>BT7+6</f>
        <v>46243</v>
      </c>
      <c r="BV7" s="773">
        <f>BU7+1</f>
        <v>46244</v>
      </c>
      <c r="BW7" s="773">
        <f>BV7+6</f>
        <v>46250</v>
      </c>
      <c r="BX7" s="773">
        <f>BW7+1</f>
        <v>46251</v>
      </c>
      <c r="BY7" s="773">
        <f>BX7+6</f>
        <v>46257</v>
      </c>
      <c r="BZ7" s="773">
        <f>BY7+1</f>
        <v>46258</v>
      </c>
      <c r="CA7" s="773">
        <f>BZ7+6</f>
        <v>46264</v>
      </c>
      <c r="CB7" s="773">
        <f>CA7+1</f>
        <v>46265</v>
      </c>
      <c r="CC7" s="773">
        <f>CB7+6</f>
        <v>46271</v>
      </c>
      <c r="CD7" s="773">
        <f>CC7+1</f>
        <v>46272</v>
      </c>
      <c r="CE7" s="773">
        <f>CD7+6</f>
        <v>46278</v>
      </c>
      <c r="CF7" s="773">
        <f>CE7+1</f>
        <v>46279</v>
      </c>
      <c r="CG7" s="773">
        <f>CF7+6</f>
        <v>46285</v>
      </c>
      <c r="CH7" s="773">
        <f>CG7+1</f>
        <v>46286</v>
      </c>
      <c r="CI7" s="773">
        <f>CH7+6</f>
        <v>46292</v>
      </c>
      <c r="CJ7" s="773">
        <f>CI7+1</f>
        <v>46293</v>
      </c>
      <c r="CK7" s="773">
        <f>CJ7+6</f>
        <v>46299</v>
      </c>
      <c r="CL7" s="773">
        <f>CK7+1</f>
        <v>46300</v>
      </c>
      <c r="CM7" s="773">
        <f>CL7+6</f>
        <v>46306</v>
      </c>
      <c r="CN7" s="773">
        <f>CM7+1</f>
        <v>46307</v>
      </c>
      <c r="CO7" s="773">
        <f>CN7+6</f>
        <v>46313</v>
      </c>
      <c r="CP7" s="773">
        <f>CO7+1</f>
        <v>46314</v>
      </c>
      <c r="CQ7" s="773">
        <f>CP7+6</f>
        <v>46320</v>
      </c>
      <c r="CR7" s="773">
        <f>CQ7+1</f>
        <v>46321</v>
      </c>
      <c r="CS7" s="773">
        <f>CR7+6</f>
        <v>46327</v>
      </c>
      <c r="CT7" s="773">
        <f>CS7+1</f>
        <v>46328</v>
      </c>
      <c r="CU7" s="773">
        <f>CT7+6</f>
        <v>46334</v>
      </c>
      <c r="CV7" s="773">
        <f>CU7+1</f>
        <v>46335</v>
      </c>
      <c r="CW7" s="773">
        <f>CV7+6</f>
        <v>46341</v>
      </c>
      <c r="CX7" s="773">
        <f>CW7+1</f>
        <v>46342</v>
      </c>
      <c r="CY7" s="773">
        <f>CX7+6</f>
        <v>46348</v>
      </c>
      <c r="CZ7" s="773">
        <f>CY7+1</f>
        <v>46349</v>
      </c>
      <c r="DA7" s="773">
        <f>CZ7+6</f>
        <v>46355</v>
      </c>
      <c r="DB7" s="773">
        <f>DA7+1</f>
        <v>46356</v>
      </c>
      <c r="DC7" s="773">
        <f>DB7+6</f>
        <v>46362</v>
      </c>
      <c r="DD7" s="773">
        <f>DC7+1</f>
        <v>46363</v>
      </c>
      <c r="DE7" s="773">
        <f>DD7+6</f>
        <v>46369</v>
      </c>
      <c r="DF7" s="773">
        <f>DE7+1</f>
        <v>46370</v>
      </c>
      <c r="DG7" s="773">
        <f>DF7+6</f>
        <v>46376</v>
      </c>
      <c r="DH7" s="773">
        <f>DG7+1</f>
        <v>46377</v>
      </c>
      <c r="DI7" s="773">
        <f>DH7+6</f>
        <v>46383</v>
      </c>
      <c r="DJ7" s="774">
        <f>DI7+1</f>
        <v>46384</v>
      </c>
      <c r="DK7" s="774">
        <f>DJ7+6</f>
        <v>46390</v>
      </c>
      <c r="DL7" s="773">
        <f>DK7+1</f>
        <v>46391</v>
      </c>
      <c r="DM7" s="773">
        <f>DL7+6</f>
        <v>46397</v>
      </c>
      <c r="DN7" s="773">
        <f>DM7+1</f>
        <v>46398</v>
      </c>
      <c r="DO7" s="773">
        <f>DN7+6</f>
        <v>46404</v>
      </c>
      <c r="DP7" s="773">
        <f>DO7+1</f>
        <v>46405</v>
      </c>
      <c r="DQ7" s="773">
        <f>DP7+6</f>
        <v>46411</v>
      </c>
      <c r="DR7" s="773">
        <f>DQ7+1</f>
        <v>46412</v>
      </c>
      <c r="DS7" s="773">
        <f>DR7+6</f>
        <v>46418</v>
      </c>
      <c r="DT7" s="773">
        <f>DS7+1</f>
        <v>46419</v>
      </c>
      <c r="DU7" s="773">
        <f>DT7+6</f>
        <v>46425</v>
      </c>
      <c r="DV7" s="773">
        <f>DU7+1</f>
        <v>46426</v>
      </c>
      <c r="DW7" s="773">
        <f>DV7+6</f>
        <v>46432</v>
      </c>
      <c r="DX7" s="773">
        <f>DW7+1</f>
        <v>46433</v>
      </c>
      <c r="DY7" s="773">
        <f>DX7+6</f>
        <v>46439</v>
      </c>
      <c r="DZ7" s="773">
        <f>DY7+1</f>
        <v>46440</v>
      </c>
      <c r="EA7" s="773">
        <f>DZ7+6</f>
        <v>46446</v>
      </c>
      <c r="EB7" s="773">
        <f>EA7+1</f>
        <v>46447</v>
      </c>
      <c r="EC7" s="773">
        <f>EB7+6</f>
        <v>46453</v>
      </c>
      <c r="ED7" s="773">
        <f>EC7+1</f>
        <v>46454</v>
      </c>
      <c r="EE7" s="773">
        <f>ED7+6</f>
        <v>46460</v>
      </c>
      <c r="EF7" s="773">
        <f t="shared" ref="EF7:GP7" si="0">EE7+1</f>
        <v>46461</v>
      </c>
      <c r="EG7" s="773">
        <f t="shared" ref="EG7:GQ7" si="1">EF7+6</f>
        <v>46467</v>
      </c>
      <c r="EH7" s="773">
        <f t="shared" si="0"/>
        <v>46468</v>
      </c>
      <c r="EI7" s="773">
        <f t="shared" si="1"/>
        <v>46474</v>
      </c>
      <c r="EJ7" s="773">
        <f t="shared" si="0"/>
        <v>46475</v>
      </c>
      <c r="EK7" s="773">
        <f t="shared" si="1"/>
        <v>46481</v>
      </c>
      <c r="EL7" s="773">
        <f t="shared" si="0"/>
        <v>46482</v>
      </c>
      <c r="EM7" s="773">
        <f t="shared" si="1"/>
        <v>46488</v>
      </c>
      <c r="EN7" s="773">
        <f t="shared" si="0"/>
        <v>46489</v>
      </c>
      <c r="EO7" s="773">
        <f t="shared" si="1"/>
        <v>46495</v>
      </c>
      <c r="EP7" s="773">
        <f t="shared" si="0"/>
        <v>46496</v>
      </c>
      <c r="EQ7" s="773">
        <f t="shared" si="1"/>
        <v>46502</v>
      </c>
      <c r="ER7" s="773">
        <f t="shared" si="0"/>
        <v>46503</v>
      </c>
      <c r="ES7" s="773">
        <f t="shared" si="1"/>
        <v>46509</v>
      </c>
      <c r="ET7" s="773">
        <f t="shared" si="0"/>
        <v>46510</v>
      </c>
      <c r="EU7" s="773">
        <f t="shared" si="1"/>
        <v>46516</v>
      </c>
      <c r="EV7" s="773">
        <f t="shared" si="0"/>
        <v>46517</v>
      </c>
      <c r="EW7" s="773">
        <f t="shared" si="1"/>
        <v>46523</v>
      </c>
      <c r="EX7" s="773">
        <f t="shared" si="0"/>
        <v>46524</v>
      </c>
      <c r="EY7" s="773">
        <f t="shared" si="1"/>
        <v>46530</v>
      </c>
      <c r="EZ7" s="773">
        <f t="shared" si="0"/>
        <v>46531</v>
      </c>
      <c r="FA7" s="773">
        <f t="shared" si="1"/>
        <v>46537</v>
      </c>
      <c r="FB7" s="773">
        <f t="shared" si="0"/>
        <v>46538</v>
      </c>
      <c r="FC7" s="773">
        <f t="shared" si="1"/>
        <v>46544</v>
      </c>
      <c r="FD7" s="773">
        <f t="shared" si="0"/>
        <v>46545</v>
      </c>
      <c r="FE7" s="773">
        <f t="shared" si="1"/>
        <v>46551</v>
      </c>
      <c r="FF7" s="773">
        <f t="shared" si="0"/>
        <v>46552</v>
      </c>
      <c r="FG7" s="773">
        <f t="shared" si="1"/>
        <v>46558</v>
      </c>
      <c r="FH7" s="773">
        <f t="shared" si="0"/>
        <v>46559</v>
      </c>
      <c r="FI7" s="773">
        <f t="shared" si="1"/>
        <v>46565</v>
      </c>
      <c r="FJ7" s="773">
        <f t="shared" si="0"/>
        <v>46566</v>
      </c>
      <c r="FK7" s="773">
        <f t="shared" si="1"/>
        <v>46572</v>
      </c>
      <c r="FL7" s="773">
        <f t="shared" si="0"/>
        <v>46573</v>
      </c>
      <c r="FM7" s="773">
        <f t="shared" si="1"/>
        <v>46579</v>
      </c>
      <c r="FN7" s="773">
        <f t="shared" si="0"/>
        <v>46580</v>
      </c>
      <c r="FO7" s="773">
        <f t="shared" si="1"/>
        <v>46586</v>
      </c>
      <c r="FP7" s="773">
        <f t="shared" si="0"/>
        <v>46587</v>
      </c>
      <c r="FQ7" s="773">
        <f t="shared" si="1"/>
        <v>46593</v>
      </c>
      <c r="FR7" s="773">
        <f t="shared" si="0"/>
        <v>46594</v>
      </c>
      <c r="FS7" s="773">
        <f t="shared" si="1"/>
        <v>46600</v>
      </c>
      <c r="FT7" s="773">
        <f t="shared" si="0"/>
        <v>46601</v>
      </c>
      <c r="FU7" s="773">
        <f t="shared" si="1"/>
        <v>46607</v>
      </c>
      <c r="FV7" s="773">
        <f t="shared" si="0"/>
        <v>46608</v>
      </c>
      <c r="FW7" s="773">
        <f t="shared" si="1"/>
        <v>46614</v>
      </c>
      <c r="FX7" s="773">
        <f t="shared" si="0"/>
        <v>46615</v>
      </c>
      <c r="FY7" s="773">
        <f t="shared" si="1"/>
        <v>46621</v>
      </c>
      <c r="FZ7" s="773">
        <f t="shared" si="0"/>
        <v>46622</v>
      </c>
      <c r="GA7" s="773">
        <f t="shared" si="1"/>
        <v>46628</v>
      </c>
      <c r="GB7" s="773">
        <f t="shared" si="0"/>
        <v>46629</v>
      </c>
      <c r="GC7" s="773">
        <f t="shared" si="1"/>
        <v>46635</v>
      </c>
      <c r="GD7" s="773">
        <f t="shared" si="0"/>
        <v>46636</v>
      </c>
      <c r="GE7" s="773">
        <f t="shared" si="1"/>
        <v>46642</v>
      </c>
      <c r="GF7" s="773">
        <f t="shared" si="0"/>
        <v>46643</v>
      </c>
      <c r="GG7" s="773">
        <f t="shared" si="1"/>
        <v>46649</v>
      </c>
      <c r="GH7" s="773">
        <f t="shared" si="0"/>
        <v>46650</v>
      </c>
      <c r="GI7" s="773">
        <f t="shared" si="1"/>
        <v>46656</v>
      </c>
      <c r="GJ7" s="773">
        <f t="shared" si="0"/>
        <v>46657</v>
      </c>
      <c r="GK7" s="773">
        <f t="shared" si="1"/>
        <v>46663</v>
      </c>
      <c r="GL7" s="773">
        <f t="shared" si="0"/>
        <v>46664</v>
      </c>
      <c r="GM7" s="773">
        <f t="shared" si="1"/>
        <v>46670</v>
      </c>
      <c r="GN7" s="773">
        <f t="shared" si="0"/>
        <v>46671</v>
      </c>
      <c r="GO7" s="773">
        <f t="shared" si="1"/>
        <v>46677</v>
      </c>
      <c r="GP7" s="773">
        <f t="shared" si="0"/>
        <v>46678</v>
      </c>
      <c r="GQ7" s="773">
        <f t="shared" si="1"/>
        <v>46684</v>
      </c>
      <c r="GR7" s="773">
        <f>GQ7+1</f>
        <v>46685</v>
      </c>
      <c r="GS7" s="773">
        <f>GR7+6</f>
        <v>46691</v>
      </c>
      <c r="GT7" s="773">
        <f>GS7+1</f>
        <v>46692</v>
      </c>
      <c r="GU7" s="773">
        <f>GT7+6</f>
        <v>46698</v>
      </c>
      <c r="GV7" s="773">
        <f>GU7+1</f>
        <v>46699</v>
      </c>
      <c r="GW7" s="773">
        <f>GV7+6</f>
        <v>46705</v>
      </c>
      <c r="GX7" s="773">
        <f>GW7+1</f>
        <v>46706</v>
      </c>
      <c r="GY7" s="773">
        <f>GX7+6</f>
        <v>46712</v>
      </c>
      <c r="GZ7" s="773">
        <f>GY7+1</f>
        <v>46713</v>
      </c>
      <c r="HA7" s="773">
        <f>GZ7+6</f>
        <v>46719</v>
      </c>
      <c r="HB7" s="773">
        <f>HA7+1</f>
        <v>46720</v>
      </c>
      <c r="HC7" s="773">
        <f>HB7+6</f>
        <v>46726</v>
      </c>
      <c r="HD7" s="773">
        <f>HC7+1</f>
        <v>46727</v>
      </c>
      <c r="HE7" s="773">
        <f>HD7+6</f>
        <v>46733</v>
      </c>
      <c r="HF7" s="773">
        <f>HE7+1</f>
        <v>46734</v>
      </c>
      <c r="HG7" s="773">
        <f>HF7+6</f>
        <v>46740</v>
      </c>
      <c r="HH7" s="773">
        <f>HG7+1</f>
        <v>46741</v>
      </c>
      <c r="HI7" s="773">
        <f>HH7+6</f>
        <v>46747</v>
      </c>
      <c r="HJ7" s="773">
        <f>HI7+1</f>
        <v>46748</v>
      </c>
      <c r="HK7" s="773">
        <f>HJ7+6</f>
        <v>46754</v>
      </c>
    </row>
    <row r="8" spans="1:219" ht="13.8" thickBot="1">
      <c r="A8" s="175">
        <v>2</v>
      </c>
      <c r="B8" s="176" t="str">
        <f>PLANEJAMENTO!C10</f>
        <v>SUPRESSÃO VEGETAL</v>
      </c>
      <c r="C8" s="728"/>
      <c r="D8" s="730"/>
      <c r="E8" s="730"/>
      <c r="F8" s="730"/>
      <c r="G8" s="728"/>
      <c r="H8" s="775"/>
      <c r="I8" s="776"/>
      <c r="J8" s="776"/>
      <c r="K8" s="776" t="s">
        <v>290</v>
      </c>
      <c r="L8" s="1396">
        <f>PRATICABILIDADE!C16</f>
        <v>0.44516129032258067</v>
      </c>
      <c r="M8" s="1397"/>
      <c r="N8" s="1397"/>
      <c r="O8" s="1397"/>
      <c r="P8" s="1397"/>
      <c r="Q8" s="1397"/>
      <c r="R8" s="1397"/>
      <c r="S8" s="1398"/>
      <c r="T8" s="1396">
        <f>PRATICABILIDADE!D16</f>
        <v>0.43928571428571433</v>
      </c>
      <c r="U8" s="1397"/>
      <c r="V8" s="1397"/>
      <c r="W8" s="1397"/>
      <c r="X8" s="1397"/>
      <c r="Y8" s="1397"/>
      <c r="Z8" s="1397"/>
      <c r="AA8" s="1398"/>
      <c r="AB8" s="1396">
        <f>PRATICABILIDADE!E16</f>
        <v>0.49032258064516132</v>
      </c>
      <c r="AC8" s="1397"/>
      <c r="AD8" s="1397"/>
      <c r="AE8" s="1397"/>
      <c r="AF8" s="1397"/>
      <c r="AG8" s="1397"/>
      <c r="AH8" s="1397"/>
      <c r="AI8" s="1397"/>
      <c r="AJ8" s="1291">
        <f>PRATICABILIDADE!F16</f>
        <v>0.7433333333333334</v>
      </c>
      <c r="AK8" s="1292"/>
      <c r="AL8" s="1292"/>
      <c r="AM8" s="1292"/>
      <c r="AN8" s="1292"/>
      <c r="AO8" s="1292"/>
      <c r="AP8" s="1292"/>
      <c r="AQ8" s="1292"/>
      <c r="AR8" s="1292"/>
      <c r="AS8" s="1293"/>
      <c r="AT8" s="1291">
        <f>PRATICABILIDADE!G16</f>
        <v>0.967741935483871</v>
      </c>
      <c r="AU8" s="1292"/>
      <c r="AV8" s="1292"/>
      <c r="AW8" s="1292"/>
      <c r="AX8" s="1292"/>
      <c r="AY8" s="1292"/>
      <c r="AZ8" s="1292"/>
      <c r="BA8" s="1399"/>
      <c r="BB8" s="1349">
        <f>PRATICABILIDADE!H16</f>
        <v>0.99666666666666659</v>
      </c>
      <c r="BC8" s="1292"/>
      <c r="BD8" s="1292"/>
      <c r="BE8" s="1292"/>
      <c r="BF8" s="1292"/>
      <c r="BG8" s="1292"/>
      <c r="BH8" s="1292"/>
      <c r="BI8" s="1293"/>
      <c r="BJ8" s="1291">
        <f>PRATICABILIDADE!I16</f>
        <v>1</v>
      </c>
      <c r="BK8" s="1292"/>
      <c r="BL8" s="1292"/>
      <c r="BM8" s="1292"/>
      <c r="BN8" s="1292"/>
      <c r="BO8" s="1292"/>
      <c r="BP8" s="1292"/>
      <c r="BQ8" s="1292"/>
      <c r="BR8" s="1292"/>
      <c r="BS8" s="1293"/>
      <c r="BT8" s="1291">
        <f>PRATICABILIDADE!J16</f>
        <v>0.99677419354838703</v>
      </c>
      <c r="BU8" s="1292"/>
      <c r="BV8" s="1292"/>
      <c r="BW8" s="1292"/>
      <c r="BX8" s="1292"/>
      <c r="BY8" s="1292"/>
      <c r="BZ8" s="1292"/>
      <c r="CA8" s="1293"/>
      <c r="CB8" s="1291">
        <f>PRATICABILIDADE!K16</f>
        <v>0.97333333333333327</v>
      </c>
      <c r="CC8" s="1292"/>
      <c r="CD8" s="1292"/>
      <c r="CE8" s="1292"/>
      <c r="CF8" s="1292"/>
      <c r="CG8" s="1292"/>
      <c r="CH8" s="1292"/>
      <c r="CI8" s="1293"/>
      <c r="CJ8" s="1291">
        <f>PRATICABILIDADE!L16</f>
        <v>0.78064516129032269</v>
      </c>
      <c r="CK8" s="1292"/>
      <c r="CL8" s="1292"/>
      <c r="CM8" s="1292"/>
      <c r="CN8" s="1292"/>
      <c r="CO8" s="1292"/>
      <c r="CP8" s="1292"/>
      <c r="CQ8" s="1292"/>
      <c r="CR8" s="1292"/>
      <c r="CS8" s="1293"/>
      <c r="CT8" s="1291">
        <f>PRATICABILIDADE!M16</f>
        <v>0.51666666666666672</v>
      </c>
      <c r="CU8" s="1292"/>
      <c r="CV8" s="1292"/>
      <c r="CW8" s="1292"/>
      <c r="CX8" s="1292"/>
      <c r="CY8" s="1292"/>
      <c r="CZ8" s="1292"/>
      <c r="DA8" s="1293"/>
      <c r="DB8" s="1291">
        <f>PRATICABILIDADE!N16</f>
        <v>0.46129032258064512</v>
      </c>
      <c r="DC8" s="1292"/>
      <c r="DD8" s="1292"/>
      <c r="DE8" s="1292"/>
      <c r="DF8" s="1292"/>
      <c r="DG8" s="1292"/>
      <c r="DH8" s="1292"/>
      <c r="DI8" s="1292"/>
      <c r="DJ8" s="1292"/>
      <c r="DK8" s="1293"/>
      <c r="DL8" s="1291">
        <f>PRATICABILIDADE!C16</f>
        <v>0.44516129032258067</v>
      </c>
      <c r="DM8" s="1292"/>
      <c r="DN8" s="1292"/>
      <c r="DO8" s="1292"/>
      <c r="DP8" s="1292"/>
      <c r="DQ8" s="1292"/>
      <c r="DR8" s="1292"/>
      <c r="DS8" s="1293"/>
      <c r="DT8" s="1291">
        <f>PRATICABILIDADE!D16</f>
        <v>0.43928571428571433</v>
      </c>
      <c r="DU8" s="1292"/>
      <c r="DV8" s="1292"/>
      <c r="DW8" s="1292"/>
      <c r="DX8" s="1292"/>
      <c r="DY8" s="1292"/>
      <c r="DZ8" s="1292"/>
      <c r="EA8" s="1292"/>
      <c r="EB8" s="1291">
        <f>PRATICABILIDADE!E16</f>
        <v>0.49032258064516132</v>
      </c>
      <c r="EC8" s="1292"/>
      <c r="ED8" s="1292"/>
      <c r="EE8" s="1292"/>
      <c r="EF8" s="1292"/>
      <c r="EG8" s="1292"/>
      <c r="EH8" s="1292"/>
      <c r="EI8" s="1292"/>
      <c r="EJ8" s="1291">
        <f>PRATICABILIDADE!F16</f>
        <v>0.7433333333333334</v>
      </c>
      <c r="EK8" s="1292"/>
      <c r="EL8" s="1292"/>
      <c r="EM8" s="1292"/>
      <c r="EN8" s="1292"/>
      <c r="EO8" s="1292"/>
      <c r="EP8" s="1292"/>
      <c r="EQ8" s="1292"/>
      <c r="ER8" s="1292"/>
      <c r="ES8" s="1292"/>
      <c r="ET8" s="1291">
        <f>PRATICABILIDADE!G16</f>
        <v>0.967741935483871</v>
      </c>
      <c r="EU8" s="1292"/>
      <c r="EV8" s="1292"/>
      <c r="EW8" s="1292"/>
      <c r="EX8" s="1292"/>
      <c r="EY8" s="1292"/>
      <c r="EZ8" s="1292"/>
      <c r="FA8" s="1292"/>
      <c r="FB8" s="1291">
        <f>PRATICABILIDADE!H16</f>
        <v>0.99666666666666659</v>
      </c>
      <c r="FC8" s="1292"/>
      <c r="FD8" s="1292"/>
      <c r="FE8" s="1292"/>
      <c r="FF8" s="1292"/>
      <c r="FG8" s="1292"/>
      <c r="FH8" s="1292"/>
      <c r="FI8" s="1292"/>
      <c r="FJ8" s="1292"/>
      <c r="FK8" s="1292"/>
      <c r="FL8" s="1291">
        <f>PRATICABILIDADE!I16</f>
        <v>1</v>
      </c>
      <c r="FM8" s="1292"/>
      <c r="FN8" s="1292"/>
      <c r="FO8" s="1292"/>
      <c r="FP8" s="1292"/>
      <c r="FQ8" s="1292"/>
      <c r="FR8" s="1292"/>
      <c r="FS8" s="1292"/>
      <c r="FT8" s="1291">
        <f>PRATICABILIDADE!J16</f>
        <v>0.99677419354838703</v>
      </c>
      <c r="FU8" s="1292"/>
      <c r="FV8" s="1292"/>
      <c r="FW8" s="1292"/>
      <c r="FX8" s="1292"/>
      <c r="FY8" s="1292"/>
      <c r="FZ8" s="1292"/>
      <c r="GA8" s="1292"/>
      <c r="GB8" s="1292"/>
      <c r="GC8" s="1293"/>
      <c r="GD8" s="1291">
        <f>PRATICABILIDADE!K16</f>
        <v>0.97333333333333327</v>
      </c>
      <c r="GE8" s="1292"/>
      <c r="GF8" s="1292"/>
      <c r="GG8" s="1292"/>
      <c r="GH8" s="1292"/>
      <c r="GI8" s="1292"/>
      <c r="GJ8" s="1292"/>
      <c r="GK8" s="1293"/>
      <c r="GL8" s="1291">
        <f>PRATICABILIDADE!L16</f>
        <v>0.78064516129032269</v>
      </c>
      <c r="GM8" s="1292"/>
      <c r="GN8" s="1292"/>
      <c r="GO8" s="1292"/>
      <c r="GP8" s="1292"/>
      <c r="GQ8" s="1292"/>
      <c r="GR8" s="1292"/>
      <c r="GS8" s="1293"/>
      <c r="GT8" s="1291">
        <f>PRATICABILIDADE!M16</f>
        <v>0.51666666666666672</v>
      </c>
      <c r="GU8" s="1292"/>
      <c r="GV8" s="1292"/>
      <c r="GW8" s="1292"/>
      <c r="GX8" s="1292"/>
      <c r="GY8" s="1292"/>
      <c r="GZ8" s="1292"/>
      <c r="HA8" s="1293"/>
      <c r="HB8" s="1291">
        <f>PRATICABILIDADE!N16</f>
        <v>0.46129032258064512</v>
      </c>
      <c r="HC8" s="1292"/>
      <c r="HD8" s="1292"/>
      <c r="HE8" s="1292"/>
      <c r="HF8" s="1292"/>
      <c r="HG8" s="1292"/>
      <c r="HH8" s="1292"/>
      <c r="HI8" s="1293"/>
      <c r="HJ8" s="1291">
        <f>PRATICABILIDADE!AC16</f>
        <v>0</v>
      </c>
      <c r="HK8" s="1293"/>
    </row>
    <row r="9" spans="1:219" s="947" customFormat="1" ht="14.4">
      <c r="A9" s="937"/>
      <c r="B9" s="938"/>
      <c r="C9" s="939"/>
      <c r="D9" s="940"/>
      <c r="E9" s="940"/>
      <c r="F9" s="939"/>
      <c r="G9" s="939"/>
      <c r="H9" s="939"/>
      <c r="I9" s="939"/>
      <c r="J9" s="939"/>
      <c r="K9" s="939"/>
      <c r="L9" s="1278"/>
      <c r="M9" s="1278"/>
      <c r="N9" s="1278"/>
      <c r="O9" s="1278"/>
      <c r="P9" s="1278"/>
      <c r="Q9" s="1278"/>
      <c r="R9" s="1278"/>
      <c r="S9" s="1279"/>
      <c r="T9" s="1280"/>
      <c r="U9" s="1278"/>
      <c r="V9" s="1278"/>
      <c r="W9" s="1278"/>
      <c r="X9" s="1278"/>
      <c r="Y9" s="1278"/>
      <c r="Z9" s="1278"/>
      <c r="AA9" s="1279"/>
      <c r="AB9" s="1280"/>
      <c r="AC9" s="1278"/>
      <c r="AD9" s="1278"/>
      <c r="AE9" s="1278"/>
      <c r="AF9" s="1278"/>
      <c r="AG9" s="1278"/>
      <c r="AH9" s="1278"/>
      <c r="AI9" s="1279"/>
      <c r="AJ9" s="1280"/>
      <c r="AK9" s="1278"/>
      <c r="AL9" s="1278"/>
      <c r="AM9" s="1278"/>
      <c r="AN9" s="1278"/>
      <c r="AO9" s="1278"/>
      <c r="AP9" s="1278"/>
      <c r="AQ9" s="1279"/>
      <c r="AR9" s="1280"/>
      <c r="AS9" s="1278"/>
      <c r="AT9" s="941"/>
      <c r="AU9" s="941"/>
      <c r="AV9" s="941"/>
      <c r="AW9" s="941"/>
      <c r="AX9" s="941"/>
      <c r="AY9" s="942"/>
      <c r="AZ9" s="943"/>
      <c r="BA9" s="941"/>
      <c r="BB9" s="941"/>
      <c r="BC9" s="941"/>
      <c r="BD9" s="941"/>
      <c r="BE9" s="941"/>
      <c r="BF9" s="941"/>
      <c r="BG9" s="942"/>
      <c r="BH9" s="943"/>
      <c r="BI9" s="941"/>
      <c r="BJ9" s="941"/>
      <c r="BK9" s="941"/>
      <c r="BL9" s="941"/>
      <c r="BM9" s="941"/>
      <c r="BN9" s="941"/>
      <c r="BO9" s="942"/>
      <c r="BP9" s="943"/>
      <c r="BQ9" s="941"/>
      <c r="BR9" s="941"/>
      <c r="BS9" s="941"/>
      <c r="BT9" s="941"/>
      <c r="BU9" s="941"/>
      <c r="BV9" s="941"/>
      <c r="BW9" s="942"/>
      <c r="BX9" s="943"/>
      <c r="BY9" s="941"/>
      <c r="BZ9" s="941"/>
      <c r="CA9" s="941"/>
      <c r="CB9" s="941"/>
      <c r="CC9" s="941"/>
      <c r="CD9" s="1278"/>
      <c r="CE9" s="1281"/>
      <c r="CF9" s="1280"/>
      <c r="CG9" s="1282"/>
      <c r="CH9" s="1278"/>
      <c r="CI9" s="1282"/>
      <c r="CJ9" s="1278"/>
      <c r="CK9" s="1282"/>
      <c r="CL9" s="1278"/>
      <c r="CM9" s="1281"/>
      <c r="CN9" s="1280"/>
      <c r="CO9" s="1282"/>
      <c r="CP9" s="1342"/>
      <c r="CQ9" s="1343"/>
      <c r="CR9" s="1342"/>
      <c r="CS9" s="1343"/>
      <c r="CT9" s="944"/>
      <c r="CU9" s="945"/>
      <c r="CV9" s="946"/>
      <c r="CW9" s="944"/>
      <c r="CX9" s="944"/>
      <c r="CY9" s="944"/>
      <c r="CZ9" s="944"/>
      <c r="DA9" s="944"/>
      <c r="DB9" s="944"/>
      <c r="DC9" s="945"/>
      <c r="DD9" s="946"/>
      <c r="DE9" s="944"/>
      <c r="DF9" s="944"/>
      <c r="DG9" s="944"/>
      <c r="DH9" s="944"/>
      <c r="DI9" s="944"/>
      <c r="DJ9" s="944"/>
      <c r="DK9" s="945"/>
      <c r="DL9" s="946"/>
      <c r="DM9" s="944"/>
      <c r="DN9" s="944"/>
      <c r="DO9" s="944"/>
      <c r="DP9" s="944"/>
      <c r="DQ9" s="944"/>
      <c r="DR9" s="944"/>
      <c r="DS9" s="945"/>
      <c r="DT9" s="946"/>
      <c r="DU9" s="944"/>
      <c r="DV9" s="944"/>
      <c r="DW9" s="944"/>
      <c r="DX9" s="944"/>
      <c r="DY9" s="944"/>
      <c r="DZ9" s="944"/>
      <c r="EA9" s="945"/>
      <c r="EB9" s="946"/>
      <c r="EC9" s="944"/>
      <c r="ED9" s="944"/>
      <c r="EE9" s="944"/>
      <c r="EF9" s="944"/>
      <c r="EG9" s="944"/>
      <c r="EH9" s="944"/>
      <c r="EI9" s="945"/>
      <c r="EJ9" s="946"/>
      <c r="EK9" s="944"/>
      <c r="EL9" s="944"/>
      <c r="EM9" s="944"/>
      <c r="EN9" s="944"/>
      <c r="EO9" s="944"/>
      <c r="EP9" s="944"/>
      <c r="EQ9" s="945"/>
      <c r="ER9" s="946"/>
      <c r="ES9" s="944"/>
      <c r="ET9" s="944"/>
      <c r="EU9" s="944"/>
      <c r="EV9" s="944"/>
      <c r="EW9" s="944"/>
      <c r="EX9" s="944"/>
      <c r="EY9" s="945"/>
      <c r="EZ9" s="946"/>
      <c r="FA9" s="944"/>
      <c r="FB9" s="944"/>
      <c r="FC9" s="944"/>
      <c r="FD9" s="944"/>
      <c r="FE9" s="944"/>
      <c r="FF9" s="944"/>
      <c r="FG9" s="945"/>
      <c r="FH9" s="946"/>
      <c r="FI9" s="944"/>
      <c r="FJ9" s="944"/>
      <c r="FK9" s="944"/>
      <c r="FL9" s="944"/>
      <c r="FM9" s="944"/>
      <c r="FN9" s="944"/>
      <c r="FO9" s="945"/>
      <c r="FP9" s="946"/>
      <c r="FQ9" s="944"/>
      <c r="FR9" s="944"/>
      <c r="FS9" s="944"/>
      <c r="FT9" s="944"/>
      <c r="FU9" s="944"/>
      <c r="FV9" s="944"/>
      <c r="FW9" s="945"/>
      <c r="FX9" s="946"/>
      <c r="FY9" s="944"/>
      <c r="FZ9" s="944"/>
      <c r="GA9" s="944"/>
      <c r="GB9" s="944"/>
      <c r="GC9" s="944"/>
      <c r="GD9" s="944"/>
      <c r="GE9" s="945"/>
      <c r="GF9" s="946"/>
      <c r="GG9" s="944"/>
      <c r="GH9" s="944"/>
      <c r="GI9" s="944"/>
      <c r="GJ9" s="944"/>
      <c r="GK9" s="944"/>
      <c r="GL9" s="944"/>
      <c r="GM9" s="945"/>
      <c r="GN9" s="946"/>
      <c r="GO9" s="944"/>
      <c r="GP9" s="944"/>
      <c r="GQ9" s="944"/>
      <c r="GR9" s="944"/>
      <c r="GS9" s="944"/>
      <c r="GT9" s="944"/>
      <c r="GU9" s="945"/>
      <c r="GV9" s="944"/>
      <c r="GW9" s="945"/>
      <c r="GX9" s="944"/>
      <c r="GY9" s="945"/>
      <c r="GZ9" s="944"/>
      <c r="HA9" s="945"/>
      <c r="HB9" s="944"/>
      <c r="HC9" s="945"/>
      <c r="HD9" s="944"/>
      <c r="HE9" s="945"/>
      <c r="HF9" s="944"/>
      <c r="HG9" s="945"/>
      <c r="HH9" s="944"/>
      <c r="HI9" s="945"/>
      <c r="HJ9" s="944"/>
      <c r="HK9" s="945"/>
    </row>
    <row r="10" spans="1:219" s="5" customFormat="1">
      <c r="A10" s="1299" t="s">
        <v>122</v>
      </c>
      <c r="B10" s="1300" t="str">
        <f>VLOOKUP(A10,PLANEJAMENTO!$B$10:$C$70,2,FALSE)</f>
        <v>Corte de Arvore Isolada, com destocamento com Ø &gt; 45cm</v>
      </c>
      <c r="C10" s="1299" t="str">
        <f>VLOOKUP(A10,PLANEJAMENTO!$B$10:$D$70,3,FALSE)</f>
        <v>un</v>
      </c>
      <c r="D10" s="1301">
        <f>VLOOKUP(A10,PLANEJAMENTO!$B$10:$E$70,4,FALSE)</f>
        <v>30</v>
      </c>
      <c r="E10" s="1301">
        <f>D10</f>
        <v>30</v>
      </c>
      <c r="F10" s="1302">
        <v>0.25</v>
      </c>
      <c r="G10" s="1301">
        <f>F10*8</f>
        <v>2</v>
      </c>
      <c r="H10" s="172"/>
      <c r="I10" s="1303"/>
      <c r="J10" s="1304"/>
      <c r="K10" s="173" t="s">
        <v>291</v>
      </c>
      <c r="L10" s="1285"/>
      <c r="M10" s="1286"/>
      <c r="N10" s="1285"/>
      <c r="O10" s="1286"/>
      <c r="P10" s="1285"/>
      <c r="Q10" s="1286"/>
      <c r="R10" s="1285"/>
      <c r="S10" s="1286"/>
      <c r="T10" s="1285"/>
      <c r="U10" s="1286"/>
      <c r="V10" s="1285"/>
      <c r="W10" s="1286"/>
      <c r="X10" s="1285"/>
      <c r="Y10" s="1286"/>
      <c r="Z10" s="1285"/>
      <c r="AA10" s="1286"/>
      <c r="AB10" s="1305"/>
      <c r="AC10" s="1306"/>
      <c r="AD10" s="1305"/>
      <c r="AE10" s="1306"/>
      <c r="AF10" s="1305"/>
      <c r="AG10" s="1306"/>
      <c r="AH10" s="1305"/>
      <c r="AI10" s="1306"/>
      <c r="AJ10" s="1307">
        <v>6</v>
      </c>
      <c r="AK10" s="1308"/>
      <c r="AL10" s="1309">
        <v>6</v>
      </c>
      <c r="AM10" s="1310"/>
      <c r="AN10" s="1309">
        <v>6</v>
      </c>
      <c r="AO10" s="1310"/>
      <c r="AP10" s="1311">
        <f>(D10-AN13)/AN12*6</f>
        <v>4.2216114566758254</v>
      </c>
      <c r="AQ10" s="1312"/>
      <c r="AR10" s="1309"/>
      <c r="AS10" s="1310"/>
      <c r="AT10" s="1285"/>
      <c r="AU10" s="1286"/>
      <c r="AV10" s="1285"/>
      <c r="AW10" s="1286"/>
      <c r="AX10" s="1285"/>
      <c r="AY10" s="1286"/>
      <c r="AZ10" s="1285"/>
      <c r="BA10" s="1286"/>
      <c r="BB10" s="1285"/>
      <c r="BC10" s="1286"/>
      <c r="BD10" s="1285"/>
      <c r="BE10" s="1286"/>
      <c r="BF10" s="1285"/>
      <c r="BG10" s="1286"/>
      <c r="BH10" s="1285"/>
      <c r="BI10" s="1286"/>
      <c r="BJ10" s="1285"/>
      <c r="BK10" s="1286"/>
      <c r="BL10" s="1285"/>
      <c r="BM10" s="1286"/>
      <c r="BN10" s="1285"/>
      <c r="BO10" s="1286"/>
      <c r="BP10" s="1285"/>
      <c r="BQ10" s="1286"/>
      <c r="BR10" s="1285"/>
      <c r="BS10" s="1286"/>
      <c r="BT10" s="1285"/>
      <c r="BU10" s="1286"/>
      <c r="BV10" s="1285"/>
      <c r="BW10" s="1286"/>
      <c r="BX10" s="1285"/>
      <c r="BY10" s="1286"/>
      <c r="BZ10" s="1285"/>
      <c r="CA10" s="1286"/>
      <c r="CB10" s="1285"/>
      <c r="CC10" s="1286"/>
      <c r="CD10" s="1285"/>
      <c r="CE10" s="1286"/>
      <c r="CF10" s="1285"/>
      <c r="CG10" s="1286"/>
      <c r="CH10" s="1285"/>
      <c r="CI10" s="1286"/>
      <c r="CJ10" s="1285"/>
      <c r="CK10" s="1286"/>
      <c r="CL10" s="1285"/>
      <c r="CM10" s="1286"/>
      <c r="CN10" s="1285"/>
      <c r="CO10" s="1286"/>
      <c r="CP10" s="1285"/>
      <c r="CQ10" s="1286"/>
      <c r="CR10" s="1285"/>
      <c r="CS10" s="1286"/>
      <c r="CT10" s="1285"/>
      <c r="CU10" s="1286"/>
      <c r="CV10" s="1285"/>
      <c r="CW10" s="1286"/>
      <c r="CX10" s="1285"/>
      <c r="CY10" s="1286"/>
      <c r="CZ10" s="1285"/>
      <c r="DA10" s="1286"/>
      <c r="DB10" s="1285"/>
      <c r="DC10" s="1286"/>
      <c r="DD10" s="1285"/>
      <c r="DE10" s="1286"/>
      <c r="DF10" s="1285"/>
      <c r="DG10" s="1286"/>
      <c r="DH10" s="1285"/>
      <c r="DI10" s="1286"/>
      <c r="DJ10" s="1285"/>
      <c r="DK10" s="1286"/>
      <c r="DL10" s="1285"/>
      <c r="DM10" s="1286"/>
      <c r="DN10" s="1285"/>
      <c r="DO10" s="1286"/>
      <c r="DP10" s="1285"/>
      <c r="DQ10" s="1286"/>
      <c r="DR10" s="1285"/>
      <c r="DS10" s="1286"/>
      <c r="DT10" s="1285"/>
      <c r="DU10" s="1286"/>
      <c r="DV10" s="1285"/>
      <c r="DW10" s="1286"/>
      <c r="DX10" s="1285"/>
      <c r="DY10" s="1286"/>
      <c r="DZ10" s="1285"/>
      <c r="EA10" s="1286"/>
      <c r="EB10" s="1285"/>
      <c r="EC10" s="1286"/>
      <c r="ED10" s="1285"/>
      <c r="EE10" s="1286"/>
      <c r="EF10" s="1285"/>
      <c r="EG10" s="1286"/>
      <c r="EH10" s="1285"/>
      <c r="EI10" s="1286"/>
      <c r="EJ10" s="1285"/>
      <c r="EK10" s="1286"/>
      <c r="EL10" s="1285"/>
      <c r="EM10" s="1286"/>
      <c r="EN10" s="1285"/>
      <c r="EO10" s="1286"/>
      <c r="EP10" s="1285"/>
      <c r="EQ10" s="1286"/>
      <c r="ER10" s="1285"/>
      <c r="ES10" s="1286"/>
      <c r="ET10" s="1285"/>
      <c r="EU10" s="1286"/>
      <c r="EV10" s="1285"/>
      <c r="EW10" s="1286"/>
      <c r="EX10" s="1285"/>
      <c r="EY10" s="1286"/>
      <c r="EZ10" s="1285"/>
      <c r="FA10" s="1286"/>
      <c r="FB10" s="1285"/>
      <c r="FC10" s="1286"/>
      <c r="FD10" s="1285"/>
      <c r="FE10" s="1286"/>
      <c r="FF10" s="1285"/>
      <c r="FG10" s="1286"/>
      <c r="FH10" s="1285"/>
      <c r="FI10" s="1286"/>
      <c r="FJ10" s="1285"/>
      <c r="FK10" s="1286"/>
      <c r="FL10" s="1285"/>
      <c r="FM10" s="1286"/>
      <c r="FN10" s="1285"/>
      <c r="FO10" s="1286"/>
      <c r="FP10" s="1285"/>
      <c r="FQ10" s="1286"/>
      <c r="FR10" s="1285"/>
      <c r="FS10" s="1286"/>
      <c r="FT10" s="1285"/>
      <c r="FU10" s="1286"/>
      <c r="FV10" s="1285"/>
      <c r="FW10" s="1286"/>
      <c r="FX10" s="1285"/>
      <c r="FY10" s="1286"/>
      <c r="FZ10" s="1285"/>
      <c r="GA10" s="1286"/>
      <c r="GB10" s="1285"/>
      <c r="GC10" s="1286"/>
      <c r="GD10" s="1285"/>
      <c r="GE10" s="1286"/>
      <c r="GF10" s="1285"/>
      <c r="GG10" s="1286"/>
      <c r="GH10" s="1285"/>
      <c r="GI10" s="1286"/>
      <c r="GJ10" s="1285"/>
      <c r="GK10" s="1286"/>
      <c r="GL10" s="1285"/>
      <c r="GM10" s="1286"/>
      <c r="GN10" s="1285"/>
      <c r="GO10" s="1286"/>
      <c r="GP10" s="1285"/>
      <c r="GQ10" s="1286"/>
      <c r="GR10" s="1285"/>
      <c r="GS10" s="1286"/>
      <c r="GT10" s="1285"/>
      <c r="GU10" s="1286"/>
      <c r="GV10" s="1285"/>
      <c r="GW10" s="1286"/>
      <c r="GX10" s="1285"/>
      <c r="GY10" s="1286"/>
      <c r="GZ10" s="1285"/>
      <c r="HA10" s="1286"/>
      <c r="HB10" s="1285"/>
      <c r="HC10" s="1286"/>
      <c r="HD10" s="1285"/>
      <c r="HE10" s="1286"/>
      <c r="HF10" s="1285"/>
      <c r="HG10" s="1286"/>
      <c r="HH10" s="1285"/>
      <c r="HI10" s="1286"/>
      <c r="HJ10" s="1285"/>
      <c r="HK10" s="1286"/>
    </row>
    <row r="11" spans="1:219" s="5" customFormat="1">
      <c r="A11" s="1299"/>
      <c r="B11" s="1300"/>
      <c r="C11" s="1299"/>
      <c r="D11" s="1301"/>
      <c r="E11" s="1301"/>
      <c r="F11" s="1302"/>
      <c r="G11" s="1301"/>
      <c r="H11" s="726"/>
      <c r="I11" s="1303"/>
      <c r="J11" s="1304"/>
      <c r="K11" s="785" t="s">
        <v>292</v>
      </c>
      <c r="L11" s="1283"/>
      <c r="M11" s="1284"/>
      <c r="N11" s="1283"/>
      <c r="O11" s="1284"/>
      <c r="P11" s="1283"/>
      <c r="Q11" s="1284"/>
      <c r="R11" s="1283"/>
      <c r="S11" s="1284"/>
      <c r="T11" s="1283"/>
      <c r="U11" s="1284"/>
      <c r="V11" s="1283"/>
      <c r="W11" s="1284"/>
      <c r="X11" s="1283"/>
      <c r="Y11" s="1284"/>
      <c r="Z11" s="1283"/>
      <c r="AA11" s="1284"/>
      <c r="AB11" s="1283"/>
      <c r="AC11" s="1284"/>
      <c r="AD11" s="1283"/>
      <c r="AE11" s="1284"/>
      <c r="AF11" s="1283"/>
      <c r="AG11" s="1284"/>
      <c r="AH11" s="1283"/>
      <c r="AI11" s="1284"/>
      <c r="AJ11" s="1283">
        <v>1</v>
      </c>
      <c r="AK11" s="1284"/>
      <c r="AL11" s="1283">
        <v>1</v>
      </c>
      <c r="AM11" s="1284"/>
      <c r="AN11" s="1283">
        <v>1</v>
      </c>
      <c r="AO11" s="1284"/>
      <c r="AP11" s="1283">
        <v>1</v>
      </c>
      <c r="AQ11" s="1284"/>
      <c r="AR11" s="1283"/>
      <c r="AS11" s="1284"/>
      <c r="AT11" s="1283"/>
      <c r="AU11" s="1284"/>
      <c r="AV11" s="1283"/>
      <c r="AW11" s="1284"/>
      <c r="AX11" s="1283"/>
      <c r="AY11" s="1284"/>
      <c r="AZ11" s="1283"/>
      <c r="BA11" s="1284"/>
      <c r="BB11" s="1283"/>
      <c r="BC11" s="1284"/>
      <c r="BD11" s="1283"/>
      <c r="BE11" s="1284"/>
      <c r="BF11" s="1283"/>
      <c r="BG11" s="1284"/>
      <c r="BH11" s="1283"/>
      <c r="BI11" s="1284"/>
      <c r="BJ11" s="1283"/>
      <c r="BK11" s="1284"/>
      <c r="BL11" s="1283"/>
      <c r="BM11" s="1284"/>
      <c r="BN11" s="1283"/>
      <c r="BO11" s="1284"/>
      <c r="BP11" s="1283"/>
      <c r="BQ11" s="1284"/>
      <c r="BR11" s="1283"/>
      <c r="BS11" s="1284"/>
      <c r="BT11" s="1283"/>
      <c r="BU11" s="1284"/>
      <c r="BV11" s="1283"/>
      <c r="BW11" s="1284"/>
      <c r="BX11" s="1283"/>
      <c r="BY11" s="1284"/>
      <c r="BZ11" s="1283"/>
      <c r="CA11" s="1284"/>
      <c r="CB11" s="1283"/>
      <c r="CC11" s="1284"/>
      <c r="CD11" s="1283"/>
      <c r="CE11" s="1284"/>
      <c r="CF11" s="1283"/>
      <c r="CG11" s="1284"/>
      <c r="CH11" s="1283"/>
      <c r="CI11" s="1284"/>
      <c r="CJ11" s="1283"/>
      <c r="CK11" s="1284"/>
      <c r="CL11" s="1283"/>
      <c r="CM11" s="1284"/>
      <c r="CN11" s="1283"/>
      <c r="CO11" s="1284"/>
      <c r="CP11" s="1283"/>
      <c r="CQ11" s="1284"/>
      <c r="CR11" s="1283"/>
      <c r="CS11" s="1284"/>
      <c r="CT11" s="1283"/>
      <c r="CU11" s="1284"/>
      <c r="CV11" s="1283"/>
      <c r="CW11" s="1284"/>
      <c r="CX11" s="1283"/>
      <c r="CY11" s="1284"/>
      <c r="CZ11" s="1283"/>
      <c r="DA11" s="1284"/>
      <c r="DB11" s="1283"/>
      <c r="DC11" s="1284"/>
      <c r="DD11" s="1283"/>
      <c r="DE11" s="1284"/>
      <c r="DF11" s="1283"/>
      <c r="DG11" s="1284"/>
      <c r="DH11" s="1283"/>
      <c r="DI11" s="1284"/>
      <c r="DJ11" s="1283"/>
      <c r="DK11" s="1284"/>
      <c r="DL11" s="1283"/>
      <c r="DM11" s="1284"/>
      <c r="DN11" s="1283"/>
      <c r="DO11" s="1284"/>
      <c r="DP11" s="1283"/>
      <c r="DQ11" s="1284"/>
      <c r="DR11" s="1283"/>
      <c r="DS11" s="1284"/>
      <c r="DT11" s="1283"/>
      <c r="DU11" s="1284"/>
      <c r="DV11" s="1283"/>
      <c r="DW11" s="1284"/>
      <c r="DX11" s="1283"/>
      <c r="DY11" s="1284"/>
      <c r="DZ11" s="1283"/>
      <c r="EA11" s="1284"/>
      <c r="EB11" s="1283"/>
      <c r="EC11" s="1284"/>
      <c r="ED11" s="1283"/>
      <c r="EE11" s="1284"/>
      <c r="EF11" s="1283"/>
      <c r="EG11" s="1284"/>
      <c r="EH11" s="1283"/>
      <c r="EI11" s="1284"/>
      <c r="EJ11" s="1283"/>
      <c r="EK11" s="1284"/>
      <c r="EL11" s="1283"/>
      <c r="EM11" s="1284"/>
      <c r="EN11" s="1283"/>
      <c r="EO11" s="1284"/>
      <c r="EP11" s="1283"/>
      <c r="EQ11" s="1284"/>
      <c r="ER11" s="1283"/>
      <c r="ES11" s="1284"/>
      <c r="ET11" s="1283"/>
      <c r="EU11" s="1284"/>
      <c r="EV11" s="1283"/>
      <c r="EW11" s="1284"/>
      <c r="EX11" s="1283"/>
      <c r="EY11" s="1284"/>
      <c r="EZ11" s="1283"/>
      <c r="FA11" s="1284"/>
      <c r="FB11" s="1283"/>
      <c r="FC11" s="1284"/>
      <c r="FD11" s="1283"/>
      <c r="FE11" s="1284"/>
      <c r="FF11" s="1283"/>
      <c r="FG11" s="1284"/>
      <c r="FH11" s="1283"/>
      <c r="FI11" s="1284"/>
      <c r="FJ11" s="1283"/>
      <c r="FK11" s="1284"/>
      <c r="FL11" s="1283"/>
      <c r="FM11" s="1284"/>
      <c r="FN11" s="1283"/>
      <c r="FO11" s="1284"/>
      <c r="FP11" s="1283"/>
      <c r="FQ11" s="1284"/>
      <c r="FR11" s="1283"/>
      <c r="FS11" s="1284"/>
      <c r="FT11" s="1283"/>
      <c r="FU11" s="1284"/>
      <c r="FV11" s="1283"/>
      <c r="FW11" s="1284"/>
      <c r="FX11" s="1283"/>
      <c r="FY11" s="1284"/>
      <c r="FZ11" s="1283"/>
      <c r="GA11" s="1284"/>
      <c r="GB11" s="1283"/>
      <c r="GC11" s="1284"/>
      <c r="GD11" s="1283"/>
      <c r="GE11" s="1284"/>
      <c r="GF11" s="1283"/>
      <c r="GG11" s="1284"/>
      <c r="GH11" s="1283"/>
      <c r="GI11" s="1284"/>
      <c r="GJ11" s="1283"/>
      <c r="GK11" s="1284"/>
      <c r="GL11" s="1283"/>
      <c r="GM11" s="1284"/>
      <c r="GN11" s="1283"/>
      <c r="GO11" s="1284"/>
      <c r="GP11" s="1283"/>
      <c r="GQ11" s="1284"/>
      <c r="GR11" s="1283"/>
      <c r="GS11" s="1284"/>
      <c r="GT11" s="1283"/>
      <c r="GU11" s="1284"/>
      <c r="GV11" s="1283"/>
      <c r="GW11" s="1284"/>
      <c r="GX11" s="1283"/>
      <c r="GY11" s="1284"/>
      <c r="GZ11" s="1283"/>
      <c r="HA11" s="1284"/>
      <c r="HB11" s="1283"/>
      <c r="HC11" s="1284"/>
      <c r="HD11" s="1283"/>
      <c r="HE11" s="1284"/>
      <c r="HF11" s="1283"/>
      <c r="HG11" s="1284"/>
      <c r="HH11" s="1283"/>
      <c r="HI11" s="1284"/>
      <c r="HJ11" s="1283"/>
      <c r="HK11" s="1284"/>
    </row>
    <row r="12" spans="1:219" s="5" customFormat="1">
      <c r="A12" s="1299"/>
      <c r="B12" s="1300"/>
      <c r="C12" s="1299"/>
      <c r="D12" s="1301"/>
      <c r="E12" s="1301"/>
      <c r="F12" s="1302"/>
      <c r="G12" s="1301"/>
      <c r="H12" s="726"/>
      <c r="I12" s="1303"/>
      <c r="J12" s="1304"/>
      <c r="K12" s="786" t="s">
        <v>293</v>
      </c>
      <c r="L12" s="1255">
        <f>(L10*L11*$G$19)*$L$8</f>
        <v>0</v>
      </c>
      <c r="M12" s="1256"/>
      <c r="N12" s="1255">
        <f>(N10*N11*$G$19)*$L$8</f>
        <v>0</v>
      </c>
      <c r="O12" s="1256"/>
      <c r="P12" s="1255">
        <f>(P10*P11*$G$19)*$L$8</f>
        <v>0</v>
      </c>
      <c r="Q12" s="1256"/>
      <c r="R12" s="1255">
        <f>(R10*R11*$G$19)*$L$8</f>
        <v>0</v>
      </c>
      <c r="S12" s="1256"/>
      <c r="T12" s="1255">
        <f>(T10*T11*$G$19)*$T$8</f>
        <v>0</v>
      </c>
      <c r="U12" s="1256"/>
      <c r="V12" s="1255">
        <f>(V10*V11*$G$19)*$T$8</f>
        <v>0</v>
      </c>
      <c r="W12" s="1256"/>
      <c r="X12" s="1255">
        <f>(X10*X11*$G$19)*$T$8</f>
        <v>0</v>
      </c>
      <c r="Y12" s="1256"/>
      <c r="Z12" s="1255">
        <f>(Z10*Z11*$G$19)*$T$8</f>
        <v>0</v>
      </c>
      <c r="AA12" s="1256"/>
      <c r="AB12" s="1255">
        <f>(AB10*AB11*$G$10)*$AB$8</f>
        <v>0</v>
      </c>
      <c r="AC12" s="1256"/>
      <c r="AD12" s="1255">
        <f>(AD10*AD11*$G$10)*$AB$8</f>
        <v>0</v>
      </c>
      <c r="AE12" s="1256"/>
      <c r="AF12" s="1255">
        <f>(AF10*AF11*$G$10)*$AB$8</f>
        <v>0</v>
      </c>
      <c r="AG12" s="1256"/>
      <c r="AH12" s="1255">
        <f>(AH10*AH11*$G$10)*$AB$8</f>
        <v>0</v>
      </c>
      <c r="AI12" s="1256"/>
      <c r="AJ12" s="1255">
        <f>(AJ10*AJ11*$G$10)*$AB$8</f>
        <v>5.8838709677419363</v>
      </c>
      <c r="AK12" s="1256"/>
      <c r="AL12" s="1255">
        <f>(AL10*AL11*$G$19)*$AJ$8</f>
        <v>8.9200000000000017</v>
      </c>
      <c r="AM12" s="1256"/>
      <c r="AN12" s="1255">
        <f>(AN10*AN11*$G$19)*$AJ$8</f>
        <v>8.9200000000000017</v>
      </c>
      <c r="AO12" s="1256"/>
      <c r="AP12" s="1255">
        <f>(AP10*AP11*$G$19)*$AJ$8</f>
        <v>6.2761290322580612</v>
      </c>
      <c r="AQ12" s="1256"/>
      <c r="AR12" s="1255">
        <f>(AR10*AR11*$G$10)*$BB$8</f>
        <v>0</v>
      </c>
      <c r="AS12" s="1256"/>
      <c r="AT12" s="1255">
        <f>(AT10*AT11*$G$10)*$AT$8</f>
        <v>0</v>
      </c>
      <c r="AU12" s="1256"/>
      <c r="AV12" s="1255">
        <f>(AV10*AV11*$G$10)*$AT$8</f>
        <v>0</v>
      </c>
      <c r="AW12" s="1256"/>
      <c r="AX12" s="1255">
        <f>(AX10*AX11*$G$10)*$AT$8</f>
        <v>0</v>
      </c>
      <c r="AY12" s="1256"/>
      <c r="AZ12" s="1255">
        <f>(AZ10*AZ11*$G$10)*$AT$8</f>
        <v>0</v>
      </c>
      <c r="BA12" s="1256"/>
      <c r="BB12" s="1255">
        <f>(BB10*BB11*$G$10)*$BB$8</f>
        <v>0</v>
      </c>
      <c r="BC12" s="1256"/>
      <c r="BD12" s="1255">
        <f>(BD10*BD11*$G$10)*$BB$8</f>
        <v>0</v>
      </c>
      <c r="BE12" s="1256"/>
      <c r="BF12" s="1255">
        <f>(BF10*BF11*$G$10)*$BB$8</f>
        <v>0</v>
      </c>
      <c r="BG12" s="1256"/>
      <c r="BH12" s="1255">
        <f>(BH10*BH11*$G$10)*$BB$8</f>
        <v>0</v>
      </c>
      <c r="BI12" s="1256"/>
      <c r="BJ12" s="1255">
        <f>(BJ10*BJ11*$G$10)*$BJ$8</f>
        <v>0</v>
      </c>
      <c r="BK12" s="1256"/>
      <c r="BL12" s="1255">
        <f>(BL10*BL11*$G$10)*$BJ$8</f>
        <v>0</v>
      </c>
      <c r="BM12" s="1256"/>
      <c r="BN12" s="1255">
        <f>(BN10*BN11*$G$10)*$BJ$8</f>
        <v>0</v>
      </c>
      <c r="BO12" s="1256"/>
      <c r="BP12" s="1255">
        <f>(BP10*BP11*$G$10)*$BJ$8</f>
        <v>0</v>
      </c>
      <c r="BQ12" s="1256"/>
      <c r="BR12" s="1255">
        <f>(BR10*BR11*$G$10)*$BJ$8</f>
        <v>0</v>
      </c>
      <c r="BS12" s="1256"/>
      <c r="BT12" s="1255">
        <f>(BT10*BT11*$G$10)*$AT$8</f>
        <v>0</v>
      </c>
      <c r="BU12" s="1256"/>
      <c r="BV12" s="1255">
        <f>(BV10*BV11*$G$10)*$AT$8</f>
        <v>0</v>
      </c>
      <c r="BW12" s="1256"/>
      <c r="BX12" s="1255">
        <f>(BX10*BX11*$G$10)*$AT$8</f>
        <v>0</v>
      </c>
      <c r="BY12" s="1256"/>
      <c r="BZ12" s="1255">
        <f>(BZ10*BZ11*$G$10)*$AT$8</f>
        <v>0</v>
      </c>
      <c r="CA12" s="1256"/>
      <c r="CB12" s="1255">
        <f>(CB10*CB11*$G$10)*$AT$8</f>
        <v>0</v>
      </c>
      <c r="CC12" s="1256"/>
      <c r="CD12" s="1255">
        <f>(CD10*CD11*$G$10)*$AT$8</f>
        <v>0</v>
      </c>
      <c r="CE12" s="1256"/>
      <c r="CF12" s="1255">
        <f>(CF10*CF11*$G$10)*$AT$8</f>
        <v>0</v>
      </c>
      <c r="CG12" s="1256"/>
      <c r="CH12" s="1255">
        <f>(CH10*CH11*$G$10)*$AT$8</f>
        <v>0</v>
      </c>
      <c r="CI12" s="1256"/>
      <c r="CJ12" s="1255">
        <f>(CJ10*CJ11*$G$10)*$AT$8</f>
        <v>0</v>
      </c>
      <c r="CK12" s="1256"/>
      <c r="CL12" s="1255">
        <f>(CL10*CL11*$G$10)*$AT$8</f>
        <v>0</v>
      </c>
      <c r="CM12" s="1256"/>
      <c r="CN12" s="1255">
        <f>(CN10*CN11*$G$10)*$AT$8</f>
        <v>0</v>
      </c>
      <c r="CO12" s="1256"/>
      <c r="CP12" s="1255">
        <f>(CP10*CP11*$G$10)*$AT$8</f>
        <v>0</v>
      </c>
      <c r="CQ12" s="1256"/>
      <c r="CR12" s="1255">
        <f>(CR10*CR11*$G$10)*$AT$8</f>
        <v>0</v>
      </c>
      <c r="CS12" s="1256"/>
      <c r="CT12" s="1255">
        <f>(CT10*CT11*$G$10)*$AT$8</f>
        <v>0</v>
      </c>
      <c r="CU12" s="1256"/>
      <c r="CV12" s="1255">
        <f>(CV10*CV11*$G$10)*$AT$8</f>
        <v>0</v>
      </c>
      <c r="CW12" s="1256"/>
      <c r="CX12" s="1255">
        <f>(CX10*CX11*$G$10)*$AT$8</f>
        <v>0</v>
      </c>
      <c r="CY12" s="1256"/>
      <c r="CZ12" s="1255">
        <f>(CZ10*CZ11*$G$10)*$AT$8</f>
        <v>0</v>
      </c>
      <c r="DA12" s="1256"/>
      <c r="DB12" s="1255">
        <f>(DB10*DB11*$G$10)*$AT$8</f>
        <v>0</v>
      </c>
      <c r="DC12" s="1256"/>
      <c r="DD12" s="1255">
        <f>(DD10*DD11*$G$10)*$AT$8</f>
        <v>0</v>
      </c>
      <c r="DE12" s="1256"/>
      <c r="DF12" s="1255">
        <f>(DF10*DF11*$G$10)*$AT$8</f>
        <v>0</v>
      </c>
      <c r="DG12" s="1256"/>
      <c r="DH12" s="1255">
        <f>(DH10*DH11*$G$10)*$AT$8</f>
        <v>0</v>
      </c>
      <c r="DI12" s="1256"/>
      <c r="DJ12" s="1255">
        <f>(DJ10*DJ11*$G$10)*$AT$8</f>
        <v>0</v>
      </c>
      <c r="DK12" s="1256"/>
      <c r="DL12" s="1255">
        <f>(DL10*DL11*$G$10)*$AT$8</f>
        <v>0</v>
      </c>
      <c r="DM12" s="1256"/>
      <c r="DN12" s="1255">
        <f>(DN10*DN11*$G$10)*$AT$8</f>
        <v>0</v>
      </c>
      <c r="DO12" s="1256"/>
      <c r="DP12" s="1255">
        <f>(DP10*DP11*$G$10)*$AT$8</f>
        <v>0</v>
      </c>
      <c r="DQ12" s="1256"/>
      <c r="DR12" s="1255">
        <f>(DR10*DR11*$G$10)*$AT$8</f>
        <v>0</v>
      </c>
      <c r="DS12" s="1256"/>
      <c r="DT12" s="1255">
        <f>(DT10*DT11*$G$10)*$AT$8</f>
        <v>0</v>
      </c>
      <c r="DU12" s="1256"/>
      <c r="DV12" s="1255">
        <f>(DV10*DV11*$G$10)*$AT$8</f>
        <v>0</v>
      </c>
      <c r="DW12" s="1256"/>
      <c r="DX12" s="1255">
        <f>(DX10*DX11*$G$10)*$AT$8</f>
        <v>0</v>
      </c>
      <c r="DY12" s="1256"/>
      <c r="DZ12" s="1255">
        <f>(DZ10*DZ11*$G$10)*$AT$8</f>
        <v>0</v>
      </c>
      <c r="EA12" s="1256"/>
      <c r="EB12" s="1255">
        <f>(EB10*EB11*$G$10)*$AT$8</f>
        <v>0</v>
      </c>
      <c r="EC12" s="1256"/>
      <c r="ED12" s="1255">
        <f>(ED10*ED11*$G$10)*$AT$8</f>
        <v>0</v>
      </c>
      <c r="EE12" s="1256"/>
      <c r="EF12" s="1255">
        <f>(EF10*EF11*$G$10)*$AT$8</f>
        <v>0</v>
      </c>
      <c r="EG12" s="1256"/>
      <c r="EH12" s="1255">
        <f>(EH10*EH11*$G$10)*$AT$8</f>
        <v>0</v>
      </c>
      <c r="EI12" s="1256"/>
      <c r="EJ12" s="1255">
        <f>(EJ10*EJ11*$G$10)*$AT$8</f>
        <v>0</v>
      </c>
      <c r="EK12" s="1256"/>
      <c r="EL12" s="1255">
        <f>(EL10*EL11*$G$10)*$AT$8</f>
        <v>0</v>
      </c>
      <c r="EM12" s="1256"/>
      <c r="EN12" s="1255">
        <f>(EN10*EN11*$G$10)*$AT$8</f>
        <v>0</v>
      </c>
      <c r="EO12" s="1256"/>
      <c r="EP12" s="1255">
        <f>(EP10*EP11*$G$10)*$AT$8</f>
        <v>0</v>
      </c>
      <c r="EQ12" s="1256"/>
      <c r="ER12" s="1255">
        <f>(ER10*ER11*$G$10)*$AT$8</f>
        <v>0</v>
      </c>
      <c r="ES12" s="1256"/>
      <c r="ET12" s="1255">
        <f>(ET10*ET11*$G$10)*$AT$8</f>
        <v>0</v>
      </c>
      <c r="EU12" s="1256"/>
      <c r="EV12" s="1255">
        <f>(EV10*EV11*$G$10)*$AT$8</f>
        <v>0</v>
      </c>
      <c r="EW12" s="1256"/>
      <c r="EX12" s="1255">
        <f>(EX10*EX11*$G$10)*$AT$8</f>
        <v>0</v>
      </c>
      <c r="EY12" s="1256"/>
      <c r="EZ12" s="1255">
        <f>(EZ10*EZ11*$G$10)*$AT$8</f>
        <v>0</v>
      </c>
      <c r="FA12" s="1256"/>
      <c r="FB12" s="1255">
        <f>(FB10*FB11*$G$10)*$AT$8</f>
        <v>0</v>
      </c>
      <c r="FC12" s="1256"/>
      <c r="FD12" s="1255">
        <f>(FD10*FD11*$G$10)*$AT$8</f>
        <v>0</v>
      </c>
      <c r="FE12" s="1256"/>
      <c r="FF12" s="1255">
        <f>(FF10*FF11*$G$10)*$AT$8</f>
        <v>0</v>
      </c>
      <c r="FG12" s="1256"/>
      <c r="FH12" s="1255">
        <f>(FH10*FH11*$G$10)*$AT$8</f>
        <v>0</v>
      </c>
      <c r="FI12" s="1256"/>
      <c r="FJ12" s="1255">
        <f>(FJ10*FJ11*$G$10)*$AT$8</f>
        <v>0</v>
      </c>
      <c r="FK12" s="1256"/>
      <c r="FL12" s="1255">
        <f>(FL10*FL11*$G$10)*$AT$8</f>
        <v>0</v>
      </c>
      <c r="FM12" s="1256"/>
      <c r="FN12" s="1255">
        <f>(FN10*FN11*$G$10)*$AT$8</f>
        <v>0</v>
      </c>
      <c r="FO12" s="1256"/>
      <c r="FP12" s="1255">
        <f>(FP10*FP11*$G$10)*$AT$8</f>
        <v>0</v>
      </c>
      <c r="FQ12" s="1256"/>
      <c r="FR12" s="1255">
        <f>(FR10*FR11*$G$10)*$AT$8</f>
        <v>0</v>
      </c>
      <c r="FS12" s="1256"/>
      <c r="FT12" s="1255">
        <f>(FT10*FT11*$G$10)*$AT$8</f>
        <v>0</v>
      </c>
      <c r="FU12" s="1256"/>
      <c r="FV12" s="1255">
        <f>(FV10*FV11*$G$10)*$AT$8</f>
        <v>0</v>
      </c>
      <c r="FW12" s="1256"/>
      <c r="FX12" s="1255">
        <f>(FX10*FX11*$G$10)*$AT$8</f>
        <v>0</v>
      </c>
      <c r="FY12" s="1256"/>
      <c r="FZ12" s="1255">
        <f>(FZ10*FZ11*$G$10)*$AT$8</f>
        <v>0</v>
      </c>
      <c r="GA12" s="1256"/>
      <c r="GB12" s="1255">
        <f>(GB10*GB11*$G$10)*$AT$8</f>
        <v>0</v>
      </c>
      <c r="GC12" s="1256"/>
      <c r="GD12" s="1255">
        <f>(GD10*GD11*$G$10)*$AT$8</f>
        <v>0</v>
      </c>
      <c r="GE12" s="1256"/>
      <c r="GF12" s="1255">
        <f>(GF10*GF11*$G$10)*$AT$8</f>
        <v>0</v>
      </c>
      <c r="GG12" s="1256"/>
      <c r="GH12" s="1255">
        <f>(GH10*GH11*$G$10)*$AT$8</f>
        <v>0</v>
      </c>
      <c r="GI12" s="1256"/>
      <c r="GJ12" s="1255">
        <f>(GJ10*GJ11*$G$10)*$AT$8</f>
        <v>0</v>
      </c>
      <c r="GK12" s="1256"/>
      <c r="GL12" s="1255">
        <f>(GL10*GL11*$G$10)*$AT$8</f>
        <v>0</v>
      </c>
      <c r="GM12" s="1256"/>
      <c r="GN12" s="1255">
        <f>(GN10*GN11*$G$10)*$AT$8</f>
        <v>0</v>
      </c>
      <c r="GO12" s="1256"/>
      <c r="GP12" s="1255">
        <f>(GP10*GP11*$G$10)*$AT$8</f>
        <v>0</v>
      </c>
      <c r="GQ12" s="1256"/>
      <c r="GR12" s="1255">
        <f>(GR10*GR11*$G$10)*$AT$8</f>
        <v>0</v>
      </c>
      <c r="GS12" s="1256"/>
      <c r="GT12" s="1255">
        <f>(GT10*GT11*$G$10)*$AT$8</f>
        <v>0</v>
      </c>
      <c r="GU12" s="1256"/>
      <c r="GV12" s="1255">
        <f>(GV10*GV11*$G$10)*$AT$8</f>
        <v>0</v>
      </c>
      <c r="GW12" s="1256"/>
      <c r="GX12" s="1255">
        <f>(GX10*GX11*$G$10)*$AT$8</f>
        <v>0</v>
      </c>
      <c r="GY12" s="1256"/>
      <c r="GZ12" s="1255">
        <f>(GZ10*GZ11*$G$10)*$AT$8</f>
        <v>0</v>
      </c>
      <c r="HA12" s="1256"/>
      <c r="HB12" s="1255">
        <f>(HB10*HB11*$G$10)*$AT$8</f>
        <v>0</v>
      </c>
      <c r="HC12" s="1256"/>
      <c r="HD12" s="1255">
        <f>(HD10*HD11*$G$10)*$AT$8</f>
        <v>0</v>
      </c>
      <c r="HE12" s="1256"/>
      <c r="HF12" s="1255">
        <f>(HF10*HF11*$G$10)*$AT$8</f>
        <v>0</v>
      </c>
      <c r="HG12" s="1256"/>
      <c r="HH12" s="1255">
        <f>(HH10*HH11*$G$10)*$AT$8</f>
        <v>0</v>
      </c>
      <c r="HI12" s="1256"/>
      <c r="HJ12" s="1255">
        <f>(HJ10*HJ11*$G$10)*$AT$8</f>
        <v>0</v>
      </c>
      <c r="HK12" s="1256"/>
    </row>
    <row r="13" spans="1:219" s="5" customFormat="1">
      <c r="A13" s="1299"/>
      <c r="B13" s="1300"/>
      <c r="C13" s="1299"/>
      <c r="D13" s="1301"/>
      <c r="E13" s="1301"/>
      <c r="F13" s="1302"/>
      <c r="G13" s="1301"/>
      <c r="H13" s="726"/>
      <c r="I13" s="1303"/>
      <c r="J13" s="1304"/>
      <c r="K13" s="787" t="s">
        <v>294</v>
      </c>
      <c r="L13" s="1272">
        <f>L12</f>
        <v>0</v>
      </c>
      <c r="M13" s="1273"/>
      <c r="N13" s="1272">
        <f>L13+N12</f>
        <v>0</v>
      </c>
      <c r="O13" s="1273"/>
      <c r="P13" s="1272">
        <f>N13+P12</f>
        <v>0</v>
      </c>
      <c r="Q13" s="1273"/>
      <c r="R13" s="1272">
        <f>P13+R12</f>
        <v>0</v>
      </c>
      <c r="S13" s="1273"/>
      <c r="T13" s="1272">
        <f>R13+T12</f>
        <v>0</v>
      </c>
      <c r="U13" s="1273"/>
      <c r="V13" s="1272">
        <f>T13+V12</f>
        <v>0</v>
      </c>
      <c r="W13" s="1273"/>
      <c r="X13" s="1272">
        <f>V13+X12</f>
        <v>0</v>
      </c>
      <c r="Y13" s="1273"/>
      <c r="Z13" s="1272">
        <f>X13+Z12</f>
        <v>0</v>
      </c>
      <c r="AA13" s="1273"/>
      <c r="AB13" s="1272">
        <f>Z13+AB12</f>
        <v>0</v>
      </c>
      <c r="AC13" s="1273"/>
      <c r="AD13" s="1272">
        <f>AB13+AD12</f>
        <v>0</v>
      </c>
      <c r="AE13" s="1273"/>
      <c r="AF13" s="1272">
        <f>AD13+AF12</f>
        <v>0</v>
      </c>
      <c r="AG13" s="1273"/>
      <c r="AH13" s="1272">
        <f>AF13+AH12</f>
        <v>0</v>
      </c>
      <c r="AI13" s="1273"/>
      <c r="AJ13" s="1272">
        <f>AH13+AJ12</f>
        <v>5.8838709677419363</v>
      </c>
      <c r="AK13" s="1273"/>
      <c r="AL13" s="1272">
        <f>AJ13+AL12</f>
        <v>14.803870967741938</v>
      </c>
      <c r="AM13" s="1273"/>
      <c r="AN13" s="1272">
        <f>AL13+AN12</f>
        <v>23.723870967741938</v>
      </c>
      <c r="AO13" s="1273"/>
      <c r="AP13" s="1272">
        <f>AN13+AP12</f>
        <v>30</v>
      </c>
      <c r="AQ13" s="1273"/>
      <c r="AR13" s="1272">
        <f>AP13+AR12</f>
        <v>30</v>
      </c>
      <c r="AS13" s="1273"/>
      <c r="AT13" s="1272">
        <f>AR13+AT12</f>
        <v>30</v>
      </c>
      <c r="AU13" s="1273"/>
      <c r="AV13" s="1272">
        <f>AT13+AV12</f>
        <v>30</v>
      </c>
      <c r="AW13" s="1273"/>
      <c r="AX13" s="1272">
        <f>AV13+AX12</f>
        <v>30</v>
      </c>
      <c r="AY13" s="1273"/>
      <c r="AZ13" s="1272">
        <f>AX13+AZ12</f>
        <v>30</v>
      </c>
      <c r="BA13" s="1273"/>
      <c r="BB13" s="1272">
        <f>AZ13+BB12</f>
        <v>30</v>
      </c>
      <c r="BC13" s="1273"/>
      <c r="BD13" s="1272">
        <f>BB13+BD12</f>
        <v>30</v>
      </c>
      <c r="BE13" s="1273"/>
      <c r="BF13" s="1272">
        <f>BD13+BF12</f>
        <v>30</v>
      </c>
      <c r="BG13" s="1273"/>
      <c r="BH13" s="1272">
        <f>BF13+BH12</f>
        <v>30</v>
      </c>
      <c r="BI13" s="1273"/>
      <c r="BJ13" s="1272">
        <f>BH13+BJ12</f>
        <v>30</v>
      </c>
      <c r="BK13" s="1273"/>
      <c r="BL13" s="1272">
        <f>BJ13+BL12</f>
        <v>30</v>
      </c>
      <c r="BM13" s="1273"/>
      <c r="BN13" s="1272">
        <f>BL13+BN12</f>
        <v>30</v>
      </c>
      <c r="BO13" s="1273"/>
      <c r="BP13" s="1272">
        <f>BN13+BP12</f>
        <v>30</v>
      </c>
      <c r="BQ13" s="1273"/>
      <c r="BR13" s="1272">
        <f>BP13+BR12</f>
        <v>30</v>
      </c>
      <c r="BS13" s="1273"/>
      <c r="BT13" s="1272">
        <f>BR13+BT12</f>
        <v>30</v>
      </c>
      <c r="BU13" s="1273"/>
      <c r="BV13" s="1272">
        <f>BT13+BV12</f>
        <v>30</v>
      </c>
      <c r="BW13" s="1273"/>
      <c r="BX13" s="1272">
        <f>BV13+BX12</f>
        <v>30</v>
      </c>
      <c r="BY13" s="1273"/>
      <c r="BZ13" s="1272">
        <f>BX13+BZ12</f>
        <v>30</v>
      </c>
      <c r="CA13" s="1273"/>
      <c r="CB13" s="1272">
        <f>BZ13+CB12</f>
        <v>30</v>
      </c>
      <c r="CC13" s="1273"/>
      <c r="CD13" s="1272">
        <f>CB13+CD12</f>
        <v>30</v>
      </c>
      <c r="CE13" s="1273"/>
      <c r="CF13" s="1272">
        <f>CD13+CF12</f>
        <v>30</v>
      </c>
      <c r="CG13" s="1273"/>
      <c r="CH13" s="1272">
        <f>CF13+CH12</f>
        <v>30</v>
      </c>
      <c r="CI13" s="1273"/>
      <c r="CJ13" s="1272">
        <f>CH13+CJ12</f>
        <v>30</v>
      </c>
      <c r="CK13" s="1273"/>
      <c r="CL13" s="1272">
        <f>CJ13+CL12</f>
        <v>30</v>
      </c>
      <c r="CM13" s="1273"/>
      <c r="CN13" s="1272">
        <f>CL13+CN12</f>
        <v>30</v>
      </c>
      <c r="CO13" s="1273"/>
      <c r="CP13" s="1272">
        <f>CN13+CP12</f>
        <v>30</v>
      </c>
      <c r="CQ13" s="1273"/>
      <c r="CR13" s="1272">
        <f>CP13+CR12</f>
        <v>30</v>
      </c>
      <c r="CS13" s="1273"/>
      <c r="CT13" s="1272">
        <f>CR13+CT12</f>
        <v>30</v>
      </c>
      <c r="CU13" s="1273"/>
      <c r="CV13" s="1272">
        <f>CT13+CV12</f>
        <v>30</v>
      </c>
      <c r="CW13" s="1273"/>
      <c r="CX13" s="1272">
        <f>CV13+CX12</f>
        <v>30</v>
      </c>
      <c r="CY13" s="1273"/>
      <c r="CZ13" s="1272">
        <f>CX13+CZ12</f>
        <v>30</v>
      </c>
      <c r="DA13" s="1273"/>
      <c r="DB13" s="1272">
        <f>CZ13+DB12</f>
        <v>30</v>
      </c>
      <c r="DC13" s="1273"/>
      <c r="DD13" s="1272">
        <f>DB13+DD12</f>
        <v>30</v>
      </c>
      <c r="DE13" s="1273"/>
      <c r="DF13" s="1272">
        <f>DD13+DF12</f>
        <v>30</v>
      </c>
      <c r="DG13" s="1273"/>
      <c r="DH13" s="1272">
        <f>DF13+DH12</f>
        <v>30</v>
      </c>
      <c r="DI13" s="1273"/>
      <c r="DJ13" s="1272">
        <f>DH13+DJ12</f>
        <v>30</v>
      </c>
      <c r="DK13" s="1273"/>
      <c r="DL13" s="1272">
        <f>DJ13+DL12</f>
        <v>30</v>
      </c>
      <c r="DM13" s="1273"/>
      <c r="DN13" s="1272">
        <f>DL13+DN12</f>
        <v>30</v>
      </c>
      <c r="DO13" s="1273"/>
      <c r="DP13" s="1272">
        <f>DN13+DP12</f>
        <v>30</v>
      </c>
      <c r="DQ13" s="1273"/>
      <c r="DR13" s="1272">
        <f>DP13+DR12</f>
        <v>30</v>
      </c>
      <c r="DS13" s="1273"/>
      <c r="DT13" s="1272">
        <f>DR13+DT12</f>
        <v>30</v>
      </c>
      <c r="DU13" s="1273"/>
      <c r="DV13" s="1272">
        <f>DT13+DV12</f>
        <v>30</v>
      </c>
      <c r="DW13" s="1273"/>
      <c r="DX13" s="1272">
        <f>DV13+DX12</f>
        <v>30</v>
      </c>
      <c r="DY13" s="1273"/>
      <c r="DZ13" s="1272">
        <f>DX13+DZ12</f>
        <v>30</v>
      </c>
      <c r="EA13" s="1273"/>
      <c r="EB13" s="1272">
        <f>DZ13+EB12</f>
        <v>30</v>
      </c>
      <c r="EC13" s="1273"/>
      <c r="ED13" s="1272">
        <f>EB13+ED12</f>
        <v>30</v>
      </c>
      <c r="EE13" s="1273"/>
      <c r="EF13" s="1272">
        <f>ED13+EF12</f>
        <v>30</v>
      </c>
      <c r="EG13" s="1273"/>
      <c r="EH13" s="1272">
        <f>EF13+EH12</f>
        <v>30</v>
      </c>
      <c r="EI13" s="1273"/>
      <c r="EJ13" s="1272">
        <f>EH13+EJ12</f>
        <v>30</v>
      </c>
      <c r="EK13" s="1273"/>
      <c r="EL13" s="1272">
        <f>EJ13+EL12</f>
        <v>30</v>
      </c>
      <c r="EM13" s="1273"/>
      <c r="EN13" s="1272">
        <f>EL13+EN12</f>
        <v>30</v>
      </c>
      <c r="EO13" s="1273"/>
      <c r="EP13" s="1272">
        <f>EN13+EP12</f>
        <v>30</v>
      </c>
      <c r="EQ13" s="1273"/>
      <c r="ER13" s="1272">
        <f>EP13+ER12</f>
        <v>30</v>
      </c>
      <c r="ES13" s="1273"/>
      <c r="ET13" s="1272">
        <f>ER13+ET12</f>
        <v>30</v>
      </c>
      <c r="EU13" s="1273"/>
      <c r="EV13" s="1272">
        <f>ET13+EV12</f>
        <v>30</v>
      </c>
      <c r="EW13" s="1273"/>
      <c r="EX13" s="1272">
        <f>EV13+EX12</f>
        <v>30</v>
      </c>
      <c r="EY13" s="1273"/>
      <c r="EZ13" s="1272">
        <f>EX13+EZ12</f>
        <v>30</v>
      </c>
      <c r="FA13" s="1273"/>
      <c r="FB13" s="1272">
        <f>EZ13+FB12</f>
        <v>30</v>
      </c>
      <c r="FC13" s="1273"/>
      <c r="FD13" s="1272">
        <f>FB13+FD12</f>
        <v>30</v>
      </c>
      <c r="FE13" s="1273"/>
      <c r="FF13" s="1272">
        <f>FD13+FF12</f>
        <v>30</v>
      </c>
      <c r="FG13" s="1273"/>
      <c r="FH13" s="1272">
        <f>FF13+FH12</f>
        <v>30</v>
      </c>
      <c r="FI13" s="1273"/>
      <c r="FJ13" s="1272">
        <f>FH13+FJ12</f>
        <v>30</v>
      </c>
      <c r="FK13" s="1273"/>
      <c r="FL13" s="1272">
        <f>FJ13+FL12</f>
        <v>30</v>
      </c>
      <c r="FM13" s="1273"/>
      <c r="FN13" s="1272">
        <f>FL13+FN12</f>
        <v>30</v>
      </c>
      <c r="FO13" s="1273"/>
      <c r="FP13" s="1272">
        <f>FN13+FP12</f>
        <v>30</v>
      </c>
      <c r="FQ13" s="1273"/>
      <c r="FR13" s="1272">
        <f>FP13+FR12</f>
        <v>30</v>
      </c>
      <c r="FS13" s="1273"/>
      <c r="FT13" s="1272">
        <f>FR13+FT12</f>
        <v>30</v>
      </c>
      <c r="FU13" s="1273"/>
      <c r="FV13" s="1272">
        <f>FT13+FV12</f>
        <v>30</v>
      </c>
      <c r="FW13" s="1273"/>
      <c r="FX13" s="1272">
        <f>FV13+FX12</f>
        <v>30</v>
      </c>
      <c r="FY13" s="1273"/>
      <c r="FZ13" s="1272">
        <f>FX13+FZ12</f>
        <v>30</v>
      </c>
      <c r="GA13" s="1273"/>
      <c r="GB13" s="1272">
        <f>FZ13+GB12</f>
        <v>30</v>
      </c>
      <c r="GC13" s="1273"/>
      <c r="GD13" s="1272">
        <f>GB13+GD12</f>
        <v>30</v>
      </c>
      <c r="GE13" s="1273"/>
      <c r="GF13" s="1272">
        <f>GD13+GF12</f>
        <v>30</v>
      </c>
      <c r="GG13" s="1273"/>
      <c r="GH13" s="1272">
        <f>GF13+GH12</f>
        <v>30</v>
      </c>
      <c r="GI13" s="1273"/>
      <c r="GJ13" s="1272">
        <f>GH13+GJ12</f>
        <v>30</v>
      </c>
      <c r="GK13" s="1273"/>
      <c r="GL13" s="1272">
        <f>GJ13+GL12</f>
        <v>30</v>
      </c>
      <c r="GM13" s="1273"/>
      <c r="GN13" s="1272">
        <f>GL13+GN12</f>
        <v>30</v>
      </c>
      <c r="GO13" s="1273"/>
      <c r="GP13" s="1272">
        <f>GN13+GP12</f>
        <v>30</v>
      </c>
      <c r="GQ13" s="1273"/>
      <c r="GR13" s="1272">
        <f>GP13+GR12</f>
        <v>30</v>
      </c>
      <c r="GS13" s="1273"/>
      <c r="GT13" s="1272">
        <f>GR13+GT12</f>
        <v>30</v>
      </c>
      <c r="GU13" s="1273"/>
      <c r="GV13" s="1272">
        <f>GT13+GV12</f>
        <v>30</v>
      </c>
      <c r="GW13" s="1273"/>
      <c r="GX13" s="1272">
        <f>GV13+GX12</f>
        <v>30</v>
      </c>
      <c r="GY13" s="1273"/>
      <c r="GZ13" s="1272">
        <f>GX13+GZ12</f>
        <v>30</v>
      </c>
      <c r="HA13" s="1273"/>
      <c r="HB13" s="1272">
        <f>GZ13+HB12</f>
        <v>30</v>
      </c>
      <c r="HC13" s="1273"/>
      <c r="HD13" s="1272">
        <f>HB13+HD12</f>
        <v>30</v>
      </c>
      <c r="HE13" s="1273"/>
      <c r="HF13" s="1272">
        <f>HD13+HF12</f>
        <v>30</v>
      </c>
      <c r="HG13" s="1273"/>
      <c r="HH13" s="1272">
        <f>HF13+HH12</f>
        <v>30</v>
      </c>
      <c r="HI13" s="1273"/>
      <c r="HJ13" s="1272">
        <f>HH13+HJ12</f>
        <v>30</v>
      </c>
      <c r="HK13" s="1273"/>
    </row>
    <row r="14" spans="1:219" s="5" customFormat="1">
      <c r="A14" s="1299"/>
      <c r="B14" s="1300"/>
      <c r="C14" s="1299"/>
      <c r="D14" s="1301"/>
      <c r="E14" s="1301"/>
      <c r="F14" s="1302"/>
      <c r="G14" s="1301"/>
      <c r="H14" s="788"/>
      <c r="I14" s="1303"/>
      <c r="J14" s="1304"/>
      <c r="K14" s="789" t="s">
        <v>295</v>
      </c>
      <c r="L14" s="1266"/>
      <c r="M14" s="1267"/>
      <c r="N14" s="1266"/>
      <c r="O14" s="1267"/>
      <c r="P14" s="1266"/>
      <c r="Q14" s="1267"/>
      <c r="R14" s="1266"/>
      <c r="S14" s="1267"/>
      <c r="T14" s="1266"/>
      <c r="U14" s="1267"/>
      <c r="V14" s="1266"/>
      <c r="W14" s="1267"/>
      <c r="X14" s="1266"/>
      <c r="Y14" s="1267"/>
      <c r="Z14" s="1266"/>
      <c r="AA14" s="1267"/>
      <c r="AB14" s="1266"/>
      <c r="AC14" s="1267"/>
      <c r="AD14" s="1266"/>
      <c r="AE14" s="1267"/>
      <c r="AF14" s="1266"/>
      <c r="AG14" s="1267"/>
      <c r="AH14" s="1266"/>
      <c r="AI14" s="1267"/>
      <c r="AJ14" s="1266"/>
      <c r="AK14" s="1267"/>
      <c r="AL14" s="1266"/>
      <c r="AM14" s="1267"/>
      <c r="AN14" s="1266"/>
      <c r="AO14" s="1267"/>
      <c r="AP14" s="1266"/>
      <c r="AQ14" s="1267"/>
      <c r="AR14" s="1266"/>
      <c r="AS14" s="1267"/>
      <c r="AT14" s="1266"/>
      <c r="AU14" s="1267"/>
      <c r="AV14" s="1266"/>
      <c r="AW14" s="1267"/>
      <c r="AX14" s="1266"/>
      <c r="AY14" s="1267"/>
      <c r="AZ14" s="1266"/>
      <c r="BA14" s="1267"/>
      <c r="BB14" s="1266"/>
      <c r="BC14" s="1267"/>
      <c r="BD14" s="1266"/>
      <c r="BE14" s="1267"/>
      <c r="BF14" s="1266"/>
      <c r="BG14" s="1267"/>
      <c r="BH14" s="1266"/>
      <c r="BI14" s="1267"/>
      <c r="BJ14" s="1266"/>
      <c r="BK14" s="1267"/>
      <c r="BL14" s="1266"/>
      <c r="BM14" s="1267"/>
      <c r="BN14" s="1266"/>
      <c r="BO14" s="1267"/>
      <c r="BP14" s="1266"/>
      <c r="BQ14" s="1267"/>
      <c r="BR14" s="1266"/>
      <c r="BS14" s="1267"/>
      <c r="BT14" s="1266"/>
      <c r="BU14" s="1267"/>
      <c r="BV14" s="1266"/>
      <c r="BW14" s="1267"/>
      <c r="BX14" s="1266"/>
      <c r="BY14" s="1267"/>
      <c r="BZ14" s="1266"/>
      <c r="CA14" s="1267"/>
      <c r="CB14" s="1266"/>
      <c r="CC14" s="1267"/>
      <c r="CD14" s="1266"/>
      <c r="CE14" s="1267"/>
      <c r="CF14" s="1266"/>
      <c r="CG14" s="1267"/>
      <c r="CH14" s="1266"/>
      <c r="CI14" s="1267"/>
      <c r="CJ14" s="1266"/>
      <c r="CK14" s="1267"/>
      <c r="CL14" s="1266"/>
      <c r="CM14" s="1267"/>
      <c r="CN14" s="1266"/>
      <c r="CO14" s="1267"/>
      <c r="CP14" s="1266"/>
      <c r="CQ14" s="1267"/>
      <c r="CR14" s="1266"/>
      <c r="CS14" s="1267"/>
      <c r="CT14" s="1266"/>
      <c r="CU14" s="1267"/>
      <c r="CV14" s="1266"/>
      <c r="CW14" s="1267"/>
      <c r="CX14" s="1266"/>
      <c r="CY14" s="1267"/>
      <c r="CZ14" s="1266"/>
      <c r="DA14" s="1267"/>
      <c r="DB14" s="1266"/>
      <c r="DC14" s="1267"/>
      <c r="DD14" s="1266"/>
      <c r="DE14" s="1267"/>
      <c r="DF14" s="1266"/>
      <c r="DG14" s="1267"/>
      <c r="DH14" s="1266"/>
      <c r="DI14" s="1267"/>
      <c r="DJ14" s="1266"/>
      <c r="DK14" s="1267"/>
      <c r="DL14" s="1266"/>
      <c r="DM14" s="1267"/>
      <c r="DN14" s="1266"/>
      <c r="DO14" s="1267"/>
      <c r="DP14" s="1266"/>
      <c r="DQ14" s="1267"/>
      <c r="DR14" s="1266"/>
      <c r="DS14" s="1267"/>
      <c r="DT14" s="1266"/>
      <c r="DU14" s="1267"/>
      <c r="DV14" s="1266"/>
      <c r="DW14" s="1267"/>
      <c r="DX14" s="1266"/>
      <c r="DY14" s="1267"/>
      <c r="DZ14" s="1266"/>
      <c r="EA14" s="1267"/>
      <c r="EB14" s="1266"/>
      <c r="EC14" s="1267"/>
      <c r="ED14" s="1266"/>
      <c r="EE14" s="1267"/>
      <c r="EF14" s="1266"/>
      <c r="EG14" s="1267"/>
      <c r="EH14" s="1266"/>
      <c r="EI14" s="1267"/>
      <c r="EJ14" s="1266"/>
      <c r="EK14" s="1267"/>
      <c r="EL14" s="1266"/>
      <c r="EM14" s="1267"/>
      <c r="EN14" s="1266"/>
      <c r="EO14" s="1267"/>
      <c r="EP14" s="1266"/>
      <c r="EQ14" s="1267"/>
      <c r="ER14" s="1266"/>
      <c r="ES14" s="1267"/>
      <c r="ET14" s="1266"/>
      <c r="EU14" s="1267"/>
      <c r="EV14" s="1266"/>
      <c r="EW14" s="1267"/>
      <c r="EX14" s="1266"/>
      <c r="EY14" s="1267"/>
      <c r="EZ14" s="1266"/>
      <c r="FA14" s="1267"/>
      <c r="FB14" s="1266"/>
      <c r="FC14" s="1267"/>
      <c r="FD14" s="1266"/>
      <c r="FE14" s="1267"/>
      <c r="FF14" s="1266"/>
      <c r="FG14" s="1267"/>
      <c r="FH14" s="1266"/>
      <c r="FI14" s="1267"/>
      <c r="FJ14" s="1266"/>
      <c r="FK14" s="1267"/>
      <c r="FL14" s="1266"/>
      <c r="FM14" s="1267"/>
      <c r="FN14" s="1266"/>
      <c r="FO14" s="1267"/>
      <c r="FP14" s="1266"/>
      <c r="FQ14" s="1267"/>
      <c r="FR14" s="1266"/>
      <c r="FS14" s="1267"/>
      <c r="FT14" s="1266"/>
      <c r="FU14" s="1267"/>
      <c r="FV14" s="1266"/>
      <c r="FW14" s="1267"/>
      <c r="FX14" s="1266"/>
      <c r="FY14" s="1267"/>
      <c r="FZ14" s="1266"/>
      <c r="GA14" s="1267"/>
      <c r="GB14" s="1266"/>
      <c r="GC14" s="1267"/>
      <c r="GD14" s="1266"/>
      <c r="GE14" s="1267"/>
      <c r="GF14" s="1266"/>
      <c r="GG14" s="1267"/>
      <c r="GH14" s="1266"/>
      <c r="GI14" s="1267"/>
      <c r="GJ14" s="1266"/>
      <c r="GK14" s="1267"/>
      <c r="GL14" s="1266"/>
      <c r="GM14" s="1267"/>
      <c r="GN14" s="1266"/>
      <c r="GO14" s="1267"/>
      <c r="GP14" s="1266"/>
      <c r="GQ14" s="1267"/>
      <c r="GR14" s="1266"/>
      <c r="GS14" s="1267"/>
      <c r="GT14" s="1266"/>
      <c r="GU14" s="1267"/>
      <c r="GV14" s="1266"/>
      <c r="GW14" s="1267"/>
      <c r="GX14" s="1266"/>
      <c r="GY14" s="1267"/>
      <c r="GZ14" s="1266"/>
      <c r="HA14" s="1267"/>
      <c r="HB14" s="1266"/>
      <c r="HC14" s="1267"/>
      <c r="HD14" s="1266"/>
      <c r="HE14" s="1267"/>
      <c r="HF14" s="1266"/>
      <c r="HG14" s="1267"/>
      <c r="HH14" s="1266"/>
      <c r="HI14" s="1267"/>
      <c r="HJ14" s="1266"/>
      <c r="HK14" s="1267"/>
    </row>
    <row r="15" spans="1:219" s="5" customFormat="1">
      <c r="A15" s="1299"/>
      <c r="B15" s="1300"/>
      <c r="C15" s="1299"/>
      <c r="D15" s="1301"/>
      <c r="E15" s="1301"/>
      <c r="F15" s="1302"/>
      <c r="G15" s="1301"/>
      <c r="H15" s="790"/>
      <c r="I15" s="1303"/>
      <c r="J15" s="1304"/>
      <c r="K15" s="791" t="s">
        <v>296</v>
      </c>
      <c r="L15" s="1259">
        <f>L14</f>
        <v>0</v>
      </c>
      <c r="M15" s="1260"/>
      <c r="N15" s="1259">
        <f>N14+L15</f>
        <v>0</v>
      </c>
      <c r="O15" s="1260"/>
      <c r="P15" s="1259">
        <f>P14+N15</f>
        <v>0</v>
      </c>
      <c r="Q15" s="1260"/>
      <c r="R15" s="1259">
        <f>R14+P15</f>
        <v>0</v>
      </c>
      <c r="S15" s="1260"/>
      <c r="T15" s="1259">
        <f>T14+R15</f>
        <v>0</v>
      </c>
      <c r="U15" s="1260"/>
      <c r="V15" s="1259">
        <f>V14+T15</f>
        <v>0</v>
      </c>
      <c r="W15" s="1260"/>
      <c r="X15" s="1259">
        <f>X14+V15</f>
        <v>0</v>
      </c>
      <c r="Y15" s="1260"/>
      <c r="Z15" s="1259">
        <f>Z14+X15</f>
        <v>0</v>
      </c>
      <c r="AA15" s="1260"/>
      <c r="AB15" s="1259">
        <f>AB14+Z15</f>
        <v>0</v>
      </c>
      <c r="AC15" s="1260"/>
      <c r="AD15" s="1259">
        <f>AD14+AB15</f>
        <v>0</v>
      </c>
      <c r="AE15" s="1260"/>
      <c r="AF15" s="1259">
        <f>AF14+AD15</f>
        <v>0</v>
      </c>
      <c r="AG15" s="1260"/>
      <c r="AH15" s="1259">
        <f>AH14+AF15</f>
        <v>0</v>
      </c>
      <c r="AI15" s="1260"/>
      <c r="AJ15" s="1259">
        <f>AJ14+AH15</f>
        <v>0</v>
      </c>
      <c r="AK15" s="1260"/>
      <c r="AL15" s="1259">
        <f>AL14+AJ15</f>
        <v>0</v>
      </c>
      <c r="AM15" s="1260"/>
      <c r="AN15" s="1259">
        <f>AN14+AL15</f>
        <v>0</v>
      </c>
      <c r="AO15" s="1260"/>
      <c r="AP15" s="1259">
        <f>AP14+AN15</f>
        <v>0</v>
      </c>
      <c r="AQ15" s="1260"/>
      <c r="AR15" s="1259">
        <f>AR14+AP15</f>
        <v>0</v>
      </c>
      <c r="AS15" s="1260"/>
      <c r="AT15" s="1259">
        <f>AT14+AR15</f>
        <v>0</v>
      </c>
      <c r="AU15" s="1260"/>
      <c r="AV15" s="1259">
        <f>AV14+AT15</f>
        <v>0</v>
      </c>
      <c r="AW15" s="1260"/>
      <c r="AX15" s="1259">
        <f>AX14+AV15</f>
        <v>0</v>
      </c>
      <c r="AY15" s="1260"/>
      <c r="AZ15" s="1259">
        <f>AZ14+AX15</f>
        <v>0</v>
      </c>
      <c r="BA15" s="1260"/>
      <c r="BB15" s="1259">
        <f>BB14+AZ15</f>
        <v>0</v>
      </c>
      <c r="BC15" s="1260"/>
      <c r="BD15" s="1259">
        <f>BD14+BB15</f>
        <v>0</v>
      </c>
      <c r="BE15" s="1260"/>
      <c r="BF15" s="1259">
        <f>BF14+BD15</f>
        <v>0</v>
      </c>
      <c r="BG15" s="1260"/>
      <c r="BH15" s="1259">
        <f>BH14+BF15</f>
        <v>0</v>
      </c>
      <c r="BI15" s="1260"/>
      <c r="BJ15" s="1259">
        <f>BJ14+BH15</f>
        <v>0</v>
      </c>
      <c r="BK15" s="1260"/>
      <c r="BL15" s="1259">
        <f>BL14+BJ15</f>
        <v>0</v>
      </c>
      <c r="BM15" s="1260"/>
      <c r="BN15" s="1259">
        <f>BN14+BL15</f>
        <v>0</v>
      </c>
      <c r="BO15" s="1260"/>
      <c r="BP15" s="1259">
        <f>BP14+BN15</f>
        <v>0</v>
      </c>
      <c r="BQ15" s="1260"/>
      <c r="BR15" s="1259">
        <f>BR14+BP15</f>
        <v>0</v>
      </c>
      <c r="BS15" s="1260"/>
      <c r="BT15" s="1259">
        <f>BT14+BR15</f>
        <v>0</v>
      </c>
      <c r="BU15" s="1260"/>
      <c r="BV15" s="1259">
        <f>BV14+BT15</f>
        <v>0</v>
      </c>
      <c r="BW15" s="1260"/>
      <c r="BX15" s="1259">
        <f>BX14+BV15</f>
        <v>0</v>
      </c>
      <c r="BY15" s="1260"/>
      <c r="BZ15" s="1259">
        <f>BZ14+BX15</f>
        <v>0</v>
      </c>
      <c r="CA15" s="1260"/>
      <c r="CB15" s="1259">
        <f>CB14+BZ15</f>
        <v>0</v>
      </c>
      <c r="CC15" s="1260"/>
      <c r="CD15" s="1259">
        <f>CD14+CB15</f>
        <v>0</v>
      </c>
      <c r="CE15" s="1260"/>
      <c r="CF15" s="1259">
        <f>CF14+CD15</f>
        <v>0</v>
      </c>
      <c r="CG15" s="1260"/>
      <c r="CH15" s="1259">
        <f>CH14+CF15</f>
        <v>0</v>
      </c>
      <c r="CI15" s="1260"/>
      <c r="CJ15" s="1259">
        <f>CJ14+CH15</f>
        <v>0</v>
      </c>
      <c r="CK15" s="1260"/>
      <c r="CL15" s="1259">
        <f>CL14+CJ15</f>
        <v>0</v>
      </c>
      <c r="CM15" s="1260"/>
      <c r="CN15" s="1259">
        <f>CN14+CL15</f>
        <v>0</v>
      </c>
      <c r="CO15" s="1260"/>
      <c r="CP15" s="1259">
        <f>CP14+CN15</f>
        <v>0</v>
      </c>
      <c r="CQ15" s="1260"/>
      <c r="CR15" s="1259">
        <f>CR14+CP15</f>
        <v>0</v>
      </c>
      <c r="CS15" s="1260"/>
      <c r="CT15" s="1259">
        <f>CT14+CR15</f>
        <v>0</v>
      </c>
      <c r="CU15" s="1260"/>
      <c r="CV15" s="1259">
        <f>CV14+CT15</f>
        <v>0</v>
      </c>
      <c r="CW15" s="1260"/>
      <c r="CX15" s="1259">
        <f>CX14+CV15</f>
        <v>0</v>
      </c>
      <c r="CY15" s="1260"/>
      <c r="CZ15" s="1259">
        <f>CZ14+CX15</f>
        <v>0</v>
      </c>
      <c r="DA15" s="1260"/>
      <c r="DB15" s="1259">
        <f>DB14+CZ15</f>
        <v>0</v>
      </c>
      <c r="DC15" s="1260"/>
      <c r="DD15" s="1259">
        <f>DD14+DB15</f>
        <v>0</v>
      </c>
      <c r="DE15" s="1260"/>
      <c r="DF15" s="1259">
        <f>DF14+DD15</f>
        <v>0</v>
      </c>
      <c r="DG15" s="1260"/>
      <c r="DH15" s="1259">
        <f>DH14+DF15</f>
        <v>0</v>
      </c>
      <c r="DI15" s="1260"/>
      <c r="DJ15" s="1259">
        <f>DJ14+DH15</f>
        <v>0</v>
      </c>
      <c r="DK15" s="1260"/>
      <c r="DL15" s="1259">
        <f>DL14+DJ15</f>
        <v>0</v>
      </c>
      <c r="DM15" s="1260"/>
      <c r="DN15" s="1259">
        <f>DN14+DL15</f>
        <v>0</v>
      </c>
      <c r="DO15" s="1260"/>
      <c r="DP15" s="1259">
        <f>DP14+DN15</f>
        <v>0</v>
      </c>
      <c r="DQ15" s="1260"/>
      <c r="DR15" s="1259">
        <f>DR14+DP15</f>
        <v>0</v>
      </c>
      <c r="DS15" s="1260"/>
      <c r="DT15" s="1259">
        <f>DT14+DR15</f>
        <v>0</v>
      </c>
      <c r="DU15" s="1260"/>
      <c r="DV15" s="1259">
        <f>DV14+DT15</f>
        <v>0</v>
      </c>
      <c r="DW15" s="1260"/>
      <c r="DX15" s="1259">
        <f>DX14+DV15</f>
        <v>0</v>
      </c>
      <c r="DY15" s="1260"/>
      <c r="DZ15" s="1259">
        <f>DZ14+DX15</f>
        <v>0</v>
      </c>
      <c r="EA15" s="1260"/>
      <c r="EB15" s="1259">
        <f>EB14+DZ15</f>
        <v>0</v>
      </c>
      <c r="EC15" s="1260"/>
      <c r="ED15" s="1259">
        <f>ED14+EB15</f>
        <v>0</v>
      </c>
      <c r="EE15" s="1260"/>
      <c r="EF15" s="1259">
        <f>EF14+ED15</f>
        <v>0</v>
      </c>
      <c r="EG15" s="1260"/>
      <c r="EH15" s="1259">
        <f>EH14+EF15</f>
        <v>0</v>
      </c>
      <c r="EI15" s="1260"/>
      <c r="EJ15" s="1259">
        <f>EJ14+EH15</f>
        <v>0</v>
      </c>
      <c r="EK15" s="1260"/>
      <c r="EL15" s="1259">
        <f>EL14+EJ15</f>
        <v>0</v>
      </c>
      <c r="EM15" s="1260"/>
      <c r="EN15" s="1259">
        <f>EN14+EL15</f>
        <v>0</v>
      </c>
      <c r="EO15" s="1260"/>
      <c r="EP15" s="1259">
        <f>EP14+EN15</f>
        <v>0</v>
      </c>
      <c r="EQ15" s="1260"/>
      <c r="ER15" s="1259">
        <f>ER14+EP15</f>
        <v>0</v>
      </c>
      <c r="ES15" s="1260"/>
      <c r="ET15" s="1259">
        <f>ET14+ER15</f>
        <v>0</v>
      </c>
      <c r="EU15" s="1260"/>
      <c r="EV15" s="1259">
        <f>EV14+ET15</f>
        <v>0</v>
      </c>
      <c r="EW15" s="1260"/>
      <c r="EX15" s="1259">
        <f>EX14+EV15</f>
        <v>0</v>
      </c>
      <c r="EY15" s="1260"/>
      <c r="EZ15" s="1259">
        <f>EZ14+EX15</f>
        <v>0</v>
      </c>
      <c r="FA15" s="1260"/>
      <c r="FB15" s="1259">
        <f>FB14+EZ15</f>
        <v>0</v>
      </c>
      <c r="FC15" s="1260"/>
      <c r="FD15" s="1259">
        <f>FD14+FB15</f>
        <v>0</v>
      </c>
      <c r="FE15" s="1260"/>
      <c r="FF15" s="1259">
        <f>FF14+FD15</f>
        <v>0</v>
      </c>
      <c r="FG15" s="1260"/>
      <c r="FH15" s="1259">
        <f>FH14+FF15</f>
        <v>0</v>
      </c>
      <c r="FI15" s="1260"/>
      <c r="FJ15" s="1259">
        <f>FJ14+FH15</f>
        <v>0</v>
      </c>
      <c r="FK15" s="1260"/>
      <c r="FL15" s="1259">
        <f>FL14+FJ15</f>
        <v>0</v>
      </c>
      <c r="FM15" s="1260"/>
      <c r="FN15" s="1259">
        <f>FN14+FL15</f>
        <v>0</v>
      </c>
      <c r="FO15" s="1260"/>
      <c r="FP15" s="1259">
        <f>FP14+FN15</f>
        <v>0</v>
      </c>
      <c r="FQ15" s="1260"/>
      <c r="FR15" s="1259">
        <f>FR14+FP15</f>
        <v>0</v>
      </c>
      <c r="FS15" s="1260"/>
      <c r="FT15" s="1259">
        <f>FT14+FR15</f>
        <v>0</v>
      </c>
      <c r="FU15" s="1260"/>
      <c r="FV15" s="1259">
        <f>FV14+FT15</f>
        <v>0</v>
      </c>
      <c r="FW15" s="1260"/>
      <c r="FX15" s="1259">
        <f>FX14+FV15</f>
        <v>0</v>
      </c>
      <c r="FY15" s="1260"/>
      <c r="FZ15" s="1259">
        <f>FZ14+FX15</f>
        <v>0</v>
      </c>
      <c r="GA15" s="1260"/>
      <c r="GB15" s="1259">
        <f>GB14+FZ15</f>
        <v>0</v>
      </c>
      <c r="GC15" s="1260"/>
      <c r="GD15" s="1259">
        <f>GD14+GB15</f>
        <v>0</v>
      </c>
      <c r="GE15" s="1260"/>
      <c r="GF15" s="1259">
        <f>GF14+GD15</f>
        <v>0</v>
      </c>
      <c r="GG15" s="1260"/>
      <c r="GH15" s="1259">
        <f>GH14+GF15</f>
        <v>0</v>
      </c>
      <c r="GI15" s="1260"/>
      <c r="GJ15" s="1259">
        <f>GJ14+GH15</f>
        <v>0</v>
      </c>
      <c r="GK15" s="1260"/>
      <c r="GL15" s="1259">
        <f>GL14+GJ15</f>
        <v>0</v>
      </c>
      <c r="GM15" s="1260"/>
      <c r="GN15" s="1259">
        <f>GN14+GL15</f>
        <v>0</v>
      </c>
      <c r="GO15" s="1260"/>
      <c r="GP15" s="1259">
        <f>GP14+GN15</f>
        <v>0</v>
      </c>
      <c r="GQ15" s="1260"/>
      <c r="GR15" s="1259">
        <f>GR14+GP15</f>
        <v>0</v>
      </c>
      <c r="GS15" s="1260"/>
      <c r="GT15" s="1259">
        <f>GT14+GR15</f>
        <v>0</v>
      </c>
      <c r="GU15" s="1260"/>
      <c r="GV15" s="1259">
        <f>GV14+GT15</f>
        <v>0</v>
      </c>
      <c r="GW15" s="1260"/>
      <c r="GX15" s="1259">
        <f>GX14+GV15</f>
        <v>0</v>
      </c>
      <c r="GY15" s="1260"/>
      <c r="GZ15" s="1259">
        <f>GZ14+GX15</f>
        <v>0</v>
      </c>
      <c r="HA15" s="1260"/>
      <c r="HB15" s="1259">
        <f>HB14+GZ15</f>
        <v>0</v>
      </c>
      <c r="HC15" s="1260"/>
      <c r="HD15" s="1259">
        <f>HD14+HB15</f>
        <v>0</v>
      </c>
      <c r="HE15" s="1260"/>
      <c r="HF15" s="1259">
        <f>HF14+HD15</f>
        <v>0</v>
      </c>
      <c r="HG15" s="1260"/>
      <c r="HH15" s="1259">
        <f>HH14+HF15</f>
        <v>0</v>
      </c>
      <c r="HI15" s="1260"/>
      <c r="HJ15" s="1259">
        <f>HJ14+HH15</f>
        <v>0</v>
      </c>
      <c r="HK15" s="1260"/>
    </row>
    <row r="16" spans="1:219" s="5" customFormat="1">
      <c r="A16" s="1299"/>
      <c r="B16" s="1300"/>
      <c r="C16" s="1299"/>
      <c r="D16" s="1301"/>
      <c r="E16" s="1301"/>
      <c r="F16" s="1302"/>
      <c r="G16" s="1301"/>
      <c r="H16" s="792"/>
      <c r="I16" s="1303"/>
      <c r="J16" s="1304"/>
      <c r="K16" s="793" t="s">
        <v>297</v>
      </c>
      <c r="L16" s="1270">
        <f>IF($E$19&gt;0,L13/$E$19,"-")</f>
        <v>0</v>
      </c>
      <c r="M16" s="1271"/>
      <c r="N16" s="1270">
        <f>IF($E$19&gt;0,N13/$E$19,"-")</f>
        <v>0</v>
      </c>
      <c r="O16" s="1271"/>
      <c r="P16" s="1270">
        <f>IF($E$19&gt;0,P13/$E$19,"-")</f>
        <v>0</v>
      </c>
      <c r="Q16" s="1271"/>
      <c r="R16" s="1270">
        <f>IF($E$19&gt;0,R13/$E$19,"-")</f>
        <v>0</v>
      </c>
      <c r="S16" s="1271"/>
      <c r="T16" s="1270">
        <f>IF($E$19&gt;0,T13/$E$19,"-")</f>
        <v>0</v>
      </c>
      <c r="U16" s="1271"/>
      <c r="V16" s="1270">
        <f>IF($E$19&gt;0,V13/$E$19,"-")</f>
        <v>0</v>
      </c>
      <c r="W16" s="1271"/>
      <c r="X16" s="1270">
        <f>IF($E$19&gt;0,X13/$E$19,"-")</f>
        <v>0</v>
      </c>
      <c r="Y16" s="1271"/>
      <c r="Z16" s="1270">
        <f>IF($E$19&gt;0,Z13/$E$19,"-")</f>
        <v>0</v>
      </c>
      <c r="AA16" s="1271"/>
      <c r="AB16" s="1270">
        <f>IF($E$10&gt;0,AB13/$E$10,"-")</f>
        <v>0</v>
      </c>
      <c r="AC16" s="1271"/>
      <c r="AD16" s="1270">
        <f>IF($E$10&gt;0,AD13/$E$10,"-")</f>
        <v>0</v>
      </c>
      <c r="AE16" s="1271"/>
      <c r="AF16" s="1270">
        <f>IF($E$10&gt;0,AF13/$E$10,"-")</f>
        <v>0</v>
      </c>
      <c r="AG16" s="1271"/>
      <c r="AH16" s="1270">
        <f>IF($E$10&gt;0,AH13/$E$10,"-")</f>
        <v>0</v>
      </c>
      <c r="AI16" s="1271"/>
      <c r="AJ16" s="1270">
        <f>IF($E$10&gt;0,AJ13/$E$10,"-")</f>
        <v>0.19612903225806455</v>
      </c>
      <c r="AK16" s="1271"/>
      <c r="AL16" s="1270">
        <f>IF($E$10&gt;0,AL13/$E$10,"-")</f>
        <v>0.49346236559139794</v>
      </c>
      <c r="AM16" s="1271"/>
      <c r="AN16" s="1270">
        <f>IF($E$10&gt;0,AN13/$E$10,"-")</f>
        <v>0.79079569892473123</v>
      </c>
      <c r="AO16" s="1271"/>
      <c r="AP16" s="1270">
        <f>IF($E$10&gt;0,AP13/$E$10,"-")</f>
        <v>1</v>
      </c>
      <c r="AQ16" s="1271"/>
      <c r="AR16" s="1270">
        <f>IF($E$10&gt;0,AR13/$E$10,"-")</f>
        <v>1</v>
      </c>
      <c r="AS16" s="1271"/>
      <c r="AT16" s="1270">
        <f>IF($E$10&gt;0,AT13/$E$10,"-")</f>
        <v>1</v>
      </c>
      <c r="AU16" s="1271"/>
      <c r="AV16" s="1270">
        <f>IF($E$10&gt;0,AV13/$E$10,"-")</f>
        <v>1</v>
      </c>
      <c r="AW16" s="1271"/>
      <c r="AX16" s="1270">
        <f>IF($E$10&gt;0,AX13/$E$10,"-")</f>
        <v>1</v>
      </c>
      <c r="AY16" s="1271"/>
      <c r="AZ16" s="1270">
        <f>IF($E$10&gt;0,AZ13/$E$10,"-")</f>
        <v>1</v>
      </c>
      <c r="BA16" s="1271"/>
      <c r="BB16" s="1270">
        <f>IF($E$10&gt;0,BB13/$E$10,"-")</f>
        <v>1</v>
      </c>
      <c r="BC16" s="1271"/>
      <c r="BD16" s="1270">
        <f>IF($E$10&gt;0,BD13/$E$10,"-")</f>
        <v>1</v>
      </c>
      <c r="BE16" s="1271"/>
      <c r="BF16" s="1270">
        <f>IF($E$10&gt;0,BF13/$E$10,"-")</f>
        <v>1</v>
      </c>
      <c r="BG16" s="1271"/>
      <c r="BH16" s="1270">
        <f>IF($E$10&gt;0,BH13/$E$10,"-")</f>
        <v>1</v>
      </c>
      <c r="BI16" s="1271"/>
      <c r="BJ16" s="1270">
        <f>IF($E$10&gt;0,BJ13/$E$10,"-")</f>
        <v>1</v>
      </c>
      <c r="BK16" s="1271"/>
      <c r="BL16" s="1270">
        <f>IF($E$10&gt;0,BL13/$E$10,"-")</f>
        <v>1</v>
      </c>
      <c r="BM16" s="1271"/>
      <c r="BN16" s="1270">
        <f>IF($E$10&gt;0,BN13/$E$10,"-")</f>
        <v>1</v>
      </c>
      <c r="BO16" s="1271"/>
      <c r="BP16" s="1270">
        <f>IF($E$10&gt;0,BP13/$E$10,"-")</f>
        <v>1</v>
      </c>
      <c r="BQ16" s="1271"/>
      <c r="BR16" s="1270">
        <f>IF($E$10&gt;0,BR13/$E$10,"-")</f>
        <v>1</v>
      </c>
      <c r="BS16" s="1271"/>
      <c r="BT16" s="1270">
        <f>IF($E$10&gt;0,BT13/$E$10,"-")</f>
        <v>1</v>
      </c>
      <c r="BU16" s="1271"/>
      <c r="BV16" s="1270">
        <f>IF($E$10&gt;0,BV13/$E$10,"-")</f>
        <v>1</v>
      </c>
      <c r="BW16" s="1271"/>
      <c r="BX16" s="1270">
        <f>IF($E$10&gt;0,BX13/$E$10,"-")</f>
        <v>1</v>
      </c>
      <c r="BY16" s="1271"/>
      <c r="BZ16" s="1270">
        <f>IF($E$10&gt;0,BZ13/$E$10,"-")</f>
        <v>1</v>
      </c>
      <c r="CA16" s="1271"/>
      <c r="CB16" s="1270">
        <f>IF($E$10&gt;0,CB13/$E$10,"-")</f>
        <v>1</v>
      </c>
      <c r="CC16" s="1271"/>
      <c r="CD16" s="1270">
        <f>IF($E$10&gt;0,CD13/$E$10,"-")</f>
        <v>1</v>
      </c>
      <c r="CE16" s="1271"/>
      <c r="CF16" s="1270">
        <f>IF($E$10&gt;0,CF13/$E$10,"-")</f>
        <v>1</v>
      </c>
      <c r="CG16" s="1271"/>
      <c r="CH16" s="1270">
        <f>IF($E$10&gt;0,CH13/$E$10,"-")</f>
        <v>1</v>
      </c>
      <c r="CI16" s="1271"/>
      <c r="CJ16" s="1270">
        <f>IF($E$10&gt;0,CJ13/$E$10,"-")</f>
        <v>1</v>
      </c>
      <c r="CK16" s="1271"/>
      <c r="CL16" s="1270">
        <f>IF($E$10&gt;0,CL13/$E$10,"-")</f>
        <v>1</v>
      </c>
      <c r="CM16" s="1271"/>
      <c r="CN16" s="1270">
        <f>IF($E$10&gt;0,CN13/$E$10,"-")</f>
        <v>1</v>
      </c>
      <c r="CO16" s="1271"/>
      <c r="CP16" s="1270">
        <f>IF($E$10&gt;0,CP13/$E$10,"-")</f>
        <v>1</v>
      </c>
      <c r="CQ16" s="1271"/>
      <c r="CR16" s="1270">
        <f>IF($E$10&gt;0,CR13/$E$10,"-")</f>
        <v>1</v>
      </c>
      <c r="CS16" s="1271"/>
      <c r="CT16" s="1270">
        <f>IF($E$10&gt;0,CT13/$E$10,"-")</f>
        <v>1</v>
      </c>
      <c r="CU16" s="1271"/>
      <c r="CV16" s="1270">
        <f>IF($E$10&gt;0,CV13/$E$10,"-")</f>
        <v>1</v>
      </c>
      <c r="CW16" s="1271"/>
      <c r="CX16" s="1270">
        <f>IF($E$10&gt;0,CX13/$E$10,"-")</f>
        <v>1</v>
      </c>
      <c r="CY16" s="1271"/>
      <c r="CZ16" s="1270">
        <f>IF($E$10&gt;0,CZ13/$E$10,"-")</f>
        <v>1</v>
      </c>
      <c r="DA16" s="1271"/>
      <c r="DB16" s="1270">
        <f>IF($E$10&gt;0,DB13/$E$10,"-")</f>
        <v>1</v>
      </c>
      <c r="DC16" s="1271"/>
      <c r="DD16" s="1270">
        <f>IF($E$10&gt;0,DD13/$E$10,"-")</f>
        <v>1</v>
      </c>
      <c r="DE16" s="1271"/>
      <c r="DF16" s="1270">
        <f>IF($E$10&gt;0,DF13/$E$10,"-")</f>
        <v>1</v>
      </c>
      <c r="DG16" s="1271"/>
      <c r="DH16" s="1270">
        <f>IF($E$10&gt;0,DH13/$E$10,"-")</f>
        <v>1</v>
      </c>
      <c r="DI16" s="1271"/>
      <c r="DJ16" s="1270">
        <f>IF($E$10&gt;0,DJ13/$E$10,"-")</f>
        <v>1</v>
      </c>
      <c r="DK16" s="1271"/>
      <c r="DL16" s="1270">
        <f>IF($E$10&gt;0,DL13/$E$10,"-")</f>
        <v>1</v>
      </c>
      <c r="DM16" s="1271"/>
      <c r="DN16" s="1270">
        <f>IF($E$10&gt;0,DN13/$E$10,"-")</f>
        <v>1</v>
      </c>
      <c r="DO16" s="1271"/>
      <c r="DP16" s="1270">
        <f>IF($E$10&gt;0,DP13/$E$10,"-")</f>
        <v>1</v>
      </c>
      <c r="DQ16" s="1271"/>
      <c r="DR16" s="1270">
        <f>IF($E$10&gt;0,DR13/$E$10,"-")</f>
        <v>1</v>
      </c>
      <c r="DS16" s="1271"/>
      <c r="DT16" s="1270">
        <f>IF($E$10&gt;0,DT13/$E$10,"-")</f>
        <v>1</v>
      </c>
      <c r="DU16" s="1271"/>
      <c r="DV16" s="1270">
        <f>IF($E$10&gt;0,DV13/$E$10,"-")</f>
        <v>1</v>
      </c>
      <c r="DW16" s="1271"/>
      <c r="DX16" s="1270">
        <f>IF($E$10&gt;0,DX13/$E$10,"-")</f>
        <v>1</v>
      </c>
      <c r="DY16" s="1271"/>
      <c r="DZ16" s="1270">
        <f>IF($E$10&gt;0,DZ13/$E$10,"-")</f>
        <v>1</v>
      </c>
      <c r="EA16" s="1271"/>
      <c r="EB16" s="1270">
        <f>IF($E$10&gt;0,EB13/$E$10,"-")</f>
        <v>1</v>
      </c>
      <c r="EC16" s="1271"/>
      <c r="ED16" s="1270">
        <f>IF($E$10&gt;0,ED13/$E$10,"-")</f>
        <v>1</v>
      </c>
      <c r="EE16" s="1271"/>
      <c r="EF16" s="1270">
        <f>IF($E$10&gt;0,EF13/$E$10,"-")</f>
        <v>1</v>
      </c>
      <c r="EG16" s="1271"/>
      <c r="EH16" s="1270">
        <f>IF($E$10&gt;0,EH13/$E$10,"-")</f>
        <v>1</v>
      </c>
      <c r="EI16" s="1271"/>
      <c r="EJ16" s="1270">
        <f>IF($E$10&gt;0,EJ13/$E$10,"-")</f>
        <v>1</v>
      </c>
      <c r="EK16" s="1271"/>
      <c r="EL16" s="1270">
        <f>IF($E$10&gt;0,EL13/$E$10,"-")</f>
        <v>1</v>
      </c>
      <c r="EM16" s="1271"/>
      <c r="EN16" s="1270">
        <f>IF($E$10&gt;0,EN13/$E$10,"-")</f>
        <v>1</v>
      </c>
      <c r="EO16" s="1271"/>
      <c r="EP16" s="1270">
        <f>IF($E$10&gt;0,EP13/$E$10,"-")</f>
        <v>1</v>
      </c>
      <c r="EQ16" s="1271"/>
      <c r="ER16" s="1270">
        <f>IF($E$10&gt;0,ER13/$E$10,"-")</f>
        <v>1</v>
      </c>
      <c r="ES16" s="1271"/>
      <c r="ET16" s="1270">
        <f>IF($E$10&gt;0,ET13/$E$10,"-")</f>
        <v>1</v>
      </c>
      <c r="EU16" s="1271"/>
      <c r="EV16" s="1270">
        <f>IF($E$10&gt;0,EV13/$E$10,"-")</f>
        <v>1</v>
      </c>
      <c r="EW16" s="1271"/>
      <c r="EX16" s="1270">
        <f>IF($E$10&gt;0,EX13/$E$10,"-")</f>
        <v>1</v>
      </c>
      <c r="EY16" s="1271"/>
      <c r="EZ16" s="1270">
        <f>IF($E$10&gt;0,EZ13/$E$10,"-")</f>
        <v>1</v>
      </c>
      <c r="FA16" s="1271"/>
      <c r="FB16" s="1270">
        <f>IF($E$10&gt;0,FB13/$E$10,"-")</f>
        <v>1</v>
      </c>
      <c r="FC16" s="1271"/>
      <c r="FD16" s="1270">
        <f>IF($E$10&gt;0,FD13/$E$10,"-")</f>
        <v>1</v>
      </c>
      <c r="FE16" s="1271"/>
      <c r="FF16" s="1270">
        <f>IF($E$10&gt;0,FF13/$E$10,"-")</f>
        <v>1</v>
      </c>
      <c r="FG16" s="1271"/>
      <c r="FH16" s="1270">
        <f>IF($E$10&gt;0,FH13/$E$10,"-")</f>
        <v>1</v>
      </c>
      <c r="FI16" s="1271"/>
      <c r="FJ16" s="1270">
        <f>IF($E$10&gt;0,FJ13/$E$10,"-")</f>
        <v>1</v>
      </c>
      <c r="FK16" s="1271"/>
      <c r="FL16" s="1270">
        <f>IF($E$10&gt;0,FL13/$E$10,"-")</f>
        <v>1</v>
      </c>
      <c r="FM16" s="1271"/>
      <c r="FN16" s="1270">
        <f>IF($E$10&gt;0,FN13/$E$10,"-")</f>
        <v>1</v>
      </c>
      <c r="FO16" s="1271"/>
      <c r="FP16" s="1270">
        <f>IF($E$10&gt;0,FP13/$E$10,"-")</f>
        <v>1</v>
      </c>
      <c r="FQ16" s="1271"/>
      <c r="FR16" s="1270">
        <f>IF($E$10&gt;0,FR13/$E$10,"-")</f>
        <v>1</v>
      </c>
      <c r="FS16" s="1271"/>
      <c r="FT16" s="1270">
        <f>IF($E$10&gt;0,FT13/$E$10,"-")</f>
        <v>1</v>
      </c>
      <c r="FU16" s="1271"/>
      <c r="FV16" s="1270">
        <f>IF($E$10&gt;0,FV13/$E$10,"-")</f>
        <v>1</v>
      </c>
      <c r="FW16" s="1271"/>
      <c r="FX16" s="1270">
        <f>IF($E$10&gt;0,FX13/$E$10,"-")</f>
        <v>1</v>
      </c>
      <c r="FY16" s="1271"/>
      <c r="FZ16" s="1270">
        <f>IF($E$10&gt;0,FZ13/$E$10,"-")</f>
        <v>1</v>
      </c>
      <c r="GA16" s="1271"/>
      <c r="GB16" s="1270">
        <f>IF($E$10&gt;0,GB13/$E$10,"-")</f>
        <v>1</v>
      </c>
      <c r="GC16" s="1271"/>
      <c r="GD16" s="1270">
        <f>IF($E$10&gt;0,GD13/$E$10,"-")</f>
        <v>1</v>
      </c>
      <c r="GE16" s="1271"/>
      <c r="GF16" s="1270">
        <f>IF($E$10&gt;0,GF13/$E$10,"-")</f>
        <v>1</v>
      </c>
      <c r="GG16" s="1271"/>
      <c r="GH16" s="1270">
        <f>IF($E$10&gt;0,GH13/$E$10,"-")</f>
        <v>1</v>
      </c>
      <c r="GI16" s="1271"/>
      <c r="GJ16" s="1270">
        <f>IF($E$10&gt;0,GJ13/$E$10,"-")</f>
        <v>1</v>
      </c>
      <c r="GK16" s="1271"/>
      <c r="GL16" s="1270">
        <f>IF($E$10&gt;0,GL13/$E$10,"-")</f>
        <v>1</v>
      </c>
      <c r="GM16" s="1271"/>
      <c r="GN16" s="1270">
        <f>IF($E$10&gt;0,GN13/$E$10,"-")</f>
        <v>1</v>
      </c>
      <c r="GO16" s="1271"/>
      <c r="GP16" s="1270">
        <f>IF($E$10&gt;0,GP13/$E$10,"-")</f>
        <v>1</v>
      </c>
      <c r="GQ16" s="1271"/>
      <c r="GR16" s="1270">
        <f>IF($E$10&gt;0,GR13/$E$10,"-")</f>
        <v>1</v>
      </c>
      <c r="GS16" s="1271"/>
      <c r="GT16" s="1270">
        <f>IF($E$10&gt;0,GT13/$E$10,"-")</f>
        <v>1</v>
      </c>
      <c r="GU16" s="1271"/>
      <c r="GV16" s="1270">
        <f>IF($E$10&gt;0,GV13/$E$10,"-")</f>
        <v>1</v>
      </c>
      <c r="GW16" s="1271"/>
      <c r="GX16" s="1270">
        <f>IF($E$10&gt;0,GX13/$E$10,"-")</f>
        <v>1</v>
      </c>
      <c r="GY16" s="1271"/>
      <c r="GZ16" s="1270">
        <f>IF($E$10&gt;0,GZ13/$E$10,"-")</f>
        <v>1</v>
      </c>
      <c r="HA16" s="1271"/>
      <c r="HB16" s="1270">
        <f>IF($E$10&gt;0,HB13/$E$10,"-")</f>
        <v>1</v>
      </c>
      <c r="HC16" s="1271"/>
      <c r="HD16" s="1270">
        <f>IF($E$10&gt;0,HD13/$E$10,"-")</f>
        <v>1</v>
      </c>
      <c r="HE16" s="1271"/>
      <c r="HF16" s="1270">
        <f>IF($E$10&gt;0,HF13/$E$10,"-")</f>
        <v>1</v>
      </c>
      <c r="HG16" s="1271"/>
      <c r="HH16" s="1270">
        <f>IF($E$10&gt;0,HH13/$E$10,"-")</f>
        <v>1</v>
      </c>
      <c r="HI16" s="1271"/>
      <c r="HJ16" s="1270">
        <f>IF($E$10&gt;0,HJ13/$E$10,"-")</f>
        <v>1</v>
      </c>
      <c r="HK16" s="1271"/>
    </row>
    <row r="17" spans="1:219" s="5" customFormat="1">
      <c r="A17" s="1299"/>
      <c r="B17" s="1300"/>
      <c r="C17" s="1299"/>
      <c r="D17" s="1301"/>
      <c r="E17" s="1301"/>
      <c r="F17" s="1302"/>
      <c r="G17" s="1301"/>
      <c r="H17" s="726"/>
      <c r="I17" s="1303"/>
      <c r="J17" s="1304"/>
      <c r="K17" s="794" t="s">
        <v>298</v>
      </c>
      <c r="L17" s="1294">
        <f>IF($E$19&gt;0,L15/$E$19,"-")</f>
        <v>0</v>
      </c>
      <c r="M17" s="1295"/>
      <c r="N17" s="1294">
        <f>IF($E$19&gt;0,N15/$E$19,"-")</f>
        <v>0</v>
      </c>
      <c r="O17" s="1295"/>
      <c r="P17" s="1294">
        <f>IF($E$19&gt;0,P15/$E$19,"-")</f>
        <v>0</v>
      </c>
      <c r="Q17" s="1295"/>
      <c r="R17" s="1294">
        <f>IF($E$19&gt;0,R15/$E$19,"-")</f>
        <v>0</v>
      </c>
      <c r="S17" s="1295"/>
      <c r="T17" s="1294">
        <f>IF($E$19&gt;0,T15/$E$19,"-")</f>
        <v>0</v>
      </c>
      <c r="U17" s="1295"/>
      <c r="V17" s="1294">
        <f>IF($E$19&gt;0,V15/$E$19,"-")</f>
        <v>0</v>
      </c>
      <c r="W17" s="1295"/>
      <c r="X17" s="1294">
        <f>IF($E$19&gt;0,X15/$E$19,"-")</f>
        <v>0</v>
      </c>
      <c r="Y17" s="1295"/>
      <c r="Z17" s="1294">
        <f>IF($E$19&gt;0,Z15/$E$19,"-")</f>
        <v>0</v>
      </c>
      <c r="AA17" s="1295"/>
      <c r="AB17" s="1294">
        <f>IF($E$10&gt;0,AB15/$E$10,"-")</f>
        <v>0</v>
      </c>
      <c r="AC17" s="1295"/>
      <c r="AD17" s="1294">
        <f>IF($E$10&gt;0,AD15/$E$10,"-")</f>
        <v>0</v>
      </c>
      <c r="AE17" s="1295"/>
      <c r="AF17" s="1294">
        <f>IF($E$10&gt;0,AF15/$E$10,"-")</f>
        <v>0</v>
      </c>
      <c r="AG17" s="1295"/>
      <c r="AH17" s="1294">
        <f>IF($E$10&gt;0,AH15/$E$10,"-")</f>
        <v>0</v>
      </c>
      <c r="AI17" s="1295"/>
      <c r="AJ17" s="1294">
        <f>IF($E$10&gt;0,AJ15/$E$10,"-")</f>
        <v>0</v>
      </c>
      <c r="AK17" s="1295"/>
      <c r="AL17" s="1294">
        <f>IF($E$10&gt;0,AL15/$E$10,"-")</f>
        <v>0</v>
      </c>
      <c r="AM17" s="1295"/>
      <c r="AN17" s="1294">
        <f>IF($E$10&gt;0,AN15/$E$10,"-")</f>
        <v>0</v>
      </c>
      <c r="AO17" s="1295"/>
      <c r="AP17" s="1294">
        <f>IF($E$10&gt;0,AP15/$E$10,"-")</f>
        <v>0</v>
      </c>
      <c r="AQ17" s="1295"/>
      <c r="AR17" s="1294">
        <f>IF($E$10&gt;0,AR15/$E$10,"-")</f>
        <v>0</v>
      </c>
      <c r="AS17" s="1295"/>
      <c r="AT17" s="1294">
        <f>IF($E$10&gt;0,AT15/$E$10,"-")</f>
        <v>0</v>
      </c>
      <c r="AU17" s="1295"/>
      <c r="AV17" s="1294">
        <f>IF($E$10&gt;0,AV15/$E$10,"-")</f>
        <v>0</v>
      </c>
      <c r="AW17" s="1295"/>
      <c r="AX17" s="1294">
        <f>IF($E$10&gt;0,AX15/$E$10,"-")</f>
        <v>0</v>
      </c>
      <c r="AY17" s="1295"/>
      <c r="AZ17" s="1294">
        <f>IF($E$10&gt;0,AZ15/$E$10,"-")</f>
        <v>0</v>
      </c>
      <c r="BA17" s="1295"/>
      <c r="BB17" s="1294">
        <f>IF($E$10&gt;0,BB15/$E$10,"-")</f>
        <v>0</v>
      </c>
      <c r="BC17" s="1295"/>
      <c r="BD17" s="1294">
        <f>IF($E$10&gt;0,BD15/$E$10,"-")</f>
        <v>0</v>
      </c>
      <c r="BE17" s="1295"/>
      <c r="BF17" s="1294">
        <f>IF($E$10&gt;0,BF15/$E$10,"-")</f>
        <v>0</v>
      </c>
      <c r="BG17" s="1295"/>
      <c r="BH17" s="1294">
        <f>IF($E$10&gt;0,BH15/$E$10,"-")</f>
        <v>0</v>
      </c>
      <c r="BI17" s="1295"/>
      <c r="BJ17" s="1294">
        <f>IF($E$10&gt;0,BJ15/$E$10,"-")</f>
        <v>0</v>
      </c>
      <c r="BK17" s="1295"/>
      <c r="BL17" s="1294">
        <f>IF($E$10&gt;0,BL15/$E$10,"-")</f>
        <v>0</v>
      </c>
      <c r="BM17" s="1295"/>
      <c r="BN17" s="1294">
        <f>IF($E$10&gt;0,BN15/$E$10,"-")</f>
        <v>0</v>
      </c>
      <c r="BO17" s="1295"/>
      <c r="BP17" s="1294">
        <f>IF($E$10&gt;0,BP15/$E$10,"-")</f>
        <v>0</v>
      </c>
      <c r="BQ17" s="1295"/>
      <c r="BR17" s="1294">
        <f>IF($E$10&gt;0,BR15/$E$10,"-")</f>
        <v>0</v>
      </c>
      <c r="BS17" s="1295"/>
      <c r="BT17" s="1294">
        <f>IF($E$10&gt;0,BT15/$E$10,"-")</f>
        <v>0</v>
      </c>
      <c r="BU17" s="1295"/>
      <c r="BV17" s="1294">
        <f>IF($E$10&gt;0,BV15/$E$10,"-")</f>
        <v>0</v>
      </c>
      <c r="BW17" s="1295"/>
      <c r="BX17" s="1294">
        <f>IF($E$10&gt;0,BX15/$E$10,"-")</f>
        <v>0</v>
      </c>
      <c r="BY17" s="1295"/>
      <c r="BZ17" s="1294">
        <f>IF($E$10&gt;0,BZ15/$E$10,"-")</f>
        <v>0</v>
      </c>
      <c r="CA17" s="1295"/>
      <c r="CB17" s="1294">
        <f>IF($E$10&gt;0,CB15/$E$10,"-")</f>
        <v>0</v>
      </c>
      <c r="CC17" s="1295"/>
      <c r="CD17" s="1294">
        <f>IF($E$10&gt;0,CD15/$E$10,"-")</f>
        <v>0</v>
      </c>
      <c r="CE17" s="1295"/>
      <c r="CF17" s="1294">
        <f>IF($E$10&gt;0,CF15/$E$10,"-")</f>
        <v>0</v>
      </c>
      <c r="CG17" s="1295"/>
      <c r="CH17" s="1294">
        <f>IF($E$10&gt;0,CH15/$E$10,"-")</f>
        <v>0</v>
      </c>
      <c r="CI17" s="1295"/>
      <c r="CJ17" s="1294">
        <f>IF($E$10&gt;0,CJ15/$E$10,"-")</f>
        <v>0</v>
      </c>
      <c r="CK17" s="1295"/>
      <c r="CL17" s="1294">
        <f>IF($E$10&gt;0,CL15/$E$10,"-")</f>
        <v>0</v>
      </c>
      <c r="CM17" s="1295"/>
      <c r="CN17" s="1294">
        <f>IF($E$10&gt;0,CN15/$E$10,"-")</f>
        <v>0</v>
      </c>
      <c r="CO17" s="1295"/>
      <c r="CP17" s="1294">
        <f>IF($E$10&gt;0,CP15/$E$10,"-")</f>
        <v>0</v>
      </c>
      <c r="CQ17" s="1295"/>
      <c r="CR17" s="1294">
        <f>IF($E$10&gt;0,CR15/$E$10,"-")</f>
        <v>0</v>
      </c>
      <c r="CS17" s="1295"/>
      <c r="CT17" s="1294">
        <f>IF($E$10&gt;0,CT15/$E$10,"-")</f>
        <v>0</v>
      </c>
      <c r="CU17" s="1295"/>
      <c r="CV17" s="1294">
        <f>IF($E$10&gt;0,CV15/$E$10,"-")</f>
        <v>0</v>
      </c>
      <c r="CW17" s="1295"/>
      <c r="CX17" s="1294">
        <f>IF($E$10&gt;0,CX15/$E$10,"-")</f>
        <v>0</v>
      </c>
      <c r="CY17" s="1295"/>
      <c r="CZ17" s="1294">
        <f>IF($E$10&gt;0,CZ15/$E$10,"-")</f>
        <v>0</v>
      </c>
      <c r="DA17" s="1295"/>
      <c r="DB17" s="1294">
        <f>IF($E$10&gt;0,DB15/$E$10,"-")</f>
        <v>0</v>
      </c>
      <c r="DC17" s="1295"/>
      <c r="DD17" s="1294">
        <f>IF($E$10&gt;0,DD15/$E$10,"-")</f>
        <v>0</v>
      </c>
      <c r="DE17" s="1295"/>
      <c r="DF17" s="1294">
        <f>IF($E$10&gt;0,DF15/$E$10,"-")</f>
        <v>0</v>
      </c>
      <c r="DG17" s="1295"/>
      <c r="DH17" s="1294">
        <f>IF($E$10&gt;0,DH15/$E$10,"-")</f>
        <v>0</v>
      </c>
      <c r="DI17" s="1295"/>
      <c r="DJ17" s="1294">
        <f>IF($E$10&gt;0,DJ15/$E$10,"-")</f>
        <v>0</v>
      </c>
      <c r="DK17" s="1295"/>
      <c r="DL17" s="1294">
        <f>IF($E$10&gt;0,DL15/$E$10,"-")</f>
        <v>0</v>
      </c>
      <c r="DM17" s="1295"/>
      <c r="DN17" s="1294">
        <f>IF($E$10&gt;0,DN15/$E$10,"-")</f>
        <v>0</v>
      </c>
      <c r="DO17" s="1295"/>
      <c r="DP17" s="1294">
        <f>IF($E$10&gt;0,DP15/$E$10,"-")</f>
        <v>0</v>
      </c>
      <c r="DQ17" s="1295"/>
      <c r="DR17" s="1294">
        <f>IF($E$10&gt;0,DR15/$E$10,"-")</f>
        <v>0</v>
      </c>
      <c r="DS17" s="1295"/>
      <c r="DT17" s="1294">
        <f>IF($E$10&gt;0,DT15/$E$10,"-")</f>
        <v>0</v>
      </c>
      <c r="DU17" s="1295"/>
      <c r="DV17" s="1294">
        <f>IF($E$10&gt;0,DV15/$E$10,"-")</f>
        <v>0</v>
      </c>
      <c r="DW17" s="1295"/>
      <c r="DX17" s="1294">
        <f>IF($E$10&gt;0,DX15/$E$10,"-")</f>
        <v>0</v>
      </c>
      <c r="DY17" s="1295"/>
      <c r="DZ17" s="1294">
        <f>IF($E$10&gt;0,DZ15/$E$10,"-")</f>
        <v>0</v>
      </c>
      <c r="EA17" s="1295"/>
      <c r="EB17" s="1294">
        <f>IF($E$10&gt;0,EB15/$E$10,"-")</f>
        <v>0</v>
      </c>
      <c r="EC17" s="1295"/>
      <c r="ED17" s="1294">
        <f>IF($E$10&gt;0,ED15/$E$10,"-")</f>
        <v>0</v>
      </c>
      <c r="EE17" s="1295"/>
      <c r="EF17" s="1294">
        <f>IF($E$10&gt;0,EF15/$E$10,"-")</f>
        <v>0</v>
      </c>
      <c r="EG17" s="1295"/>
      <c r="EH17" s="1294">
        <f>IF($E$10&gt;0,EH15/$E$10,"-")</f>
        <v>0</v>
      </c>
      <c r="EI17" s="1295"/>
      <c r="EJ17" s="1294">
        <f>IF($E$10&gt;0,EJ15/$E$10,"-")</f>
        <v>0</v>
      </c>
      <c r="EK17" s="1295"/>
      <c r="EL17" s="1294">
        <f>IF($E$10&gt;0,EL15/$E$10,"-")</f>
        <v>0</v>
      </c>
      <c r="EM17" s="1295"/>
      <c r="EN17" s="1294">
        <f>IF($E$10&gt;0,EN15/$E$10,"-")</f>
        <v>0</v>
      </c>
      <c r="EO17" s="1295"/>
      <c r="EP17" s="1294">
        <f>IF($E$10&gt;0,EP15/$E$10,"-")</f>
        <v>0</v>
      </c>
      <c r="EQ17" s="1295"/>
      <c r="ER17" s="1294">
        <f>IF($E$10&gt;0,ER15/$E$10,"-")</f>
        <v>0</v>
      </c>
      <c r="ES17" s="1295"/>
      <c r="ET17" s="1294">
        <f>IF($E$10&gt;0,ET15/$E$10,"-")</f>
        <v>0</v>
      </c>
      <c r="EU17" s="1295"/>
      <c r="EV17" s="1294">
        <f>IF($E$10&gt;0,EV15/$E$10,"-")</f>
        <v>0</v>
      </c>
      <c r="EW17" s="1295"/>
      <c r="EX17" s="1294">
        <f>IF($E$10&gt;0,EX15/$E$10,"-")</f>
        <v>0</v>
      </c>
      <c r="EY17" s="1295"/>
      <c r="EZ17" s="1294">
        <f>IF($E$10&gt;0,EZ15/$E$10,"-")</f>
        <v>0</v>
      </c>
      <c r="FA17" s="1295"/>
      <c r="FB17" s="1294">
        <f>IF($E$10&gt;0,FB15/$E$10,"-")</f>
        <v>0</v>
      </c>
      <c r="FC17" s="1295"/>
      <c r="FD17" s="1294">
        <f>IF($E$10&gt;0,FD15/$E$10,"-")</f>
        <v>0</v>
      </c>
      <c r="FE17" s="1295"/>
      <c r="FF17" s="1294">
        <f>IF($E$10&gt;0,FF15/$E$10,"-")</f>
        <v>0</v>
      </c>
      <c r="FG17" s="1295"/>
      <c r="FH17" s="1294">
        <f>IF($E$10&gt;0,FH15/$E$10,"-")</f>
        <v>0</v>
      </c>
      <c r="FI17" s="1295"/>
      <c r="FJ17" s="1294">
        <f>IF($E$10&gt;0,FJ15/$E$10,"-")</f>
        <v>0</v>
      </c>
      <c r="FK17" s="1295"/>
      <c r="FL17" s="1294">
        <f>IF($E$10&gt;0,FL15/$E$10,"-")</f>
        <v>0</v>
      </c>
      <c r="FM17" s="1295"/>
      <c r="FN17" s="1294">
        <f>IF($E$10&gt;0,FN15/$E$10,"-")</f>
        <v>0</v>
      </c>
      <c r="FO17" s="1295"/>
      <c r="FP17" s="1294">
        <f>IF($E$10&gt;0,FP15/$E$10,"-")</f>
        <v>0</v>
      </c>
      <c r="FQ17" s="1295"/>
      <c r="FR17" s="1294">
        <f>IF($E$10&gt;0,FR15/$E$10,"-")</f>
        <v>0</v>
      </c>
      <c r="FS17" s="1295"/>
      <c r="FT17" s="1294">
        <f>IF($E$10&gt;0,FT15/$E$10,"-")</f>
        <v>0</v>
      </c>
      <c r="FU17" s="1295"/>
      <c r="FV17" s="1294">
        <f>IF($E$10&gt;0,FV15/$E$10,"-")</f>
        <v>0</v>
      </c>
      <c r="FW17" s="1295"/>
      <c r="FX17" s="1294">
        <f>IF($E$10&gt;0,FX15/$E$10,"-")</f>
        <v>0</v>
      </c>
      <c r="FY17" s="1295"/>
      <c r="FZ17" s="1294">
        <f>IF($E$10&gt;0,FZ15/$E$10,"-")</f>
        <v>0</v>
      </c>
      <c r="GA17" s="1295"/>
      <c r="GB17" s="1294">
        <f>IF($E$10&gt;0,GB15/$E$10,"-")</f>
        <v>0</v>
      </c>
      <c r="GC17" s="1295"/>
      <c r="GD17" s="1294">
        <f>IF($E$10&gt;0,GD15/$E$10,"-")</f>
        <v>0</v>
      </c>
      <c r="GE17" s="1295"/>
      <c r="GF17" s="1294">
        <f>IF($E$10&gt;0,GF15/$E$10,"-")</f>
        <v>0</v>
      </c>
      <c r="GG17" s="1295"/>
      <c r="GH17" s="1294">
        <f>IF($E$10&gt;0,GH15/$E$10,"-")</f>
        <v>0</v>
      </c>
      <c r="GI17" s="1295"/>
      <c r="GJ17" s="1294">
        <f>IF($E$10&gt;0,GJ15/$E$10,"-")</f>
        <v>0</v>
      </c>
      <c r="GK17" s="1295"/>
      <c r="GL17" s="1294">
        <f>IF($E$10&gt;0,GL15/$E$10,"-")</f>
        <v>0</v>
      </c>
      <c r="GM17" s="1295"/>
      <c r="GN17" s="1294">
        <f>IF($E$10&gt;0,GN15/$E$10,"-")</f>
        <v>0</v>
      </c>
      <c r="GO17" s="1295"/>
      <c r="GP17" s="1294">
        <f>IF($E$10&gt;0,GP15/$E$10,"-")</f>
        <v>0</v>
      </c>
      <c r="GQ17" s="1295"/>
      <c r="GR17" s="1294">
        <f>IF($E$10&gt;0,GR15/$E$10,"-")</f>
        <v>0</v>
      </c>
      <c r="GS17" s="1295"/>
      <c r="GT17" s="1294">
        <f>IF($E$10&gt;0,GT15/$E$10,"-")</f>
        <v>0</v>
      </c>
      <c r="GU17" s="1295"/>
      <c r="GV17" s="1294">
        <f>IF($E$10&gt;0,GV15/$E$10,"-")</f>
        <v>0</v>
      </c>
      <c r="GW17" s="1295"/>
      <c r="GX17" s="1294">
        <f>IF($E$10&gt;0,GX15/$E$10,"-")</f>
        <v>0</v>
      </c>
      <c r="GY17" s="1295"/>
      <c r="GZ17" s="1294">
        <f>IF($E$10&gt;0,GZ15/$E$10,"-")</f>
        <v>0</v>
      </c>
      <c r="HA17" s="1295"/>
      <c r="HB17" s="1294">
        <f>IF($E$10&gt;0,HB15/$E$10,"-")</f>
        <v>0</v>
      </c>
      <c r="HC17" s="1295"/>
      <c r="HD17" s="1294">
        <f>IF($E$10&gt;0,HD15/$E$10,"-")</f>
        <v>0</v>
      </c>
      <c r="HE17" s="1295"/>
      <c r="HF17" s="1294">
        <f>IF($E$10&gt;0,HF15/$E$10,"-")</f>
        <v>0</v>
      </c>
      <c r="HG17" s="1295"/>
      <c r="HH17" s="1294">
        <f>IF($E$10&gt;0,HH15/$E$10,"-")</f>
        <v>0</v>
      </c>
      <c r="HI17" s="1295"/>
      <c r="HJ17" s="1294">
        <f>IF($E$10&gt;0,HJ15/$E$10,"-")</f>
        <v>0</v>
      </c>
      <c r="HK17" s="1295"/>
    </row>
    <row r="18" spans="1:219" s="5" customFormat="1" ht="14.4">
      <c r="A18" s="690"/>
      <c r="B18" s="691"/>
      <c r="C18" s="691"/>
      <c r="D18" s="795"/>
      <c r="E18" s="692"/>
      <c r="F18" s="796"/>
      <c r="G18" s="797"/>
      <c r="H18" s="691"/>
      <c r="I18" s="691"/>
      <c r="J18" s="691"/>
      <c r="K18" s="691"/>
      <c r="L18" s="1274"/>
      <c r="M18" s="1274"/>
      <c r="N18" s="1274"/>
      <c r="O18" s="1274"/>
      <c r="P18" s="1274"/>
      <c r="Q18" s="1274"/>
      <c r="R18" s="1274"/>
      <c r="S18" s="1362"/>
      <c r="T18" s="1276"/>
      <c r="U18" s="1274"/>
      <c r="V18" s="1274"/>
      <c r="W18" s="1274"/>
      <c r="X18" s="1274"/>
      <c r="Y18" s="1274"/>
      <c r="Z18" s="1274"/>
      <c r="AA18" s="1362"/>
      <c r="AB18" s="1276"/>
      <c r="AC18" s="1274"/>
      <c r="AD18" s="1274"/>
      <c r="AE18" s="1274"/>
      <c r="AF18" s="1274"/>
      <c r="AG18" s="1274"/>
      <c r="AH18" s="1274"/>
      <c r="AI18" s="1362"/>
      <c r="AJ18" s="1276"/>
      <c r="AK18" s="1274"/>
      <c r="AL18" s="1274"/>
      <c r="AM18" s="1274"/>
      <c r="AN18" s="1274"/>
      <c r="AO18" s="1274"/>
      <c r="AP18" s="1274"/>
      <c r="AQ18" s="1362"/>
      <c r="AR18" s="1276"/>
      <c r="AS18" s="1274"/>
      <c r="AT18" s="777"/>
      <c r="AU18" s="777"/>
      <c r="AV18" s="777"/>
      <c r="AW18" s="777"/>
      <c r="AX18" s="777"/>
      <c r="AY18" s="778"/>
      <c r="AZ18" s="779"/>
      <c r="BA18" s="777"/>
      <c r="BB18" s="777"/>
      <c r="BC18" s="777"/>
      <c r="BD18" s="777"/>
      <c r="BE18" s="777"/>
      <c r="BF18" s="777"/>
      <c r="BG18" s="778"/>
      <c r="BH18" s="779"/>
      <c r="BI18" s="777"/>
      <c r="BJ18" s="777"/>
      <c r="BK18" s="777"/>
      <c r="BL18" s="777"/>
      <c r="BM18" s="777"/>
      <c r="BN18" s="777"/>
      <c r="BO18" s="778"/>
      <c r="BP18" s="779"/>
      <c r="BQ18" s="777"/>
      <c r="BR18" s="777"/>
      <c r="BS18" s="777"/>
      <c r="BT18" s="777"/>
      <c r="BU18" s="777"/>
      <c r="BV18" s="777"/>
      <c r="BW18" s="778"/>
      <c r="BX18" s="779"/>
      <c r="BY18" s="777"/>
      <c r="BZ18" s="777"/>
      <c r="CA18" s="777"/>
      <c r="CB18" s="777"/>
      <c r="CC18" s="777"/>
      <c r="CD18" s="1274"/>
      <c r="CE18" s="1275"/>
      <c r="CF18" s="1276"/>
      <c r="CG18" s="1277"/>
      <c r="CH18" s="1274"/>
      <c r="CI18" s="1277"/>
      <c r="CJ18" s="1274"/>
      <c r="CK18" s="1277"/>
      <c r="CL18" s="1274"/>
      <c r="CM18" s="1275"/>
      <c r="CN18" s="1276"/>
      <c r="CO18" s="1277"/>
      <c r="CP18" s="1296"/>
      <c r="CQ18" s="1297"/>
      <c r="CR18" s="1296"/>
      <c r="CS18" s="1297"/>
      <c r="CT18" s="780"/>
      <c r="CU18" s="781"/>
      <c r="CV18" s="782"/>
      <c r="CW18" s="780"/>
      <c r="CX18" s="780"/>
      <c r="CY18" s="780"/>
      <c r="CZ18" s="780"/>
      <c r="DA18" s="780"/>
      <c r="DB18" s="780"/>
      <c r="DC18" s="781"/>
      <c r="DD18" s="782"/>
      <c r="DE18" s="780"/>
      <c r="DF18" s="780"/>
      <c r="DG18" s="780"/>
      <c r="DH18" s="780"/>
      <c r="DI18" s="780"/>
      <c r="DJ18" s="783"/>
      <c r="DK18" s="784"/>
      <c r="DL18" s="782"/>
      <c r="DM18" s="780"/>
      <c r="DN18" s="780"/>
      <c r="DO18" s="780"/>
      <c r="DP18" s="780"/>
      <c r="DQ18" s="780"/>
      <c r="DR18" s="780"/>
      <c r="DS18" s="781"/>
      <c r="DT18" s="782"/>
      <c r="DU18" s="780"/>
      <c r="DV18" s="780"/>
      <c r="DW18" s="780"/>
      <c r="DX18" s="780"/>
      <c r="DY18" s="780"/>
      <c r="DZ18" s="780"/>
      <c r="EA18" s="781"/>
      <c r="EB18" s="782"/>
      <c r="EC18" s="780"/>
      <c r="ED18" s="780"/>
      <c r="EE18" s="780"/>
      <c r="EF18" s="780"/>
      <c r="EG18" s="780"/>
      <c r="EH18" s="780"/>
      <c r="EI18" s="781"/>
      <c r="EJ18" s="782"/>
      <c r="EK18" s="780"/>
      <c r="EL18" s="780"/>
      <c r="EM18" s="780"/>
      <c r="EN18" s="780"/>
      <c r="EO18" s="780"/>
      <c r="EP18" s="780"/>
      <c r="EQ18" s="781"/>
      <c r="ER18" s="782"/>
      <c r="ES18" s="780"/>
      <c r="ET18" s="780"/>
      <c r="EU18" s="780"/>
      <c r="EV18" s="780"/>
      <c r="EW18" s="780"/>
      <c r="EX18" s="780"/>
      <c r="EY18" s="781"/>
      <c r="EZ18" s="782"/>
      <c r="FA18" s="780"/>
      <c r="FB18" s="780"/>
      <c r="FC18" s="780"/>
      <c r="FD18" s="780"/>
      <c r="FE18" s="780"/>
      <c r="FF18" s="780"/>
      <c r="FG18" s="781"/>
      <c r="FH18" s="782"/>
      <c r="FI18" s="780"/>
      <c r="FJ18" s="780"/>
      <c r="FK18" s="780"/>
      <c r="FL18" s="780"/>
      <c r="FM18" s="780"/>
      <c r="FN18" s="780"/>
      <c r="FO18" s="781"/>
      <c r="FP18" s="782"/>
      <c r="FQ18" s="780"/>
      <c r="FR18" s="780"/>
      <c r="FS18" s="780"/>
      <c r="FT18" s="780"/>
      <c r="FU18" s="780"/>
      <c r="FV18" s="780"/>
      <c r="FW18" s="781"/>
      <c r="FX18" s="782"/>
      <c r="FY18" s="780"/>
      <c r="FZ18" s="780"/>
      <c r="GA18" s="780"/>
      <c r="GB18" s="780"/>
      <c r="GC18" s="780"/>
      <c r="GD18" s="780"/>
      <c r="GE18" s="781"/>
      <c r="GF18" s="782"/>
      <c r="GG18" s="780"/>
      <c r="GH18" s="780"/>
      <c r="GI18" s="780"/>
      <c r="GJ18" s="780"/>
      <c r="GK18" s="780"/>
      <c r="GL18" s="780"/>
      <c r="GM18" s="781"/>
      <c r="GN18" s="782"/>
      <c r="GO18" s="780"/>
      <c r="GP18" s="780"/>
      <c r="GQ18" s="780"/>
      <c r="GR18" s="780"/>
      <c r="GS18" s="780"/>
      <c r="GT18" s="780"/>
      <c r="GU18" s="781"/>
      <c r="GV18" s="780"/>
      <c r="GW18" s="781"/>
      <c r="GX18" s="780"/>
      <c r="GY18" s="781"/>
      <c r="GZ18" s="780"/>
      <c r="HA18" s="781"/>
      <c r="HB18" s="780"/>
      <c r="HC18" s="781"/>
      <c r="HD18" s="780"/>
      <c r="HE18" s="781"/>
      <c r="HF18" s="780"/>
      <c r="HG18" s="781"/>
      <c r="HH18" s="780"/>
      <c r="HI18" s="781"/>
      <c r="HJ18" s="780"/>
      <c r="HK18" s="781"/>
    </row>
    <row r="19" spans="1:219" s="174" customFormat="1">
      <c r="A19" s="1299" t="s">
        <v>123</v>
      </c>
      <c r="B19" s="1300" t="str">
        <f>VLOOKUP(A19,PLANEJAMENTO!$B$10:$C$70,2,FALSE)</f>
        <v>Corte de Arvore Isolada, com destocamento com Ø &lt; 45cm</v>
      </c>
      <c r="C19" s="1299" t="str">
        <f>VLOOKUP(A19,PLANEJAMENTO!$B$10:$D$70,3,FALSE)</f>
        <v>un</v>
      </c>
      <c r="D19" s="1301">
        <f>VLOOKUP(A19,PLANEJAMENTO!$B$10:$E$70,4,FALSE)</f>
        <v>30</v>
      </c>
      <c r="E19" s="1301">
        <f>D19</f>
        <v>30</v>
      </c>
      <c r="F19" s="1302">
        <v>0.25</v>
      </c>
      <c r="G19" s="1301">
        <f>F19*8</f>
        <v>2</v>
      </c>
      <c r="H19" s="172"/>
      <c r="I19" s="1303"/>
      <c r="J19" s="1304"/>
      <c r="K19" s="173" t="s">
        <v>291</v>
      </c>
      <c r="L19" s="1285"/>
      <c r="M19" s="1286"/>
      <c r="N19" s="1285"/>
      <c r="O19" s="1286"/>
      <c r="P19" s="1285"/>
      <c r="Q19" s="1286"/>
      <c r="R19" s="1285"/>
      <c r="S19" s="1286"/>
      <c r="T19" s="1285"/>
      <c r="U19" s="1286"/>
      <c r="V19" s="1285"/>
      <c r="W19" s="1286"/>
      <c r="X19" s="1285"/>
      <c r="Y19" s="1286"/>
      <c r="Z19" s="1285"/>
      <c r="AA19" s="1286"/>
      <c r="AB19" s="1309"/>
      <c r="AC19" s="1310"/>
      <c r="AD19" s="1285"/>
      <c r="AE19" s="1286"/>
      <c r="AF19" s="1285"/>
      <c r="AG19" s="1286"/>
      <c r="AH19" s="1285"/>
      <c r="AI19" s="1286"/>
      <c r="AJ19" s="1307">
        <v>6</v>
      </c>
      <c r="AK19" s="1308"/>
      <c r="AL19" s="1309">
        <v>6</v>
      </c>
      <c r="AM19" s="1310"/>
      <c r="AN19" s="1309">
        <v>6</v>
      </c>
      <c r="AO19" s="1310"/>
      <c r="AP19" s="1311">
        <f>(D19-AN22)/AN21*6</f>
        <v>2.1793721973094131</v>
      </c>
      <c r="AQ19" s="1312"/>
      <c r="AR19" s="1309"/>
      <c r="AS19" s="1310"/>
      <c r="AT19" s="1285"/>
      <c r="AU19" s="1286"/>
      <c r="AV19" s="1285"/>
      <c r="AW19" s="1286"/>
      <c r="AX19" s="1285"/>
      <c r="AY19" s="1286"/>
      <c r="AZ19" s="1285"/>
      <c r="BA19" s="1286"/>
      <c r="BB19" s="1285"/>
      <c r="BC19" s="1286"/>
      <c r="BD19" s="1285"/>
      <c r="BE19" s="1286"/>
      <c r="BF19" s="1285"/>
      <c r="BG19" s="1286"/>
      <c r="BH19" s="1285"/>
      <c r="BI19" s="1286"/>
      <c r="BJ19" s="1285"/>
      <c r="BK19" s="1286"/>
      <c r="BL19" s="1285"/>
      <c r="BM19" s="1286"/>
      <c r="BN19" s="1285"/>
      <c r="BO19" s="1286"/>
      <c r="BP19" s="1285"/>
      <c r="BQ19" s="1286"/>
      <c r="BR19" s="1285"/>
      <c r="BS19" s="1286"/>
      <c r="BT19" s="1285"/>
      <c r="BU19" s="1286"/>
      <c r="BV19" s="1285"/>
      <c r="BW19" s="1286"/>
      <c r="BX19" s="1285"/>
      <c r="BY19" s="1286"/>
      <c r="BZ19" s="1285"/>
      <c r="CA19" s="1286"/>
      <c r="CB19" s="1285"/>
      <c r="CC19" s="1286"/>
      <c r="CD19" s="1285"/>
      <c r="CE19" s="1286"/>
      <c r="CF19" s="1285"/>
      <c r="CG19" s="1286"/>
      <c r="CH19" s="1285"/>
      <c r="CI19" s="1286"/>
      <c r="CJ19" s="1285"/>
      <c r="CK19" s="1286"/>
      <c r="CL19" s="1285"/>
      <c r="CM19" s="1286"/>
      <c r="CN19" s="1285"/>
      <c r="CO19" s="1286"/>
      <c r="CP19" s="1285"/>
      <c r="CQ19" s="1286"/>
      <c r="CR19" s="1285"/>
      <c r="CS19" s="1286"/>
      <c r="CT19" s="1285"/>
      <c r="CU19" s="1286"/>
      <c r="CV19" s="1285"/>
      <c r="CW19" s="1286"/>
      <c r="CX19" s="1285"/>
      <c r="CY19" s="1286"/>
      <c r="CZ19" s="1285"/>
      <c r="DA19" s="1286"/>
      <c r="DB19" s="1285"/>
      <c r="DC19" s="1286"/>
      <c r="DD19" s="1285"/>
      <c r="DE19" s="1286"/>
      <c r="DF19" s="1285"/>
      <c r="DG19" s="1286"/>
      <c r="DH19" s="1285"/>
      <c r="DI19" s="1286"/>
      <c r="DJ19" s="1330"/>
      <c r="DK19" s="1330"/>
      <c r="DL19" s="1318"/>
      <c r="DM19" s="1318"/>
      <c r="DN19" s="1318"/>
      <c r="DO19" s="1318"/>
      <c r="DP19" s="1318"/>
      <c r="DQ19" s="1318"/>
      <c r="DR19" s="1318"/>
      <c r="DS19" s="1318"/>
      <c r="DT19" s="1318"/>
      <c r="DU19" s="1318"/>
      <c r="DV19" s="1318"/>
      <c r="DW19" s="1318"/>
      <c r="DX19" s="1322"/>
      <c r="DY19" s="1322"/>
      <c r="DZ19" s="1318"/>
      <c r="EA19" s="1318"/>
      <c r="EB19" s="1318"/>
      <c r="EC19" s="1318"/>
      <c r="ED19" s="1322"/>
      <c r="EE19" s="1322"/>
      <c r="EF19" s="1322"/>
      <c r="EG19" s="1322"/>
      <c r="EH19" s="1322"/>
      <c r="EI19" s="1322"/>
      <c r="EJ19" s="1318"/>
      <c r="EK19" s="1318"/>
      <c r="EL19" s="1318"/>
      <c r="EM19" s="1318"/>
      <c r="EN19" s="1318"/>
      <c r="EO19" s="1318"/>
      <c r="EP19" s="1318"/>
      <c r="EQ19" s="1318"/>
      <c r="ER19" s="1318"/>
      <c r="ES19" s="1318"/>
      <c r="ET19" s="1318"/>
      <c r="EU19" s="1318"/>
      <c r="EV19" s="1318"/>
      <c r="EW19" s="1318"/>
      <c r="EX19" s="1318"/>
      <c r="EY19" s="1318"/>
      <c r="EZ19" s="1318"/>
      <c r="FA19" s="1318"/>
      <c r="FB19" s="1318"/>
      <c r="FC19" s="1318"/>
      <c r="FD19" s="1318"/>
      <c r="FE19" s="1318"/>
      <c r="FF19" s="1318"/>
      <c r="FG19" s="1318"/>
      <c r="FH19" s="1318"/>
      <c r="FI19" s="1318"/>
      <c r="FJ19" s="1318"/>
      <c r="FK19" s="1318"/>
      <c r="FL19" s="1318"/>
      <c r="FM19" s="1318"/>
      <c r="FN19" s="1318"/>
      <c r="FO19" s="1318"/>
      <c r="FP19" s="1318"/>
      <c r="FQ19" s="1318"/>
      <c r="FR19" s="1318"/>
      <c r="FS19" s="1318"/>
      <c r="FT19" s="1318"/>
      <c r="FU19" s="1318"/>
      <c r="FV19" s="1318"/>
      <c r="FW19" s="1318"/>
      <c r="FX19" s="1318"/>
      <c r="FY19" s="1318"/>
      <c r="FZ19" s="1318"/>
      <c r="GA19" s="1318"/>
      <c r="GB19" s="1318"/>
      <c r="GC19" s="1318"/>
      <c r="GD19" s="1318"/>
      <c r="GE19" s="1318"/>
      <c r="GF19" s="1318"/>
      <c r="GG19" s="1318"/>
      <c r="GH19" s="1318"/>
      <c r="GI19" s="1318"/>
      <c r="GJ19" s="1318"/>
      <c r="GK19" s="1318"/>
      <c r="GL19" s="1318"/>
      <c r="GM19" s="1318"/>
      <c r="GN19" s="1318"/>
      <c r="GO19" s="1318"/>
      <c r="GP19" s="1318"/>
      <c r="GQ19" s="1318"/>
      <c r="GR19" s="1318"/>
      <c r="GS19" s="1318"/>
      <c r="GT19" s="1318"/>
      <c r="GU19" s="1318"/>
      <c r="GV19" s="1318"/>
      <c r="GW19" s="1318"/>
      <c r="GX19" s="1318"/>
      <c r="GY19" s="1318"/>
      <c r="GZ19" s="1318"/>
      <c r="HA19" s="1318"/>
      <c r="HB19" s="1318"/>
      <c r="HC19" s="1318"/>
      <c r="HD19" s="1318"/>
      <c r="HE19" s="1318"/>
      <c r="HF19" s="1318"/>
      <c r="HG19" s="1318"/>
      <c r="HH19" s="1318"/>
      <c r="HI19" s="1318"/>
      <c r="HJ19" s="1318"/>
      <c r="HK19" s="1318"/>
    </row>
    <row r="20" spans="1:219">
      <c r="A20" s="1299"/>
      <c r="B20" s="1300"/>
      <c r="C20" s="1299"/>
      <c r="D20" s="1301"/>
      <c r="E20" s="1301"/>
      <c r="F20" s="1302"/>
      <c r="G20" s="1301"/>
      <c r="H20" s="726"/>
      <c r="I20" s="1303"/>
      <c r="J20" s="1304"/>
      <c r="K20" s="785" t="s">
        <v>292</v>
      </c>
      <c r="L20" s="1283"/>
      <c r="M20" s="1284"/>
      <c r="N20" s="1283"/>
      <c r="O20" s="1284"/>
      <c r="P20" s="1283"/>
      <c r="Q20" s="1284"/>
      <c r="R20" s="1283"/>
      <c r="S20" s="1284"/>
      <c r="T20" s="1283"/>
      <c r="U20" s="1284"/>
      <c r="V20" s="1283"/>
      <c r="W20" s="1284"/>
      <c r="X20" s="1283"/>
      <c r="Y20" s="1284"/>
      <c r="Z20" s="1283"/>
      <c r="AA20" s="1284"/>
      <c r="AB20" s="1283"/>
      <c r="AC20" s="1284"/>
      <c r="AD20" s="1283"/>
      <c r="AE20" s="1284"/>
      <c r="AF20" s="1283"/>
      <c r="AG20" s="1284"/>
      <c r="AH20" s="1283"/>
      <c r="AI20" s="1284"/>
      <c r="AJ20" s="1283">
        <v>1</v>
      </c>
      <c r="AK20" s="1284"/>
      <c r="AL20" s="1283">
        <v>1</v>
      </c>
      <c r="AM20" s="1284"/>
      <c r="AN20" s="1283">
        <v>1</v>
      </c>
      <c r="AO20" s="1284"/>
      <c r="AP20" s="1283">
        <v>1</v>
      </c>
      <c r="AQ20" s="1284"/>
      <c r="AR20" s="1283"/>
      <c r="AS20" s="1284"/>
      <c r="AT20" s="1283"/>
      <c r="AU20" s="1284"/>
      <c r="AV20" s="1283"/>
      <c r="AW20" s="1284"/>
      <c r="AX20" s="1283"/>
      <c r="AY20" s="1284"/>
      <c r="AZ20" s="1283"/>
      <c r="BA20" s="1284"/>
      <c r="BB20" s="1283"/>
      <c r="BC20" s="1284"/>
      <c r="BD20" s="1283"/>
      <c r="BE20" s="1284"/>
      <c r="BF20" s="1283"/>
      <c r="BG20" s="1284"/>
      <c r="BH20" s="1283"/>
      <c r="BI20" s="1284"/>
      <c r="BJ20" s="1283"/>
      <c r="BK20" s="1284"/>
      <c r="BL20" s="1283"/>
      <c r="BM20" s="1284"/>
      <c r="BN20" s="1283"/>
      <c r="BO20" s="1284"/>
      <c r="BP20" s="1283"/>
      <c r="BQ20" s="1284"/>
      <c r="BR20" s="1283"/>
      <c r="BS20" s="1284"/>
      <c r="BT20" s="1283"/>
      <c r="BU20" s="1284"/>
      <c r="BV20" s="1283"/>
      <c r="BW20" s="1284"/>
      <c r="BX20" s="1283"/>
      <c r="BY20" s="1284"/>
      <c r="BZ20" s="1283"/>
      <c r="CA20" s="1284"/>
      <c r="CB20" s="1283"/>
      <c r="CC20" s="1284"/>
      <c r="CD20" s="1283"/>
      <c r="CE20" s="1284"/>
      <c r="CF20" s="1283"/>
      <c r="CG20" s="1284"/>
      <c r="CH20" s="1283"/>
      <c r="CI20" s="1284"/>
      <c r="CJ20" s="1283"/>
      <c r="CK20" s="1284"/>
      <c r="CL20" s="1283"/>
      <c r="CM20" s="1284"/>
      <c r="CN20" s="1283"/>
      <c r="CO20" s="1284"/>
      <c r="CP20" s="1283"/>
      <c r="CQ20" s="1284"/>
      <c r="CR20" s="1283"/>
      <c r="CS20" s="1284"/>
      <c r="CT20" s="1283"/>
      <c r="CU20" s="1284"/>
      <c r="CV20" s="1283"/>
      <c r="CW20" s="1284"/>
      <c r="CX20" s="1283"/>
      <c r="CY20" s="1284"/>
      <c r="CZ20" s="1283"/>
      <c r="DA20" s="1284"/>
      <c r="DB20" s="1283"/>
      <c r="DC20" s="1284"/>
      <c r="DD20" s="1283"/>
      <c r="DE20" s="1284"/>
      <c r="DF20" s="1283"/>
      <c r="DG20" s="1284"/>
      <c r="DH20" s="1283"/>
      <c r="DI20" s="1284"/>
      <c r="DJ20" s="1265"/>
      <c r="DK20" s="1265"/>
      <c r="DL20" s="1264"/>
      <c r="DM20" s="1264"/>
      <c r="DN20" s="1264"/>
      <c r="DO20" s="1264"/>
      <c r="DP20" s="1264"/>
      <c r="DQ20" s="1264"/>
      <c r="DR20" s="1264"/>
      <c r="DS20" s="1264"/>
      <c r="DT20" s="1264"/>
      <c r="DU20" s="1264"/>
      <c r="DV20" s="1264"/>
      <c r="DW20" s="1264"/>
      <c r="DX20" s="1264"/>
      <c r="DY20" s="1264"/>
      <c r="DZ20" s="1264"/>
      <c r="EA20" s="1264"/>
      <c r="EB20" s="1264"/>
      <c r="EC20" s="1264"/>
      <c r="ED20" s="1264"/>
      <c r="EE20" s="1264"/>
      <c r="EF20" s="1264"/>
      <c r="EG20" s="1264"/>
      <c r="EH20" s="1264"/>
      <c r="EI20" s="1264"/>
      <c r="EJ20" s="1264"/>
      <c r="EK20" s="1264"/>
      <c r="EL20" s="1264"/>
      <c r="EM20" s="1264"/>
      <c r="EN20" s="1264"/>
      <c r="EO20" s="1264"/>
      <c r="EP20" s="1264"/>
      <c r="EQ20" s="1264"/>
      <c r="ER20" s="1264"/>
      <c r="ES20" s="1264"/>
      <c r="ET20" s="1264"/>
      <c r="EU20" s="1264"/>
      <c r="EV20" s="1264"/>
      <c r="EW20" s="1264"/>
      <c r="EX20" s="1264"/>
      <c r="EY20" s="1264"/>
      <c r="EZ20" s="1264"/>
      <c r="FA20" s="1264"/>
      <c r="FB20" s="1264"/>
      <c r="FC20" s="1264"/>
      <c r="FD20" s="1264"/>
      <c r="FE20" s="1264"/>
      <c r="FF20" s="1264"/>
      <c r="FG20" s="1264"/>
      <c r="FH20" s="1264"/>
      <c r="FI20" s="1264"/>
      <c r="FJ20" s="1264"/>
      <c r="FK20" s="1264"/>
      <c r="FL20" s="1264"/>
      <c r="FM20" s="1264"/>
      <c r="FN20" s="1264"/>
      <c r="FO20" s="1264"/>
      <c r="FP20" s="1264"/>
      <c r="FQ20" s="1264"/>
      <c r="FR20" s="1264"/>
      <c r="FS20" s="1264"/>
      <c r="FT20" s="1264"/>
      <c r="FU20" s="1264"/>
      <c r="FV20" s="1264"/>
      <c r="FW20" s="1264"/>
      <c r="FX20" s="1264"/>
      <c r="FY20" s="1264"/>
      <c r="FZ20" s="1264"/>
      <c r="GA20" s="1264"/>
      <c r="GB20" s="1264"/>
      <c r="GC20" s="1264"/>
      <c r="GD20" s="1264"/>
      <c r="GE20" s="1264"/>
      <c r="GF20" s="1264"/>
      <c r="GG20" s="1264"/>
      <c r="GH20" s="1264"/>
      <c r="GI20" s="1264"/>
      <c r="GJ20" s="1264"/>
      <c r="GK20" s="1264"/>
      <c r="GL20" s="1264"/>
      <c r="GM20" s="1264"/>
      <c r="GN20" s="1264"/>
      <c r="GO20" s="1264"/>
      <c r="GP20" s="1264"/>
      <c r="GQ20" s="1264"/>
      <c r="GR20" s="1264"/>
      <c r="GS20" s="1264"/>
      <c r="GT20" s="1264"/>
      <c r="GU20" s="1264"/>
      <c r="GV20" s="1264"/>
      <c r="GW20" s="1264"/>
      <c r="GX20" s="1264"/>
      <c r="GY20" s="1264"/>
      <c r="GZ20" s="1264"/>
      <c r="HA20" s="1264"/>
      <c r="HB20" s="1264"/>
      <c r="HC20" s="1264"/>
      <c r="HD20" s="1264"/>
      <c r="HE20" s="1264"/>
      <c r="HF20" s="1264"/>
      <c r="HG20" s="1264"/>
      <c r="HH20" s="1264"/>
      <c r="HI20" s="1264"/>
      <c r="HJ20" s="1264"/>
      <c r="HK20" s="1264"/>
    </row>
    <row r="21" spans="1:219">
      <c r="A21" s="1299"/>
      <c r="B21" s="1300"/>
      <c r="C21" s="1299"/>
      <c r="D21" s="1301"/>
      <c r="E21" s="1301"/>
      <c r="F21" s="1302"/>
      <c r="G21" s="1301"/>
      <c r="H21" s="726"/>
      <c r="I21" s="1303"/>
      <c r="J21" s="1304"/>
      <c r="K21" s="786" t="s">
        <v>293</v>
      </c>
      <c r="L21" s="1255">
        <f>(L19*L20*$G$19)*$L$8</f>
        <v>0</v>
      </c>
      <c r="M21" s="1256"/>
      <c r="N21" s="1255">
        <f>(N19*N20*$G$19)*$L$8</f>
        <v>0</v>
      </c>
      <c r="O21" s="1256"/>
      <c r="P21" s="1255">
        <f>(P19*P20*$G$19)*$L$8</f>
        <v>0</v>
      </c>
      <c r="Q21" s="1256"/>
      <c r="R21" s="1255">
        <f>(R19*R20*$G$19)*$L$8</f>
        <v>0</v>
      </c>
      <c r="S21" s="1256"/>
      <c r="T21" s="1255">
        <f>(T19*T20*$G$19)*$T$8</f>
        <v>0</v>
      </c>
      <c r="U21" s="1256"/>
      <c r="V21" s="1255">
        <f>(V19*V20*$G$19)*$T$8</f>
        <v>0</v>
      </c>
      <c r="W21" s="1256"/>
      <c r="X21" s="1255">
        <f>(X19*X20*$G$19)*$T$8</f>
        <v>0</v>
      </c>
      <c r="Y21" s="1256"/>
      <c r="Z21" s="1255">
        <f>(Z19*Z20*$G$19)*$T$8</f>
        <v>0</v>
      </c>
      <c r="AA21" s="1256"/>
      <c r="AB21" s="1255">
        <f>(AB19*AB20*$G$19)*$AB$8</f>
        <v>0</v>
      </c>
      <c r="AC21" s="1256"/>
      <c r="AD21" s="1255">
        <f>(AD19*AD20*$G$19)*$AB$8</f>
        <v>0</v>
      </c>
      <c r="AE21" s="1256"/>
      <c r="AF21" s="1255">
        <f>(AF19*AF20*$G$19)*$AB$8</f>
        <v>0</v>
      </c>
      <c r="AG21" s="1256"/>
      <c r="AH21" s="1255">
        <f>(AH19*AH20*$G$19)*$AB$8</f>
        <v>0</v>
      </c>
      <c r="AI21" s="1256"/>
      <c r="AJ21" s="1255">
        <f>(AJ19*AJ20*$G$19)*$AJ$8</f>
        <v>8.9200000000000017</v>
      </c>
      <c r="AK21" s="1256"/>
      <c r="AL21" s="1255">
        <f>(AL19*AL20*$G$19)*$AJ$8</f>
        <v>8.9200000000000017</v>
      </c>
      <c r="AM21" s="1256"/>
      <c r="AN21" s="1255">
        <f>(AN19*AN20*$G$19)*$AJ$8</f>
        <v>8.9200000000000017</v>
      </c>
      <c r="AO21" s="1256"/>
      <c r="AP21" s="1255">
        <f>(AP19*AP20*$G$19)*$AJ$8</f>
        <v>3.2399999999999944</v>
      </c>
      <c r="AQ21" s="1256"/>
      <c r="AR21" s="1255">
        <f>(AR19*AR20*$G$19)*$AJ$8</f>
        <v>0</v>
      </c>
      <c r="AS21" s="1256"/>
      <c r="AT21" s="1255">
        <f>(AT19*AT20*$G$19)*$AT$8</f>
        <v>0</v>
      </c>
      <c r="AU21" s="1256"/>
      <c r="AV21" s="1255">
        <f>(AV19*AV20*$G$19)*$AT$8</f>
        <v>0</v>
      </c>
      <c r="AW21" s="1256"/>
      <c r="AX21" s="1255">
        <f>(AX19*AX20*$G$19)*$AT$8</f>
        <v>0</v>
      </c>
      <c r="AY21" s="1256"/>
      <c r="AZ21" s="1255">
        <f>(AZ19*AZ20*$G$19)*$AT$8</f>
        <v>0</v>
      </c>
      <c r="BA21" s="1256"/>
      <c r="BB21" s="1255">
        <f>(BB19*BB20*$G$19)*$BB$8</f>
        <v>0</v>
      </c>
      <c r="BC21" s="1256"/>
      <c r="BD21" s="1255">
        <f>(BD19*BD20*$G$19)*$BB$8</f>
        <v>0</v>
      </c>
      <c r="BE21" s="1256"/>
      <c r="BF21" s="1255">
        <f>(BF19*BF20*$G$19)*$BB$8</f>
        <v>0</v>
      </c>
      <c r="BG21" s="1256"/>
      <c r="BH21" s="1255">
        <f>(BH19*BH20*$G$19)*$BB$8</f>
        <v>0</v>
      </c>
      <c r="BI21" s="1256"/>
      <c r="BJ21" s="1255">
        <f>(BJ19*BJ20*$G$19)*$BJ$8</f>
        <v>0</v>
      </c>
      <c r="BK21" s="1256"/>
      <c r="BL21" s="1255">
        <f>(BL19*BL20*$G$19)*$BJ$8</f>
        <v>0</v>
      </c>
      <c r="BM21" s="1256"/>
      <c r="BN21" s="1255">
        <f>(BN19*BN20*$G$19)*$BJ$8</f>
        <v>0</v>
      </c>
      <c r="BO21" s="1256"/>
      <c r="BP21" s="1255">
        <f>(BP19*BP20*$G$19)*$BJ$8</f>
        <v>0</v>
      </c>
      <c r="BQ21" s="1256"/>
      <c r="BR21" s="1255">
        <f>(BR19*BR20*$G$19)*$BJ$8</f>
        <v>0</v>
      </c>
      <c r="BS21" s="1256"/>
      <c r="BT21" s="1255">
        <f>(BT19*BT20*$G$19)*$BT$8</f>
        <v>0</v>
      </c>
      <c r="BU21" s="1256"/>
      <c r="BV21" s="1255">
        <f>(BV19*BV20*$G$19)*$BT$8</f>
        <v>0</v>
      </c>
      <c r="BW21" s="1256"/>
      <c r="BX21" s="1255">
        <f>(BX19*BX20*$G$19)*$BT$8</f>
        <v>0</v>
      </c>
      <c r="BY21" s="1256"/>
      <c r="BZ21" s="1255">
        <f>(BZ19*BZ20*$G$19)*$BT$8</f>
        <v>0</v>
      </c>
      <c r="CA21" s="1256"/>
      <c r="CB21" s="1255">
        <f>(CB19*CB20*$G$19)*$CB$8</f>
        <v>0</v>
      </c>
      <c r="CC21" s="1256"/>
      <c r="CD21" s="1255">
        <f>(CD19*CD20*$G$19)*$CB$8</f>
        <v>0</v>
      </c>
      <c r="CE21" s="1256"/>
      <c r="CF21" s="1255">
        <f>(CF19*CF20*$G$19)*$CB$8</f>
        <v>0</v>
      </c>
      <c r="CG21" s="1256"/>
      <c r="CH21" s="1255">
        <f>(CH19*CH20*$G$19)*$CB$8</f>
        <v>0</v>
      </c>
      <c r="CI21" s="1256"/>
      <c r="CJ21" s="1255">
        <f>(CJ19*CJ20*$G$19)*$CJ$8</f>
        <v>0</v>
      </c>
      <c r="CK21" s="1256"/>
      <c r="CL21" s="1255">
        <f>(CL19*CL20*$G$19)*$CJ$8</f>
        <v>0</v>
      </c>
      <c r="CM21" s="1256"/>
      <c r="CN21" s="1255">
        <f>(CN19*CN20*$G$19)*$CJ$8</f>
        <v>0</v>
      </c>
      <c r="CO21" s="1256"/>
      <c r="CP21" s="1255">
        <f>(CP19*CP20*$G$19)*$CJ$8</f>
        <v>0</v>
      </c>
      <c r="CQ21" s="1256"/>
      <c r="CR21" s="1255">
        <f>(CR19*CR20*$G$19)*$CJ$8</f>
        <v>0</v>
      </c>
      <c r="CS21" s="1256"/>
      <c r="CT21" s="1255">
        <f>(CT19*CT20*$G$19)*$CT$8</f>
        <v>0</v>
      </c>
      <c r="CU21" s="1256"/>
      <c r="CV21" s="1255">
        <f>(CV19*CV20*$G$19)*$CT$8</f>
        <v>0</v>
      </c>
      <c r="CW21" s="1256"/>
      <c r="CX21" s="1255">
        <f>(CX19*CX20*$G$19)*$CT$8</f>
        <v>0</v>
      </c>
      <c r="CY21" s="1256"/>
      <c r="CZ21" s="1255">
        <f>(CZ19*CZ20*$G$19)*$CT$8</f>
        <v>0</v>
      </c>
      <c r="DA21" s="1256"/>
      <c r="DB21" s="1255">
        <f>(DB19*DB20*$G$19)*$DB$8</f>
        <v>0</v>
      </c>
      <c r="DC21" s="1256"/>
      <c r="DD21" s="1255">
        <f>(DD19*DD20*$G$19)*$DB$8</f>
        <v>0</v>
      </c>
      <c r="DE21" s="1256"/>
      <c r="DF21" s="1255">
        <f>(DF19*DF20*$G$19)*$DB$8</f>
        <v>0</v>
      </c>
      <c r="DG21" s="1256"/>
      <c r="DH21" s="1255">
        <f>(DH19*DH20*$G$19)*$DB$8</f>
        <v>0</v>
      </c>
      <c r="DI21" s="1256"/>
      <c r="DJ21" s="1257">
        <f>(DJ19*DJ20*$G$19)*$DB$8</f>
        <v>0</v>
      </c>
      <c r="DK21" s="1258"/>
      <c r="DL21" s="1255">
        <f>(DL19*DL20*$G$19)*$DL$8</f>
        <v>0</v>
      </c>
      <c r="DM21" s="1256"/>
      <c r="DN21" s="1255">
        <f>(DN19*DN20*$G$19)*$DL$8</f>
        <v>0</v>
      </c>
      <c r="DO21" s="1256"/>
      <c r="DP21" s="1255">
        <f>(DP19*DP20*$G$19)*$DL$8</f>
        <v>0</v>
      </c>
      <c r="DQ21" s="1256"/>
      <c r="DR21" s="1255">
        <f>(DR19*DR20*$G$19)*$DL$8</f>
        <v>0</v>
      </c>
      <c r="DS21" s="1256"/>
      <c r="DT21" s="1255">
        <f>(DT19*DT20*$G$19)*$DT$8</f>
        <v>0</v>
      </c>
      <c r="DU21" s="1256"/>
      <c r="DV21" s="1255">
        <f>(DV19*DV20*$G$19)*$DT$8</f>
        <v>0</v>
      </c>
      <c r="DW21" s="1256"/>
      <c r="DX21" s="1255">
        <f>(DX19*DX20*$G$19)*$DT$8</f>
        <v>0</v>
      </c>
      <c r="DY21" s="1256"/>
      <c r="DZ21" s="1255">
        <f>(DZ19*DZ20*$G$19)*$DT$8</f>
        <v>0</v>
      </c>
      <c r="EA21" s="1256"/>
      <c r="EB21" s="1255">
        <f>(EB19*EB20*$G$19)*$EB$8</f>
        <v>0</v>
      </c>
      <c r="EC21" s="1256"/>
      <c r="ED21" s="1255">
        <f>(ED19*ED20*$G$19)*$EB$8</f>
        <v>0</v>
      </c>
      <c r="EE21" s="1256"/>
      <c r="EF21" s="1255">
        <f>(EF19*EF20*$G$19)*$EB$8</f>
        <v>0</v>
      </c>
      <c r="EG21" s="1256"/>
      <c r="EH21" s="1255">
        <f>(EH19*EH20*$G$19)*$EB$8</f>
        <v>0</v>
      </c>
      <c r="EI21" s="1256"/>
      <c r="EJ21" s="1255">
        <f>(EJ19*EJ20*$G$19)*$EJ$8</f>
        <v>0</v>
      </c>
      <c r="EK21" s="1256"/>
      <c r="EL21" s="1255">
        <f>(EL19*EL20*$G$19)*$EJ$8</f>
        <v>0</v>
      </c>
      <c r="EM21" s="1256"/>
      <c r="EN21" s="1255">
        <f>(EN19*EN20*$G$19)*$EJ$8</f>
        <v>0</v>
      </c>
      <c r="EO21" s="1256"/>
      <c r="EP21" s="1255">
        <f>(EP19*EP20*$G$19)*$EJ$8</f>
        <v>0</v>
      </c>
      <c r="EQ21" s="1256"/>
      <c r="ER21" s="1255">
        <f>(ER19*ER20*$G$19)*$EJ$8</f>
        <v>0</v>
      </c>
      <c r="ES21" s="1256"/>
      <c r="ET21" s="1255">
        <f>(ET19*ET20*$G$19)*$ET$8</f>
        <v>0</v>
      </c>
      <c r="EU21" s="1256"/>
      <c r="EV21" s="1255">
        <f>(EV19*EV20*$G$19)*$ET$8</f>
        <v>0</v>
      </c>
      <c r="EW21" s="1256"/>
      <c r="EX21" s="1255">
        <f>(EX19*EX20*$G$19)*$ET$8</f>
        <v>0</v>
      </c>
      <c r="EY21" s="1256"/>
      <c r="EZ21" s="1255">
        <f>(EZ19*EZ20*$G$19)*$ET$8</f>
        <v>0</v>
      </c>
      <c r="FA21" s="1256"/>
      <c r="FB21" s="1255">
        <f>(FB19*FB20*$G$19)*$FB$8</f>
        <v>0</v>
      </c>
      <c r="FC21" s="1256"/>
      <c r="FD21" s="1255">
        <f>(FD19*FD20*$G$19)*$FB$8</f>
        <v>0</v>
      </c>
      <c r="FE21" s="1256"/>
      <c r="FF21" s="1255">
        <f>(FF19*FF20*$G$19)*$FB$8</f>
        <v>0</v>
      </c>
      <c r="FG21" s="1256"/>
      <c r="FH21" s="1255">
        <f>(FH19*FH20*$G$19)*$FB$8</f>
        <v>0</v>
      </c>
      <c r="FI21" s="1256"/>
      <c r="FJ21" s="1255">
        <f>(FJ19*FJ20*$G$19)*$FB$8</f>
        <v>0</v>
      </c>
      <c r="FK21" s="1256"/>
      <c r="FL21" s="1255">
        <f>(FL19*FL20*$G$19)*$FL$8</f>
        <v>0</v>
      </c>
      <c r="FM21" s="1256"/>
      <c r="FN21" s="1255">
        <f>(FN19*FN20*$G$19)*$FL$8</f>
        <v>0</v>
      </c>
      <c r="FO21" s="1256"/>
      <c r="FP21" s="1255">
        <f>(FP19*FP20*$G$19)*$FL$8</f>
        <v>0</v>
      </c>
      <c r="FQ21" s="1256"/>
      <c r="FR21" s="1255">
        <f>(FR19*FR20*$G$19)*$FL$8</f>
        <v>0</v>
      </c>
      <c r="FS21" s="1256"/>
      <c r="FT21" s="1255">
        <f>(FT19*FT20*$G$19)*$FT$8</f>
        <v>0</v>
      </c>
      <c r="FU21" s="1256"/>
      <c r="FV21" s="1255">
        <f>(FV19*FV20*$G$19)*$FT$8</f>
        <v>0</v>
      </c>
      <c r="FW21" s="1256"/>
      <c r="FX21" s="1255">
        <f>(FX19*FX20*$G$19)*$FT$8</f>
        <v>0</v>
      </c>
      <c r="FY21" s="1256"/>
      <c r="FZ21" s="1255">
        <f>(FZ19*FZ20*$G$19)*$FT$8</f>
        <v>0</v>
      </c>
      <c r="GA21" s="1256"/>
      <c r="GB21" s="1255">
        <f>(GB19*GB20*$G$19)*$FT$8</f>
        <v>0</v>
      </c>
      <c r="GC21" s="1256"/>
      <c r="GD21" s="1255">
        <f>(GD19*GD20*$G$19)*$GD$8</f>
        <v>0</v>
      </c>
      <c r="GE21" s="1256"/>
      <c r="GF21" s="1255">
        <f>(GF19*GF20*$G$19)*$GD$8</f>
        <v>0</v>
      </c>
      <c r="GG21" s="1256"/>
      <c r="GH21" s="1255">
        <f>(GH19*GH20*$G$19)*$GD$8</f>
        <v>0</v>
      </c>
      <c r="GI21" s="1256"/>
      <c r="GJ21" s="1255">
        <f>(GJ19*GJ20*$G$19)*$GD$8</f>
        <v>0</v>
      </c>
      <c r="GK21" s="1256"/>
      <c r="GL21" s="1255">
        <f>(GL19*GL20*$G$19)*$GL$8</f>
        <v>0</v>
      </c>
      <c r="GM21" s="1256"/>
      <c r="GN21" s="1255">
        <f>(GN19*GN20*$G$19)*$GL$8</f>
        <v>0</v>
      </c>
      <c r="GO21" s="1256"/>
      <c r="GP21" s="1255">
        <f>(GP19*GP20*$G$19)*$GL$8</f>
        <v>0</v>
      </c>
      <c r="GQ21" s="1256"/>
      <c r="GR21" s="1255">
        <f>(GR19*GR20*$G$19)*$GL$8</f>
        <v>0</v>
      </c>
      <c r="GS21" s="1256"/>
      <c r="GT21" s="1255">
        <f>(GT19*GT20*$G$19)*$GT$8</f>
        <v>0</v>
      </c>
      <c r="GU21" s="1256"/>
      <c r="GV21" s="1255">
        <f>(GV19*GV20*$G$19)*$GT$8</f>
        <v>0</v>
      </c>
      <c r="GW21" s="1256"/>
      <c r="GX21" s="1255">
        <f>(GX19*GX20*$G$19)*$GT$8</f>
        <v>0</v>
      </c>
      <c r="GY21" s="1256"/>
      <c r="GZ21" s="1255">
        <f>(GZ19*GZ20*$G$19)*$GT$8</f>
        <v>0</v>
      </c>
      <c r="HA21" s="1256"/>
      <c r="HB21" s="1255">
        <f>(HB19*HB20*$G$19)*$GT$8</f>
        <v>0</v>
      </c>
      <c r="HC21" s="1256"/>
      <c r="HD21" s="1255">
        <f>(HD19*HD20*$G$19)*$GT$8</f>
        <v>0</v>
      </c>
      <c r="HE21" s="1256"/>
      <c r="HF21" s="1255">
        <f>(HF19*HF20*$G$19)*$GT$8</f>
        <v>0</v>
      </c>
      <c r="HG21" s="1256"/>
      <c r="HH21" s="1255">
        <f>(HH19*HH20*$G$19)*$GT$8</f>
        <v>0</v>
      </c>
      <c r="HI21" s="1256"/>
      <c r="HJ21" s="1255">
        <f>(HJ19*HJ20*$G$19)*$GT$8</f>
        <v>0</v>
      </c>
      <c r="HK21" s="1256"/>
    </row>
    <row r="22" spans="1:219">
      <c r="A22" s="1299"/>
      <c r="B22" s="1300"/>
      <c r="C22" s="1299"/>
      <c r="D22" s="1301"/>
      <c r="E22" s="1301"/>
      <c r="F22" s="1302"/>
      <c r="G22" s="1301"/>
      <c r="H22" s="726"/>
      <c r="I22" s="1303"/>
      <c r="J22" s="1304"/>
      <c r="K22" s="787" t="s">
        <v>294</v>
      </c>
      <c r="L22" s="1272">
        <f>L21</f>
        <v>0</v>
      </c>
      <c r="M22" s="1273"/>
      <c r="N22" s="1272">
        <f>L22+N21</f>
        <v>0</v>
      </c>
      <c r="O22" s="1273"/>
      <c r="P22" s="1272">
        <f>N22+P21</f>
        <v>0</v>
      </c>
      <c r="Q22" s="1273"/>
      <c r="R22" s="1272">
        <f>P22+R21</f>
        <v>0</v>
      </c>
      <c r="S22" s="1273"/>
      <c r="T22" s="1272">
        <f>R22+T21</f>
        <v>0</v>
      </c>
      <c r="U22" s="1273"/>
      <c r="V22" s="1272">
        <f>T22+V21</f>
        <v>0</v>
      </c>
      <c r="W22" s="1273"/>
      <c r="X22" s="1272">
        <f>V22+X21</f>
        <v>0</v>
      </c>
      <c r="Y22" s="1273"/>
      <c r="Z22" s="1272">
        <f>X22+Z21</f>
        <v>0</v>
      </c>
      <c r="AA22" s="1273"/>
      <c r="AB22" s="1272">
        <f>Z22+AB21</f>
        <v>0</v>
      </c>
      <c r="AC22" s="1273"/>
      <c r="AD22" s="1272">
        <f>AB22+AD21</f>
        <v>0</v>
      </c>
      <c r="AE22" s="1273"/>
      <c r="AF22" s="1272">
        <f>AD22+AF21</f>
        <v>0</v>
      </c>
      <c r="AG22" s="1273"/>
      <c r="AH22" s="1272">
        <f>AF22+AH21</f>
        <v>0</v>
      </c>
      <c r="AI22" s="1273"/>
      <c r="AJ22" s="1272">
        <f>AH22+AJ21</f>
        <v>8.9200000000000017</v>
      </c>
      <c r="AK22" s="1273"/>
      <c r="AL22" s="1272">
        <f>AJ22+AL21</f>
        <v>17.840000000000003</v>
      </c>
      <c r="AM22" s="1273"/>
      <c r="AN22" s="1272">
        <f>AL22+AN21</f>
        <v>26.760000000000005</v>
      </c>
      <c r="AO22" s="1273"/>
      <c r="AP22" s="1272">
        <f>AN22+AP21</f>
        <v>30</v>
      </c>
      <c r="AQ22" s="1273"/>
      <c r="AR22" s="1272">
        <f>AP22+AR21</f>
        <v>30</v>
      </c>
      <c r="AS22" s="1273"/>
      <c r="AT22" s="1272">
        <f>AR22+AT21</f>
        <v>30</v>
      </c>
      <c r="AU22" s="1273"/>
      <c r="AV22" s="1272">
        <f>AT22+AV21</f>
        <v>30</v>
      </c>
      <c r="AW22" s="1273"/>
      <c r="AX22" s="1272">
        <f>AV22+AX21</f>
        <v>30</v>
      </c>
      <c r="AY22" s="1273"/>
      <c r="AZ22" s="1272">
        <f>AX22+AZ21</f>
        <v>30</v>
      </c>
      <c r="BA22" s="1273"/>
      <c r="BB22" s="1272">
        <f>AZ22+BB21</f>
        <v>30</v>
      </c>
      <c r="BC22" s="1273"/>
      <c r="BD22" s="1272">
        <f>BB22+BD21</f>
        <v>30</v>
      </c>
      <c r="BE22" s="1273"/>
      <c r="BF22" s="1272">
        <f>BD22+BF21</f>
        <v>30</v>
      </c>
      <c r="BG22" s="1273"/>
      <c r="BH22" s="1272">
        <f>BF22+BH21</f>
        <v>30</v>
      </c>
      <c r="BI22" s="1273"/>
      <c r="BJ22" s="1272">
        <f>BH22+BJ21</f>
        <v>30</v>
      </c>
      <c r="BK22" s="1273"/>
      <c r="BL22" s="1272">
        <f>BJ22+BL21</f>
        <v>30</v>
      </c>
      <c r="BM22" s="1273"/>
      <c r="BN22" s="1272">
        <f>BL22+BN21</f>
        <v>30</v>
      </c>
      <c r="BO22" s="1273"/>
      <c r="BP22" s="1272">
        <f>BN22+BP21</f>
        <v>30</v>
      </c>
      <c r="BQ22" s="1273"/>
      <c r="BR22" s="1272">
        <f>BP22+BR21</f>
        <v>30</v>
      </c>
      <c r="BS22" s="1273"/>
      <c r="BT22" s="1272">
        <f>BR22+BT21</f>
        <v>30</v>
      </c>
      <c r="BU22" s="1273"/>
      <c r="BV22" s="1272">
        <f>BT22+BV21</f>
        <v>30</v>
      </c>
      <c r="BW22" s="1273"/>
      <c r="BX22" s="1272">
        <f>BV22+BX21</f>
        <v>30</v>
      </c>
      <c r="BY22" s="1273"/>
      <c r="BZ22" s="1272">
        <f>BX22+BZ21</f>
        <v>30</v>
      </c>
      <c r="CA22" s="1273"/>
      <c r="CB22" s="1272">
        <f>BZ22+CB21</f>
        <v>30</v>
      </c>
      <c r="CC22" s="1273"/>
      <c r="CD22" s="1272">
        <f>CB22+CD21</f>
        <v>30</v>
      </c>
      <c r="CE22" s="1273"/>
      <c r="CF22" s="1272">
        <f>CD22+CF21</f>
        <v>30</v>
      </c>
      <c r="CG22" s="1273"/>
      <c r="CH22" s="1272">
        <f>CF22+CH21</f>
        <v>30</v>
      </c>
      <c r="CI22" s="1273"/>
      <c r="CJ22" s="1272">
        <f>CH22+CJ21</f>
        <v>30</v>
      </c>
      <c r="CK22" s="1273"/>
      <c r="CL22" s="1272">
        <f>CJ22+CL21</f>
        <v>30</v>
      </c>
      <c r="CM22" s="1273"/>
      <c r="CN22" s="1272">
        <f>CL22+CN21</f>
        <v>30</v>
      </c>
      <c r="CO22" s="1273"/>
      <c r="CP22" s="1272">
        <f>CN22+CP21</f>
        <v>30</v>
      </c>
      <c r="CQ22" s="1273"/>
      <c r="CR22" s="1272">
        <f>CP22+CR21</f>
        <v>30</v>
      </c>
      <c r="CS22" s="1273"/>
      <c r="CT22" s="1272">
        <f>CR22+CT21</f>
        <v>30</v>
      </c>
      <c r="CU22" s="1273"/>
      <c r="CV22" s="1272">
        <f>CT22+CV21</f>
        <v>30</v>
      </c>
      <c r="CW22" s="1273"/>
      <c r="CX22" s="1272">
        <f>CV22+CX21</f>
        <v>30</v>
      </c>
      <c r="CY22" s="1273"/>
      <c r="CZ22" s="1272">
        <f>CX22+CZ21</f>
        <v>30</v>
      </c>
      <c r="DA22" s="1273"/>
      <c r="DB22" s="1272">
        <f>CZ22+DB21</f>
        <v>30</v>
      </c>
      <c r="DC22" s="1273"/>
      <c r="DD22" s="1272">
        <f>DB22+DD21</f>
        <v>30</v>
      </c>
      <c r="DE22" s="1273"/>
      <c r="DF22" s="1272">
        <f>DD22+DF21</f>
        <v>30</v>
      </c>
      <c r="DG22" s="1273"/>
      <c r="DH22" s="1272">
        <f>DF22+DH21</f>
        <v>30</v>
      </c>
      <c r="DI22" s="1273"/>
      <c r="DJ22" s="1323">
        <f>DH22+DJ21</f>
        <v>30</v>
      </c>
      <c r="DK22" s="1324"/>
      <c r="DL22" s="1272">
        <f>DJ22+DL21</f>
        <v>30</v>
      </c>
      <c r="DM22" s="1273"/>
      <c r="DN22" s="1272">
        <f>DL22+DN21</f>
        <v>30</v>
      </c>
      <c r="DO22" s="1273"/>
      <c r="DP22" s="1272">
        <f>DN22+DP21</f>
        <v>30</v>
      </c>
      <c r="DQ22" s="1273"/>
      <c r="DR22" s="1272">
        <f>DP22+DR21</f>
        <v>30</v>
      </c>
      <c r="DS22" s="1273"/>
      <c r="DT22" s="1272">
        <f>DR22+DT21</f>
        <v>30</v>
      </c>
      <c r="DU22" s="1273"/>
      <c r="DV22" s="1272">
        <f>DT22+DV21</f>
        <v>30</v>
      </c>
      <c r="DW22" s="1273"/>
      <c r="DX22" s="1272">
        <f>DV22+DX21</f>
        <v>30</v>
      </c>
      <c r="DY22" s="1273"/>
      <c r="DZ22" s="1272">
        <f>DX22+DZ21</f>
        <v>30</v>
      </c>
      <c r="EA22" s="1273"/>
      <c r="EB22" s="1272">
        <f>DZ22+EB21</f>
        <v>30</v>
      </c>
      <c r="EC22" s="1273"/>
      <c r="ED22" s="1272">
        <f>EB22+ED21</f>
        <v>30</v>
      </c>
      <c r="EE22" s="1273"/>
      <c r="EF22" s="1272">
        <f>ED22+EF21</f>
        <v>30</v>
      </c>
      <c r="EG22" s="1273"/>
      <c r="EH22" s="1272">
        <f>EF22+EH21</f>
        <v>30</v>
      </c>
      <c r="EI22" s="1273"/>
      <c r="EJ22" s="1272">
        <f>EH22+EJ21</f>
        <v>30</v>
      </c>
      <c r="EK22" s="1273"/>
      <c r="EL22" s="1272">
        <f>EJ22+EL21</f>
        <v>30</v>
      </c>
      <c r="EM22" s="1273"/>
      <c r="EN22" s="1272">
        <f>EL22+EN21</f>
        <v>30</v>
      </c>
      <c r="EO22" s="1273"/>
      <c r="EP22" s="1272">
        <f>EN22+EP21</f>
        <v>30</v>
      </c>
      <c r="EQ22" s="1273"/>
      <c r="ER22" s="1272">
        <f>EP22+ER21</f>
        <v>30</v>
      </c>
      <c r="ES22" s="1273"/>
      <c r="ET22" s="1272">
        <f>ER22+ET21</f>
        <v>30</v>
      </c>
      <c r="EU22" s="1273"/>
      <c r="EV22" s="1272">
        <f>ET22+EV21</f>
        <v>30</v>
      </c>
      <c r="EW22" s="1273"/>
      <c r="EX22" s="1272">
        <f>EV22+EX21</f>
        <v>30</v>
      </c>
      <c r="EY22" s="1273"/>
      <c r="EZ22" s="1272">
        <f>EX22+EZ21</f>
        <v>30</v>
      </c>
      <c r="FA22" s="1273"/>
      <c r="FB22" s="1272">
        <f>EZ22+FB21</f>
        <v>30</v>
      </c>
      <c r="FC22" s="1273"/>
      <c r="FD22" s="1272">
        <f>FB22+FD21</f>
        <v>30</v>
      </c>
      <c r="FE22" s="1273"/>
      <c r="FF22" s="1272">
        <f>FD22+FF21</f>
        <v>30</v>
      </c>
      <c r="FG22" s="1273"/>
      <c r="FH22" s="1272">
        <f>FF22+FH21</f>
        <v>30</v>
      </c>
      <c r="FI22" s="1273"/>
      <c r="FJ22" s="1272">
        <f>FH22+FJ21</f>
        <v>30</v>
      </c>
      <c r="FK22" s="1273"/>
      <c r="FL22" s="1272">
        <f>FJ22+FL21</f>
        <v>30</v>
      </c>
      <c r="FM22" s="1273"/>
      <c r="FN22" s="1272">
        <f>FL22+FN21</f>
        <v>30</v>
      </c>
      <c r="FO22" s="1273"/>
      <c r="FP22" s="1272">
        <f>FN22+FP21</f>
        <v>30</v>
      </c>
      <c r="FQ22" s="1273"/>
      <c r="FR22" s="1272">
        <f>FP22+FR21</f>
        <v>30</v>
      </c>
      <c r="FS22" s="1273"/>
      <c r="FT22" s="1272">
        <f>FR22+FT21</f>
        <v>30</v>
      </c>
      <c r="FU22" s="1273"/>
      <c r="FV22" s="1272">
        <f>FT22+FV21</f>
        <v>30</v>
      </c>
      <c r="FW22" s="1273"/>
      <c r="FX22" s="1272">
        <f>FV22+FX21</f>
        <v>30</v>
      </c>
      <c r="FY22" s="1273"/>
      <c r="FZ22" s="1272">
        <f>FX22+FZ21</f>
        <v>30</v>
      </c>
      <c r="GA22" s="1273"/>
      <c r="GB22" s="1272">
        <f>FZ22+GB21</f>
        <v>30</v>
      </c>
      <c r="GC22" s="1273"/>
      <c r="GD22" s="1272">
        <f>GB22+GD21</f>
        <v>30</v>
      </c>
      <c r="GE22" s="1273"/>
      <c r="GF22" s="1272">
        <f>GD22+GF21</f>
        <v>30</v>
      </c>
      <c r="GG22" s="1273"/>
      <c r="GH22" s="1272">
        <f>GF22+GH21</f>
        <v>30</v>
      </c>
      <c r="GI22" s="1273"/>
      <c r="GJ22" s="1272">
        <f>GH22+GJ21</f>
        <v>30</v>
      </c>
      <c r="GK22" s="1273"/>
      <c r="GL22" s="1272">
        <f>GJ22+GL21</f>
        <v>30</v>
      </c>
      <c r="GM22" s="1273"/>
      <c r="GN22" s="1272">
        <f>GL22+GN21</f>
        <v>30</v>
      </c>
      <c r="GO22" s="1273"/>
      <c r="GP22" s="1272">
        <f>GN22+GP21</f>
        <v>30</v>
      </c>
      <c r="GQ22" s="1273"/>
      <c r="GR22" s="1272">
        <f>GP22+GR21</f>
        <v>30</v>
      </c>
      <c r="GS22" s="1273"/>
      <c r="GT22" s="1272">
        <f>GR22+GT21</f>
        <v>30</v>
      </c>
      <c r="GU22" s="1273"/>
      <c r="GV22" s="1272">
        <f>GT22+GV21</f>
        <v>30</v>
      </c>
      <c r="GW22" s="1273"/>
      <c r="GX22" s="1272">
        <f>GV22+GX21</f>
        <v>30</v>
      </c>
      <c r="GY22" s="1273"/>
      <c r="GZ22" s="1272">
        <f>GX22+GZ21</f>
        <v>30</v>
      </c>
      <c r="HA22" s="1273"/>
      <c r="HB22" s="1272">
        <f>GZ22+HB21</f>
        <v>30</v>
      </c>
      <c r="HC22" s="1273"/>
      <c r="HD22" s="1272">
        <f>HB22+HD21</f>
        <v>30</v>
      </c>
      <c r="HE22" s="1273"/>
      <c r="HF22" s="1272">
        <f>HD22+HF21</f>
        <v>30</v>
      </c>
      <c r="HG22" s="1273"/>
      <c r="HH22" s="1272">
        <f>HF22+HH21</f>
        <v>30</v>
      </c>
      <c r="HI22" s="1273"/>
      <c r="HJ22" s="1272">
        <f>HH22+HJ21</f>
        <v>30</v>
      </c>
      <c r="HK22" s="1273"/>
    </row>
    <row r="23" spans="1:219" s="19" customFormat="1">
      <c r="A23" s="1299"/>
      <c r="B23" s="1300"/>
      <c r="C23" s="1299"/>
      <c r="D23" s="1301"/>
      <c r="E23" s="1301"/>
      <c r="F23" s="1302"/>
      <c r="G23" s="1301"/>
      <c r="H23" s="788"/>
      <c r="I23" s="1303"/>
      <c r="J23" s="1304"/>
      <c r="K23" s="789" t="s">
        <v>295</v>
      </c>
      <c r="L23" s="1266"/>
      <c r="M23" s="1267"/>
      <c r="N23" s="1266"/>
      <c r="O23" s="1267"/>
      <c r="P23" s="1266"/>
      <c r="Q23" s="1267"/>
      <c r="R23" s="1266"/>
      <c r="S23" s="1267"/>
      <c r="T23" s="1266"/>
      <c r="U23" s="1267"/>
      <c r="V23" s="1266"/>
      <c r="W23" s="1267"/>
      <c r="X23" s="1266"/>
      <c r="Y23" s="1267"/>
      <c r="Z23" s="1266"/>
      <c r="AA23" s="1267"/>
      <c r="AB23" s="1266"/>
      <c r="AC23" s="1267"/>
      <c r="AD23" s="1266"/>
      <c r="AE23" s="1267"/>
      <c r="AF23" s="1266"/>
      <c r="AG23" s="1267"/>
      <c r="AH23" s="1266"/>
      <c r="AI23" s="1267"/>
      <c r="AJ23" s="1266"/>
      <c r="AK23" s="1267"/>
      <c r="AL23" s="1266"/>
      <c r="AM23" s="1267"/>
      <c r="AN23" s="1266"/>
      <c r="AO23" s="1267"/>
      <c r="AP23" s="1266"/>
      <c r="AQ23" s="1267"/>
      <c r="AR23" s="1266"/>
      <c r="AS23" s="1267"/>
      <c r="AT23" s="1266"/>
      <c r="AU23" s="1267"/>
      <c r="AV23" s="1266"/>
      <c r="AW23" s="1267"/>
      <c r="AX23" s="1266"/>
      <c r="AY23" s="1267"/>
      <c r="AZ23" s="1266"/>
      <c r="BA23" s="1267"/>
      <c r="BB23" s="1266"/>
      <c r="BC23" s="1267"/>
      <c r="BD23" s="1266"/>
      <c r="BE23" s="1267"/>
      <c r="BF23" s="1266"/>
      <c r="BG23" s="1267"/>
      <c r="BH23" s="1266"/>
      <c r="BI23" s="1267"/>
      <c r="BJ23" s="1266"/>
      <c r="BK23" s="1267"/>
      <c r="BL23" s="1266"/>
      <c r="BM23" s="1267"/>
      <c r="BN23" s="1266"/>
      <c r="BO23" s="1267"/>
      <c r="BP23" s="1266"/>
      <c r="BQ23" s="1267"/>
      <c r="BR23" s="1266"/>
      <c r="BS23" s="1267"/>
      <c r="BT23" s="1266"/>
      <c r="BU23" s="1267"/>
      <c r="BV23" s="1266"/>
      <c r="BW23" s="1267"/>
      <c r="BX23" s="1266"/>
      <c r="BY23" s="1267"/>
      <c r="BZ23" s="1266"/>
      <c r="CA23" s="1267"/>
      <c r="CB23" s="1266"/>
      <c r="CC23" s="1267"/>
      <c r="CD23" s="1266"/>
      <c r="CE23" s="1267"/>
      <c r="CF23" s="1266"/>
      <c r="CG23" s="1267"/>
      <c r="CH23" s="1266"/>
      <c r="CI23" s="1267"/>
      <c r="CJ23" s="1266"/>
      <c r="CK23" s="1267"/>
      <c r="CL23" s="1266"/>
      <c r="CM23" s="1267"/>
      <c r="CN23" s="1266"/>
      <c r="CO23" s="1267"/>
      <c r="CP23" s="1266"/>
      <c r="CQ23" s="1267"/>
      <c r="CR23" s="1266"/>
      <c r="CS23" s="1267"/>
      <c r="CT23" s="1266"/>
      <c r="CU23" s="1267"/>
      <c r="CV23" s="1266"/>
      <c r="CW23" s="1267"/>
      <c r="CX23" s="1266"/>
      <c r="CY23" s="1267"/>
      <c r="CZ23" s="1266"/>
      <c r="DA23" s="1267"/>
      <c r="DB23" s="1266"/>
      <c r="DC23" s="1267"/>
      <c r="DD23" s="1266"/>
      <c r="DE23" s="1267"/>
      <c r="DF23" s="1266"/>
      <c r="DG23" s="1267"/>
      <c r="DH23" s="1266"/>
      <c r="DI23" s="1267"/>
      <c r="DJ23" s="1268"/>
      <c r="DK23" s="1269"/>
      <c r="DL23" s="1266"/>
      <c r="DM23" s="1267"/>
      <c r="DN23" s="1266"/>
      <c r="DO23" s="1267"/>
      <c r="DP23" s="1266"/>
      <c r="DQ23" s="1267"/>
      <c r="DR23" s="1266"/>
      <c r="DS23" s="1267"/>
      <c r="DT23" s="1266"/>
      <c r="DU23" s="1267"/>
      <c r="DV23" s="1266"/>
      <c r="DW23" s="1267"/>
      <c r="DX23" s="1266"/>
      <c r="DY23" s="1267"/>
      <c r="DZ23" s="1266"/>
      <c r="EA23" s="1267"/>
      <c r="EB23" s="1266"/>
      <c r="EC23" s="1267"/>
      <c r="ED23" s="1266"/>
      <c r="EE23" s="1267"/>
      <c r="EF23" s="1266"/>
      <c r="EG23" s="1267"/>
      <c r="EH23" s="1266"/>
      <c r="EI23" s="1267"/>
      <c r="EJ23" s="1266"/>
      <c r="EK23" s="1267"/>
      <c r="EL23" s="1266"/>
      <c r="EM23" s="1267"/>
      <c r="EN23" s="1266"/>
      <c r="EO23" s="1267"/>
      <c r="EP23" s="1266"/>
      <c r="EQ23" s="1267"/>
      <c r="ER23" s="1266"/>
      <c r="ES23" s="1267"/>
      <c r="ET23" s="1266"/>
      <c r="EU23" s="1267"/>
      <c r="EV23" s="1266"/>
      <c r="EW23" s="1267"/>
      <c r="EX23" s="1266"/>
      <c r="EY23" s="1267"/>
      <c r="EZ23" s="1266"/>
      <c r="FA23" s="1267"/>
      <c r="FB23" s="1266"/>
      <c r="FC23" s="1267"/>
      <c r="FD23" s="1266"/>
      <c r="FE23" s="1267"/>
      <c r="FF23" s="1266"/>
      <c r="FG23" s="1267"/>
      <c r="FH23" s="1266"/>
      <c r="FI23" s="1267"/>
      <c r="FJ23" s="1266"/>
      <c r="FK23" s="1267"/>
      <c r="FL23" s="1266"/>
      <c r="FM23" s="1267"/>
      <c r="FN23" s="1266"/>
      <c r="FO23" s="1267"/>
      <c r="FP23" s="1266"/>
      <c r="FQ23" s="1267"/>
      <c r="FR23" s="1266"/>
      <c r="FS23" s="1267"/>
      <c r="FT23" s="1266"/>
      <c r="FU23" s="1267"/>
      <c r="FV23" s="1266"/>
      <c r="FW23" s="1267"/>
      <c r="FX23" s="1266"/>
      <c r="FY23" s="1267"/>
      <c r="FZ23" s="1266"/>
      <c r="GA23" s="1267"/>
      <c r="GB23" s="1266"/>
      <c r="GC23" s="1267"/>
      <c r="GD23" s="1266"/>
      <c r="GE23" s="1267"/>
      <c r="GF23" s="1266"/>
      <c r="GG23" s="1267"/>
      <c r="GH23" s="1266"/>
      <c r="GI23" s="1267"/>
      <c r="GJ23" s="1266"/>
      <c r="GK23" s="1267"/>
      <c r="GL23" s="1266"/>
      <c r="GM23" s="1267"/>
      <c r="GN23" s="1266"/>
      <c r="GO23" s="1267"/>
      <c r="GP23" s="1266"/>
      <c r="GQ23" s="1267"/>
      <c r="GR23" s="1266"/>
      <c r="GS23" s="1267"/>
      <c r="GT23" s="1266"/>
      <c r="GU23" s="1267"/>
      <c r="GV23" s="1266"/>
      <c r="GW23" s="1267"/>
      <c r="GX23" s="1266"/>
      <c r="GY23" s="1267"/>
      <c r="GZ23" s="1266"/>
      <c r="HA23" s="1267"/>
      <c r="HB23" s="1266"/>
      <c r="HC23" s="1267"/>
      <c r="HD23" s="1266"/>
      <c r="HE23" s="1267"/>
      <c r="HF23" s="1266"/>
      <c r="HG23" s="1267"/>
      <c r="HH23" s="1266"/>
      <c r="HI23" s="1267"/>
      <c r="HJ23" s="1266"/>
      <c r="HK23" s="1267"/>
    </row>
    <row r="24" spans="1:219" s="20" customFormat="1">
      <c r="A24" s="1299"/>
      <c r="B24" s="1300"/>
      <c r="C24" s="1299"/>
      <c r="D24" s="1301"/>
      <c r="E24" s="1301"/>
      <c r="F24" s="1302"/>
      <c r="G24" s="1301"/>
      <c r="H24" s="790"/>
      <c r="I24" s="1303"/>
      <c r="J24" s="1304"/>
      <c r="K24" s="791" t="s">
        <v>296</v>
      </c>
      <c r="L24" s="1259">
        <f>L23</f>
        <v>0</v>
      </c>
      <c r="M24" s="1260"/>
      <c r="N24" s="1259">
        <f>N23+L24</f>
        <v>0</v>
      </c>
      <c r="O24" s="1260"/>
      <c r="P24" s="1259">
        <f>P23+N24</f>
        <v>0</v>
      </c>
      <c r="Q24" s="1260"/>
      <c r="R24" s="1259">
        <f>R23+P24</f>
        <v>0</v>
      </c>
      <c r="S24" s="1260"/>
      <c r="T24" s="1259">
        <f>T23+R24</f>
        <v>0</v>
      </c>
      <c r="U24" s="1260"/>
      <c r="V24" s="1259">
        <f>V23+T24</f>
        <v>0</v>
      </c>
      <c r="W24" s="1260"/>
      <c r="X24" s="1259">
        <f>X23+V24</f>
        <v>0</v>
      </c>
      <c r="Y24" s="1260"/>
      <c r="Z24" s="1259">
        <f>Z23+X24</f>
        <v>0</v>
      </c>
      <c r="AA24" s="1260"/>
      <c r="AB24" s="1259">
        <f>AB23+Z24</f>
        <v>0</v>
      </c>
      <c r="AC24" s="1260"/>
      <c r="AD24" s="1259">
        <f>AD23+AB24</f>
        <v>0</v>
      </c>
      <c r="AE24" s="1260"/>
      <c r="AF24" s="1259">
        <f>AF23+AD24</f>
        <v>0</v>
      </c>
      <c r="AG24" s="1260"/>
      <c r="AH24" s="1259">
        <f>AH23+AF24</f>
        <v>0</v>
      </c>
      <c r="AI24" s="1260"/>
      <c r="AJ24" s="1259">
        <f>AJ23+AH24</f>
        <v>0</v>
      </c>
      <c r="AK24" s="1260"/>
      <c r="AL24" s="1259">
        <f>AL23+AJ24</f>
        <v>0</v>
      </c>
      <c r="AM24" s="1260"/>
      <c r="AN24" s="1259">
        <f>AN23+AL24</f>
        <v>0</v>
      </c>
      <c r="AO24" s="1260"/>
      <c r="AP24" s="1259">
        <f>AP23+AN24</f>
        <v>0</v>
      </c>
      <c r="AQ24" s="1260"/>
      <c r="AR24" s="1259">
        <f>AR23+AP24</f>
        <v>0</v>
      </c>
      <c r="AS24" s="1260"/>
      <c r="AT24" s="1259">
        <f>AT23+AR24</f>
        <v>0</v>
      </c>
      <c r="AU24" s="1260"/>
      <c r="AV24" s="1259">
        <f>AV23+AT24</f>
        <v>0</v>
      </c>
      <c r="AW24" s="1260"/>
      <c r="AX24" s="1259">
        <f>AX23+AV24</f>
        <v>0</v>
      </c>
      <c r="AY24" s="1260"/>
      <c r="AZ24" s="1259">
        <f>AZ23+AX24</f>
        <v>0</v>
      </c>
      <c r="BA24" s="1260"/>
      <c r="BB24" s="1259">
        <f>BB23+AZ24</f>
        <v>0</v>
      </c>
      <c r="BC24" s="1260"/>
      <c r="BD24" s="1259">
        <f>BD23+BB24</f>
        <v>0</v>
      </c>
      <c r="BE24" s="1260"/>
      <c r="BF24" s="1259">
        <f>BF23+BD24</f>
        <v>0</v>
      </c>
      <c r="BG24" s="1260"/>
      <c r="BH24" s="1259">
        <f>BH23+BF24</f>
        <v>0</v>
      </c>
      <c r="BI24" s="1260"/>
      <c r="BJ24" s="1259">
        <f>BJ23+BH24</f>
        <v>0</v>
      </c>
      <c r="BK24" s="1260"/>
      <c r="BL24" s="1259">
        <f>BL23+BJ24</f>
        <v>0</v>
      </c>
      <c r="BM24" s="1260"/>
      <c r="BN24" s="1259">
        <f>BN23+BL24</f>
        <v>0</v>
      </c>
      <c r="BO24" s="1260"/>
      <c r="BP24" s="1259">
        <f>BP23+BN24</f>
        <v>0</v>
      </c>
      <c r="BQ24" s="1260"/>
      <c r="BR24" s="1259">
        <f>BR23+BP24</f>
        <v>0</v>
      </c>
      <c r="BS24" s="1260"/>
      <c r="BT24" s="1259">
        <f>BT23+BR24</f>
        <v>0</v>
      </c>
      <c r="BU24" s="1260"/>
      <c r="BV24" s="1259">
        <f>BV23+BT24</f>
        <v>0</v>
      </c>
      <c r="BW24" s="1260"/>
      <c r="BX24" s="1259">
        <f>BX23+BV24</f>
        <v>0</v>
      </c>
      <c r="BY24" s="1260"/>
      <c r="BZ24" s="1259">
        <f>BZ23+BX24</f>
        <v>0</v>
      </c>
      <c r="CA24" s="1260"/>
      <c r="CB24" s="1259">
        <f>CB23+BZ24</f>
        <v>0</v>
      </c>
      <c r="CC24" s="1260"/>
      <c r="CD24" s="1259">
        <f>CD23+CB24</f>
        <v>0</v>
      </c>
      <c r="CE24" s="1260"/>
      <c r="CF24" s="1259">
        <f>CF23+CD24</f>
        <v>0</v>
      </c>
      <c r="CG24" s="1260"/>
      <c r="CH24" s="1259">
        <f>CH23+CF24</f>
        <v>0</v>
      </c>
      <c r="CI24" s="1260"/>
      <c r="CJ24" s="1259">
        <f>CJ23+CH24</f>
        <v>0</v>
      </c>
      <c r="CK24" s="1260"/>
      <c r="CL24" s="1259">
        <f>CL23+CJ24</f>
        <v>0</v>
      </c>
      <c r="CM24" s="1260"/>
      <c r="CN24" s="1259">
        <f>CN23+CL24</f>
        <v>0</v>
      </c>
      <c r="CO24" s="1260"/>
      <c r="CP24" s="1259">
        <f>CP23+CN24</f>
        <v>0</v>
      </c>
      <c r="CQ24" s="1260"/>
      <c r="CR24" s="1259">
        <f>CR23+CP24</f>
        <v>0</v>
      </c>
      <c r="CS24" s="1260"/>
      <c r="CT24" s="1259">
        <f>CT23+CR24</f>
        <v>0</v>
      </c>
      <c r="CU24" s="1260"/>
      <c r="CV24" s="1259">
        <f>CV23+CT24</f>
        <v>0</v>
      </c>
      <c r="CW24" s="1260"/>
      <c r="CX24" s="1259">
        <f>CX23+CV24</f>
        <v>0</v>
      </c>
      <c r="CY24" s="1260"/>
      <c r="CZ24" s="1259">
        <f>CZ23+CX24</f>
        <v>0</v>
      </c>
      <c r="DA24" s="1260"/>
      <c r="DB24" s="1259">
        <f>DB23+CZ24</f>
        <v>0</v>
      </c>
      <c r="DC24" s="1260"/>
      <c r="DD24" s="1259">
        <f>DD23+DB24</f>
        <v>0</v>
      </c>
      <c r="DE24" s="1260"/>
      <c r="DF24" s="1259">
        <f>DF23+DD24</f>
        <v>0</v>
      </c>
      <c r="DG24" s="1260"/>
      <c r="DH24" s="1259">
        <f>DH23+DF24</f>
        <v>0</v>
      </c>
      <c r="DI24" s="1260"/>
      <c r="DJ24" s="1261">
        <f>DJ23+DH24</f>
        <v>0</v>
      </c>
      <c r="DK24" s="1262"/>
      <c r="DL24" s="1259">
        <f>DL23+DJ24</f>
        <v>0</v>
      </c>
      <c r="DM24" s="1260"/>
      <c r="DN24" s="1259">
        <f>DN23+DL24</f>
        <v>0</v>
      </c>
      <c r="DO24" s="1260"/>
      <c r="DP24" s="1259">
        <f>DP23+DN24</f>
        <v>0</v>
      </c>
      <c r="DQ24" s="1260"/>
      <c r="DR24" s="1259">
        <f>DR23+DP24</f>
        <v>0</v>
      </c>
      <c r="DS24" s="1260"/>
      <c r="DT24" s="1259">
        <f>DT23+DR24</f>
        <v>0</v>
      </c>
      <c r="DU24" s="1260"/>
      <c r="DV24" s="1259">
        <f>DV23+DT24</f>
        <v>0</v>
      </c>
      <c r="DW24" s="1260"/>
      <c r="DX24" s="1259">
        <f>DX23+DV24</f>
        <v>0</v>
      </c>
      <c r="DY24" s="1260"/>
      <c r="DZ24" s="1259">
        <f>DZ23+DX24</f>
        <v>0</v>
      </c>
      <c r="EA24" s="1260"/>
      <c r="EB24" s="1259">
        <f>EB23+DZ24</f>
        <v>0</v>
      </c>
      <c r="EC24" s="1260"/>
      <c r="ED24" s="1259">
        <f>ED23+EB24</f>
        <v>0</v>
      </c>
      <c r="EE24" s="1260"/>
      <c r="EF24" s="1259">
        <f>EF23+ED24</f>
        <v>0</v>
      </c>
      <c r="EG24" s="1260"/>
      <c r="EH24" s="1259">
        <f>EH23+EF24</f>
        <v>0</v>
      </c>
      <c r="EI24" s="1260"/>
      <c r="EJ24" s="1259">
        <f>EJ23+EH24</f>
        <v>0</v>
      </c>
      <c r="EK24" s="1260"/>
      <c r="EL24" s="1259">
        <f>EL23+EJ24</f>
        <v>0</v>
      </c>
      <c r="EM24" s="1260"/>
      <c r="EN24" s="1259">
        <f>EN23+EL24</f>
        <v>0</v>
      </c>
      <c r="EO24" s="1260"/>
      <c r="EP24" s="1259">
        <f>EP23+EN24</f>
        <v>0</v>
      </c>
      <c r="EQ24" s="1260"/>
      <c r="ER24" s="1259">
        <f>ER23+EP24</f>
        <v>0</v>
      </c>
      <c r="ES24" s="1260"/>
      <c r="ET24" s="1259">
        <f>ET23+ER24</f>
        <v>0</v>
      </c>
      <c r="EU24" s="1260"/>
      <c r="EV24" s="1259">
        <f>EV23+ET24</f>
        <v>0</v>
      </c>
      <c r="EW24" s="1260"/>
      <c r="EX24" s="1259">
        <f>EX23+EV24</f>
        <v>0</v>
      </c>
      <c r="EY24" s="1260"/>
      <c r="EZ24" s="1259">
        <f>EZ23+EX24</f>
        <v>0</v>
      </c>
      <c r="FA24" s="1260"/>
      <c r="FB24" s="1259">
        <f>FB23+EZ24</f>
        <v>0</v>
      </c>
      <c r="FC24" s="1260"/>
      <c r="FD24" s="1259">
        <f>FD23+FB24</f>
        <v>0</v>
      </c>
      <c r="FE24" s="1260"/>
      <c r="FF24" s="1259">
        <f>FF23+FD24</f>
        <v>0</v>
      </c>
      <c r="FG24" s="1260"/>
      <c r="FH24" s="1259">
        <f>FH23+FF24</f>
        <v>0</v>
      </c>
      <c r="FI24" s="1260"/>
      <c r="FJ24" s="1259">
        <f>FJ23+FH24</f>
        <v>0</v>
      </c>
      <c r="FK24" s="1260"/>
      <c r="FL24" s="1259">
        <f>FL23+FJ24</f>
        <v>0</v>
      </c>
      <c r="FM24" s="1260"/>
      <c r="FN24" s="1259">
        <f>FN23+FL24</f>
        <v>0</v>
      </c>
      <c r="FO24" s="1260"/>
      <c r="FP24" s="1259">
        <f>FP23+FN24</f>
        <v>0</v>
      </c>
      <c r="FQ24" s="1260"/>
      <c r="FR24" s="1259">
        <f>FR23+FP24</f>
        <v>0</v>
      </c>
      <c r="FS24" s="1260"/>
      <c r="FT24" s="1259">
        <f>FT23+FR24</f>
        <v>0</v>
      </c>
      <c r="FU24" s="1260"/>
      <c r="FV24" s="1259">
        <f>FV23+FT24</f>
        <v>0</v>
      </c>
      <c r="FW24" s="1260"/>
      <c r="FX24" s="1259">
        <f>FX23+FV24</f>
        <v>0</v>
      </c>
      <c r="FY24" s="1260"/>
      <c r="FZ24" s="1259">
        <f>FZ23+FX24</f>
        <v>0</v>
      </c>
      <c r="GA24" s="1260"/>
      <c r="GB24" s="1259">
        <f>GB23+FZ24</f>
        <v>0</v>
      </c>
      <c r="GC24" s="1260"/>
      <c r="GD24" s="1259">
        <f>GD23+GB24</f>
        <v>0</v>
      </c>
      <c r="GE24" s="1260"/>
      <c r="GF24" s="1259">
        <f>GF23+GD24</f>
        <v>0</v>
      </c>
      <c r="GG24" s="1260"/>
      <c r="GH24" s="1259">
        <f>GH23+GF24</f>
        <v>0</v>
      </c>
      <c r="GI24" s="1260"/>
      <c r="GJ24" s="1259">
        <f>GJ23+GH24</f>
        <v>0</v>
      </c>
      <c r="GK24" s="1260"/>
      <c r="GL24" s="1259">
        <f>GL23+GJ24</f>
        <v>0</v>
      </c>
      <c r="GM24" s="1260"/>
      <c r="GN24" s="1259">
        <f>GN23+GL24</f>
        <v>0</v>
      </c>
      <c r="GO24" s="1260"/>
      <c r="GP24" s="1259">
        <f>GP23+GN24</f>
        <v>0</v>
      </c>
      <c r="GQ24" s="1260"/>
      <c r="GR24" s="1259">
        <f>GR23+GP24</f>
        <v>0</v>
      </c>
      <c r="GS24" s="1260"/>
      <c r="GT24" s="1259">
        <f>GT23+GR24</f>
        <v>0</v>
      </c>
      <c r="GU24" s="1260"/>
      <c r="GV24" s="1259">
        <f>GV23+GT24</f>
        <v>0</v>
      </c>
      <c r="GW24" s="1260"/>
      <c r="GX24" s="1259">
        <f>GX23+GV24</f>
        <v>0</v>
      </c>
      <c r="GY24" s="1260"/>
      <c r="GZ24" s="1259">
        <f>GZ23+GX24</f>
        <v>0</v>
      </c>
      <c r="HA24" s="1260"/>
      <c r="HB24" s="1259">
        <f>HB23+GZ24</f>
        <v>0</v>
      </c>
      <c r="HC24" s="1260"/>
      <c r="HD24" s="1259">
        <f>HD23+HB24</f>
        <v>0</v>
      </c>
      <c r="HE24" s="1260"/>
      <c r="HF24" s="1259">
        <f>HF23+HD24</f>
        <v>0</v>
      </c>
      <c r="HG24" s="1260"/>
      <c r="HH24" s="1259">
        <f>HH23+HF24</f>
        <v>0</v>
      </c>
      <c r="HI24" s="1260"/>
      <c r="HJ24" s="1259">
        <f>HJ23+HH24</f>
        <v>0</v>
      </c>
      <c r="HK24" s="1260"/>
    </row>
    <row r="25" spans="1:219" s="21" customFormat="1">
      <c r="A25" s="1299"/>
      <c r="B25" s="1300"/>
      <c r="C25" s="1299"/>
      <c r="D25" s="1301"/>
      <c r="E25" s="1301"/>
      <c r="F25" s="1302"/>
      <c r="G25" s="1301"/>
      <c r="H25" s="792"/>
      <c r="I25" s="1303"/>
      <c r="J25" s="1304"/>
      <c r="K25" s="793" t="s">
        <v>297</v>
      </c>
      <c r="L25" s="1270">
        <f>IF($E$19&gt;0,L22/$E$19,"-")</f>
        <v>0</v>
      </c>
      <c r="M25" s="1271"/>
      <c r="N25" s="1270">
        <f>IF($E$19&gt;0,N22/$E$19,"-")</f>
        <v>0</v>
      </c>
      <c r="O25" s="1271"/>
      <c r="P25" s="1270">
        <f>IF($E$19&gt;0,P22/$E$19,"-")</f>
        <v>0</v>
      </c>
      <c r="Q25" s="1271"/>
      <c r="R25" s="1270">
        <f>IF($E$19&gt;0,R22/$E$19,"-")</f>
        <v>0</v>
      </c>
      <c r="S25" s="1271"/>
      <c r="T25" s="1270">
        <f>IF($E$19&gt;0,T22/$E$19,"-")</f>
        <v>0</v>
      </c>
      <c r="U25" s="1271"/>
      <c r="V25" s="1270">
        <f>IF($E$19&gt;0,V22/$E$19,"-")</f>
        <v>0</v>
      </c>
      <c r="W25" s="1271"/>
      <c r="X25" s="1270">
        <f>IF($E$19&gt;0,X22/$E$19,"-")</f>
        <v>0</v>
      </c>
      <c r="Y25" s="1271"/>
      <c r="Z25" s="1270">
        <f>IF($E$19&gt;0,Z22/$E$19,"-")</f>
        <v>0</v>
      </c>
      <c r="AA25" s="1271"/>
      <c r="AB25" s="1270">
        <f>IF($E$19&gt;0,AB22/$E$19,"-")</f>
        <v>0</v>
      </c>
      <c r="AC25" s="1271"/>
      <c r="AD25" s="1270">
        <f>IF($E$19&gt;0,AD22/$E$19,"-")</f>
        <v>0</v>
      </c>
      <c r="AE25" s="1271"/>
      <c r="AF25" s="1270">
        <f>IF($E$19&gt;0,AF22/$E$19,"-")</f>
        <v>0</v>
      </c>
      <c r="AG25" s="1271"/>
      <c r="AH25" s="1270">
        <f>IF($E$19&gt;0,AH22/$E$19,"-")</f>
        <v>0</v>
      </c>
      <c r="AI25" s="1271"/>
      <c r="AJ25" s="1270">
        <f>IF($E$19&gt;0,AJ22/$E$19,"-")</f>
        <v>0.29733333333333339</v>
      </c>
      <c r="AK25" s="1271"/>
      <c r="AL25" s="1270">
        <f>IF($E$19&gt;0,AL22/$E$19,"-")</f>
        <v>0.59466666666666679</v>
      </c>
      <c r="AM25" s="1271"/>
      <c r="AN25" s="1270">
        <f>IF($E$19&gt;0,AN22/$E$19,"-")</f>
        <v>0.89200000000000013</v>
      </c>
      <c r="AO25" s="1271"/>
      <c r="AP25" s="1270">
        <f>IF($E$19&gt;0,AP22/$E$19,"-")</f>
        <v>1</v>
      </c>
      <c r="AQ25" s="1271"/>
      <c r="AR25" s="1270">
        <f>IF($E$19&gt;0,AR22/$E$19,"-")</f>
        <v>1</v>
      </c>
      <c r="AS25" s="1271"/>
      <c r="AT25" s="1270">
        <f>IF($E$19&gt;0,AT22/$E$19,"-")</f>
        <v>1</v>
      </c>
      <c r="AU25" s="1271"/>
      <c r="AV25" s="1270">
        <f>IF($E$19&gt;0,AV22/$E$19,"-")</f>
        <v>1</v>
      </c>
      <c r="AW25" s="1271"/>
      <c r="AX25" s="1270">
        <f>IF($E$19&gt;0,AX22/$E$19,"-")</f>
        <v>1</v>
      </c>
      <c r="AY25" s="1271"/>
      <c r="AZ25" s="1270">
        <f>IF($E$19&gt;0,AZ22/$E$19,"-")</f>
        <v>1</v>
      </c>
      <c r="BA25" s="1271"/>
      <c r="BB25" s="1270">
        <f>IF($E$19&gt;0,BB22/$E$19,"-")</f>
        <v>1</v>
      </c>
      <c r="BC25" s="1271"/>
      <c r="BD25" s="1270">
        <f>IF($E$19&gt;0,BD22/$E$19,"-")</f>
        <v>1</v>
      </c>
      <c r="BE25" s="1271"/>
      <c r="BF25" s="1270">
        <f>IF($E$19&gt;0,BF22/$E$19,"-")</f>
        <v>1</v>
      </c>
      <c r="BG25" s="1271"/>
      <c r="BH25" s="1270">
        <f>IF($E$19&gt;0,BH22/$E$19,"-")</f>
        <v>1</v>
      </c>
      <c r="BI25" s="1271"/>
      <c r="BJ25" s="1270">
        <f>IF($E$19&gt;0,BJ22/$E$19,"-")</f>
        <v>1</v>
      </c>
      <c r="BK25" s="1271"/>
      <c r="BL25" s="1270">
        <f>IF($E$19&gt;0,BL22/$E$19,"-")</f>
        <v>1</v>
      </c>
      <c r="BM25" s="1271"/>
      <c r="BN25" s="1270">
        <f>IF($E$19&gt;0,BN22/$E$19,"-")</f>
        <v>1</v>
      </c>
      <c r="BO25" s="1271"/>
      <c r="BP25" s="1270">
        <f>IF($E$19&gt;0,BP22/$E$19,"-")</f>
        <v>1</v>
      </c>
      <c r="BQ25" s="1271"/>
      <c r="BR25" s="1270">
        <f>IF($E$19&gt;0,BR22/$E$19,"-")</f>
        <v>1</v>
      </c>
      <c r="BS25" s="1271"/>
      <c r="BT25" s="1270">
        <f>IF($E$19&gt;0,BT22/$E$19,"-")</f>
        <v>1</v>
      </c>
      <c r="BU25" s="1271"/>
      <c r="BV25" s="1270">
        <f>IF($E$19&gt;0,BV22/$E$19,"-")</f>
        <v>1</v>
      </c>
      <c r="BW25" s="1271"/>
      <c r="BX25" s="1270">
        <f>IF($E$19&gt;0,BX22/$E$19,"-")</f>
        <v>1</v>
      </c>
      <c r="BY25" s="1271"/>
      <c r="BZ25" s="1270">
        <f>IF($E$19&gt;0,BZ22/$E$19,"-")</f>
        <v>1</v>
      </c>
      <c r="CA25" s="1271"/>
      <c r="CB25" s="1270">
        <f>IF($E$19&gt;0,CB22/$E$19,"-")</f>
        <v>1</v>
      </c>
      <c r="CC25" s="1271"/>
      <c r="CD25" s="1270">
        <f>IF($E$19&gt;0,CD22/$E$19,"-")</f>
        <v>1</v>
      </c>
      <c r="CE25" s="1271"/>
      <c r="CF25" s="1270">
        <f>IF($E$19&gt;0,CF22/$E$19,"-")</f>
        <v>1</v>
      </c>
      <c r="CG25" s="1271"/>
      <c r="CH25" s="1270">
        <f>IF($E$19&gt;0,CH22/$E$19,"-")</f>
        <v>1</v>
      </c>
      <c r="CI25" s="1271"/>
      <c r="CJ25" s="1270">
        <f>IF($E$19&gt;0,CJ22/$E$19,"-")</f>
        <v>1</v>
      </c>
      <c r="CK25" s="1271"/>
      <c r="CL25" s="1270">
        <f>IF($E$19&gt;0,CL22/$E$19,"-")</f>
        <v>1</v>
      </c>
      <c r="CM25" s="1271"/>
      <c r="CN25" s="1270">
        <f>IF($E$19&gt;0,CN22/$E$19,"-")</f>
        <v>1</v>
      </c>
      <c r="CO25" s="1271"/>
      <c r="CP25" s="1270">
        <f>IF($E$19&gt;0,CP22/$E$19,"-")</f>
        <v>1</v>
      </c>
      <c r="CQ25" s="1271"/>
      <c r="CR25" s="1270">
        <f>IF($E$19&gt;0,CR22/$E$19,"-")</f>
        <v>1</v>
      </c>
      <c r="CS25" s="1271"/>
      <c r="CT25" s="1270">
        <f>IF($E$19&gt;0,CT22/$E$19,"-")</f>
        <v>1</v>
      </c>
      <c r="CU25" s="1271"/>
      <c r="CV25" s="1270">
        <f>IF($E$19&gt;0,CV22/$E$19,"-")</f>
        <v>1</v>
      </c>
      <c r="CW25" s="1271"/>
      <c r="CX25" s="1270">
        <f>IF($E$19&gt;0,CX22/$E$19,"-")</f>
        <v>1</v>
      </c>
      <c r="CY25" s="1271"/>
      <c r="CZ25" s="1270">
        <f>IF($E$19&gt;0,CZ22/$E$19,"-")</f>
        <v>1</v>
      </c>
      <c r="DA25" s="1271"/>
      <c r="DB25" s="1270">
        <f>IF($E$19&gt;0,DB22/$E$19,"-")</f>
        <v>1</v>
      </c>
      <c r="DC25" s="1271"/>
      <c r="DD25" s="1270">
        <f>IF($E$19&gt;0,DD22/$E$19,"-")</f>
        <v>1</v>
      </c>
      <c r="DE25" s="1271"/>
      <c r="DF25" s="1270">
        <f>IF($E$19&gt;0,DF22/$E$19,"-")</f>
        <v>1</v>
      </c>
      <c r="DG25" s="1271"/>
      <c r="DH25" s="1270">
        <f>IF($E$19&gt;0,DH22/$E$19,"-")</f>
        <v>1</v>
      </c>
      <c r="DI25" s="1271"/>
      <c r="DJ25" s="1325">
        <f>IF($E$19&gt;0,DJ22/$E$19,"-")</f>
        <v>1</v>
      </c>
      <c r="DK25" s="1326"/>
      <c r="DL25" s="1270">
        <f>IF($E$19&gt;0,DL22/$E$19,"-")</f>
        <v>1</v>
      </c>
      <c r="DM25" s="1271"/>
      <c r="DN25" s="1270">
        <f>IF($E$19&gt;0,DN22/$E$19,"-")</f>
        <v>1</v>
      </c>
      <c r="DO25" s="1271"/>
      <c r="DP25" s="1270">
        <f>IF($E$19&gt;0,DP22/$E$19,"-")</f>
        <v>1</v>
      </c>
      <c r="DQ25" s="1271"/>
      <c r="DR25" s="1270">
        <f>IF($E$19&gt;0,DR22/$E$19,"-")</f>
        <v>1</v>
      </c>
      <c r="DS25" s="1271"/>
      <c r="DT25" s="1270">
        <f>IF($E$19&gt;0,DT22/$E$19,"-")</f>
        <v>1</v>
      </c>
      <c r="DU25" s="1271"/>
      <c r="DV25" s="1270">
        <f>IF($E$19&gt;0,DV22/$E$19,"-")</f>
        <v>1</v>
      </c>
      <c r="DW25" s="1271"/>
      <c r="DX25" s="1270">
        <f>IF($E$19&gt;0,DX22/$E$19,"-")</f>
        <v>1</v>
      </c>
      <c r="DY25" s="1271"/>
      <c r="DZ25" s="1270">
        <f>IF($E$19&gt;0,DZ22/$E$19,"-")</f>
        <v>1</v>
      </c>
      <c r="EA25" s="1271"/>
      <c r="EB25" s="1270">
        <f>IF($E$19&gt;0,EB22/$E$19,"-")</f>
        <v>1</v>
      </c>
      <c r="EC25" s="1271"/>
      <c r="ED25" s="1270">
        <f>IF($E$19&gt;0,ED22/$E$19,"-")</f>
        <v>1</v>
      </c>
      <c r="EE25" s="1271"/>
      <c r="EF25" s="1270">
        <f>IF($E$19&gt;0,EF22/$E$19,"-")</f>
        <v>1</v>
      </c>
      <c r="EG25" s="1271"/>
      <c r="EH25" s="1270">
        <f>IF($E$19&gt;0,EH22/$E$19,"-")</f>
        <v>1</v>
      </c>
      <c r="EI25" s="1271"/>
      <c r="EJ25" s="1270">
        <f>IF($E$19&gt;0,EJ22/$E$19,"-")</f>
        <v>1</v>
      </c>
      <c r="EK25" s="1271"/>
      <c r="EL25" s="1270">
        <f>IF($E$19&gt;0,EL22/$E$19,"-")</f>
        <v>1</v>
      </c>
      <c r="EM25" s="1271"/>
      <c r="EN25" s="1270">
        <f>IF($E$19&gt;0,EN22/$E$19,"-")</f>
        <v>1</v>
      </c>
      <c r="EO25" s="1271"/>
      <c r="EP25" s="1270">
        <f>IF($E$19&gt;0,EP22/$E$19,"-")</f>
        <v>1</v>
      </c>
      <c r="EQ25" s="1271"/>
      <c r="ER25" s="1270">
        <f>IF($E$19&gt;0,ER22/$E$19,"-")</f>
        <v>1</v>
      </c>
      <c r="ES25" s="1271"/>
      <c r="ET25" s="1270">
        <f>IF($E$19&gt;0,ET22/$E$19,"-")</f>
        <v>1</v>
      </c>
      <c r="EU25" s="1271"/>
      <c r="EV25" s="1270">
        <f>IF($E$19&gt;0,EV22/$E$19,"-")</f>
        <v>1</v>
      </c>
      <c r="EW25" s="1271"/>
      <c r="EX25" s="1270">
        <f>IF($E$19&gt;0,EX22/$E$19,"-")</f>
        <v>1</v>
      </c>
      <c r="EY25" s="1271"/>
      <c r="EZ25" s="1270">
        <f>IF($E$19&gt;0,EZ22/$E$19,"-")</f>
        <v>1</v>
      </c>
      <c r="FA25" s="1271"/>
      <c r="FB25" s="1270">
        <f>IF($E$19&gt;0,FB22/$E$19,"-")</f>
        <v>1</v>
      </c>
      <c r="FC25" s="1271"/>
      <c r="FD25" s="1270">
        <f>IF($E$19&gt;0,FD22/$E$19,"-")</f>
        <v>1</v>
      </c>
      <c r="FE25" s="1271"/>
      <c r="FF25" s="1270">
        <f>IF($E$19&gt;0,FF22/$E$19,"-")</f>
        <v>1</v>
      </c>
      <c r="FG25" s="1271"/>
      <c r="FH25" s="1270">
        <f>IF($E$19&gt;0,FH22/$E$19,"-")</f>
        <v>1</v>
      </c>
      <c r="FI25" s="1271"/>
      <c r="FJ25" s="1270">
        <f>IF($E$19&gt;0,FJ22/$E$19,"-")</f>
        <v>1</v>
      </c>
      <c r="FK25" s="1271"/>
      <c r="FL25" s="1270">
        <f>IF($E$19&gt;0,FL22/$E$19,"-")</f>
        <v>1</v>
      </c>
      <c r="FM25" s="1271"/>
      <c r="FN25" s="1270">
        <f>IF($E$19&gt;0,FN22/$E$19,"-")</f>
        <v>1</v>
      </c>
      <c r="FO25" s="1271"/>
      <c r="FP25" s="1270">
        <f>IF($E$19&gt;0,FP22/$E$19,"-")</f>
        <v>1</v>
      </c>
      <c r="FQ25" s="1271"/>
      <c r="FR25" s="1270">
        <f>IF($E$19&gt;0,FR22/$E$19,"-")</f>
        <v>1</v>
      </c>
      <c r="FS25" s="1271"/>
      <c r="FT25" s="1270">
        <f>IF($E$19&gt;0,FT22/$E$19,"-")</f>
        <v>1</v>
      </c>
      <c r="FU25" s="1271"/>
      <c r="FV25" s="1270">
        <f>IF($E$19&gt;0,FV22/$E$19,"-")</f>
        <v>1</v>
      </c>
      <c r="FW25" s="1271"/>
      <c r="FX25" s="1270">
        <f>IF($E$19&gt;0,FX22/$E$19,"-")</f>
        <v>1</v>
      </c>
      <c r="FY25" s="1271"/>
      <c r="FZ25" s="1270">
        <f>IF($E$19&gt;0,FZ22/$E$19,"-")</f>
        <v>1</v>
      </c>
      <c r="GA25" s="1271"/>
      <c r="GB25" s="1270">
        <f>IF($E$19&gt;0,GB22/$E$19,"-")</f>
        <v>1</v>
      </c>
      <c r="GC25" s="1271"/>
      <c r="GD25" s="1270">
        <f>IF($E$19&gt;0,GD22/$E$19,"-")</f>
        <v>1</v>
      </c>
      <c r="GE25" s="1271"/>
      <c r="GF25" s="1270">
        <f>IF($E$19&gt;0,GF22/$E$19,"-")</f>
        <v>1</v>
      </c>
      <c r="GG25" s="1271"/>
      <c r="GH25" s="1270">
        <f>IF($E$19&gt;0,GH22/$E$19,"-")</f>
        <v>1</v>
      </c>
      <c r="GI25" s="1271"/>
      <c r="GJ25" s="1270">
        <f>IF($E$19&gt;0,GJ22/$E$19,"-")</f>
        <v>1</v>
      </c>
      <c r="GK25" s="1271"/>
      <c r="GL25" s="1270">
        <f>IF($E$19&gt;0,GL22/$E$19,"-")</f>
        <v>1</v>
      </c>
      <c r="GM25" s="1271"/>
      <c r="GN25" s="1270">
        <f>IF($E$19&gt;0,GN22/$E$19,"-")</f>
        <v>1</v>
      </c>
      <c r="GO25" s="1271"/>
      <c r="GP25" s="1270">
        <f>IF($E$19&gt;0,GP22/$E$19,"-")</f>
        <v>1</v>
      </c>
      <c r="GQ25" s="1271"/>
      <c r="GR25" s="1270">
        <f>IF($E$19&gt;0,GR22/$E$19,"-")</f>
        <v>1</v>
      </c>
      <c r="GS25" s="1271"/>
      <c r="GT25" s="1270">
        <f>IF($E$19&gt;0,GT22/$E$19,"-")</f>
        <v>1</v>
      </c>
      <c r="GU25" s="1271"/>
      <c r="GV25" s="1270">
        <f>IF($E$19&gt;0,GV22/$E$19,"-")</f>
        <v>1</v>
      </c>
      <c r="GW25" s="1271"/>
      <c r="GX25" s="1270">
        <f>IF($E$19&gt;0,GX22/$E$19,"-")</f>
        <v>1</v>
      </c>
      <c r="GY25" s="1271"/>
      <c r="GZ25" s="1270">
        <f>IF($E$19&gt;0,GZ22/$E$19,"-")</f>
        <v>1</v>
      </c>
      <c r="HA25" s="1271"/>
      <c r="HB25" s="1270">
        <f>IF($E$19&gt;0,HB22/$E$19,"-")</f>
        <v>1</v>
      </c>
      <c r="HC25" s="1271"/>
      <c r="HD25" s="1270">
        <f>IF($E$19&gt;0,HD22/$E$19,"-")</f>
        <v>1</v>
      </c>
      <c r="HE25" s="1271"/>
      <c r="HF25" s="1270">
        <f>IF($E$19&gt;0,HF22/$E$19,"-")</f>
        <v>1</v>
      </c>
      <c r="HG25" s="1271"/>
      <c r="HH25" s="1270">
        <f>IF($E$19&gt;0,HH22/$E$19,"-")</f>
        <v>1</v>
      </c>
      <c r="HI25" s="1271"/>
      <c r="HJ25" s="1270">
        <f>IF($E$19&gt;0,HJ22/$E$19,"-")</f>
        <v>1</v>
      </c>
      <c r="HK25" s="1271"/>
    </row>
    <row r="26" spans="1:219">
      <c r="A26" s="1299"/>
      <c r="B26" s="1300"/>
      <c r="C26" s="1299"/>
      <c r="D26" s="1301"/>
      <c r="E26" s="1301"/>
      <c r="F26" s="1302"/>
      <c r="G26" s="1301"/>
      <c r="H26" s="726"/>
      <c r="I26" s="1303"/>
      <c r="J26" s="1304"/>
      <c r="K26" s="794" t="s">
        <v>298</v>
      </c>
      <c r="L26" s="1294">
        <f>IF($E$19&gt;0,L24/$E$19,"-")</f>
        <v>0</v>
      </c>
      <c r="M26" s="1295"/>
      <c r="N26" s="1294">
        <f>IF($E$19&gt;0,N24/$E$19,"-")</f>
        <v>0</v>
      </c>
      <c r="O26" s="1295"/>
      <c r="P26" s="1294">
        <f>IF($E$19&gt;0,P24/$E$19,"-")</f>
        <v>0</v>
      </c>
      <c r="Q26" s="1295"/>
      <c r="R26" s="1294">
        <f>IF($E$19&gt;0,R24/$E$19,"-")</f>
        <v>0</v>
      </c>
      <c r="S26" s="1295"/>
      <c r="T26" s="1294">
        <f>IF($E$19&gt;0,T24/$E$19,"-")</f>
        <v>0</v>
      </c>
      <c r="U26" s="1295"/>
      <c r="V26" s="1294">
        <f>IF($E$19&gt;0,V24/$E$19,"-")</f>
        <v>0</v>
      </c>
      <c r="W26" s="1295"/>
      <c r="X26" s="1294">
        <f>IF($E$19&gt;0,X24/$E$19,"-")</f>
        <v>0</v>
      </c>
      <c r="Y26" s="1295"/>
      <c r="Z26" s="1294">
        <f>IF($E$19&gt;0,Z24/$E$19,"-")</f>
        <v>0</v>
      </c>
      <c r="AA26" s="1295"/>
      <c r="AB26" s="1294">
        <f>IF($E$19&gt;0,AB24/$E$19,"-")</f>
        <v>0</v>
      </c>
      <c r="AC26" s="1295"/>
      <c r="AD26" s="1294">
        <f>IF($E$19&gt;0,AD24/$E$19,"-")</f>
        <v>0</v>
      </c>
      <c r="AE26" s="1295"/>
      <c r="AF26" s="1294">
        <f>IF($E$19&gt;0,AF24/$E$19,"-")</f>
        <v>0</v>
      </c>
      <c r="AG26" s="1295"/>
      <c r="AH26" s="1294">
        <f>IF($E$19&gt;0,AH24/$E$19,"-")</f>
        <v>0</v>
      </c>
      <c r="AI26" s="1295"/>
      <c r="AJ26" s="1294">
        <f>IF($E$19&gt;0,AJ24/$E$19,"-")</f>
        <v>0</v>
      </c>
      <c r="AK26" s="1295"/>
      <c r="AL26" s="1294">
        <f>IF($E$19&gt;0,AL24/$E$19,"-")</f>
        <v>0</v>
      </c>
      <c r="AM26" s="1295"/>
      <c r="AN26" s="1294">
        <f>IF($E$19&gt;0,AN24/$E$19,"-")</f>
        <v>0</v>
      </c>
      <c r="AO26" s="1295"/>
      <c r="AP26" s="1294">
        <f>IF($E$19&gt;0,AP24/$E$19,"-")</f>
        <v>0</v>
      </c>
      <c r="AQ26" s="1295"/>
      <c r="AR26" s="1294">
        <f>IF($E$19&gt;0,AR24/$E$19,"-")</f>
        <v>0</v>
      </c>
      <c r="AS26" s="1295"/>
      <c r="AT26" s="1294">
        <f>IF($E$19&gt;0,AT24/$E$19,"-")</f>
        <v>0</v>
      </c>
      <c r="AU26" s="1295"/>
      <c r="AV26" s="1294">
        <f>IF($E$19&gt;0,AV24/$E$19,"-")</f>
        <v>0</v>
      </c>
      <c r="AW26" s="1295"/>
      <c r="AX26" s="1294">
        <f>IF($E$19&gt;0,AX24/$E$19,"-")</f>
        <v>0</v>
      </c>
      <c r="AY26" s="1295"/>
      <c r="AZ26" s="1294">
        <f>IF($E$19&gt;0,AZ24/$E$19,"-")</f>
        <v>0</v>
      </c>
      <c r="BA26" s="1295"/>
      <c r="BB26" s="1294">
        <f>IF($E$19&gt;0,BB24/$E$19,"-")</f>
        <v>0</v>
      </c>
      <c r="BC26" s="1295"/>
      <c r="BD26" s="1294">
        <f>IF($E$19&gt;0,BD24/$E$19,"-")</f>
        <v>0</v>
      </c>
      <c r="BE26" s="1295"/>
      <c r="BF26" s="1294">
        <f>IF($E$19&gt;0,BF24/$E$19,"-")</f>
        <v>0</v>
      </c>
      <c r="BG26" s="1295"/>
      <c r="BH26" s="1294">
        <f>IF($E$19&gt;0,BH24/$E$19,"-")</f>
        <v>0</v>
      </c>
      <c r="BI26" s="1295"/>
      <c r="BJ26" s="1294">
        <f>IF($E$19&gt;0,BJ24/$E$19,"-")</f>
        <v>0</v>
      </c>
      <c r="BK26" s="1295"/>
      <c r="BL26" s="1294">
        <f>IF($E$19&gt;0,BL24/$E$19,"-")</f>
        <v>0</v>
      </c>
      <c r="BM26" s="1295"/>
      <c r="BN26" s="1294">
        <f>IF($E$19&gt;0,BN24/$E$19,"-")</f>
        <v>0</v>
      </c>
      <c r="BO26" s="1295"/>
      <c r="BP26" s="1294">
        <f>IF($E$19&gt;0,BP24/$E$19,"-")</f>
        <v>0</v>
      </c>
      <c r="BQ26" s="1295"/>
      <c r="BR26" s="1253">
        <f>IF($E$19&gt;0,BR24/$E$19,"-")</f>
        <v>0</v>
      </c>
      <c r="BS26" s="1253"/>
      <c r="BT26" s="1253">
        <f>IF($E$19&gt;0,BT24/$E$19,"-")</f>
        <v>0</v>
      </c>
      <c r="BU26" s="1253"/>
      <c r="BV26" s="1253">
        <f>IF($E$19&gt;0,BV24/$E$19,"-")</f>
        <v>0</v>
      </c>
      <c r="BW26" s="1253"/>
      <c r="BX26" s="1253">
        <f>IF($E$19&gt;0,BX24/$E$19,"-")</f>
        <v>0</v>
      </c>
      <c r="BY26" s="1253"/>
      <c r="BZ26" s="1253">
        <f>IF($E$19&gt;0,BZ24/$E$19,"-")</f>
        <v>0</v>
      </c>
      <c r="CA26" s="1253"/>
      <c r="CB26" s="1253">
        <f>IF($E$19&gt;0,CB24/$E$19,"-")</f>
        <v>0</v>
      </c>
      <c r="CC26" s="1253"/>
      <c r="CD26" s="1253">
        <f>IF($E$19&gt;0,CD24/$E$19,"-")</f>
        <v>0</v>
      </c>
      <c r="CE26" s="1253"/>
      <c r="CF26" s="1253">
        <f>IF($E$19&gt;0,CF24/$E$19,"-")</f>
        <v>0</v>
      </c>
      <c r="CG26" s="1253"/>
      <c r="CH26" s="1253">
        <f>IF($E$19&gt;0,CH24/$E$19,"-")</f>
        <v>0</v>
      </c>
      <c r="CI26" s="1253"/>
      <c r="CJ26" s="1253">
        <f>IF($E$19&gt;0,CJ24/$E$19,"-")</f>
        <v>0</v>
      </c>
      <c r="CK26" s="1253"/>
      <c r="CL26" s="1253">
        <f>IF($E$19&gt;0,CL24/$E$19,"-")</f>
        <v>0</v>
      </c>
      <c r="CM26" s="1253"/>
      <c r="CN26" s="1253">
        <f>IF($E$19&gt;0,CN24/$E$19,"-")</f>
        <v>0</v>
      </c>
      <c r="CO26" s="1253"/>
      <c r="CP26" s="1253">
        <f>IF($E$19&gt;0,CP24/$E$19,"-")</f>
        <v>0</v>
      </c>
      <c r="CQ26" s="1253"/>
      <c r="CR26" s="1253">
        <f>IF($E$19&gt;0,CR24/$E$19,"-")</f>
        <v>0</v>
      </c>
      <c r="CS26" s="1253"/>
      <c r="CT26" s="1253">
        <f>IF($E$19&gt;0,CT24/$E$19,"-")</f>
        <v>0</v>
      </c>
      <c r="CU26" s="1253"/>
      <c r="CV26" s="1253">
        <f>IF($E$19&gt;0,CV24/$E$19,"-")</f>
        <v>0</v>
      </c>
      <c r="CW26" s="1253"/>
      <c r="CX26" s="1253">
        <f>IF($E$19&gt;0,CX24/$E$19,"-")</f>
        <v>0</v>
      </c>
      <c r="CY26" s="1253"/>
      <c r="CZ26" s="1253">
        <f>IF($E$19&gt;0,CZ24/$E$19,"-")</f>
        <v>0</v>
      </c>
      <c r="DA26" s="1253"/>
      <c r="DB26" s="1253">
        <f>IF($E$19&gt;0,DB24/$E$19,"-")</f>
        <v>0</v>
      </c>
      <c r="DC26" s="1253"/>
      <c r="DD26" s="1253">
        <f>IF($E$19&gt;0,DD24/$E$19,"-")</f>
        <v>0</v>
      </c>
      <c r="DE26" s="1253"/>
      <c r="DF26" s="1253">
        <f>IF($E$19&gt;0,DF24/$E$19,"-")</f>
        <v>0</v>
      </c>
      <c r="DG26" s="1253"/>
      <c r="DH26" s="1253">
        <f>IF($E$19&gt;0,DH24/$E$19,"-")</f>
        <v>0</v>
      </c>
      <c r="DI26" s="1253"/>
      <c r="DJ26" s="1254">
        <f>IF($E$19&gt;0,DJ24/$E$19,"-")</f>
        <v>0</v>
      </c>
      <c r="DK26" s="1254"/>
      <c r="DL26" s="1253">
        <f>IF($E$19&gt;0,DL24/$E$19,"-")</f>
        <v>0</v>
      </c>
      <c r="DM26" s="1253"/>
      <c r="DN26" s="1253">
        <f>IF($E$19&gt;0,DN24/$E$19,"-")</f>
        <v>0</v>
      </c>
      <c r="DO26" s="1253"/>
      <c r="DP26" s="1253">
        <f>IF($E$19&gt;0,DP24/$E$19,"-")</f>
        <v>0</v>
      </c>
      <c r="DQ26" s="1253"/>
      <c r="DR26" s="1253">
        <f>IF($E$19&gt;0,DR24/$E$19,"-")</f>
        <v>0</v>
      </c>
      <c r="DS26" s="1253"/>
      <c r="DT26" s="1253">
        <f>IF($E$19&gt;0,DT24/$E$19,"-")</f>
        <v>0</v>
      </c>
      <c r="DU26" s="1253"/>
      <c r="DV26" s="1253">
        <f>IF($E$19&gt;0,DV24/$E$19,"-")</f>
        <v>0</v>
      </c>
      <c r="DW26" s="1253"/>
      <c r="DX26" s="1253">
        <f>IF($E$19&gt;0,DX24/$E$19,"-")</f>
        <v>0</v>
      </c>
      <c r="DY26" s="1253"/>
      <c r="DZ26" s="1253">
        <f>IF($E$19&gt;0,DZ24/$E$19,"-")</f>
        <v>0</v>
      </c>
      <c r="EA26" s="1253"/>
      <c r="EB26" s="1253">
        <f>IF($E$19&gt;0,EB24/$E$19,"-")</f>
        <v>0</v>
      </c>
      <c r="EC26" s="1253"/>
      <c r="ED26" s="1253">
        <f>IF($E$19&gt;0,ED24/$E$19,"-")</f>
        <v>0</v>
      </c>
      <c r="EE26" s="1253"/>
      <c r="EF26" s="1253">
        <f>IF($E$19&gt;0,EF24/$E$19,"-")</f>
        <v>0</v>
      </c>
      <c r="EG26" s="1253"/>
      <c r="EH26" s="1253">
        <f>IF($E$19&gt;0,EH24/$E$19,"-")</f>
        <v>0</v>
      </c>
      <c r="EI26" s="1253"/>
      <c r="EJ26" s="1253">
        <f>IF($E$19&gt;0,EJ24/$E$19,"-")</f>
        <v>0</v>
      </c>
      <c r="EK26" s="1253"/>
      <c r="EL26" s="1253">
        <f>IF($E$19&gt;0,EL24/$E$19,"-")</f>
        <v>0</v>
      </c>
      <c r="EM26" s="1253"/>
      <c r="EN26" s="1253">
        <f>IF($E$19&gt;0,EN24/$E$19,"-")</f>
        <v>0</v>
      </c>
      <c r="EO26" s="1253"/>
      <c r="EP26" s="1253">
        <f>IF($E$19&gt;0,EP24/$E$19,"-")</f>
        <v>0</v>
      </c>
      <c r="EQ26" s="1253"/>
      <c r="ER26" s="1253">
        <f>IF($E$19&gt;0,ER24/$E$19,"-")</f>
        <v>0</v>
      </c>
      <c r="ES26" s="1253"/>
      <c r="ET26" s="1253">
        <f>IF($E$19&gt;0,ET24/$E$19,"-")</f>
        <v>0</v>
      </c>
      <c r="EU26" s="1253"/>
      <c r="EV26" s="1253">
        <f>IF($E$19&gt;0,EV24/$E$19,"-")</f>
        <v>0</v>
      </c>
      <c r="EW26" s="1253"/>
      <c r="EX26" s="1253">
        <f>IF($E$19&gt;0,EX24/$E$19,"-")</f>
        <v>0</v>
      </c>
      <c r="EY26" s="1253"/>
      <c r="EZ26" s="1253">
        <f>IF($E$19&gt;0,EZ24/$E$19,"-")</f>
        <v>0</v>
      </c>
      <c r="FA26" s="1253"/>
      <c r="FB26" s="1253">
        <f>IF($E$19&gt;0,FB24/$E$19,"-")</f>
        <v>0</v>
      </c>
      <c r="FC26" s="1253"/>
      <c r="FD26" s="1253">
        <f>IF($E$19&gt;0,FD24/$E$19,"-")</f>
        <v>0</v>
      </c>
      <c r="FE26" s="1253"/>
      <c r="FF26" s="1253">
        <f>IF($E$19&gt;0,FF24/$E$19,"-")</f>
        <v>0</v>
      </c>
      <c r="FG26" s="1253"/>
      <c r="FH26" s="1253">
        <f>IF($E$19&gt;0,FH24/$E$19,"-")</f>
        <v>0</v>
      </c>
      <c r="FI26" s="1253"/>
      <c r="FJ26" s="1253">
        <f>IF($E$19&gt;0,FJ24/$E$19,"-")</f>
        <v>0</v>
      </c>
      <c r="FK26" s="1253"/>
      <c r="FL26" s="1253">
        <f>IF($E$19&gt;0,FL24/$E$19,"-")</f>
        <v>0</v>
      </c>
      <c r="FM26" s="1253"/>
      <c r="FN26" s="1253">
        <f>IF($E$19&gt;0,FN24/$E$19,"-")</f>
        <v>0</v>
      </c>
      <c r="FO26" s="1253"/>
      <c r="FP26" s="1253">
        <f>IF($E$19&gt;0,FP24/$E$19,"-")</f>
        <v>0</v>
      </c>
      <c r="FQ26" s="1253"/>
      <c r="FR26" s="1253">
        <f>IF($E$19&gt;0,FR24/$E$19,"-")</f>
        <v>0</v>
      </c>
      <c r="FS26" s="1253"/>
      <c r="FT26" s="1253">
        <f>IF($E$19&gt;0,FT24/$E$19,"-")</f>
        <v>0</v>
      </c>
      <c r="FU26" s="1253"/>
      <c r="FV26" s="1253">
        <f>IF($E$19&gt;0,FV24/$E$19,"-")</f>
        <v>0</v>
      </c>
      <c r="FW26" s="1253"/>
      <c r="FX26" s="1253">
        <f>IF($E$19&gt;0,FX24/$E$19,"-")</f>
        <v>0</v>
      </c>
      <c r="FY26" s="1253"/>
      <c r="FZ26" s="1253">
        <f>IF($E$19&gt;0,FZ24/$E$19,"-")</f>
        <v>0</v>
      </c>
      <c r="GA26" s="1253"/>
      <c r="GB26" s="1253">
        <f>IF($E$19&gt;0,GB24/$E$19,"-")</f>
        <v>0</v>
      </c>
      <c r="GC26" s="1253"/>
      <c r="GD26" s="1253">
        <f>IF($E$19&gt;0,GD24/$E$19,"-")</f>
        <v>0</v>
      </c>
      <c r="GE26" s="1253"/>
      <c r="GF26" s="1253">
        <f>IF($E$19&gt;0,GF24/$E$19,"-")</f>
        <v>0</v>
      </c>
      <c r="GG26" s="1253"/>
      <c r="GH26" s="1253">
        <f>IF($E$19&gt;0,GH24/$E$19,"-")</f>
        <v>0</v>
      </c>
      <c r="GI26" s="1253"/>
      <c r="GJ26" s="1253">
        <f>IF($E$19&gt;0,GJ24/$E$19,"-")</f>
        <v>0</v>
      </c>
      <c r="GK26" s="1253"/>
      <c r="GL26" s="1253">
        <f>IF($E$19&gt;0,GL24/$E$19,"-")</f>
        <v>0</v>
      </c>
      <c r="GM26" s="1253"/>
      <c r="GN26" s="1253">
        <f>IF($E$19&gt;0,GN24/$E$19,"-")</f>
        <v>0</v>
      </c>
      <c r="GO26" s="1253"/>
      <c r="GP26" s="1253">
        <f>IF($E$19&gt;0,GP24/$E$19,"-")</f>
        <v>0</v>
      </c>
      <c r="GQ26" s="1253"/>
      <c r="GR26" s="1253">
        <f>IF($E$19&gt;0,GR24/$E$19,"-")</f>
        <v>0</v>
      </c>
      <c r="GS26" s="1253"/>
      <c r="GT26" s="1253">
        <f>IF($E$19&gt;0,GT24/$E$19,"-")</f>
        <v>0</v>
      </c>
      <c r="GU26" s="1253"/>
      <c r="GV26" s="1253">
        <f>IF($E$19&gt;0,GV24/$E$19,"-")</f>
        <v>0</v>
      </c>
      <c r="GW26" s="1253"/>
      <c r="GX26" s="1253">
        <f>IF($E$19&gt;0,GX24/$E$19,"-")</f>
        <v>0</v>
      </c>
      <c r="GY26" s="1253"/>
      <c r="GZ26" s="1253">
        <f>IF($E$19&gt;0,GZ24/$E$19,"-")</f>
        <v>0</v>
      </c>
      <c r="HA26" s="1253"/>
      <c r="HB26" s="1253">
        <f>IF($E$19&gt;0,HB24/$E$19,"-")</f>
        <v>0</v>
      </c>
      <c r="HC26" s="1253"/>
      <c r="HD26" s="1253">
        <f>IF($E$19&gt;0,HD24/$E$19,"-")</f>
        <v>0</v>
      </c>
      <c r="HE26" s="1253"/>
      <c r="HF26" s="1253">
        <f>IF($E$19&gt;0,HF24/$E$19,"-")</f>
        <v>0</v>
      </c>
      <c r="HG26" s="1253"/>
      <c r="HH26" s="1253">
        <f>IF($E$19&gt;0,HH24/$E$19,"-")</f>
        <v>0</v>
      </c>
      <c r="HI26" s="1253"/>
      <c r="HJ26" s="1253">
        <f>IF($E$19&gt;0,HJ24/$E$19,"-")</f>
        <v>0</v>
      </c>
      <c r="HK26" s="1253"/>
    </row>
    <row r="27" spans="1:219" s="5" customFormat="1" ht="14.4">
      <c r="A27" s="690"/>
      <c r="B27" s="691"/>
      <c r="C27" s="691"/>
      <c r="D27" s="795"/>
      <c r="E27" s="692"/>
      <c r="F27" s="796"/>
      <c r="G27" s="797"/>
      <c r="H27" s="691"/>
      <c r="I27" s="691"/>
      <c r="J27" s="691"/>
      <c r="K27" s="691"/>
      <c r="L27" s="1274"/>
      <c r="M27" s="1274"/>
      <c r="N27" s="1274"/>
      <c r="O27" s="1274"/>
      <c r="P27" s="1274"/>
      <c r="Q27" s="1274"/>
      <c r="R27" s="1274"/>
      <c r="S27" s="1362"/>
      <c r="T27" s="1276"/>
      <c r="U27" s="1274"/>
      <c r="V27" s="1274"/>
      <c r="W27" s="1274"/>
      <c r="X27" s="1274"/>
      <c r="Y27" s="1274"/>
      <c r="Z27" s="1274"/>
      <c r="AA27" s="1362"/>
      <c r="AB27" s="1276"/>
      <c r="AC27" s="1274"/>
      <c r="AD27" s="1274"/>
      <c r="AE27" s="1274"/>
      <c r="AF27" s="1274"/>
      <c r="AG27" s="1274"/>
      <c r="AH27" s="1274"/>
      <c r="AI27" s="1362"/>
      <c r="AJ27" s="1276"/>
      <c r="AK27" s="1274"/>
      <c r="AL27" s="1274"/>
      <c r="AM27" s="1274"/>
      <c r="AN27" s="1274"/>
      <c r="AO27" s="1274"/>
      <c r="AP27" s="1274"/>
      <c r="AQ27" s="1362"/>
      <c r="AR27" s="1276"/>
      <c r="AS27" s="1274"/>
      <c r="AT27" s="777"/>
      <c r="AU27" s="777"/>
      <c r="AV27" s="777"/>
      <c r="AW27" s="777"/>
      <c r="AX27" s="777"/>
      <c r="AY27" s="778"/>
      <c r="AZ27" s="779"/>
      <c r="BA27" s="777"/>
      <c r="BB27" s="777"/>
      <c r="BC27" s="777"/>
      <c r="BD27" s="777"/>
      <c r="BE27" s="777"/>
      <c r="BF27" s="777"/>
      <c r="BG27" s="778"/>
      <c r="BH27" s="779"/>
      <c r="BI27" s="777"/>
      <c r="BJ27" s="777"/>
      <c r="BK27" s="777"/>
      <c r="BL27" s="777"/>
      <c r="BM27" s="777"/>
      <c r="BN27" s="777"/>
      <c r="BO27" s="778"/>
      <c r="BP27" s="779"/>
      <c r="BQ27" s="777"/>
      <c r="BR27" s="777"/>
      <c r="BS27" s="777"/>
      <c r="BT27" s="777"/>
      <c r="BU27" s="777"/>
      <c r="BV27" s="777"/>
      <c r="BW27" s="778"/>
      <c r="BX27" s="779"/>
      <c r="BY27" s="777"/>
      <c r="BZ27" s="777"/>
      <c r="CA27" s="777"/>
      <c r="CB27" s="777"/>
      <c r="CC27" s="777"/>
      <c r="CD27" s="1274"/>
      <c r="CE27" s="1275"/>
      <c r="CF27" s="1276"/>
      <c r="CG27" s="1277"/>
      <c r="CH27" s="1274"/>
      <c r="CI27" s="1277"/>
      <c r="CJ27" s="1274"/>
      <c r="CK27" s="1277"/>
      <c r="CL27" s="1274"/>
      <c r="CM27" s="1275"/>
      <c r="CN27" s="1276"/>
      <c r="CO27" s="1277"/>
      <c r="CP27" s="1296"/>
      <c r="CQ27" s="1297"/>
      <c r="CR27" s="1296"/>
      <c r="CS27" s="1297"/>
      <c r="CT27" s="780"/>
      <c r="CU27" s="781"/>
      <c r="CV27" s="782"/>
      <c r="CW27" s="780"/>
      <c r="CX27" s="780"/>
      <c r="CY27" s="780"/>
      <c r="CZ27" s="780"/>
      <c r="DA27" s="780"/>
      <c r="DB27" s="780"/>
      <c r="DC27" s="781"/>
      <c r="DD27" s="782"/>
      <c r="DE27" s="780"/>
      <c r="DF27" s="780"/>
      <c r="DG27" s="780"/>
      <c r="DH27" s="780"/>
      <c r="DI27" s="780"/>
      <c r="DJ27" s="783"/>
      <c r="DK27" s="784"/>
      <c r="DL27" s="782"/>
      <c r="DM27" s="780"/>
      <c r="DN27" s="780"/>
      <c r="DO27" s="780"/>
      <c r="DP27" s="780"/>
      <c r="DQ27" s="780"/>
      <c r="DR27" s="780"/>
      <c r="DS27" s="781"/>
      <c r="DT27" s="782"/>
      <c r="DU27" s="780"/>
      <c r="DV27" s="780"/>
      <c r="DW27" s="780"/>
      <c r="DX27" s="780"/>
      <c r="DY27" s="780"/>
      <c r="DZ27" s="780"/>
      <c r="EA27" s="781"/>
      <c r="EB27" s="782"/>
      <c r="EC27" s="780"/>
      <c r="ED27" s="780"/>
      <c r="EE27" s="780"/>
      <c r="EF27" s="780"/>
      <c r="EG27" s="780"/>
      <c r="EH27" s="780"/>
      <c r="EI27" s="781"/>
      <c r="EJ27" s="782"/>
      <c r="EK27" s="780"/>
      <c r="EL27" s="780"/>
      <c r="EM27" s="780"/>
      <c r="EN27" s="780"/>
      <c r="EO27" s="780"/>
      <c r="EP27" s="780"/>
      <c r="EQ27" s="781"/>
      <c r="ER27" s="782"/>
      <c r="ES27" s="780"/>
      <c r="ET27" s="780"/>
      <c r="EU27" s="780"/>
      <c r="EV27" s="780"/>
      <c r="EW27" s="780"/>
      <c r="EX27" s="780"/>
      <c r="EY27" s="781"/>
      <c r="EZ27" s="782"/>
      <c r="FA27" s="780"/>
      <c r="FB27" s="780"/>
      <c r="FC27" s="780"/>
      <c r="FD27" s="780"/>
      <c r="FE27" s="780"/>
      <c r="FF27" s="780"/>
      <c r="FG27" s="781"/>
      <c r="FH27" s="782"/>
      <c r="FI27" s="780"/>
      <c r="FJ27" s="780"/>
      <c r="FK27" s="780"/>
      <c r="FL27" s="780"/>
      <c r="FM27" s="780"/>
      <c r="FN27" s="780"/>
      <c r="FO27" s="781"/>
      <c r="FP27" s="782"/>
      <c r="FQ27" s="780"/>
      <c r="FR27" s="780"/>
      <c r="FS27" s="780"/>
      <c r="FT27" s="780"/>
      <c r="FU27" s="780"/>
      <c r="FV27" s="780"/>
      <c r="FW27" s="781"/>
      <c r="FX27" s="782"/>
      <c r="FY27" s="780"/>
      <c r="FZ27" s="780"/>
      <c r="GA27" s="780"/>
      <c r="GB27" s="780"/>
      <c r="GC27" s="780"/>
      <c r="GD27" s="780"/>
      <c r="GE27" s="781"/>
      <c r="GF27" s="782"/>
      <c r="GG27" s="780"/>
      <c r="GH27" s="780"/>
      <c r="GI27" s="780"/>
      <c r="GJ27" s="780"/>
      <c r="GK27" s="780"/>
      <c r="GL27" s="780"/>
      <c r="GM27" s="781"/>
      <c r="GN27" s="782"/>
      <c r="GO27" s="780"/>
      <c r="GP27" s="780"/>
      <c r="GQ27" s="780"/>
      <c r="GR27" s="780"/>
      <c r="GS27" s="780"/>
      <c r="GT27" s="780"/>
      <c r="GU27" s="781"/>
      <c r="GV27" s="780"/>
      <c r="GW27" s="781"/>
      <c r="GX27" s="780"/>
      <c r="GY27" s="781"/>
      <c r="GZ27" s="780"/>
      <c r="HA27" s="781"/>
      <c r="HB27" s="780"/>
      <c r="HC27" s="781"/>
      <c r="HD27" s="780"/>
      <c r="HE27" s="781"/>
      <c r="HF27" s="780"/>
      <c r="HG27" s="781"/>
      <c r="HH27" s="780"/>
      <c r="HI27" s="781"/>
      <c r="HJ27" s="780"/>
      <c r="HK27" s="781"/>
    </row>
    <row r="28" spans="1:219">
      <c r="A28" s="175"/>
      <c r="B28" s="176"/>
      <c r="C28" s="175"/>
      <c r="D28" s="177"/>
      <c r="E28" s="177"/>
      <c r="F28" s="177"/>
      <c r="G28" s="175"/>
    </row>
    <row r="29" spans="1:219" ht="13.35" customHeight="1">
      <c r="A29" s="1299" t="s">
        <v>124</v>
      </c>
      <c r="B29" s="1300" t="str">
        <f>VLOOKUP(A29,PLANEJAMENTO!$B$10:$C$70,2,FALSE)</f>
        <v xml:space="preserve">Supressão vegetal com destocamento de vegetação com Ø =&lt; 45cm </v>
      </c>
      <c r="C29" s="1299" t="str">
        <f>VLOOKUP(A29,PLANEJAMENTO!$B$10:$D$70,3,FALSE)</f>
        <v>m²</v>
      </c>
      <c r="D29" s="1301">
        <f>VLOOKUP(A29,PLANEJAMENTO!$B$10:$E$70,4,FALSE)</f>
        <v>40000</v>
      </c>
      <c r="E29" s="1301">
        <f>D29</f>
        <v>40000</v>
      </c>
      <c r="F29" s="1302">
        <f>PRODUÇÕES!$D$10</f>
        <v>400</v>
      </c>
      <c r="G29" s="1301">
        <f>F29*8</f>
        <v>3200</v>
      </c>
      <c r="H29" s="726"/>
      <c r="I29" s="1303"/>
      <c r="J29" s="1304"/>
      <c r="K29" s="727" t="s">
        <v>291</v>
      </c>
      <c r="L29" s="1285"/>
      <c r="M29" s="1286"/>
      <c r="N29" s="1285"/>
      <c r="O29" s="1286"/>
      <c r="P29" s="1285"/>
      <c r="Q29" s="1286"/>
      <c r="R29" s="1285"/>
      <c r="S29" s="1286"/>
      <c r="T29" s="1285"/>
      <c r="U29" s="1286"/>
      <c r="V29" s="1285"/>
      <c r="W29" s="1286"/>
      <c r="X29" s="1285"/>
      <c r="Y29" s="1286"/>
      <c r="Z29" s="1285"/>
      <c r="AA29" s="1286"/>
      <c r="AB29" s="1285"/>
      <c r="AC29" s="1286"/>
      <c r="AD29" s="1285"/>
      <c r="AE29" s="1286"/>
      <c r="AF29" s="1285"/>
      <c r="AG29" s="1286"/>
      <c r="AH29" s="1285"/>
      <c r="AI29" s="1286"/>
      <c r="AJ29" s="1340"/>
      <c r="AK29" s="1341"/>
      <c r="AL29" s="1340">
        <v>6</v>
      </c>
      <c r="AM29" s="1341"/>
      <c r="AN29" s="1375">
        <v>6</v>
      </c>
      <c r="AO29" s="1376"/>
      <c r="AP29" s="1311">
        <v>4.8161434977578459</v>
      </c>
      <c r="AQ29" s="1312"/>
      <c r="AR29" s="1285"/>
      <c r="AS29" s="1286"/>
      <c r="AT29" s="1285"/>
      <c r="AU29" s="1286"/>
      <c r="AV29" s="1285"/>
      <c r="AW29" s="1286"/>
      <c r="AX29" s="1285"/>
      <c r="AY29" s="1286"/>
      <c r="AZ29" s="1285"/>
      <c r="BA29" s="1286"/>
      <c r="BB29" s="1285"/>
      <c r="BC29" s="1286"/>
      <c r="BD29" s="1285"/>
      <c r="BE29" s="1286"/>
      <c r="BF29" s="1285"/>
      <c r="BG29" s="1286"/>
      <c r="BH29" s="1285"/>
      <c r="BI29" s="1286"/>
      <c r="BJ29" s="1285"/>
      <c r="BK29" s="1286"/>
      <c r="BL29" s="1285"/>
      <c r="BM29" s="1286"/>
      <c r="BN29" s="1285"/>
      <c r="BO29" s="1286"/>
      <c r="BP29" s="1285"/>
      <c r="BQ29" s="1286"/>
      <c r="BR29" s="1285"/>
      <c r="BS29" s="1286"/>
      <c r="BT29" s="1285"/>
      <c r="BU29" s="1286"/>
      <c r="BV29" s="1285"/>
      <c r="BW29" s="1286"/>
      <c r="BX29" s="1285"/>
      <c r="BY29" s="1286"/>
      <c r="BZ29" s="1285"/>
      <c r="CA29" s="1286"/>
      <c r="CB29" s="1285"/>
      <c r="CC29" s="1286"/>
      <c r="CD29" s="1285"/>
      <c r="CE29" s="1286"/>
      <c r="CF29" s="1285"/>
      <c r="CG29" s="1286"/>
      <c r="CH29" s="1285"/>
      <c r="CI29" s="1286"/>
      <c r="CJ29" s="1285"/>
      <c r="CK29" s="1286"/>
      <c r="CL29" s="1285"/>
      <c r="CM29" s="1286"/>
      <c r="CN29" s="1285"/>
      <c r="CO29" s="1286"/>
      <c r="CP29" s="1285"/>
      <c r="CQ29" s="1286"/>
      <c r="CR29" s="1285"/>
      <c r="CS29" s="1286"/>
      <c r="CT29" s="1285"/>
      <c r="CU29" s="1286"/>
      <c r="CV29" s="1285"/>
      <c r="CW29" s="1286"/>
      <c r="CX29" s="1285"/>
      <c r="CY29" s="1286"/>
      <c r="CZ29" s="1285"/>
      <c r="DA29" s="1286"/>
      <c r="DB29" s="1285"/>
      <c r="DC29" s="1286"/>
      <c r="DD29" s="1285"/>
      <c r="DE29" s="1286"/>
      <c r="DF29" s="1285"/>
      <c r="DG29" s="1286"/>
      <c r="DH29" s="1285"/>
      <c r="DI29" s="1286"/>
      <c r="DJ29" s="1333"/>
      <c r="DK29" s="1334"/>
      <c r="DL29" s="1263"/>
      <c r="DM29" s="1263"/>
      <c r="DN29" s="1263"/>
      <c r="DO29" s="1263"/>
      <c r="DP29" s="1263"/>
      <c r="DQ29" s="1263"/>
      <c r="DR29" s="1263"/>
      <c r="DS29" s="1263"/>
      <c r="DT29" s="1263"/>
      <c r="DU29" s="1263"/>
      <c r="DV29" s="1263"/>
      <c r="DW29" s="1263"/>
      <c r="DX29" s="1263"/>
      <c r="DY29" s="1263"/>
      <c r="DZ29" s="1263"/>
      <c r="EA29" s="1263"/>
      <c r="EB29" s="1263"/>
      <c r="EC29" s="1263"/>
      <c r="ED29" s="1263"/>
      <c r="EE29" s="1263"/>
      <c r="EF29" s="1263"/>
      <c r="EG29" s="1263"/>
      <c r="EH29" s="1263"/>
      <c r="EI29" s="1263"/>
      <c r="EJ29" s="1263"/>
      <c r="EK29" s="1263"/>
      <c r="EL29" s="1263"/>
      <c r="EM29" s="1263"/>
      <c r="EN29" s="1263"/>
      <c r="EO29" s="1263"/>
      <c r="EP29" s="1263"/>
      <c r="EQ29" s="1263"/>
      <c r="ER29" s="1263"/>
      <c r="ES29" s="1263"/>
      <c r="ET29" s="1263"/>
      <c r="EU29" s="1263"/>
      <c r="EV29" s="1263"/>
      <c r="EW29" s="1263"/>
      <c r="EX29" s="1263"/>
      <c r="EY29" s="1263"/>
      <c r="EZ29" s="1263"/>
      <c r="FA29" s="1263"/>
      <c r="FB29" s="1263"/>
      <c r="FC29" s="1263"/>
      <c r="FD29" s="1263"/>
      <c r="FE29" s="1263"/>
      <c r="FF29" s="1263"/>
      <c r="FG29" s="1263"/>
      <c r="FH29" s="1263"/>
      <c r="FI29" s="1263"/>
      <c r="FJ29" s="1263"/>
      <c r="FK29" s="1263"/>
      <c r="FL29" s="1263"/>
      <c r="FM29" s="1263"/>
      <c r="FN29" s="1263"/>
      <c r="FO29" s="1263"/>
      <c r="FP29" s="1319"/>
      <c r="FQ29" s="1320"/>
      <c r="FR29" s="1319"/>
      <c r="FS29" s="1320"/>
      <c r="FT29" s="1319"/>
      <c r="FU29" s="1320"/>
      <c r="FV29" s="1263"/>
      <c r="FW29" s="1263"/>
      <c r="FX29" s="1263"/>
      <c r="FY29" s="1263"/>
      <c r="FZ29" s="1263"/>
      <c r="GA29" s="1263"/>
      <c r="GB29" s="1263"/>
      <c r="GC29" s="1263"/>
      <c r="GD29" s="1263"/>
      <c r="GE29" s="1263"/>
      <c r="GF29" s="1263"/>
      <c r="GG29" s="1263"/>
      <c r="GH29" s="1263"/>
      <c r="GI29" s="1263"/>
      <c r="GJ29" s="1263"/>
      <c r="GK29" s="1263"/>
      <c r="GL29" s="1263"/>
      <c r="GM29" s="1263"/>
      <c r="GN29" s="1263"/>
      <c r="GO29" s="1263"/>
      <c r="GP29" s="1263"/>
      <c r="GQ29" s="1263"/>
      <c r="GR29" s="1263"/>
      <c r="GS29" s="1263"/>
      <c r="GT29" s="1263"/>
      <c r="GU29" s="1263"/>
      <c r="GV29" s="1263"/>
      <c r="GW29" s="1263"/>
      <c r="GX29" s="1263"/>
      <c r="GY29" s="1263"/>
      <c r="GZ29" s="1263"/>
      <c r="HA29" s="1263"/>
      <c r="HB29" s="1263"/>
      <c r="HC29" s="1263"/>
      <c r="HD29" s="1263"/>
      <c r="HE29" s="1263"/>
      <c r="HF29" s="1263"/>
      <c r="HG29" s="1263"/>
      <c r="HH29" s="1263"/>
      <c r="HI29" s="1263"/>
      <c r="HJ29" s="1263"/>
      <c r="HK29" s="1263"/>
    </row>
    <row r="30" spans="1:219">
      <c r="A30" s="1299"/>
      <c r="B30" s="1300"/>
      <c r="C30" s="1299"/>
      <c r="D30" s="1301"/>
      <c r="E30" s="1301"/>
      <c r="F30" s="1302"/>
      <c r="G30" s="1301"/>
      <c r="H30" s="726"/>
      <c r="I30" s="1303"/>
      <c r="J30" s="1304"/>
      <c r="K30" s="785" t="s">
        <v>292</v>
      </c>
      <c r="L30" s="1283"/>
      <c r="M30" s="1284"/>
      <c r="N30" s="1283"/>
      <c r="O30" s="1284"/>
      <c r="P30" s="1283"/>
      <c r="Q30" s="1284"/>
      <c r="R30" s="1283"/>
      <c r="S30" s="1284"/>
      <c r="T30" s="1283"/>
      <c r="U30" s="1284"/>
      <c r="V30" s="1283"/>
      <c r="W30" s="1284"/>
      <c r="X30" s="1283"/>
      <c r="Y30" s="1284"/>
      <c r="Z30" s="1283"/>
      <c r="AA30" s="1284"/>
      <c r="AB30" s="1283"/>
      <c r="AC30" s="1284"/>
      <c r="AD30" s="1283"/>
      <c r="AE30" s="1284"/>
      <c r="AF30" s="1283"/>
      <c r="AG30" s="1284"/>
      <c r="AH30" s="1283"/>
      <c r="AI30" s="1284"/>
      <c r="AJ30" s="1283"/>
      <c r="AK30" s="1284"/>
      <c r="AL30" s="1283">
        <v>1</v>
      </c>
      <c r="AM30" s="1284"/>
      <c r="AN30" s="1283">
        <v>1</v>
      </c>
      <c r="AO30" s="1284"/>
      <c r="AP30" s="1283">
        <v>1</v>
      </c>
      <c r="AQ30" s="1284"/>
      <c r="AR30" s="1283"/>
      <c r="AS30" s="1284"/>
      <c r="AT30" s="1283"/>
      <c r="AU30" s="1284"/>
      <c r="AV30" s="1283"/>
      <c r="AW30" s="1284"/>
      <c r="AX30" s="1283"/>
      <c r="AY30" s="1284"/>
      <c r="AZ30" s="1283"/>
      <c r="BA30" s="1284"/>
      <c r="BB30" s="1283"/>
      <c r="BC30" s="1284"/>
      <c r="BD30" s="1283"/>
      <c r="BE30" s="1284"/>
      <c r="BF30" s="1283"/>
      <c r="BG30" s="1284"/>
      <c r="BH30" s="1283"/>
      <c r="BI30" s="1284"/>
      <c r="BJ30" s="1283"/>
      <c r="BK30" s="1284"/>
      <c r="BL30" s="1283"/>
      <c r="BM30" s="1284"/>
      <c r="BN30" s="1283"/>
      <c r="BO30" s="1284"/>
      <c r="BP30" s="1283"/>
      <c r="BQ30" s="1284"/>
      <c r="BR30" s="1283"/>
      <c r="BS30" s="1284"/>
      <c r="BT30" s="1283"/>
      <c r="BU30" s="1284"/>
      <c r="BV30" s="1283"/>
      <c r="BW30" s="1284"/>
      <c r="BX30" s="1283"/>
      <c r="BY30" s="1284"/>
      <c r="BZ30" s="1283"/>
      <c r="CA30" s="1284"/>
      <c r="CB30" s="1283"/>
      <c r="CC30" s="1284"/>
      <c r="CD30" s="1283"/>
      <c r="CE30" s="1284"/>
      <c r="CF30" s="1283"/>
      <c r="CG30" s="1284"/>
      <c r="CH30" s="1283"/>
      <c r="CI30" s="1284"/>
      <c r="CJ30" s="1283"/>
      <c r="CK30" s="1284"/>
      <c r="CL30" s="1283"/>
      <c r="CM30" s="1284"/>
      <c r="CN30" s="1283"/>
      <c r="CO30" s="1284"/>
      <c r="CP30" s="1283"/>
      <c r="CQ30" s="1284"/>
      <c r="CR30" s="1283"/>
      <c r="CS30" s="1284"/>
      <c r="CT30" s="1283"/>
      <c r="CU30" s="1284"/>
      <c r="CV30" s="1283"/>
      <c r="CW30" s="1284"/>
      <c r="CX30" s="1283"/>
      <c r="CY30" s="1284"/>
      <c r="CZ30" s="1283"/>
      <c r="DA30" s="1284"/>
      <c r="DB30" s="1283"/>
      <c r="DC30" s="1284"/>
      <c r="DD30" s="1283"/>
      <c r="DE30" s="1284"/>
      <c r="DF30" s="1283"/>
      <c r="DG30" s="1284"/>
      <c r="DH30" s="1283"/>
      <c r="DI30" s="1284"/>
      <c r="DJ30" s="1331"/>
      <c r="DK30" s="1332"/>
      <c r="DL30" s="1264"/>
      <c r="DM30" s="1264"/>
      <c r="DN30" s="1264"/>
      <c r="DO30" s="1264"/>
      <c r="DP30" s="1264"/>
      <c r="DQ30" s="1264"/>
      <c r="DR30" s="1264"/>
      <c r="DS30" s="1264"/>
      <c r="DT30" s="1264"/>
      <c r="DU30" s="1264"/>
      <c r="DV30" s="1264"/>
      <c r="DW30" s="1264"/>
      <c r="DX30" s="1264"/>
      <c r="DY30" s="1264"/>
      <c r="DZ30" s="1264"/>
      <c r="EA30" s="1264"/>
      <c r="EB30" s="1264"/>
      <c r="EC30" s="1264"/>
      <c r="ED30" s="1264"/>
      <c r="EE30" s="1264"/>
      <c r="EF30" s="1264"/>
      <c r="EG30" s="1264"/>
      <c r="EH30" s="1264"/>
      <c r="EI30" s="1264"/>
      <c r="EJ30" s="1264"/>
      <c r="EK30" s="1264"/>
      <c r="EL30" s="1264"/>
      <c r="EM30" s="1264"/>
      <c r="EN30" s="1264"/>
      <c r="EO30" s="1264"/>
      <c r="EP30" s="1264"/>
      <c r="EQ30" s="1264"/>
      <c r="ER30" s="1264"/>
      <c r="ES30" s="1264"/>
      <c r="ET30" s="1264"/>
      <c r="EU30" s="1264"/>
      <c r="EV30" s="1264"/>
      <c r="EW30" s="1264"/>
      <c r="EX30" s="1264"/>
      <c r="EY30" s="1264"/>
      <c r="EZ30" s="1264"/>
      <c r="FA30" s="1264"/>
      <c r="FB30" s="1264"/>
      <c r="FC30" s="1264"/>
      <c r="FD30" s="1264"/>
      <c r="FE30" s="1264"/>
      <c r="FF30" s="1264"/>
      <c r="FG30" s="1264"/>
      <c r="FH30" s="1264"/>
      <c r="FI30" s="1264"/>
      <c r="FJ30" s="1264"/>
      <c r="FK30" s="1264"/>
      <c r="FL30" s="1264"/>
      <c r="FM30" s="1264"/>
      <c r="FN30" s="1264"/>
      <c r="FO30" s="1264"/>
      <c r="FP30" s="1283"/>
      <c r="FQ30" s="1284"/>
      <c r="FR30" s="1283"/>
      <c r="FS30" s="1284"/>
      <c r="FT30" s="1283"/>
      <c r="FU30" s="1284"/>
      <c r="FV30" s="1264"/>
      <c r="FW30" s="1264"/>
      <c r="FX30" s="1264"/>
      <c r="FY30" s="1264"/>
      <c r="FZ30" s="1264"/>
      <c r="GA30" s="1264"/>
      <c r="GB30" s="1264"/>
      <c r="GC30" s="1264"/>
      <c r="GD30" s="1264"/>
      <c r="GE30" s="1264"/>
      <c r="GF30" s="1264"/>
      <c r="GG30" s="1264"/>
      <c r="GH30" s="1264"/>
      <c r="GI30" s="1264"/>
      <c r="GJ30" s="1264"/>
      <c r="GK30" s="1264"/>
      <c r="GL30" s="1264"/>
      <c r="GM30" s="1264"/>
      <c r="GN30" s="1264"/>
      <c r="GO30" s="1264"/>
      <c r="GP30" s="1264"/>
      <c r="GQ30" s="1264"/>
      <c r="GR30" s="1264"/>
      <c r="GS30" s="1264"/>
      <c r="GT30" s="1264"/>
      <c r="GU30" s="1264"/>
      <c r="GV30" s="1264"/>
      <c r="GW30" s="1264"/>
      <c r="GX30" s="1264"/>
      <c r="GY30" s="1264"/>
      <c r="GZ30" s="1264"/>
      <c r="HA30" s="1264"/>
      <c r="HB30" s="1264"/>
      <c r="HC30" s="1264"/>
      <c r="HD30" s="1264"/>
      <c r="HE30" s="1264"/>
      <c r="HF30" s="1264"/>
      <c r="HG30" s="1264"/>
      <c r="HH30" s="1264"/>
      <c r="HI30" s="1264"/>
      <c r="HJ30" s="1264"/>
      <c r="HK30" s="1264"/>
    </row>
    <row r="31" spans="1:219">
      <c r="A31" s="1299"/>
      <c r="B31" s="1300"/>
      <c r="C31" s="1299"/>
      <c r="D31" s="1301"/>
      <c r="E31" s="1301"/>
      <c r="F31" s="1302"/>
      <c r="G31" s="1301"/>
      <c r="H31" s="726"/>
      <c r="I31" s="1303"/>
      <c r="J31" s="1304"/>
      <c r="K31" s="786" t="s">
        <v>293</v>
      </c>
      <c r="L31" s="1255">
        <f>(L29*L30*$G$29)*$L$8</f>
        <v>0</v>
      </c>
      <c r="M31" s="1256"/>
      <c r="N31" s="1255">
        <f>(N29*N30*$G$29)*$L$8</f>
        <v>0</v>
      </c>
      <c r="O31" s="1256"/>
      <c r="P31" s="1255">
        <f>(P29*P30*$G$29)*$L$8</f>
        <v>0</v>
      </c>
      <c r="Q31" s="1256"/>
      <c r="R31" s="1255">
        <f>(R29*R30*$G$29)*$L$8</f>
        <v>0</v>
      </c>
      <c r="S31" s="1256"/>
      <c r="T31" s="1255">
        <f>(T29*T30*$G$29)*$T$8</f>
        <v>0</v>
      </c>
      <c r="U31" s="1256"/>
      <c r="V31" s="1255">
        <f>(V29*V30*$G$29)*$T$8</f>
        <v>0</v>
      </c>
      <c r="W31" s="1256"/>
      <c r="X31" s="1255">
        <f>(X29*X30*$G$29)*$T$8</f>
        <v>0</v>
      </c>
      <c r="Y31" s="1256"/>
      <c r="Z31" s="1255">
        <f>(Z29*Z30*$G$29)*$T$8</f>
        <v>0</v>
      </c>
      <c r="AA31" s="1256"/>
      <c r="AB31" s="1255">
        <f>(AB29*AB30*$G$29)*$AB$8</f>
        <v>0</v>
      </c>
      <c r="AC31" s="1256"/>
      <c r="AD31" s="1255">
        <f>(AD29*AD30*$G$29)*$AB$8</f>
        <v>0</v>
      </c>
      <c r="AE31" s="1256"/>
      <c r="AF31" s="1255">
        <f>(AF29*AF30*$G$29)*$AB$8</f>
        <v>0</v>
      </c>
      <c r="AG31" s="1256"/>
      <c r="AH31" s="1255">
        <f>(AH29*AH30*$G$29)*$AB$8</f>
        <v>0</v>
      </c>
      <c r="AI31" s="1256"/>
      <c r="AJ31" s="1255">
        <f>(AJ29*AJ30*$G$29)*$AJ$8</f>
        <v>0</v>
      </c>
      <c r="AK31" s="1256"/>
      <c r="AL31" s="1255">
        <f>(AL29*AL30*$G$29)*$AJ$8</f>
        <v>14272.000000000002</v>
      </c>
      <c r="AM31" s="1256"/>
      <c r="AN31" s="1255">
        <f>(AN29*AN30*$G$29)*$AJ$8</f>
        <v>14272.000000000002</v>
      </c>
      <c r="AO31" s="1256"/>
      <c r="AP31" s="1255">
        <f>(AP29*AP30*$G$29)*$AJ$8</f>
        <v>11455.999999999998</v>
      </c>
      <c r="AQ31" s="1256"/>
      <c r="AR31" s="1255">
        <f>(AR29*AR30*$G$29)*$AJ$8</f>
        <v>0</v>
      </c>
      <c r="AS31" s="1256"/>
      <c r="AT31" s="1255">
        <f>(AT29*AT30*$G$29)*$AT$8</f>
        <v>0</v>
      </c>
      <c r="AU31" s="1256"/>
      <c r="AV31" s="1255">
        <f>(AV29*AV30*$G$29)*$AT$8</f>
        <v>0</v>
      </c>
      <c r="AW31" s="1256"/>
      <c r="AX31" s="1255">
        <f>(AX29*AX30*$G$29)*$AT$8</f>
        <v>0</v>
      </c>
      <c r="AY31" s="1256"/>
      <c r="AZ31" s="1255">
        <f>(AZ29*AZ30*$G$29)*$AT$8</f>
        <v>0</v>
      </c>
      <c r="BA31" s="1256"/>
      <c r="BB31" s="1255">
        <f>(BB29*BB30*$G$29)*$BB$8</f>
        <v>0</v>
      </c>
      <c r="BC31" s="1256"/>
      <c r="BD31" s="1255">
        <f>(BD29*BD30*$G$29)*$BB$8</f>
        <v>0</v>
      </c>
      <c r="BE31" s="1256"/>
      <c r="BF31" s="1255">
        <f>(BF29*BF30*$G$29)*$BB$8</f>
        <v>0</v>
      </c>
      <c r="BG31" s="1256"/>
      <c r="BH31" s="1255">
        <f>(BH29*BH30*$G$29)*$BB$8</f>
        <v>0</v>
      </c>
      <c r="BI31" s="1256"/>
      <c r="BJ31" s="1255">
        <f>(BJ29*BJ30*$G$29)*$BJ$8</f>
        <v>0</v>
      </c>
      <c r="BK31" s="1256"/>
      <c r="BL31" s="1255">
        <f>(BL29*BL30*$G$29)*$BJ$8</f>
        <v>0</v>
      </c>
      <c r="BM31" s="1256"/>
      <c r="BN31" s="1255">
        <f>(BN29*BN30*$G$29)*$BJ$8</f>
        <v>0</v>
      </c>
      <c r="BO31" s="1256"/>
      <c r="BP31" s="1255">
        <f>(BP29*BP30*$G$29)*$BJ$8</f>
        <v>0</v>
      </c>
      <c r="BQ31" s="1256"/>
      <c r="BR31" s="1255">
        <f>(BR29*BR30*$G$29)*$BJ$8</f>
        <v>0</v>
      </c>
      <c r="BS31" s="1256"/>
      <c r="BT31" s="1255">
        <f>(BT29*BT30*$G$29)*$BT$8</f>
        <v>0</v>
      </c>
      <c r="BU31" s="1256"/>
      <c r="BV31" s="1255">
        <f>(BV29*BV30*$G$29)*$BT$8</f>
        <v>0</v>
      </c>
      <c r="BW31" s="1256"/>
      <c r="BX31" s="1255">
        <f>(BX29*BX30*$G$29)*$BT$8</f>
        <v>0</v>
      </c>
      <c r="BY31" s="1256"/>
      <c r="BZ31" s="1255">
        <f>(BZ29*BZ30*$G$29)*$BT$8</f>
        <v>0</v>
      </c>
      <c r="CA31" s="1256"/>
      <c r="CB31" s="1255">
        <f>(CB29*CB30*$G$29)*$CB$8</f>
        <v>0</v>
      </c>
      <c r="CC31" s="1256"/>
      <c r="CD31" s="1255">
        <f>(CD29*CD30*$G$29)*$CB$8</f>
        <v>0</v>
      </c>
      <c r="CE31" s="1256"/>
      <c r="CF31" s="1255">
        <f>(CF29*CF30*$G$29)*$CB$8</f>
        <v>0</v>
      </c>
      <c r="CG31" s="1256"/>
      <c r="CH31" s="1255">
        <f>(CH29*CH30*$G$29)*$CB$8</f>
        <v>0</v>
      </c>
      <c r="CI31" s="1256"/>
      <c r="CJ31" s="1255">
        <f>(CJ29*CJ30*$G$29)*$CJ$8</f>
        <v>0</v>
      </c>
      <c r="CK31" s="1256"/>
      <c r="CL31" s="1255">
        <f>(CL29*CL30*$G$29)*$CJ$8</f>
        <v>0</v>
      </c>
      <c r="CM31" s="1256"/>
      <c r="CN31" s="1255">
        <f>(CN29*CN30*$G$29)*$CJ$8</f>
        <v>0</v>
      </c>
      <c r="CO31" s="1256"/>
      <c r="CP31" s="1255">
        <f>(CP29*CP30*$G$29)*$CJ$8</f>
        <v>0</v>
      </c>
      <c r="CQ31" s="1256"/>
      <c r="CR31" s="1255">
        <f>(CR29*CR30*$G$29)*$CJ$8</f>
        <v>0</v>
      </c>
      <c r="CS31" s="1256"/>
      <c r="CT31" s="1255">
        <f>(CT29*CT30*$G$29)*$CT$8</f>
        <v>0</v>
      </c>
      <c r="CU31" s="1256"/>
      <c r="CV31" s="1255">
        <f>(CV29*CV30*$G$29)*$CT$8</f>
        <v>0</v>
      </c>
      <c r="CW31" s="1256"/>
      <c r="CX31" s="1255">
        <f>(CX29*CX30*$G$29)*$CT$8</f>
        <v>0</v>
      </c>
      <c r="CY31" s="1256"/>
      <c r="CZ31" s="1255">
        <f>(CZ29*CZ30*$G$29)*$CT$8</f>
        <v>0</v>
      </c>
      <c r="DA31" s="1256"/>
      <c r="DB31" s="1255">
        <f>(DB29*DB30*$G$29)*$DB$8</f>
        <v>0</v>
      </c>
      <c r="DC31" s="1256"/>
      <c r="DD31" s="1255">
        <f>(DD29*DD30*$G$29)*$DB$8</f>
        <v>0</v>
      </c>
      <c r="DE31" s="1256"/>
      <c r="DF31" s="1255">
        <f>(DF29*DF30*$G$29)*$DB$8</f>
        <v>0</v>
      </c>
      <c r="DG31" s="1256"/>
      <c r="DH31" s="1255">
        <f>(DH29*DH30*$G$29)*$DB$8</f>
        <v>0</v>
      </c>
      <c r="DI31" s="1256"/>
      <c r="DJ31" s="1257">
        <f>(DJ29*DJ30*$G$29)*$DB$8</f>
        <v>0</v>
      </c>
      <c r="DK31" s="1258"/>
      <c r="DL31" s="1255">
        <f>(DL29*DL30*$G$29)*$DL$8</f>
        <v>0</v>
      </c>
      <c r="DM31" s="1256"/>
      <c r="DN31" s="1255">
        <f>(DN29*DN30*$G$29)*$DL$8</f>
        <v>0</v>
      </c>
      <c r="DO31" s="1256"/>
      <c r="DP31" s="1255">
        <f>(DP29*DP30*$G$29)*$DL$8</f>
        <v>0</v>
      </c>
      <c r="DQ31" s="1256"/>
      <c r="DR31" s="1255">
        <f>(DR29*DR30*$G$29)*$DL$8</f>
        <v>0</v>
      </c>
      <c r="DS31" s="1256"/>
      <c r="DT31" s="1255">
        <f>(DT29*DT30*$G$29)*$DT$8</f>
        <v>0</v>
      </c>
      <c r="DU31" s="1256"/>
      <c r="DV31" s="1255">
        <f>(DV29*DV30*$G$29)*$DT$8</f>
        <v>0</v>
      </c>
      <c r="DW31" s="1256"/>
      <c r="DX31" s="1255">
        <f>(DX29*DX30*$G$29)*$DT$8</f>
        <v>0</v>
      </c>
      <c r="DY31" s="1256"/>
      <c r="DZ31" s="1255">
        <f>(DZ29*DZ30*$G$29)*$DT$8</f>
        <v>0</v>
      </c>
      <c r="EA31" s="1256"/>
      <c r="EB31" s="1255">
        <f>(EB29*EB30*$G$29)*$EB$8</f>
        <v>0</v>
      </c>
      <c r="EC31" s="1256"/>
      <c r="ED31" s="1255">
        <f>(ED29*ED30*$G$29)*$EB$8</f>
        <v>0</v>
      </c>
      <c r="EE31" s="1256"/>
      <c r="EF31" s="1255">
        <f>(EF29*EF30*$G$29)*$EB$8</f>
        <v>0</v>
      </c>
      <c r="EG31" s="1256"/>
      <c r="EH31" s="1255">
        <f>(EH29*EH30*$G$29)*$EB$8</f>
        <v>0</v>
      </c>
      <c r="EI31" s="1256"/>
      <c r="EJ31" s="1255">
        <f>(EJ29*EJ30*$G$29)*$EJ$8</f>
        <v>0</v>
      </c>
      <c r="EK31" s="1256"/>
      <c r="EL31" s="1255">
        <f>(EL29*EL30*$G$29)*$EJ$8</f>
        <v>0</v>
      </c>
      <c r="EM31" s="1256"/>
      <c r="EN31" s="1255">
        <f>(EN29*EN30*$G$29)*$EJ$8</f>
        <v>0</v>
      </c>
      <c r="EO31" s="1256"/>
      <c r="EP31" s="1255">
        <f>(EP29*EP30*$G$29)*$EJ$8</f>
        <v>0</v>
      </c>
      <c r="EQ31" s="1256"/>
      <c r="ER31" s="1255">
        <f>(ER29*ER30*$G$29)*$EJ$8</f>
        <v>0</v>
      </c>
      <c r="ES31" s="1256"/>
      <c r="ET31" s="1255">
        <f>(ET29*ET30*$G$29)*$ET$8</f>
        <v>0</v>
      </c>
      <c r="EU31" s="1256"/>
      <c r="EV31" s="1255">
        <f>(EV29*EV30*$G$29)*$ET$8</f>
        <v>0</v>
      </c>
      <c r="EW31" s="1256"/>
      <c r="EX31" s="1255">
        <f>(EX29*EX30*$G$29)*$ET$8</f>
        <v>0</v>
      </c>
      <c r="EY31" s="1256"/>
      <c r="EZ31" s="1255">
        <f>(EZ29*EZ30*$G$29)*$ET$8</f>
        <v>0</v>
      </c>
      <c r="FA31" s="1256"/>
      <c r="FB31" s="1255">
        <f>(FB29*FB30*$G$29)*$FB$8</f>
        <v>0</v>
      </c>
      <c r="FC31" s="1256"/>
      <c r="FD31" s="1255">
        <f>(FD29*FD30*$G$29)*$FB$8</f>
        <v>0</v>
      </c>
      <c r="FE31" s="1256"/>
      <c r="FF31" s="1255">
        <f>(FF29*FF30*$G$29)*$FB$8</f>
        <v>0</v>
      </c>
      <c r="FG31" s="1256"/>
      <c r="FH31" s="1255">
        <f>(FH29*FH30*$G$29)*$FB$8</f>
        <v>0</v>
      </c>
      <c r="FI31" s="1256"/>
      <c r="FJ31" s="1255">
        <f>(FJ29*FJ30*$G$29)*$FB$8</f>
        <v>0</v>
      </c>
      <c r="FK31" s="1256"/>
      <c r="FL31" s="1255">
        <f>(FL29*FL30*$G$29)*$FL$8</f>
        <v>0</v>
      </c>
      <c r="FM31" s="1256"/>
      <c r="FN31" s="1255">
        <f>(FN29*FN30*$G$29)*$FL$8</f>
        <v>0</v>
      </c>
      <c r="FO31" s="1256"/>
      <c r="FP31" s="1255">
        <f>(FP29*FP30*$G$29)*$FL$8</f>
        <v>0</v>
      </c>
      <c r="FQ31" s="1256"/>
      <c r="FR31" s="1255">
        <f>(FR29*FR30*$G$29)*$FL$8</f>
        <v>0</v>
      </c>
      <c r="FS31" s="1256"/>
      <c r="FT31" s="1255">
        <f>(FT29*FT30*$G$29)*$FT$8</f>
        <v>0</v>
      </c>
      <c r="FU31" s="1256"/>
      <c r="FV31" s="1255">
        <f>(FV29*FV30*$G$29)*$FT$8</f>
        <v>0</v>
      </c>
      <c r="FW31" s="1256"/>
      <c r="FX31" s="1255">
        <f>(FX29*FX30*$G$29)*$FT$8</f>
        <v>0</v>
      </c>
      <c r="FY31" s="1256"/>
      <c r="FZ31" s="1255">
        <f>(FZ29*FZ30*$G$29)*$FT$8</f>
        <v>0</v>
      </c>
      <c r="GA31" s="1256"/>
      <c r="GB31" s="1255">
        <f>(GB29*GB30*$G$29)*$FT$8</f>
        <v>0</v>
      </c>
      <c r="GC31" s="1256"/>
      <c r="GD31" s="1255">
        <f>(GD29*GD30*$G$29)*$GD$8</f>
        <v>0</v>
      </c>
      <c r="GE31" s="1256"/>
      <c r="GF31" s="1255">
        <f>(GF29*GF30*$G$29)*$GD$8</f>
        <v>0</v>
      </c>
      <c r="GG31" s="1256"/>
      <c r="GH31" s="1255">
        <f>(GH29*GH30*$G$29)*$GD$8</f>
        <v>0</v>
      </c>
      <c r="GI31" s="1256"/>
      <c r="GJ31" s="1255">
        <f>(GJ29*GJ30*$G$29)*$GD$8</f>
        <v>0</v>
      </c>
      <c r="GK31" s="1256"/>
      <c r="GL31" s="1255">
        <f>(GL29*GL30*$G$29)*$GL$8</f>
        <v>0</v>
      </c>
      <c r="GM31" s="1256"/>
      <c r="GN31" s="1255">
        <f>(GN29*GN30*$G$29)*$GL$8</f>
        <v>0</v>
      </c>
      <c r="GO31" s="1256"/>
      <c r="GP31" s="1255">
        <f>(GP29*GP30*$G$29)*$GL$8</f>
        <v>0</v>
      </c>
      <c r="GQ31" s="1256"/>
      <c r="GR31" s="1255">
        <f>(GR29*GR30*$G$29)*$GL$8</f>
        <v>0</v>
      </c>
      <c r="GS31" s="1256"/>
      <c r="GT31" s="1255">
        <f>(GT29*GT30*$G$29)*$GT$8</f>
        <v>0</v>
      </c>
      <c r="GU31" s="1256"/>
      <c r="GV31" s="1255">
        <f>(GV29*GV30*$G$29)*$GT$8</f>
        <v>0</v>
      </c>
      <c r="GW31" s="1256"/>
      <c r="GX31" s="1255">
        <f>(GX29*GX30*$G$29)*$GT$8</f>
        <v>0</v>
      </c>
      <c r="GY31" s="1256"/>
      <c r="GZ31" s="1255">
        <f>(GZ29*GZ30*$G$29)*$GT$8</f>
        <v>0</v>
      </c>
      <c r="HA31" s="1256"/>
      <c r="HB31" s="1255">
        <f>(HB29*HB30*$G$29)*$GT$8</f>
        <v>0</v>
      </c>
      <c r="HC31" s="1256"/>
      <c r="HD31" s="1255">
        <f>(HD29*HD30*$G$29)*$GT$8</f>
        <v>0</v>
      </c>
      <c r="HE31" s="1256"/>
      <c r="HF31" s="1255">
        <f>(HF29*HF30*$G$29)*$GT$8</f>
        <v>0</v>
      </c>
      <c r="HG31" s="1256"/>
      <c r="HH31" s="1255">
        <f>(HH29*HH30*$G$29)*$GT$8</f>
        <v>0</v>
      </c>
      <c r="HI31" s="1256"/>
      <c r="HJ31" s="1255">
        <f>(HJ29*HJ30*$G$29)*$GT$8</f>
        <v>0</v>
      </c>
      <c r="HK31" s="1256"/>
    </row>
    <row r="32" spans="1:219">
      <c r="A32" s="1299"/>
      <c r="B32" s="1300"/>
      <c r="C32" s="1299"/>
      <c r="D32" s="1301"/>
      <c r="E32" s="1301"/>
      <c r="F32" s="1302"/>
      <c r="G32" s="1301"/>
      <c r="H32" s="726"/>
      <c r="I32" s="1303"/>
      <c r="J32" s="1304"/>
      <c r="K32" s="787" t="s">
        <v>294</v>
      </c>
      <c r="L32" s="1272">
        <f>L31</f>
        <v>0</v>
      </c>
      <c r="M32" s="1273"/>
      <c r="N32" s="1272">
        <f>L32+N31</f>
        <v>0</v>
      </c>
      <c r="O32" s="1273"/>
      <c r="P32" s="1272">
        <f>N32+P31</f>
        <v>0</v>
      </c>
      <c r="Q32" s="1273"/>
      <c r="R32" s="1272">
        <f>P32+R31</f>
        <v>0</v>
      </c>
      <c r="S32" s="1273"/>
      <c r="T32" s="1272">
        <f>R32+T31</f>
        <v>0</v>
      </c>
      <c r="U32" s="1273"/>
      <c r="V32" s="1272">
        <f>T32+V31</f>
        <v>0</v>
      </c>
      <c r="W32" s="1273"/>
      <c r="X32" s="1272">
        <f>V32+X31</f>
        <v>0</v>
      </c>
      <c r="Y32" s="1273"/>
      <c r="Z32" s="1272">
        <f>X32+Z31</f>
        <v>0</v>
      </c>
      <c r="AA32" s="1273"/>
      <c r="AB32" s="1272">
        <f>Z32+AB31</f>
        <v>0</v>
      </c>
      <c r="AC32" s="1273"/>
      <c r="AD32" s="1272">
        <f>AB32+AD31</f>
        <v>0</v>
      </c>
      <c r="AE32" s="1273"/>
      <c r="AF32" s="1272">
        <f>AD32+AF31</f>
        <v>0</v>
      </c>
      <c r="AG32" s="1273"/>
      <c r="AH32" s="1272">
        <f>AF32+AH31</f>
        <v>0</v>
      </c>
      <c r="AI32" s="1273"/>
      <c r="AJ32" s="1272">
        <f>AH32+AJ31</f>
        <v>0</v>
      </c>
      <c r="AK32" s="1273"/>
      <c r="AL32" s="1272">
        <f>AJ32+AL31</f>
        <v>14272.000000000002</v>
      </c>
      <c r="AM32" s="1273"/>
      <c r="AN32" s="1272">
        <f>AL32+AN31</f>
        <v>28544.000000000004</v>
      </c>
      <c r="AO32" s="1273"/>
      <c r="AP32" s="1272">
        <f>AN32+AP31</f>
        <v>40000</v>
      </c>
      <c r="AQ32" s="1273"/>
      <c r="AR32" s="1272">
        <f>AP32+AR31</f>
        <v>40000</v>
      </c>
      <c r="AS32" s="1273"/>
      <c r="AT32" s="1272">
        <f>AR32+AT31</f>
        <v>40000</v>
      </c>
      <c r="AU32" s="1273"/>
      <c r="AV32" s="1272">
        <f>AT32+AV31</f>
        <v>40000</v>
      </c>
      <c r="AW32" s="1273"/>
      <c r="AX32" s="1272">
        <f>AV32+AX31</f>
        <v>40000</v>
      </c>
      <c r="AY32" s="1273"/>
      <c r="AZ32" s="1272">
        <f>AX32+AZ31</f>
        <v>40000</v>
      </c>
      <c r="BA32" s="1273"/>
      <c r="BB32" s="1272">
        <f>AZ32+BB31</f>
        <v>40000</v>
      </c>
      <c r="BC32" s="1273"/>
      <c r="BD32" s="1272">
        <f>BB32+BD31</f>
        <v>40000</v>
      </c>
      <c r="BE32" s="1273"/>
      <c r="BF32" s="1272">
        <f>BD32+BF31</f>
        <v>40000</v>
      </c>
      <c r="BG32" s="1273"/>
      <c r="BH32" s="1272">
        <f>BF32+BH31</f>
        <v>40000</v>
      </c>
      <c r="BI32" s="1273"/>
      <c r="BJ32" s="1272">
        <f>BH32+BJ31</f>
        <v>40000</v>
      </c>
      <c r="BK32" s="1273"/>
      <c r="BL32" s="1272">
        <f>BJ32+BL31</f>
        <v>40000</v>
      </c>
      <c r="BM32" s="1273"/>
      <c r="BN32" s="1272">
        <f>BL32+BN31</f>
        <v>40000</v>
      </c>
      <c r="BO32" s="1273"/>
      <c r="BP32" s="1272">
        <f>BN32+BP31</f>
        <v>40000</v>
      </c>
      <c r="BQ32" s="1273"/>
      <c r="BR32" s="1272">
        <f>BP32+BR31</f>
        <v>40000</v>
      </c>
      <c r="BS32" s="1273"/>
      <c r="BT32" s="1272">
        <f>BR32+BT31</f>
        <v>40000</v>
      </c>
      <c r="BU32" s="1273"/>
      <c r="BV32" s="1272">
        <f>BT32+BV31</f>
        <v>40000</v>
      </c>
      <c r="BW32" s="1273"/>
      <c r="BX32" s="1272">
        <f>BV32+BX31</f>
        <v>40000</v>
      </c>
      <c r="BY32" s="1273"/>
      <c r="BZ32" s="1272">
        <f>BX32+BZ31</f>
        <v>40000</v>
      </c>
      <c r="CA32" s="1273"/>
      <c r="CB32" s="1272">
        <f>BZ32+CB31</f>
        <v>40000</v>
      </c>
      <c r="CC32" s="1273"/>
      <c r="CD32" s="1272">
        <f>CB32+CD31</f>
        <v>40000</v>
      </c>
      <c r="CE32" s="1273"/>
      <c r="CF32" s="1272">
        <f>CD32+CF31</f>
        <v>40000</v>
      </c>
      <c r="CG32" s="1273"/>
      <c r="CH32" s="1272">
        <f>CF32+CH31</f>
        <v>40000</v>
      </c>
      <c r="CI32" s="1273"/>
      <c r="CJ32" s="1272">
        <f>CH32+CJ31</f>
        <v>40000</v>
      </c>
      <c r="CK32" s="1273"/>
      <c r="CL32" s="1272">
        <f>CJ32+CL31</f>
        <v>40000</v>
      </c>
      <c r="CM32" s="1273"/>
      <c r="CN32" s="1272">
        <f>CL32+CN31</f>
        <v>40000</v>
      </c>
      <c r="CO32" s="1273"/>
      <c r="CP32" s="1272">
        <f>CN32+CP31</f>
        <v>40000</v>
      </c>
      <c r="CQ32" s="1273"/>
      <c r="CR32" s="1272">
        <f>CP32+CR31</f>
        <v>40000</v>
      </c>
      <c r="CS32" s="1273"/>
      <c r="CT32" s="1272">
        <f>CR32+CT31</f>
        <v>40000</v>
      </c>
      <c r="CU32" s="1273"/>
      <c r="CV32" s="1272">
        <f>CT32+CV31</f>
        <v>40000</v>
      </c>
      <c r="CW32" s="1273"/>
      <c r="CX32" s="1272">
        <f>CV32+CX31</f>
        <v>40000</v>
      </c>
      <c r="CY32" s="1273"/>
      <c r="CZ32" s="1272">
        <f>CX32+CZ31</f>
        <v>40000</v>
      </c>
      <c r="DA32" s="1273"/>
      <c r="DB32" s="1272">
        <f>CZ32+DB31</f>
        <v>40000</v>
      </c>
      <c r="DC32" s="1273"/>
      <c r="DD32" s="1272">
        <f>DB32+DD31</f>
        <v>40000</v>
      </c>
      <c r="DE32" s="1273"/>
      <c r="DF32" s="1272">
        <f>DD32+DF31</f>
        <v>40000</v>
      </c>
      <c r="DG32" s="1273"/>
      <c r="DH32" s="1272">
        <f>DF32+DH31</f>
        <v>40000</v>
      </c>
      <c r="DI32" s="1273"/>
      <c r="DJ32" s="1323">
        <f>DH32+DJ31</f>
        <v>40000</v>
      </c>
      <c r="DK32" s="1324"/>
      <c r="DL32" s="1272">
        <f>DJ32+DL31</f>
        <v>40000</v>
      </c>
      <c r="DM32" s="1273"/>
      <c r="DN32" s="1272">
        <f>DL32+DN31</f>
        <v>40000</v>
      </c>
      <c r="DO32" s="1273"/>
      <c r="DP32" s="1272">
        <f>DN32+DP31</f>
        <v>40000</v>
      </c>
      <c r="DQ32" s="1273"/>
      <c r="DR32" s="1272">
        <f>DP32+DR31</f>
        <v>40000</v>
      </c>
      <c r="DS32" s="1273"/>
      <c r="DT32" s="1272">
        <f>DR32+DT31</f>
        <v>40000</v>
      </c>
      <c r="DU32" s="1273"/>
      <c r="DV32" s="1272">
        <f>DT32+DV31</f>
        <v>40000</v>
      </c>
      <c r="DW32" s="1273"/>
      <c r="DX32" s="1272">
        <f>DV32+DX31</f>
        <v>40000</v>
      </c>
      <c r="DY32" s="1273"/>
      <c r="DZ32" s="1272">
        <f>DX32+DZ31</f>
        <v>40000</v>
      </c>
      <c r="EA32" s="1273"/>
      <c r="EB32" s="1272">
        <f>DZ32+EB31</f>
        <v>40000</v>
      </c>
      <c r="EC32" s="1273"/>
      <c r="ED32" s="1272">
        <f>EB32+ED31</f>
        <v>40000</v>
      </c>
      <c r="EE32" s="1273"/>
      <c r="EF32" s="1272">
        <f>ED32+EF31</f>
        <v>40000</v>
      </c>
      <c r="EG32" s="1273"/>
      <c r="EH32" s="1272">
        <f>EF32+EH31</f>
        <v>40000</v>
      </c>
      <c r="EI32" s="1273"/>
      <c r="EJ32" s="1272">
        <f>EH32+EJ31</f>
        <v>40000</v>
      </c>
      <c r="EK32" s="1273"/>
      <c r="EL32" s="1272">
        <f>EJ32+EL31</f>
        <v>40000</v>
      </c>
      <c r="EM32" s="1273"/>
      <c r="EN32" s="1272">
        <f>EL32+EN31</f>
        <v>40000</v>
      </c>
      <c r="EO32" s="1273"/>
      <c r="EP32" s="1272">
        <f>EN32+EP31</f>
        <v>40000</v>
      </c>
      <c r="EQ32" s="1273"/>
      <c r="ER32" s="1272">
        <f>EP32+ER31</f>
        <v>40000</v>
      </c>
      <c r="ES32" s="1273"/>
      <c r="ET32" s="1272">
        <f>ER32+ET31</f>
        <v>40000</v>
      </c>
      <c r="EU32" s="1273"/>
      <c r="EV32" s="1272">
        <f>ET32+EV31</f>
        <v>40000</v>
      </c>
      <c r="EW32" s="1273"/>
      <c r="EX32" s="1272">
        <f>EV32+EX31</f>
        <v>40000</v>
      </c>
      <c r="EY32" s="1273"/>
      <c r="EZ32" s="1272">
        <f>EX32+EZ31</f>
        <v>40000</v>
      </c>
      <c r="FA32" s="1273"/>
      <c r="FB32" s="1272">
        <f>EZ32+FB31</f>
        <v>40000</v>
      </c>
      <c r="FC32" s="1273"/>
      <c r="FD32" s="1272">
        <f>FB32+FD31</f>
        <v>40000</v>
      </c>
      <c r="FE32" s="1273"/>
      <c r="FF32" s="1272">
        <f>FD32+FF31</f>
        <v>40000</v>
      </c>
      <c r="FG32" s="1273"/>
      <c r="FH32" s="1272">
        <f>FF32+FH31</f>
        <v>40000</v>
      </c>
      <c r="FI32" s="1273"/>
      <c r="FJ32" s="1272">
        <f>FH32+FJ31</f>
        <v>40000</v>
      </c>
      <c r="FK32" s="1273"/>
      <c r="FL32" s="1272">
        <f>FJ32+FL31</f>
        <v>40000</v>
      </c>
      <c r="FM32" s="1273"/>
      <c r="FN32" s="1272">
        <f>FL32+FN31</f>
        <v>40000</v>
      </c>
      <c r="FO32" s="1273"/>
      <c r="FP32" s="1272">
        <f>FN32+FP31</f>
        <v>40000</v>
      </c>
      <c r="FQ32" s="1273"/>
      <c r="FR32" s="1272">
        <f>FP32+FR31</f>
        <v>40000</v>
      </c>
      <c r="FS32" s="1273"/>
      <c r="FT32" s="1272">
        <f>FR32+FT31</f>
        <v>40000</v>
      </c>
      <c r="FU32" s="1273"/>
      <c r="FV32" s="1272">
        <f>FT32+FV31</f>
        <v>40000</v>
      </c>
      <c r="FW32" s="1273"/>
      <c r="FX32" s="1272">
        <f>FV32+FX31</f>
        <v>40000</v>
      </c>
      <c r="FY32" s="1273"/>
      <c r="FZ32" s="1272">
        <f>FX32+FZ31</f>
        <v>40000</v>
      </c>
      <c r="GA32" s="1273"/>
      <c r="GB32" s="1272">
        <f>FZ32+GB31</f>
        <v>40000</v>
      </c>
      <c r="GC32" s="1273"/>
      <c r="GD32" s="1272">
        <f>GB32+GD31</f>
        <v>40000</v>
      </c>
      <c r="GE32" s="1273"/>
      <c r="GF32" s="1272">
        <f>GD32+GF31</f>
        <v>40000</v>
      </c>
      <c r="GG32" s="1273"/>
      <c r="GH32" s="1272">
        <f>GF32+GH31</f>
        <v>40000</v>
      </c>
      <c r="GI32" s="1273"/>
      <c r="GJ32" s="1272">
        <f>GH32+GJ31</f>
        <v>40000</v>
      </c>
      <c r="GK32" s="1273"/>
      <c r="GL32" s="1272">
        <f>GJ32+GL31</f>
        <v>40000</v>
      </c>
      <c r="GM32" s="1273"/>
      <c r="GN32" s="1272">
        <f>GL32+GN31</f>
        <v>40000</v>
      </c>
      <c r="GO32" s="1273"/>
      <c r="GP32" s="1272">
        <f>GN32+GP31</f>
        <v>40000</v>
      </c>
      <c r="GQ32" s="1273"/>
      <c r="GR32" s="1272">
        <f>GP32+GR31</f>
        <v>40000</v>
      </c>
      <c r="GS32" s="1273"/>
      <c r="GT32" s="1272">
        <f>GR32+GT31</f>
        <v>40000</v>
      </c>
      <c r="GU32" s="1273"/>
      <c r="GV32" s="1272">
        <f>GT32+GV31</f>
        <v>40000</v>
      </c>
      <c r="GW32" s="1273"/>
      <c r="GX32" s="1272">
        <f>GV32+GX31</f>
        <v>40000</v>
      </c>
      <c r="GY32" s="1273"/>
      <c r="GZ32" s="1272">
        <f>GX32+GZ31</f>
        <v>40000</v>
      </c>
      <c r="HA32" s="1273"/>
      <c r="HB32" s="1272">
        <f>GZ32+HB31</f>
        <v>40000</v>
      </c>
      <c r="HC32" s="1273"/>
      <c r="HD32" s="1272">
        <f>HB32+HD31</f>
        <v>40000</v>
      </c>
      <c r="HE32" s="1273"/>
      <c r="HF32" s="1272">
        <f>HD32+HF31</f>
        <v>40000</v>
      </c>
      <c r="HG32" s="1273"/>
      <c r="HH32" s="1272">
        <f>HF32+HH31</f>
        <v>40000</v>
      </c>
      <c r="HI32" s="1273"/>
      <c r="HJ32" s="1272">
        <f>HH32+HJ31</f>
        <v>40000</v>
      </c>
      <c r="HK32" s="1273"/>
    </row>
    <row r="33" spans="1:219" s="19" customFormat="1">
      <c r="A33" s="1299"/>
      <c r="B33" s="1300"/>
      <c r="C33" s="1299"/>
      <c r="D33" s="1301"/>
      <c r="E33" s="1301"/>
      <c r="F33" s="1302"/>
      <c r="G33" s="1301"/>
      <c r="H33" s="788"/>
      <c r="I33" s="1303"/>
      <c r="J33" s="1304"/>
      <c r="K33" s="789" t="s">
        <v>295</v>
      </c>
      <c r="L33" s="1266"/>
      <c r="M33" s="1267"/>
      <c r="N33" s="1266"/>
      <c r="O33" s="1267"/>
      <c r="P33" s="1266"/>
      <c r="Q33" s="1267"/>
      <c r="R33" s="1266"/>
      <c r="S33" s="1267"/>
      <c r="T33" s="1266"/>
      <c r="U33" s="1267"/>
      <c r="V33" s="1266"/>
      <c r="W33" s="1267"/>
      <c r="X33" s="1266"/>
      <c r="Y33" s="1267"/>
      <c r="Z33" s="1266"/>
      <c r="AA33" s="1267"/>
      <c r="AB33" s="1266"/>
      <c r="AC33" s="1267"/>
      <c r="AD33" s="1266"/>
      <c r="AE33" s="1267"/>
      <c r="AF33" s="1266"/>
      <c r="AG33" s="1267"/>
      <c r="AH33" s="1266"/>
      <c r="AI33" s="1267"/>
      <c r="AJ33" s="1266"/>
      <c r="AK33" s="1267"/>
      <c r="AL33" s="1266"/>
      <c r="AM33" s="1267"/>
      <c r="AN33" s="1266"/>
      <c r="AO33" s="1267"/>
      <c r="AP33" s="1266"/>
      <c r="AQ33" s="1267"/>
      <c r="AR33" s="1266"/>
      <c r="AS33" s="1267"/>
      <c r="AT33" s="1266"/>
      <c r="AU33" s="1267"/>
      <c r="AV33" s="1266"/>
      <c r="AW33" s="1267"/>
      <c r="AX33" s="1266"/>
      <c r="AY33" s="1267"/>
      <c r="AZ33" s="1266"/>
      <c r="BA33" s="1267"/>
      <c r="BB33" s="1266"/>
      <c r="BC33" s="1267"/>
      <c r="BD33" s="1266"/>
      <c r="BE33" s="1267"/>
      <c r="BF33" s="1266"/>
      <c r="BG33" s="1267"/>
      <c r="BH33" s="1266"/>
      <c r="BI33" s="1267"/>
      <c r="BJ33" s="1266"/>
      <c r="BK33" s="1267"/>
      <c r="BL33" s="1266"/>
      <c r="BM33" s="1267"/>
      <c r="BN33" s="1266"/>
      <c r="BO33" s="1267"/>
      <c r="BP33" s="1266"/>
      <c r="BQ33" s="1267"/>
      <c r="BR33" s="1266"/>
      <c r="BS33" s="1267"/>
      <c r="BT33" s="1266"/>
      <c r="BU33" s="1267"/>
      <c r="BV33" s="1266"/>
      <c r="BW33" s="1267"/>
      <c r="BX33" s="1266"/>
      <c r="BY33" s="1267"/>
      <c r="BZ33" s="1266"/>
      <c r="CA33" s="1267"/>
      <c r="CB33" s="1266"/>
      <c r="CC33" s="1267"/>
      <c r="CD33" s="1266"/>
      <c r="CE33" s="1267"/>
      <c r="CF33" s="1266"/>
      <c r="CG33" s="1267"/>
      <c r="CH33" s="1266"/>
      <c r="CI33" s="1267"/>
      <c r="CJ33" s="1266"/>
      <c r="CK33" s="1267"/>
      <c r="CL33" s="1266"/>
      <c r="CM33" s="1267"/>
      <c r="CN33" s="1266"/>
      <c r="CO33" s="1267"/>
      <c r="CP33" s="1266"/>
      <c r="CQ33" s="1267"/>
      <c r="CR33" s="1266"/>
      <c r="CS33" s="1267"/>
      <c r="CT33" s="1266"/>
      <c r="CU33" s="1267"/>
      <c r="CV33" s="1266"/>
      <c r="CW33" s="1267"/>
      <c r="CX33" s="1266"/>
      <c r="CY33" s="1267"/>
      <c r="CZ33" s="1266"/>
      <c r="DA33" s="1267"/>
      <c r="DB33" s="1266"/>
      <c r="DC33" s="1267"/>
      <c r="DD33" s="1266"/>
      <c r="DE33" s="1267"/>
      <c r="DF33" s="1266"/>
      <c r="DG33" s="1267"/>
      <c r="DH33" s="1266"/>
      <c r="DI33" s="1267"/>
      <c r="DJ33" s="1268"/>
      <c r="DK33" s="1269"/>
      <c r="DL33" s="1266"/>
      <c r="DM33" s="1267"/>
      <c r="DN33" s="1266"/>
      <c r="DO33" s="1267"/>
      <c r="DP33" s="1266"/>
      <c r="DQ33" s="1267"/>
      <c r="DR33" s="1266"/>
      <c r="DS33" s="1267"/>
      <c r="DT33" s="1266"/>
      <c r="DU33" s="1267"/>
      <c r="DV33" s="1266"/>
      <c r="DW33" s="1267"/>
      <c r="DX33" s="1266"/>
      <c r="DY33" s="1267"/>
      <c r="DZ33" s="1266"/>
      <c r="EA33" s="1267"/>
      <c r="EB33" s="1266"/>
      <c r="EC33" s="1267"/>
      <c r="ED33" s="1266"/>
      <c r="EE33" s="1267"/>
      <c r="EF33" s="1266"/>
      <c r="EG33" s="1267"/>
      <c r="EH33" s="1266"/>
      <c r="EI33" s="1267"/>
      <c r="EJ33" s="1266"/>
      <c r="EK33" s="1267"/>
      <c r="EL33" s="1266"/>
      <c r="EM33" s="1267"/>
      <c r="EN33" s="1266"/>
      <c r="EO33" s="1267"/>
      <c r="EP33" s="1266"/>
      <c r="EQ33" s="1267"/>
      <c r="ER33" s="1266"/>
      <c r="ES33" s="1267"/>
      <c r="ET33" s="1266"/>
      <c r="EU33" s="1267"/>
      <c r="EV33" s="1266"/>
      <c r="EW33" s="1267"/>
      <c r="EX33" s="1266"/>
      <c r="EY33" s="1267"/>
      <c r="EZ33" s="1266"/>
      <c r="FA33" s="1267"/>
      <c r="FB33" s="1266"/>
      <c r="FC33" s="1267"/>
      <c r="FD33" s="1266"/>
      <c r="FE33" s="1267"/>
      <c r="FF33" s="1266"/>
      <c r="FG33" s="1267"/>
      <c r="FH33" s="1266"/>
      <c r="FI33" s="1267"/>
      <c r="FJ33" s="1266"/>
      <c r="FK33" s="1267"/>
      <c r="FL33" s="1266"/>
      <c r="FM33" s="1267"/>
      <c r="FN33" s="1266"/>
      <c r="FO33" s="1267"/>
      <c r="FP33" s="1266"/>
      <c r="FQ33" s="1267"/>
      <c r="FR33" s="1266"/>
      <c r="FS33" s="1267"/>
      <c r="FT33" s="1266"/>
      <c r="FU33" s="1267"/>
      <c r="FV33" s="1266"/>
      <c r="FW33" s="1267"/>
      <c r="FX33" s="1266"/>
      <c r="FY33" s="1267"/>
      <c r="FZ33" s="1266"/>
      <c r="GA33" s="1267"/>
      <c r="GB33" s="1266"/>
      <c r="GC33" s="1267"/>
      <c r="GD33" s="1266"/>
      <c r="GE33" s="1267"/>
      <c r="GF33" s="1266"/>
      <c r="GG33" s="1267"/>
      <c r="GH33" s="1266"/>
      <c r="GI33" s="1267"/>
      <c r="GJ33" s="1266"/>
      <c r="GK33" s="1267"/>
      <c r="GL33" s="1266"/>
      <c r="GM33" s="1267"/>
      <c r="GN33" s="1266"/>
      <c r="GO33" s="1267"/>
      <c r="GP33" s="1266"/>
      <c r="GQ33" s="1267"/>
      <c r="GR33" s="1266"/>
      <c r="GS33" s="1267"/>
      <c r="GT33" s="1266"/>
      <c r="GU33" s="1267"/>
      <c r="GV33" s="1266"/>
      <c r="GW33" s="1267"/>
      <c r="GX33" s="1266"/>
      <c r="GY33" s="1267"/>
      <c r="GZ33" s="1266"/>
      <c r="HA33" s="1267"/>
      <c r="HB33" s="1266"/>
      <c r="HC33" s="1267"/>
      <c r="HD33" s="1266"/>
      <c r="HE33" s="1267"/>
      <c r="HF33" s="1266"/>
      <c r="HG33" s="1267"/>
      <c r="HH33" s="1266"/>
      <c r="HI33" s="1267"/>
      <c r="HJ33" s="1266"/>
      <c r="HK33" s="1267"/>
    </row>
    <row r="34" spans="1:219" s="20" customFormat="1">
      <c r="A34" s="1299"/>
      <c r="B34" s="1300"/>
      <c r="C34" s="1299"/>
      <c r="D34" s="1301"/>
      <c r="E34" s="1301"/>
      <c r="F34" s="1302"/>
      <c r="G34" s="1301"/>
      <c r="H34" s="790"/>
      <c r="I34" s="1303"/>
      <c r="J34" s="1304"/>
      <c r="K34" s="791" t="s">
        <v>296</v>
      </c>
      <c r="L34" s="1259">
        <f>L33</f>
        <v>0</v>
      </c>
      <c r="M34" s="1260"/>
      <c r="N34" s="1259">
        <f>N33+L34</f>
        <v>0</v>
      </c>
      <c r="O34" s="1260"/>
      <c r="P34" s="1259">
        <f>P33+N34</f>
        <v>0</v>
      </c>
      <c r="Q34" s="1260"/>
      <c r="R34" s="1259">
        <f>R33+P34</f>
        <v>0</v>
      </c>
      <c r="S34" s="1260"/>
      <c r="T34" s="1259">
        <f>T33+R34</f>
        <v>0</v>
      </c>
      <c r="U34" s="1260"/>
      <c r="V34" s="1259">
        <f>V33+T34</f>
        <v>0</v>
      </c>
      <c r="W34" s="1260"/>
      <c r="X34" s="1259">
        <f>X33+V34</f>
        <v>0</v>
      </c>
      <c r="Y34" s="1260"/>
      <c r="Z34" s="1259">
        <f>Z33+X34</f>
        <v>0</v>
      </c>
      <c r="AA34" s="1260"/>
      <c r="AB34" s="1259">
        <f>AB33+Z34</f>
        <v>0</v>
      </c>
      <c r="AC34" s="1260"/>
      <c r="AD34" s="1259">
        <f>AD33+AB34</f>
        <v>0</v>
      </c>
      <c r="AE34" s="1260"/>
      <c r="AF34" s="1259">
        <f>AF33+AD34</f>
        <v>0</v>
      </c>
      <c r="AG34" s="1260"/>
      <c r="AH34" s="1259">
        <f>AH33+AF34</f>
        <v>0</v>
      </c>
      <c r="AI34" s="1260"/>
      <c r="AJ34" s="1259">
        <f>AJ33+AH34</f>
        <v>0</v>
      </c>
      <c r="AK34" s="1260"/>
      <c r="AL34" s="1259">
        <f>AL33+AJ34</f>
        <v>0</v>
      </c>
      <c r="AM34" s="1260"/>
      <c r="AN34" s="1259">
        <f>AN33+AL34</f>
        <v>0</v>
      </c>
      <c r="AO34" s="1260"/>
      <c r="AP34" s="1259">
        <f>AP33+AN34</f>
        <v>0</v>
      </c>
      <c r="AQ34" s="1260"/>
      <c r="AR34" s="1259">
        <f>AR33+AP34</f>
        <v>0</v>
      </c>
      <c r="AS34" s="1260"/>
      <c r="AT34" s="1259">
        <f>AT33+AR34</f>
        <v>0</v>
      </c>
      <c r="AU34" s="1260"/>
      <c r="AV34" s="1259">
        <f>AV33+AT34</f>
        <v>0</v>
      </c>
      <c r="AW34" s="1260"/>
      <c r="AX34" s="1259">
        <f>AX33+AV34</f>
        <v>0</v>
      </c>
      <c r="AY34" s="1260"/>
      <c r="AZ34" s="1259">
        <f>AZ33+AX34</f>
        <v>0</v>
      </c>
      <c r="BA34" s="1260"/>
      <c r="BB34" s="1259">
        <f>BB33+AZ34</f>
        <v>0</v>
      </c>
      <c r="BC34" s="1260"/>
      <c r="BD34" s="1259">
        <f>BD33+BB34</f>
        <v>0</v>
      </c>
      <c r="BE34" s="1260"/>
      <c r="BF34" s="1259">
        <f>BF33+BD34</f>
        <v>0</v>
      </c>
      <c r="BG34" s="1260"/>
      <c r="BH34" s="1259">
        <f>BH33+BF34</f>
        <v>0</v>
      </c>
      <c r="BI34" s="1260"/>
      <c r="BJ34" s="1259">
        <f>BJ33+BH34</f>
        <v>0</v>
      </c>
      <c r="BK34" s="1260"/>
      <c r="BL34" s="1259">
        <f>BL33+BJ34</f>
        <v>0</v>
      </c>
      <c r="BM34" s="1260"/>
      <c r="BN34" s="1259">
        <f>BN33+BL34</f>
        <v>0</v>
      </c>
      <c r="BO34" s="1260"/>
      <c r="BP34" s="1259">
        <f>BP33+BN34</f>
        <v>0</v>
      </c>
      <c r="BQ34" s="1260"/>
      <c r="BR34" s="1259">
        <f>BR33+BP34</f>
        <v>0</v>
      </c>
      <c r="BS34" s="1260"/>
      <c r="BT34" s="1259">
        <f>BT33+BR34</f>
        <v>0</v>
      </c>
      <c r="BU34" s="1260"/>
      <c r="BV34" s="1259">
        <f>BV33+BT34</f>
        <v>0</v>
      </c>
      <c r="BW34" s="1260"/>
      <c r="BX34" s="1259">
        <f>BX33+BV34</f>
        <v>0</v>
      </c>
      <c r="BY34" s="1260"/>
      <c r="BZ34" s="1259">
        <f>BZ33+BX34</f>
        <v>0</v>
      </c>
      <c r="CA34" s="1260"/>
      <c r="CB34" s="1259">
        <f>CB33+BZ34</f>
        <v>0</v>
      </c>
      <c r="CC34" s="1260"/>
      <c r="CD34" s="1259">
        <f>CD33+CB34</f>
        <v>0</v>
      </c>
      <c r="CE34" s="1260"/>
      <c r="CF34" s="1259">
        <f>CF33+CD34</f>
        <v>0</v>
      </c>
      <c r="CG34" s="1260"/>
      <c r="CH34" s="1259">
        <f>CH33+CF34</f>
        <v>0</v>
      </c>
      <c r="CI34" s="1260"/>
      <c r="CJ34" s="1259">
        <f>CJ33+CH34</f>
        <v>0</v>
      </c>
      <c r="CK34" s="1260"/>
      <c r="CL34" s="1259">
        <f>CL33+CJ34</f>
        <v>0</v>
      </c>
      <c r="CM34" s="1260"/>
      <c r="CN34" s="1259">
        <f>CN33+CL34</f>
        <v>0</v>
      </c>
      <c r="CO34" s="1260"/>
      <c r="CP34" s="1259">
        <f>CP33+CN34</f>
        <v>0</v>
      </c>
      <c r="CQ34" s="1260"/>
      <c r="CR34" s="1259">
        <f>CR33+CP34</f>
        <v>0</v>
      </c>
      <c r="CS34" s="1260"/>
      <c r="CT34" s="1259">
        <f>CT33+CR34</f>
        <v>0</v>
      </c>
      <c r="CU34" s="1260"/>
      <c r="CV34" s="1259">
        <f>CV33+CT34</f>
        <v>0</v>
      </c>
      <c r="CW34" s="1260"/>
      <c r="CX34" s="1259">
        <f>CX33+CV34</f>
        <v>0</v>
      </c>
      <c r="CY34" s="1260"/>
      <c r="CZ34" s="1259">
        <f>CZ33+CX34</f>
        <v>0</v>
      </c>
      <c r="DA34" s="1260"/>
      <c r="DB34" s="1259">
        <f>DB33+CZ34</f>
        <v>0</v>
      </c>
      <c r="DC34" s="1260"/>
      <c r="DD34" s="1259">
        <f>DD33+DB34</f>
        <v>0</v>
      </c>
      <c r="DE34" s="1260"/>
      <c r="DF34" s="1259">
        <f>DF33+DD34</f>
        <v>0</v>
      </c>
      <c r="DG34" s="1260"/>
      <c r="DH34" s="1259">
        <f>DH33+DF34</f>
        <v>0</v>
      </c>
      <c r="DI34" s="1260"/>
      <c r="DJ34" s="1261">
        <f>DJ33+DH34</f>
        <v>0</v>
      </c>
      <c r="DK34" s="1262"/>
      <c r="DL34" s="1259">
        <f>DL33+DJ34</f>
        <v>0</v>
      </c>
      <c r="DM34" s="1260"/>
      <c r="DN34" s="1259">
        <f>DN33+DL34</f>
        <v>0</v>
      </c>
      <c r="DO34" s="1260"/>
      <c r="DP34" s="1259">
        <f>DP33+DN34</f>
        <v>0</v>
      </c>
      <c r="DQ34" s="1260"/>
      <c r="DR34" s="1259">
        <f>DR33+DP34</f>
        <v>0</v>
      </c>
      <c r="DS34" s="1260"/>
      <c r="DT34" s="1259">
        <f>DT33+DR34</f>
        <v>0</v>
      </c>
      <c r="DU34" s="1260"/>
      <c r="DV34" s="1259">
        <f>DV33+DT34</f>
        <v>0</v>
      </c>
      <c r="DW34" s="1260"/>
      <c r="DX34" s="1259">
        <f>DX33+DV34</f>
        <v>0</v>
      </c>
      <c r="DY34" s="1260"/>
      <c r="DZ34" s="1259">
        <f>DZ33+DX34</f>
        <v>0</v>
      </c>
      <c r="EA34" s="1260"/>
      <c r="EB34" s="1259">
        <f>EB33+DZ34</f>
        <v>0</v>
      </c>
      <c r="EC34" s="1260"/>
      <c r="ED34" s="1259">
        <f>ED33+EB34</f>
        <v>0</v>
      </c>
      <c r="EE34" s="1260"/>
      <c r="EF34" s="1259">
        <f>EF33+ED34</f>
        <v>0</v>
      </c>
      <c r="EG34" s="1260"/>
      <c r="EH34" s="1259">
        <f>EH33+EF34</f>
        <v>0</v>
      </c>
      <c r="EI34" s="1260"/>
      <c r="EJ34" s="1259">
        <f>EJ33+EH34</f>
        <v>0</v>
      </c>
      <c r="EK34" s="1260"/>
      <c r="EL34" s="1259">
        <f>EL33+EJ34</f>
        <v>0</v>
      </c>
      <c r="EM34" s="1260"/>
      <c r="EN34" s="1259">
        <f>EN33+EL34</f>
        <v>0</v>
      </c>
      <c r="EO34" s="1260"/>
      <c r="EP34" s="1259">
        <f>EP33+EN34</f>
        <v>0</v>
      </c>
      <c r="EQ34" s="1260"/>
      <c r="ER34" s="1259">
        <f>ER33+EP34</f>
        <v>0</v>
      </c>
      <c r="ES34" s="1260"/>
      <c r="ET34" s="1259">
        <f>ET33+ER34</f>
        <v>0</v>
      </c>
      <c r="EU34" s="1260"/>
      <c r="EV34" s="1259">
        <f>EV33+ET34</f>
        <v>0</v>
      </c>
      <c r="EW34" s="1260"/>
      <c r="EX34" s="1259">
        <f>EX33+EV34</f>
        <v>0</v>
      </c>
      <c r="EY34" s="1260"/>
      <c r="EZ34" s="1259">
        <f>EZ33+EX34</f>
        <v>0</v>
      </c>
      <c r="FA34" s="1260"/>
      <c r="FB34" s="1259">
        <f>FB33+EZ34</f>
        <v>0</v>
      </c>
      <c r="FC34" s="1260"/>
      <c r="FD34" s="1259">
        <f>FD33+FB34</f>
        <v>0</v>
      </c>
      <c r="FE34" s="1260"/>
      <c r="FF34" s="1259">
        <f>FF33+FD34</f>
        <v>0</v>
      </c>
      <c r="FG34" s="1260"/>
      <c r="FH34" s="1259">
        <f>FH33+FF34</f>
        <v>0</v>
      </c>
      <c r="FI34" s="1260"/>
      <c r="FJ34" s="1259">
        <f>FJ33+FH34</f>
        <v>0</v>
      </c>
      <c r="FK34" s="1260"/>
      <c r="FL34" s="1259">
        <f>FL33+FJ34</f>
        <v>0</v>
      </c>
      <c r="FM34" s="1260"/>
      <c r="FN34" s="1259">
        <f>FN33+FL34</f>
        <v>0</v>
      </c>
      <c r="FO34" s="1260"/>
      <c r="FP34" s="1259">
        <f>FP33+FN34</f>
        <v>0</v>
      </c>
      <c r="FQ34" s="1260"/>
      <c r="FR34" s="1259">
        <f>FR33+FP34</f>
        <v>0</v>
      </c>
      <c r="FS34" s="1260"/>
      <c r="FT34" s="1259">
        <f>FT33+FR34</f>
        <v>0</v>
      </c>
      <c r="FU34" s="1260"/>
      <c r="FV34" s="1259">
        <f>FV33+FT34</f>
        <v>0</v>
      </c>
      <c r="FW34" s="1260"/>
      <c r="FX34" s="1259">
        <f>FX33+FV34</f>
        <v>0</v>
      </c>
      <c r="FY34" s="1260"/>
      <c r="FZ34" s="1259">
        <f>FZ33+FX34</f>
        <v>0</v>
      </c>
      <c r="GA34" s="1260"/>
      <c r="GB34" s="1259">
        <f>GB33+FZ34</f>
        <v>0</v>
      </c>
      <c r="GC34" s="1260"/>
      <c r="GD34" s="1259">
        <f>GD33+GB34</f>
        <v>0</v>
      </c>
      <c r="GE34" s="1260"/>
      <c r="GF34" s="1259">
        <f>GF33+GD34</f>
        <v>0</v>
      </c>
      <c r="GG34" s="1260"/>
      <c r="GH34" s="1259">
        <f>GH33+GF34</f>
        <v>0</v>
      </c>
      <c r="GI34" s="1260"/>
      <c r="GJ34" s="1259">
        <f>GJ33+GH34</f>
        <v>0</v>
      </c>
      <c r="GK34" s="1260"/>
      <c r="GL34" s="1259">
        <f>GL33+GJ34</f>
        <v>0</v>
      </c>
      <c r="GM34" s="1260"/>
      <c r="GN34" s="1259">
        <f>GN33+GL34</f>
        <v>0</v>
      </c>
      <c r="GO34" s="1260"/>
      <c r="GP34" s="1259">
        <f>GP33+GN34</f>
        <v>0</v>
      </c>
      <c r="GQ34" s="1260"/>
      <c r="GR34" s="1259">
        <f>GR33+GP34</f>
        <v>0</v>
      </c>
      <c r="GS34" s="1260"/>
      <c r="GT34" s="1259">
        <f>GT33+GR34</f>
        <v>0</v>
      </c>
      <c r="GU34" s="1260"/>
      <c r="GV34" s="1259">
        <f>GV33+GT34</f>
        <v>0</v>
      </c>
      <c r="GW34" s="1260"/>
      <c r="GX34" s="1259">
        <f>GX33+GV34</f>
        <v>0</v>
      </c>
      <c r="GY34" s="1260"/>
      <c r="GZ34" s="1259">
        <f>GZ33+GX34</f>
        <v>0</v>
      </c>
      <c r="HA34" s="1260"/>
      <c r="HB34" s="1259">
        <f>HB33+GZ34</f>
        <v>0</v>
      </c>
      <c r="HC34" s="1260"/>
      <c r="HD34" s="1259">
        <f>HD33+HB34</f>
        <v>0</v>
      </c>
      <c r="HE34" s="1260"/>
      <c r="HF34" s="1259">
        <f>HF33+HD34</f>
        <v>0</v>
      </c>
      <c r="HG34" s="1260"/>
      <c r="HH34" s="1259">
        <f>HH33+HF34</f>
        <v>0</v>
      </c>
      <c r="HI34" s="1260"/>
      <c r="HJ34" s="1259">
        <f>HJ33+HH34</f>
        <v>0</v>
      </c>
      <c r="HK34" s="1260"/>
    </row>
    <row r="35" spans="1:219" s="21" customFormat="1">
      <c r="A35" s="1299"/>
      <c r="B35" s="1300"/>
      <c r="C35" s="1299"/>
      <c r="D35" s="1301"/>
      <c r="E35" s="1301"/>
      <c r="F35" s="1302"/>
      <c r="G35" s="1301"/>
      <c r="H35" s="792"/>
      <c r="I35" s="1303"/>
      <c r="J35" s="1304"/>
      <c r="K35" s="793" t="s">
        <v>297</v>
      </c>
      <c r="L35" s="1270">
        <f>IF($E$29&gt;0,L32/$E$29,"-")</f>
        <v>0</v>
      </c>
      <c r="M35" s="1271"/>
      <c r="N35" s="1270">
        <f>IF($E$29&gt;0,N32/$E$29,"-")</f>
        <v>0</v>
      </c>
      <c r="O35" s="1271"/>
      <c r="P35" s="1270">
        <f>IF($E$29&gt;0,P32/$E$29,"-")</f>
        <v>0</v>
      </c>
      <c r="Q35" s="1271"/>
      <c r="R35" s="1270">
        <f>IF($E$29&gt;0,R32/$E$29,"-")</f>
        <v>0</v>
      </c>
      <c r="S35" s="1271"/>
      <c r="T35" s="1270">
        <f>IF($E$29&gt;0,T32/$E$29,"-")</f>
        <v>0</v>
      </c>
      <c r="U35" s="1271"/>
      <c r="V35" s="1270">
        <f>IF($E$29&gt;0,V32/$E$29,"-")</f>
        <v>0</v>
      </c>
      <c r="W35" s="1271"/>
      <c r="X35" s="1270">
        <f>IF($E$29&gt;0,X32/$E$29,"-")</f>
        <v>0</v>
      </c>
      <c r="Y35" s="1271"/>
      <c r="Z35" s="1270">
        <f>IF($E$29&gt;0,Z32/$E$29,"-")</f>
        <v>0</v>
      </c>
      <c r="AA35" s="1271"/>
      <c r="AB35" s="1270">
        <f>IF($E$29&gt;0,AB32/$E$29,"-")</f>
        <v>0</v>
      </c>
      <c r="AC35" s="1271"/>
      <c r="AD35" s="1270">
        <f>IF($E$29&gt;0,AD32/$E$29,"-")</f>
        <v>0</v>
      </c>
      <c r="AE35" s="1271"/>
      <c r="AF35" s="1270">
        <f>IF($E$29&gt;0,AF32/$E$29,"-")</f>
        <v>0</v>
      </c>
      <c r="AG35" s="1271"/>
      <c r="AH35" s="1270">
        <f>IF($E$29&gt;0,AH32/$E$29,"-")</f>
        <v>0</v>
      </c>
      <c r="AI35" s="1271"/>
      <c r="AJ35" s="1270">
        <f>IF($E$29&gt;0,AJ32/$E$29,"-")</f>
        <v>0</v>
      </c>
      <c r="AK35" s="1271"/>
      <c r="AL35" s="1270">
        <f>IF($E$29&gt;0,AL32/$E$29,"-")</f>
        <v>0.35680000000000006</v>
      </c>
      <c r="AM35" s="1271"/>
      <c r="AN35" s="1270">
        <f>IF($E$29&gt;0,AN32/$E$29,"-")</f>
        <v>0.71360000000000012</v>
      </c>
      <c r="AO35" s="1271"/>
      <c r="AP35" s="1270">
        <f>IF($E$29&gt;0,AP32/$E$29,"-")</f>
        <v>1</v>
      </c>
      <c r="AQ35" s="1271"/>
      <c r="AR35" s="1270">
        <f>IF($E$29&gt;0,AR32/$E$29,"-")</f>
        <v>1</v>
      </c>
      <c r="AS35" s="1271"/>
      <c r="AT35" s="1270">
        <f>IF($E$29&gt;0,AT32/$E$29,"-")</f>
        <v>1</v>
      </c>
      <c r="AU35" s="1271"/>
      <c r="AV35" s="1270">
        <f>IF($E$29&gt;0,AV32/$E$29,"-")</f>
        <v>1</v>
      </c>
      <c r="AW35" s="1271"/>
      <c r="AX35" s="1270">
        <f>IF($E$29&gt;0,AX32/$E$29,"-")</f>
        <v>1</v>
      </c>
      <c r="AY35" s="1271"/>
      <c r="AZ35" s="1270">
        <f>IF($E$29&gt;0,AZ32/$E$29,"-")</f>
        <v>1</v>
      </c>
      <c r="BA35" s="1271"/>
      <c r="BB35" s="1270">
        <f>IF($E$29&gt;0,BB32/$E$29,"-")</f>
        <v>1</v>
      </c>
      <c r="BC35" s="1271"/>
      <c r="BD35" s="1270">
        <f>IF($E$29&gt;0,BD32/$E$29,"-")</f>
        <v>1</v>
      </c>
      <c r="BE35" s="1271"/>
      <c r="BF35" s="1270">
        <f>IF($E$29&gt;0,BF32/$E$29,"-")</f>
        <v>1</v>
      </c>
      <c r="BG35" s="1271"/>
      <c r="BH35" s="1270">
        <f>IF($E$29&gt;0,BH32/$E$29,"-")</f>
        <v>1</v>
      </c>
      <c r="BI35" s="1271"/>
      <c r="BJ35" s="1270">
        <f>IF($E$29&gt;0,BJ32/$E$29,"-")</f>
        <v>1</v>
      </c>
      <c r="BK35" s="1271"/>
      <c r="BL35" s="1270">
        <f>IF($E$29&gt;0,BL32/$E$29,"-")</f>
        <v>1</v>
      </c>
      <c r="BM35" s="1271"/>
      <c r="BN35" s="1270">
        <f>IF($E$29&gt;0,BN32/$E$29,"-")</f>
        <v>1</v>
      </c>
      <c r="BO35" s="1271"/>
      <c r="BP35" s="1270">
        <f>IF($E$29&gt;0,BP32/$E$29,"-")</f>
        <v>1</v>
      </c>
      <c r="BQ35" s="1271"/>
      <c r="BR35" s="1270">
        <f>IF($E$29&gt;0,BR32/$E$29,"-")</f>
        <v>1</v>
      </c>
      <c r="BS35" s="1271"/>
      <c r="BT35" s="1270">
        <f>IF($E$29&gt;0,BT32/$E$29,"-")</f>
        <v>1</v>
      </c>
      <c r="BU35" s="1271"/>
      <c r="BV35" s="1270">
        <f>IF($E$29&gt;0,BV32/$E$29,"-")</f>
        <v>1</v>
      </c>
      <c r="BW35" s="1271"/>
      <c r="BX35" s="1270">
        <f>IF($E$29&gt;0,BX32/$E$29,"-")</f>
        <v>1</v>
      </c>
      <c r="BY35" s="1271"/>
      <c r="BZ35" s="1270">
        <f>IF($E$29&gt;0,BZ32/$E$29,"-")</f>
        <v>1</v>
      </c>
      <c r="CA35" s="1271"/>
      <c r="CB35" s="1270">
        <f>IF($E$29&gt;0,CB32/$E$29,"-")</f>
        <v>1</v>
      </c>
      <c r="CC35" s="1271"/>
      <c r="CD35" s="1270">
        <f>IF($E$29&gt;0,CD32/$E$29,"-")</f>
        <v>1</v>
      </c>
      <c r="CE35" s="1271"/>
      <c r="CF35" s="1270">
        <f>IF($E$29&gt;0,CF32/$E$29,"-")</f>
        <v>1</v>
      </c>
      <c r="CG35" s="1271"/>
      <c r="CH35" s="1270">
        <f>IF($E$29&gt;0,CH32/$E$29,"-")</f>
        <v>1</v>
      </c>
      <c r="CI35" s="1271"/>
      <c r="CJ35" s="1270">
        <f>IF($E$29&gt;0,CJ32/$E$29,"-")</f>
        <v>1</v>
      </c>
      <c r="CK35" s="1271"/>
      <c r="CL35" s="1270">
        <f>IF($E$29&gt;0,CL32/$E$29,"-")</f>
        <v>1</v>
      </c>
      <c r="CM35" s="1271"/>
      <c r="CN35" s="1270">
        <f>IF($E$29&gt;0,CN32/$E$29,"-")</f>
        <v>1</v>
      </c>
      <c r="CO35" s="1271"/>
      <c r="CP35" s="1270">
        <f>IF($E$29&gt;0,CP32/$E$29,"-")</f>
        <v>1</v>
      </c>
      <c r="CQ35" s="1271"/>
      <c r="CR35" s="1270">
        <f>IF($E$29&gt;0,CR32/$E$29,"-")</f>
        <v>1</v>
      </c>
      <c r="CS35" s="1271"/>
      <c r="CT35" s="1270">
        <f>IF($E$29&gt;0,CT32/$E$29,"-")</f>
        <v>1</v>
      </c>
      <c r="CU35" s="1271"/>
      <c r="CV35" s="1270">
        <f>IF($E$29&gt;0,CV32/$E$29,"-")</f>
        <v>1</v>
      </c>
      <c r="CW35" s="1271"/>
      <c r="CX35" s="1270">
        <f>IF($E$29&gt;0,CX32/$E$29,"-")</f>
        <v>1</v>
      </c>
      <c r="CY35" s="1271"/>
      <c r="CZ35" s="1270">
        <f>IF($E$29&gt;0,CZ32/$E$29,"-")</f>
        <v>1</v>
      </c>
      <c r="DA35" s="1271"/>
      <c r="DB35" s="1270">
        <f>IF($E$29&gt;0,DB32/$E$29,"-")</f>
        <v>1</v>
      </c>
      <c r="DC35" s="1271"/>
      <c r="DD35" s="1270">
        <f>IF($E$29&gt;0,DD32/$E$29,"-")</f>
        <v>1</v>
      </c>
      <c r="DE35" s="1271"/>
      <c r="DF35" s="1270">
        <f>IF($E$29&gt;0,DF32/$E$29,"-")</f>
        <v>1</v>
      </c>
      <c r="DG35" s="1271"/>
      <c r="DH35" s="1270">
        <f>IF($E$29&gt;0,DH32/$E$29,"-")</f>
        <v>1</v>
      </c>
      <c r="DI35" s="1271"/>
      <c r="DJ35" s="1270">
        <f>IF($E$29&gt;0,DJ32/$E$29,"-")</f>
        <v>1</v>
      </c>
      <c r="DK35" s="1271"/>
      <c r="DL35" s="1270">
        <f>IF($E$29&gt;0,DL32/$E$29,"-")</f>
        <v>1</v>
      </c>
      <c r="DM35" s="1271"/>
      <c r="DN35" s="1270">
        <f>IF($E$29&gt;0,DN32/$E$29,"-")</f>
        <v>1</v>
      </c>
      <c r="DO35" s="1271"/>
      <c r="DP35" s="1270">
        <f>IF($E$29&gt;0,DP32/$E$29,"-")</f>
        <v>1</v>
      </c>
      <c r="DQ35" s="1271"/>
      <c r="DR35" s="1270">
        <f>IF($E$29&gt;0,DR32/$E$29,"-")</f>
        <v>1</v>
      </c>
      <c r="DS35" s="1271"/>
      <c r="DT35" s="1270">
        <f>IF($E$29&gt;0,DT32/$E$29,"-")</f>
        <v>1</v>
      </c>
      <c r="DU35" s="1271"/>
      <c r="DV35" s="1270">
        <f>IF($E$29&gt;0,DV32/$E$29,"-")</f>
        <v>1</v>
      </c>
      <c r="DW35" s="1271"/>
      <c r="DX35" s="1270">
        <f>IF($E$29&gt;0,DX32/$E$29,"-")</f>
        <v>1</v>
      </c>
      <c r="DY35" s="1271"/>
      <c r="DZ35" s="1270">
        <f>IF($E$29&gt;0,DZ32/$E$29,"-")</f>
        <v>1</v>
      </c>
      <c r="EA35" s="1271"/>
      <c r="EB35" s="1270">
        <f>IF($E$29&gt;0,EB32/$E$29,"-")</f>
        <v>1</v>
      </c>
      <c r="EC35" s="1271"/>
      <c r="ED35" s="1270">
        <f>IF($E$29&gt;0,ED32/$E$29,"-")</f>
        <v>1</v>
      </c>
      <c r="EE35" s="1271"/>
      <c r="EF35" s="1270">
        <f>IF($E$29&gt;0,EF32/$E$29,"-")</f>
        <v>1</v>
      </c>
      <c r="EG35" s="1271"/>
      <c r="EH35" s="1270">
        <f>IF($E$29&gt;0,EH32/$E$29,"-")</f>
        <v>1</v>
      </c>
      <c r="EI35" s="1271"/>
      <c r="EJ35" s="1270">
        <f>IF($E$29&gt;0,EJ32/$E$29,"-")</f>
        <v>1</v>
      </c>
      <c r="EK35" s="1271"/>
      <c r="EL35" s="1270">
        <f>IF($E$29&gt;0,EL32/$E$29,"-")</f>
        <v>1</v>
      </c>
      <c r="EM35" s="1271"/>
      <c r="EN35" s="1270">
        <f>IF($E$29&gt;0,EN32/$E$29,"-")</f>
        <v>1</v>
      </c>
      <c r="EO35" s="1271"/>
      <c r="EP35" s="1270">
        <f>IF($E$29&gt;0,EP32/$E$29,"-")</f>
        <v>1</v>
      </c>
      <c r="EQ35" s="1271"/>
      <c r="ER35" s="1270">
        <f>IF($E$29&gt;0,ER32/$E$29,"-")</f>
        <v>1</v>
      </c>
      <c r="ES35" s="1271"/>
      <c r="ET35" s="1270">
        <f>IF($E$29&gt;0,ET32/$E$29,"-")</f>
        <v>1</v>
      </c>
      <c r="EU35" s="1271"/>
      <c r="EV35" s="1270">
        <f>IF($E$29&gt;0,EV32/$E$29,"-")</f>
        <v>1</v>
      </c>
      <c r="EW35" s="1271"/>
      <c r="EX35" s="1270">
        <f>IF($E$29&gt;0,EX32/$E$29,"-")</f>
        <v>1</v>
      </c>
      <c r="EY35" s="1271"/>
      <c r="EZ35" s="1270">
        <f>IF($E$29&gt;0,EZ32/$E$29,"-")</f>
        <v>1</v>
      </c>
      <c r="FA35" s="1271"/>
      <c r="FB35" s="1270">
        <f>IF($E$29&gt;0,FB32/$E$29,"-")</f>
        <v>1</v>
      </c>
      <c r="FC35" s="1271"/>
      <c r="FD35" s="1270">
        <f>IF($E$29&gt;0,FD32/$E$29,"-")</f>
        <v>1</v>
      </c>
      <c r="FE35" s="1271"/>
      <c r="FF35" s="1270">
        <f>IF($E$29&gt;0,FF32/$E$29,"-")</f>
        <v>1</v>
      </c>
      <c r="FG35" s="1271"/>
      <c r="FH35" s="1270">
        <f>IF($E$29&gt;0,FH32/$E$29,"-")</f>
        <v>1</v>
      </c>
      <c r="FI35" s="1271"/>
      <c r="FJ35" s="1270">
        <f>IF($E$29&gt;0,FJ32/$E$29,"-")</f>
        <v>1</v>
      </c>
      <c r="FK35" s="1271"/>
      <c r="FL35" s="1270">
        <f>IF($E$29&gt;0,FL32/$E$29,"-")</f>
        <v>1</v>
      </c>
      <c r="FM35" s="1271"/>
      <c r="FN35" s="1270">
        <f>IF($E$29&gt;0,FN32/$E$29,"-")</f>
        <v>1</v>
      </c>
      <c r="FO35" s="1271"/>
      <c r="FP35" s="1270">
        <f>IF($E$29&gt;0,FP32/$E$29,"-")</f>
        <v>1</v>
      </c>
      <c r="FQ35" s="1271"/>
      <c r="FR35" s="1270">
        <f>IF($E$29&gt;0,FR32/$E$29,"-")</f>
        <v>1</v>
      </c>
      <c r="FS35" s="1271"/>
      <c r="FT35" s="1270">
        <f>IF($E$29&gt;0,FT32/$E$29,"-")</f>
        <v>1</v>
      </c>
      <c r="FU35" s="1271"/>
      <c r="FV35" s="1270">
        <f>IF($E$29&gt;0,FV32/$E$29,"-")</f>
        <v>1</v>
      </c>
      <c r="FW35" s="1271"/>
      <c r="FX35" s="1270">
        <f>IF($E$29&gt;0,FX32/$E$29,"-")</f>
        <v>1</v>
      </c>
      <c r="FY35" s="1271"/>
      <c r="FZ35" s="1270">
        <f>IF($E$29&gt;0,FZ32/$E$29,"-")</f>
        <v>1</v>
      </c>
      <c r="GA35" s="1271"/>
      <c r="GB35" s="1270">
        <f>IF($E$29&gt;0,GB32/$E$29,"-")</f>
        <v>1</v>
      </c>
      <c r="GC35" s="1271"/>
      <c r="GD35" s="1270">
        <f>IF($E$29&gt;0,GD32/$E$29,"-")</f>
        <v>1</v>
      </c>
      <c r="GE35" s="1271"/>
      <c r="GF35" s="1270">
        <f>IF($E$29&gt;0,GF32/$E$29,"-")</f>
        <v>1</v>
      </c>
      <c r="GG35" s="1271"/>
      <c r="GH35" s="1270">
        <f>IF($E$29&gt;0,GH32/$E$29,"-")</f>
        <v>1</v>
      </c>
      <c r="GI35" s="1271"/>
      <c r="GJ35" s="1270">
        <f>IF($E$29&gt;0,GJ32/$E$29,"-")</f>
        <v>1</v>
      </c>
      <c r="GK35" s="1271"/>
      <c r="GL35" s="1270">
        <f>IF($E$29&gt;0,GL32/$E$29,"-")</f>
        <v>1</v>
      </c>
      <c r="GM35" s="1271"/>
      <c r="GN35" s="1270">
        <f>IF($E$29&gt;0,GN32/$E$29,"-")</f>
        <v>1</v>
      </c>
      <c r="GO35" s="1271"/>
      <c r="GP35" s="1270">
        <f>IF($E$29&gt;0,GP32/$E$29,"-")</f>
        <v>1</v>
      </c>
      <c r="GQ35" s="1271"/>
      <c r="GR35" s="1270">
        <f>IF($E$29&gt;0,GR32/$E$29,"-")</f>
        <v>1</v>
      </c>
      <c r="GS35" s="1271"/>
      <c r="GT35" s="1270">
        <f>IF($E$29&gt;0,GT32/$E$29,"-")</f>
        <v>1</v>
      </c>
      <c r="GU35" s="1271"/>
      <c r="GV35" s="1270">
        <f>IF($E$29&gt;0,GV32/$E$29,"-")</f>
        <v>1</v>
      </c>
      <c r="GW35" s="1271"/>
      <c r="GX35" s="1270">
        <f>IF($E$29&gt;0,GX32/$E$29,"-")</f>
        <v>1</v>
      </c>
      <c r="GY35" s="1271"/>
      <c r="GZ35" s="1270">
        <f>IF($E$29&gt;0,GZ32/$E$29,"-")</f>
        <v>1</v>
      </c>
      <c r="HA35" s="1271"/>
      <c r="HB35" s="1270">
        <f>IF($E$29&gt;0,HB32/$E$29,"-")</f>
        <v>1</v>
      </c>
      <c r="HC35" s="1271"/>
      <c r="HD35" s="1270">
        <f>IF($E$29&gt;0,HD32/$E$29,"-")</f>
        <v>1</v>
      </c>
      <c r="HE35" s="1271"/>
      <c r="HF35" s="1270">
        <f>IF($E$29&gt;0,HF32/$E$29,"-")</f>
        <v>1</v>
      </c>
      <c r="HG35" s="1271"/>
      <c r="HH35" s="1270">
        <f>IF($E$29&gt;0,HH32/$E$29,"-")</f>
        <v>1</v>
      </c>
      <c r="HI35" s="1271"/>
      <c r="HJ35" s="1270">
        <f>IF($E$29&gt;0,HJ32/$E$29,"-")</f>
        <v>1</v>
      </c>
      <c r="HK35" s="1271"/>
    </row>
    <row r="36" spans="1:219">
      <c r="A36" s="1299"/>
      <c r="B36" s="1300"/>
      <c r="C36" s="1299"/>
      <c r="D36" s="1301"/>
      <c r="E36" s="1301"/>
      <c r="F36" s="1302"/>
      <c r="G36" s="1301"/>
      <c r="H36" s="726"/>
      <c r="I36" s="1303"/>
      <c r="J36" s="1304"/>
      <c r="K36" s="794" t="s">
        <v>298</v>
      </c>
      <c r="L36" s="1294">
        <f>IF($E$29&gt;0,L34/$E$29,"-")</f>
        <v>0</v>
      </c>
      <c r="M36" s="1295"/>
      <c r="N36" s="1294">
        <f>IF($E$29&gt;0,N34/$E$29,"-")</f>
        <v>0</v>
      </c>
      <c r="O36" s="1295"/>
      <c r="P36" s="1294">
        <f>IF($E$29&gt;0,P34/$E$29,"-")</f>
        <v>0</v>
      </c>
      <c r="Q36" s="1295"/>
      <c r="R36" s="1294">
        <f>IF($E$29&gt;0,R34/$E$29,"-")</f>
        <v>0</v>
      </c>
      <c r="S36" s="1295"/>
      <c r="T36" s="1294">
        <f>IF($E$29&gt;0,T34/$E$29,"-")</f>
        <v>0</v>
      </c>
      <c r="U36" s="1295"/>
      <c r="V36" s="1294">
        <f>IF($E$29&gt;0,V34/$E$29,"-")</f>
        <v>0</v>
      </c>
      <c r="W36" s="1295"/>
      <c r="X36" s="1294">
        <f>IF($E$29&gt;0,X34/$E$29,"-")</f>
        <v>0</v>
      </c>
      <c r="Y36" s="1295"/>
      <c r="Z36" s="1294">
        <f>IF($E$29&gt;0,Z34/$E$29,"-")</f>
        <v>0</v>
      </c>
      <c r="AA36" s="1295"/>
      <c r="AB36" s="1294">
        <f>IF($E$29&gt;0,AB34/$E$29,"-")</f>
        <v>0</v>
      </c>
      <c r="AC36" s="1295"/>
      <c r="AD36" s="1294">
        <f>IF($E$29&gt;0,AD34/$E$29,"-")</f>
        <v>0</v>
      </c>
      <c r="AE36" s="1295"/>
      <c r="AF36" s="1294">
        <f>IF($E$29&gt;0,AF34/$E$29,"-")</f>
        <v>0</v>
      </c>
      <c r="AG36" s="1295"/>
      <c r="AH36" s="1294">
        <f>IF($E$29&gt;0,AH34/$E$29,"-")</f>
        <v>0</v>
      </c>
      <c r="AI36" s="1295"/>
      <c r="AJ36" s="1294">
        <f>IF($E$29&gt;0,AJ34/$E$29,"-")</f>
        <v>0</v>
      </c>
      <c r="AK36" s="1295"/>
      <c r="AL36" s="1294">
        <f>IF($E$29&gt;0,AL34/$E$29,"-")</f>
        <v>0</v>
      </c>
      <c r="AM36" s="1295"/>
      <c r="AN36" s="1294">
        <f>IF($E$29&gt;0,AN34/$E$29,"-")</f>
        <v>0</v>
      </c>
      <c r="AO36" s="1295"/>
      <c r="AP36" s="1294">
        <f>IF($E$29&gt;0,AP34/$E$29,"-")</f>
        <v>0</v>
      </c>
      <c r="AQ36" s="1295"/>
      <c r="AR36" s="1294">
        <f>IF($E$29&gt;0,AR34/$E$29,"-")</f>
        <v>0</v>
      </c>
      <c r="AS36" s="1295"/>
      <c r="AT36" s="1294">
        <f>IF($E$29&gt;0,AT34/$E$29,"-")</f>
        <v>0</v>
      </c>
      <c r="AU36" s="1295"/>
      <c r="AV36" s="1294">
        <f>IF($E$29&gt;0,AV34/$E$29,"-")</f>
        <v>0</v>
      </c>
      <c r="AW36" s="1295"/>
      <c r="AX36" s="1294">
        <f>IF($E$29&gt;0,AX34/$E$29,"-")</f>
        <v>0</v>
      </c>
      <c r="AY36" s="1295"/>
      <c r="AZ36" s="1294">
        <f>IF($E$29&gt;0,AZ34/$E$29,"-")</f>
        <v>0</v>
      </c>
      <c r="BA36" s="1295"/>
      <c r="BB36" s="1294">
        <f>IF($E$29&gt;0,BB34/$E$29,"-")</f>
        <v>0</v>
      </c>
      <c r="BC36" s="1295"/>
      <c r="BD36" s="1294">
        <f>IF($E$29&gt;0,BD34/$E$29,"-")</f>
        <v>0</v>
      </c>
      <c r="BE36" s="1295"/>
      <c r="BF36" s="1294">
        <f>IF($E$29&gt;0,BF34/$E$29,"-")</f>
        <v>0</v>
      </c>
      <c r="BG36" s="1295"/>
      <c r="BH36" s="1294">
        <f>IF($E$29&gt;0,BH34/$E$29,"-")</f>
        <v>0</v>
      </c>
      <c r="BI36" s="1295"/>
      <c r="BJ36" s="1294">
        <f>IF($E$29&gt;0,BJ34/$E$29,"-")</f>
        <v>0</v>
      </c>
      <c r="BK36" s="1295"/>
      <c r="BL36" s="1294">
        <f>IF($E$29&gt;0,BL34/$E$29,"-")</f>
        <v>0</v>
      </c>
      <c r="BM36" s="1295"/>
      <c r="BN36" s="1294">
        <f>IF($E$29&gt;0,BN34/$E$29,"-")</f>
        <v>0</v>
      </c>
      <c r="BO36" s="1295"/>
      <c r="BP36" s="1294">
        <f>IF($E$29&gt;0,BP34/$E$29,"-")</f>
        <v>0</v>
      </c>
      <c r="BQ36" s="1295"/>
      <c r="BR36" s="1253">
        <f>IF($E$29&gt;0,BR34/$E$29,"-")</f>
        <v>0</v>
      </c>
      <c r="BS36" s="1253"/>
      <c r="BT36" s="1253">
        <f>IF($E$29&gt;0,BT34/$E$29,"-")</f>
        <v>0</v>
      </c>
      <c r="BU36" s="1253"/>
      <c r="BV36" s="1253">
        <f>IF($E$29&gt;0,BV34/$E$29,"-")</f>
        <v>0</v>
      </c>
      <c r="BW36" s="1253"/>
      <c r="BX36" s="1253">
        <f>IF($E$29&gt;0,BX34/$E$29,"-")</f>
        <v>0</v>
      </c>
      <c r="BY36" s="1253"/>
      <c r="BZ36" s="1253">
        <f>IF($E$29&gt;0,BZ34/$E$29,"-")</f>
        <v>0</v>
      </c>
      <c r="CA36" s="1253"/>
      <c r="CB36" s="1253">
        <f>IF($E$29&gt;0,CB34/$E$29,"-")</f>
        <v>0</v>
      </c>
      <c r="CC36" s="1253"/>
      <c r="CD36" s="1253">
        <f>IF($E$29&gt;0,CD34/$E$29,"-")</f>
        <v>0</v>
      </c>
      <c r="CE36" s="1253"/>
      <c r="CF36" s="1253">
        <f>IF($E$29&gt;0,CF34/$E$29,"-")</f>
        <v>0</v>
      </c>
      <c r="CG36" s="1253"/>
      <c r="CH36" s="1253">
        <f>IF($E$29&gt;0,CH34/$E$29,"-")</f>
        <v>0</v>
      </c>
      <c r="CI36" s="1253"/>
      <c r="CJ36" s="1253">
        <f>IF($E$29&gt;0,CJ34/$E$29,"-")</f>
        <v>0</v>
      </c>
      <c r="CK36" s="1253"/>
      <c r="CL36" s="1253">
        <f>IF($E$29&gt;0,CL34/$E$29,"-")</f>
        <v>0</v>
      </c>
      <c r="CM36" s="1253"/>
      <c r="CN36" s="1253">
        <f>IF($E$29&gt;0,CN34/$E$29,"-")</f>
        <v>0</v>
      </c>
      <c r="CO36" s="1253"/>
      <c r="CP36" s="1253">
        <f>IF($E$29&gt;0,CP34/$E$29,"-")</f>
        <v>0</v>
      </c>
      <c r="CQ36" s="1253"/>
      <c r="CR36" s="1253">
        <f>IF($E$29&gt;0,CR34/$E$29,"-")</f>
        <v>0</v>
      </c>
      <c r="CS36" s="1253"/>
      <c r="CT36" s="1253">
        <f>IF($E$29&gt;0,CT34/$E$29,"-")</f>
        <v>0</v>
      </c>
      <c r="CU36" s="1253"/>
      <c r="CV36" s="1253">
        <f>IF($E$29&gt;0,CV34/$E$29,"-")</f>
        <v>0</v>
      </c>
      <c r="CW36" s="1253"/>
      <c r="CX36" s="1253">
        <f>IF($E$29&gt;0,CX34/$E$29,"-")</f>
        <v>0</v>
      </c>
      <c r="CY36" s="1253"/>
      <c r="CZ36" s="1253">
        <f>IF($E$29&gt;0,CZ34/$E$29,"-")</f>
        <v>0</v>
      </c>
      <c r="DA36" s="1253"/>
      <c r="DB36" s="1253">
        <f>IF($E$29&gt;0,DB34/$E$29,"-")</f>
        <v>0</v>
      </c>
      <c r="DC36" s="1253"/>
      <c r="DD36" s="1253">
        <f>IF($E$29&gt;0,DD34/$E$29,"-")</f>
        <v>0</v>
      </c>
      <c r="DE36" s="1253"/>
      <c r="DF36" s="1253">
        <f>IF($E$29&gt;0,DF34/$E$29,"-")</f>
        <v>0</v>
      </c>
      <c r="DG36" s="1253"/>
      <c r="DH36" s="1253">
        <f>IF($E$29&gt;0,DH34/$E$29,"-")</f>
        <v>0</v>
      </c>
      <c r="DI36" s="1253"/>
      <c r="DJ36" s="1254">
        <f>IF($E$29&gt;0,DJ34/$E$29,"-")</f>
        <v>0</v>
      </c>
      <c r="DK36" s="1254"/>
      <c r="DL36" s="1253">
        <f>IF($E$29&gt;0,DL34/$E$29,"-")</f>
        <v>0</v>
      </c>
      <c r="DM36" s="1253"/>
      <c r="DN36" s="1253">
        <f>IF($E$29&gt;0,DN34/$E$29,"-")</f>
        <v>0</v>
      </c>
      <c r="DO36" s="1253"/>
      <c r="DP36" s="1253">
        <f>IF($E$29&gt;0,DP34/$E$29,"-")</f>
        <v>0</v>
      </c>
      <c r="DQ36" s="1253"/>
      <c r="DR36" s="1253">
        <f>IF($E$29&gt;0,DR34/$E$29,"-")</f>
        <v>0</v>
      </c>
      <c r="DS36" s="1253"/>
      <c r="DT36" s="1253">
        <f>IF($E$29&gt;0,DT34/$E$29,"-")</f>
        <v>0</v>
      </c>
      <c r="DU36" s="1253"/>
      <c r="DV36" s="1253">
        <f>IF($E$29&gt;0,DV34/$E$29,"-")</f>
        <v>0</v>
      </c>
      <c r="DW36" s="1253"/>
      <c r="DX36" s="1253">
        <f>IF($E$29&gt;0,DX34/$E$29,"-")</f>
        <v>0</v>
      </c>
      <c r="DY36" s="1253"/>
      <c r="DZ36" s="1253">
        <f>IF($E$29&gt;0,DZ34/$E$29,"-")</f>
        <v>0</v>
      </c>
      <c r="EA36" s="1253"/>
      <c r="EB36" s="1253">
        <f>IF($E$29&gt;0,EB34/$E$29,"-")</f>
        <v>0</v>
      </c>
      <c r="EC36" s="1253"/>
      <c r="ED36" s="1253">
        <f>IF($E$29&gt;0,ED34/$E$29,"-")</f>
        <v>0</v>
      </c>
      <c r="EE36" s="1253"/>
      <c r="EF36" s="1253">
        <f>IF($E$29&gt;0,EF34/$E$29,"-")</f>
        <v>0</v>
      </c>
      <c r="EG36" s="1253"/>
      <c r="EH36" s="1253">
        <f>IF($E$29&gt;0,EH34/$E$29,"-")</f>
        <v>0</v>
      </c>
      <c r="EI36" s="1253"/>
      <c r="EJ36" s="1253">
        <f>IF($E$29&gt;0,EJ34/$E$29,"-")</f>
        <v>0</v>
      </c>
      <c r="EK36" s="1253"/>
      <c r="EL36" s="1253">
        <f>IF($E$29&gt;0,EL34/$E$29,"-")</f>
        <v>0</v>
      </c>
      <c r="EM36" s="1253"/>
      <c r="EN36" s="1253">
        <f>IF($E$29&gt;0,EN34/$E$29,"-")</f>
        <v>0</v>
      </c>
      <c r="EO36" s="1253"/>
      <c r="EP36" s="1253">
        <f>IF($E$29&gt;0,EP34/$E$29,"-")</f>
        <v>0</v>
      </c>
      <c r="EQ36" s="1253"/>
      <c r="ER36" s="1253">
        <f>IF($E$29&gt;0,ER34/$E$29,"-")</f>
        <v>0</v>
      </c>
      <c r="ES36" s="1253"/>
      <c r="ET36" s="1253">
        <f>IF($E$29&gt;0,ET34/$E$29,"-")</f>
        <v>0</v>
      </c>
      <c r="EU36" s="1253"/>
      <c r="EV36" s="1253">
        <f>IF($E$29&gt;0,EV34/$E$29,"-")</f>
        <v>0</v>
      </c>
      <c r="EW36" s="1253"/>
      <c r="EX36" s="1253">
        <f>IF($E$29&gt;0,EX34/$E$29,"-")</f>
        <v>0</v>
      </c>
      <c r="EY36" s="1253"/>
      <c r="EZ36" s="1253">
        <f>IF($E$29&gt;0,EZ34/$E$29,"-")</f>
        <v>0</v>
      </c>
      <c r="FA36" s="1253"/>
      <c r="FB36" s="1253">
        <f>IF($E$29&gt;0,FB34/$E$29,"-")</f>
        <v>0</v>
      </c>
      <c r="FC36" s="1253"/>
      <c r="FD36" s="1253">
        <f>IF($E$29&gt;0,FD34/$E$29,"-")</f>
        <v>0</v>
      </c>
      <c r="FE36" s="1253"/>
      <c r="FF36" s="1253">
        <f>IF($E$29&gt;0,FF34/$E$29,"-")</f>
        <v>0</v>
      </c>
      <c r="FG36" s="1253"/>
      <c r="FH36" s="1253">
        <f>IF($E$29&gt;0,FH34/$E$29,"-")</f>
        <v>0</v>
      </c>
      <c r="FI36" s="1253"/>
      <c r="FJ36" s="1253">
        <f>IF($E$29&gt;0,FJ34/$E$29,"-")</f>
        <v>0</v>
      </c>
      <c r="FK36" s="1253"/>
      <c r="FL36" s="1253">
        <f>IF($E$29&gt;0,FL34/$E$29,"-")</f>
        <v>0</v>
      </c>
      <c r="FM36" s="1253"/>
      <c r="FN36" s="1253">
        <f>IF($E$29&gt;0,FN34/$E$29,"-")</f>
        <v>0</v>
      </c>
      <c r="FO36" s="1253"/>
      <c r="FP36" s="1253">
        <f>IF($E$29&gt;0,FP34/$E$29,"-")</f>
        <v>0</v>
      </c>
      <c r="FQ36" s="1253"/>
      <c r="FR36" s="1253">
        <f>IF($E$29&gt;0,FR34/$E$29,"-")</f>
        <v>0</v>
      </c>
      <c r="FS36" s="1253"/>
      <c r="FT36" s="1253">
        <f>IF($E$29&gt;0,FT34/$E$29,"-")</f>
        <v>0</v>
      </c>
      <c r="FU36" s="1253"/>
      <c r="FV36" s="1253">
        <f>IF($E$29&gt;0,FV34/$E$29,"-")</f>
        <v>0</v>
      </c>
      <c r="FW36" s="1253"/>
      <c r="FX36" s="1253">
        <f>IF($E$29&gt;0,FX34/$E$29,"-")</f>
        <v>0</v>
      </c>
      <c r="FY36" s="1253"/>
      <c r="FZ36" s="1253">
        <f>IF($E$29&gt;0,FZ34/$E$29,"-")</f>
        <v>0</v>
      </c>
      <c r="GA36" s="1253"/>
      <c r="GB36" s="1253">
        <f>IF($E$29&gt;0,GB34/$E$29,"-")</f>
        <v>0</v>
      </c>
      <c r="GC36" s="1253"/>
      <c r="GD36" s="1253">
        <f>IF($E$29&gt;0,GD34/$E$29,"-")</f>
        <v>0</v>
      </c>
      <c r="GE36" s="1253"/>
      <c r="GF36" s="1253">
        <f>IF($E$29&gt;0,GF34/$E$29,"-")</f>
        <v>0</v>
      </c>
      <c r="GG36" s="1253"/>
      <c r="GH36" s="1253">
        <f>IF($E$29&gt;0,GH34/$E$29,"-")</f>
        <v>0</v>
      </c>
      <c r="GI36" s="1253"/>
      <c r="GJ36" s="1253">
        <f>IF($E$29&gt;0,GJ34/$E$29,"-")</f>
        <v>0</v>
      </c>
      <c r="GK36" s="1253"/>
      <c r="GL36" s="1253">
        <f>IF($E$29&gt;0,GL34/$E$29,"-")</f>
        <v>0</v>
      </c>
      <c r="GM36" s="1253"/>
      <c r="GN36" s="1253">
        <f>IF($E$29&gt;0,GN34/$E$29,"-")</f>
        <v>0</v>
      </c>
      <c r="GO36" s="1253"/>
      <c r="GP36" s="1253">
        <f>IF($E$29&gt;0,GP34/$E$29,"-")</f>
        <v>0</v>
      </c>
      <c r="GQ36" s="1253"/>
      <c r="GR36" s="1253">
        <f>IF($E$29&gt;0,GR34/$E$29,"-")</f>
        <v>0</v>
      </c>
      <c r="GS36" s="1253"/>
      <c r="GT36" s="1253">
        <f>IF($E$29&gt;0,GT34/$E$29,"-")</f>
        <v>0</v>
      </c>
      <c r="GU36" s="1253"/>
      <c r="GV36" s="1253">
        <f>IF($E$29&gt;0,GV34/$E$29,"-")</f>
        <v>0</v>
      </c>
      <c r="GW36" s="1253"/>
      <c r="GX36" s="1253">
        <f>IF($E$29&gt;0,GX34/$E$29,"-")</f>
        <v>0</v>
      </c>
      <c r="GY36" s="1253"/>
      <c r="GZ36" s="1253">
        <f>IF($E$29&gt;0,GZ34/$E$29,"-")</f>
        <v>0</v>
      </c>
      <c r="HA36" s="1253"/>
      <c r="HB36" s="1253">
        <f>IF($E$29&gt;0,HB34/$E$29,"-")</f>
        <v>0</v>
      </c>
      <c r="HC36" s="1253"/>
      <c r="HD36" s="1253">
        <f>IF($E$29&gt;0,HD34/$E$29,"-")</f>
        <v>0</v>
      </c>
      <c r="HE36" s="1253"/>
      <c r="HF36" s="1253">
        <f>IF($E$29&gt;0,HF34/$E$29,"-")</f>
        <v>0</v>
      </c>
      <c r="HG36" s="1253"/>
      <c r="HH36" s="1253">
        <f>IF($E$29&gt;0,HH34/$E$29,"-")</f>
        <v>0</v>
      </c>
      <c r="HI36" s="1253"/>
      <c r="HJ36" s="1253">
        <f>IF($E$29&gt;0,HJ34/$E$29,"-")</f>
        <v>0</v>
      </c>
      <c r="HK36" s="1253"/>
    </row>
    <row r="37" spans="1:219" s="5" customFormat="1" ht="14.4">
      <c r="A37" s="690"/>
      <c r="B37" s="691"/>
      <c r="C37" s="691"/>
      <c r="D37" s="795"/>
      <c r="E37" s="692"/>
      <c r="F37" s="796"/>
      <c r="G37" s="797"/>
      <c r="H37" s="691"/>
      <c r="I37" s="691"/>
      <c r="J37" s="691"/>
      <c r="K37" s="691"/>
      <c r="L37" s="1274"/>
      <c r="M37" s="1274"/>
      <c r="N37" s="1274"/>
      <c r="O37" s="1274"/>
      <c r="P37" s="1274"/>
      <c r="Q37" s="1274"/>
      <c r="R37" s="1274"/>
      <c r="S37" s="1362"/>
      <c r="T37" s="1276"/>
      <c r="U37" s="1274"/>
      <c r="V37" s="1274"/>
      <c r="W37" s="1274"/>
      <c r="X37" s="1274"/>
      <c r="Y37" s="1274"/>
      <c r="Z37" s="1274"/>
      <c r="AA37" s="1362"/>
      <c r="AB37" s="1276"/>
      <c r="AC37" s="1274"/>
      <c r="AD37" s="1274"/>
      <c r="AE37" s="1274"/>
      <c r="AF37" s="1274"/>
      <c r="AG37" s="1274"/>
      <c r="AH37" s="1274"/>
      <c r="AI37" s="1362"/>
      <c r="AJ37" s="1276"/>
      <c r="AK37" s="1274"/>
      <c r="AL37" s="1274"/>
      <c r="AM37" s="1274"/>
      <c r="AN37" s="1274"/>
      <c r="AO37" s="1274"/>
      <c r="AP37" s="1274"/>
      <c r="AQ37" s="1362"/>
      <c r="AR37" s="1276"/>
      <c r="AS37" s="1274"/>
      <c r="AT37" s="777"/>
      <c r="AU37" s="777"/>
      <c r="AV37" s="777"/>
      <c r="AW37" s="777"/>
      <c r="AX37" s="777"/>
      <c r="AY37" s="778"/>
      <c r="AZ37" s="779"/>
      <c r="BA37" s="777"/>
      <c r="BB37" s="777"/>
      <c r="BC37" s="777"/>
      <c r="BD37" s="777"/>
      <c r="BE37" s="777"/>
      <c r="BF37" s="777"/>
      <c r="BG37" s="778"/>
      <c r="BH37" s="779"/>
      <c r="BI37" s="777"/>
      <c r="BJ37" s="777"/>
      <c r="BK37" s="777"/>
      <c r="BL37" s="777"/>
      <c r="BM37" s="777"/>
      <c r="BN37" s="777"/>
      <c r="BO37" s="778"/>
      <c r="BP37" s="779"/>
      <c r="BQ37" s="777"/>
      <c r="BR37" s="777"/>
      <c r="BS37" s="777"/>
      <c r="BT37" s="777"/>
      <c r="BU37" s="777"/>
      <c r="BV37" s="777"/>
      <c r="BW37" s="778"/>
      <c r="BX37" s="779"/>
      <c r="BY37" s="777"/>
      <c r="BZ37" s="777"/>
      <c r="CA37" s="777"/>
      <c r="CB37" s="777"/>
      <c r="CC37" s="777"/>
      <c r="CD37" s="1274"/>
      <c r="CE37" s="1275"/>
      <c r="CF37" s="1276"/>
      <c r="CG37" s="1277"/>
      <c r="CH37" s="1274"/>
      <c r="CI37" s="1277"/>
      <c r="CJ37" s="1274"/>
      <c r="CK37" s="1277"/>
      <c r="CL37" s="1274"/>
      <c r="CM37" s="1275"/>
      <c r="CN37" s="1276"/>
      <c r="CO37" s="1277"/>
      <c r="CP37" s="1296"/>
      <c r="CQ37" s="1297"/>
      <c r="CR37" s="1296"/>
      <c r="CS37" s="1297"/>
      <c r="CT37" s="780"/>
      <c r="CU37" s="781"/>
      <c r="CV37" s="782"/>
      <c r="CW37" s="780"/>
      <c r="CX37" s="780"/>
      <c r="CY37" s="780"/>
      <c r="CZ37" s="780"/>
      <c r="DA37" s="780"/>
      <c r="DB37" s="780"/>
      <c r="DC37" s="781"/>
      <c r="DD37" s="782"/>
      <c r="DE37" s="780"/>
      <c r="DF37" s="780"/>
      <c r="DG37" s="780"/>
      <c r="DH37" s="780"/>
      <c r="DI37" s="780"/>
      <c r="DJ37" s="783"/>
      <c r="DK37" s="784"/>
      <c r="DL37" s="782"/>
      <c r="DM37" s="780"/>
      <c r="DN37" s="780"/>
      <c r="DO37" s="780"/>
      <c r="DP37" s="780"/>
      <c r="DQ37" s="780"/>
      <c r="DR37" s="780"/>
      <c r="DS37" s="781"/>
      <c r="DT37" s="782"/>
      <c r="DU37" s="780"/>
      <c r="DV37" s="780"/>
      <c r="DW37" s="780"/>
      <c r="DX37" s="780"/>
      <c r="DY37" s="780"/>
      <c r="DZ37" s="780"/>
      <c r="EA37" s="781"/>
      <c r="EB37" s="782"/>
      <c r="EC37" s="780"/>
      <c r="ED37" s="780"/>
      <c r="EE37" s="780"/>
      <c r="EF37" s="780"/>
      <c r="EG37" s="780"/>
      <c r="EH37" s="780"/>
      <c r="EI37" s="781"/>
      <c r="EJ37" s="782"/>
      <c r="EK37" s="780"/>
      <c r="EL37" s="780"/>
      <c r="EM37" s="780"/>
      <c r="EN37" s="780"/>
      <c r="EO37" s="780"/>
      <c r="EP37" s="780"/>
      <c r="EQ37" s="781"/>
      <c r="ER37" s="782"/>
      <c r="ES37" s="780"/>
      <c r="ET37" s="780"/>
      <c r="EU37" s="780"/>
      <c r="EV37" s="780"/>
      <c r="EW37" s="780"/>
      <c r="EX37" s="780"/>
      <c r="EY37" s="781"/>
      <c r="EZ37" s="782"/>
      <c r="FA37" s="780"/>
      <c r="FB37" s="780"/>
      <c r="FC37" s="780"/>
      <c r="FD37" s="780"/>
      <c r="FE37" s="780"/>
      <c r="FF37" s="780"/>
      <c r="FG37" s="781"/>
      <c r="FH37" s="782"/>
      <c r="FI37" s="780"/>
      <c r="FJ37" s="780"/>
      <c r="FK37" s="780"/>
      <c r="FL37" s="780"/>
      <c r="FM37" s="780"/>
      <c r="FN37" s="780"/>
      <c r="FO37" s="781"/>
      <c r="FP37" s="782"/>
      <c r="FQ37" s="780"/>
      <c r="FR37" s="780"/>
      <c r="FS37" s="780"/>
      <c r="FT37" s="780"/>
      <c r="FU37" s="780"/>
      <c r="FV37" s="780"/>
      <c r="FW37" s="781"/>
      <c r="FX37" s="782"/>
      <c r="FY37" s="780"/>
      <c r="FZ37" s="780"/>
      <c r="GA37" s="780"/>
      <c r="GB37" s="780"/>
      <c r="GC37" s="780"/>
      <c r="GD37" s="780"/>
      <c r="GE37" s="781"/>
      <c r="GF37" s="782"/>
      <c r="GG37" s="780"/>
      <c r="GH37" s="780"/>
      <c r="GI37" s="780"/>
      <c r="GJ37" s="780"/>
      <c r="GK37" s="780"/>
      <c r="GL37" s="780"/>
      <c r="GM37" s="781"/>
      <c r="GN37" s="782"/>
      <c r="GO37" s="780"/>
      <c r="GP37" s="780"/>
      <c r="GQ37" s="780"/>
      <c r="GR37" s="780"/>
      <c r="GS37" s="780"/>
      <c r="GT37" s="780"/>
      <c r="GU37" s="781"/>
      <c r="GV37" s="780"/>
      <c r="GW37" s="781"/>
      <c r="GX37" s="780"/>
      <c r="GY37" s="781"/>
      <c r="GZ37" s="780"/>
      <c r="HA37" s="781"/>
      <c r="HB37" s="780"/>
      <c r="HC37" s="781"/>
      <c r="HD37" s="780"/>
      <c r="HE37" s="781"/>
      <c r="HF37" s="780"/>
      <c r="HG37" s="781"/>
      <c r="HH37" s="780"/>
      <c r="HI37" s="781"/>
      <c r="HJ37" s="780"/>
      <c r="HK37" s="781"/>
    </row>
    <row r="38" spans="1:219">
      <c r="A38" s="175"/>
      <c r="B38" s="176"/>
      <c r="C38" s="175"/>
      <c r="D38" s="177"/>
      <c r="E38" s="177"/>
      <c r="F38" s="177"/>
      <c r="G38" s="175"/>
    </row>
    <row r="39" spans="1:219" s="174" customFormat="1">
      <c r="A39" s="1299" t="s">
        <v>222</v>
      </c>
      <c r="B39" s="1300" t="str">
        <f>VLOOKUP(A39,PLANEJAMENTO!$B$10:$C$70,2,FALSE)</f>
        <v>Carga, transporte, descarga e estocagem de madeira - Romaneio e Cubagem - DMT 0 até 500 m</v>
      </c>
      <c r="C39" s="1299" t="str">
        <f>VLOOKUP(A39,PLANEJAMENTO!$B$10:$D$70,3,FALSE)</f>
        <v>m³</v>
      </c>
      <c r="D39" s="1301">
        <f>VLOOKUP(A39,PLANEJAMENTO!$B$10:$E$70,4,FALSE)</f>
        <v>1</v>
      </c>
      <c r="E39" s="1301">
        <f>D39</f>
        <v>1</v>
      </c>
      <c r="F39" s="1302">
        <v>1</v>
      </c>
      <c r="G39" s="1301">
        <f>F39*8</f>
        <v>8</v>
      </c>
      <c r="H39" s="172"/>
      <c r="I39" s="1303"/>
      <c r="J39" s="1304"/>
      <c r="K39" s="173" t="s">
        <v>291</v>
      </c>
      <c r="L39" s="1285"/>
      <c r="M39" s="1286"/>
      <c r="N39" s="1285"/>
      <c r="O39" s="1286"/>
      <c r="P39" s="1285"/>
      <c r="Q39" s="1286"/>
      <c r="R39" s="1285"/>
      <c r="S39" s="1286"/>
      <c r="T39" s="1285"/>
      <c r="U39" s="1286"/>
      <c r="V39" s="1285"/>
      <c r="W39" s="1286"/>
      <c r="X39" s="1285"/>
      <c r="Y39" s="1286"/>
      <c r="Z39" s="1285"/>
      <c r="AA39" s="1286"/>
      <c r="AB39" s="1285"/>
      <c r="AC39" s="1286"/>
      <c r="AD39" s="1285"/>
      <c r="AE39" s="1286"/>
      <c r="AF39" s="1285"/>
      <c r="AG39" s="1286"/>
      <c r="AH39" s="1285"/>
      <c r="AI39" s="1286"/>
      <c r="AJ39" s="1285"/>
      <c r="AK39" s="1286"/>
      <c r="AL39" s="1285"/>
      <c r="AM39" s="1286"/>
      <c r="AN39" s="1356">
        <v>2.4080717488789221</v>
      </c>
      <c r="AO39" s="1357"/>
      <c r="AP39" s="1285">
        <v>6</v>
      </c>
      <c r="AQ39" s="1286"/>
      <c r="AR39" s="1311"/>
      <c r="AS39" s="1312"/>
      <c r="AT39" s="1285"/>
      <c r="AU39" s="1286"/>
      <c r="AV39" s="1360"/>
      <c r="AW39" s="1361"/>
      <c r="AX39" s="1360"/>
      <c r="AY39" s="1361"/>
      <c r="AZ39" s="1289"/>
      <c r="BA39" s="1290"/>
      <c r="BB39" s="1289"/>
      <c r="BC39" s="1290"/>
      <c r="BD39" s="1289"/>
      <c r="BE39" s="1290"/>
      <c r="BF39" s="1289"/>
      <c r="BG39" s="1290"/>
      <c r="BH39" s="1289"/>
      <c r="BI39" s="1290"/>
      <c r="BJ39" s="1289"/>
      <c r="BK39" s="1290"/>
      <c r="BL39" s="1289"/>
      <c r="BM39" s="1290"/>
      <c r="BN39" s="1289"/>
      <c r="BO39" s="1290"/>
      <c r="BP39" s="1289"/>
      <c r="BQ39" s="1290"/>
      <c r="BR39" s="1289"/>
      <c r="BS39" s="1290"/>
      <c r="BT39" s="1289"/>
      <c r="BU39" s="1290"/>
      <c r="BV39" s="1289"/>
      <c r="BW39" s="1290"/>
      <c r="BX39" s="1289"/>
      <c r="BY39" s="1290"/>
      <c r="BZ39" s="1289"/>
      <c r="CA39" s="1290"/>
      <c r="CB39" s="1289"/>
      <c r="CC39" s="1290"/>
      <c r="CD39" s="1289"/>
      <c r="CE39" s="1290"/>
      <c r="CF39" s="1289"/>
      <c r="CG39" s="1290"/>
      <c r="CH39" s="1289"/>
      <c r="CI39" s="1290"/>
      <c r="CJ39" s="1289"/>
      <c r="CK39" s="1290"/>
      <c r="CL39" s="1289"/>
      <c r="CM39" s="1290"/>
      <c r="CN39" s="1289"/>
      <c r="CO39" s="1290"/>
      <c r="CP39" s="1289"/>
      <c r="CQ39" s="1290"/>
      <c r="CR39" s="1289"/>
      <c r="CS39" s="1290"/>
      <c r="CT39" s="1289"/>
      <c r="CU39" s="1290"/>
      <c r="CV39" s="1289"/>
      <c r="CW39" s="1290"/>
      <c r="CX39" s="1289"/>
      <c r="CY39" s="1290"/>
      <c r="CZ39" s="1289"/>
      <c r="DA39" s="1290"/>
      <c r="DB39" s="1289"/>
      <c r="DC39" s="1290"/>
      <c r="DD39" s="1289"/>
      <c r="DE39" s="1290"/>
      <c r="DF39" s="1289"/>
      <c r="DG39" s="1290"/>
      <c r="DH39" s="1289"/>
      <c r="DI39" s="1290"/>
      <c r="DJ39" s="1330"/>
      <c r="DK39" s="1330"/>
      <c r="DL39" s="1318"/>
      <c r="DM39" s="1318"/>
      <c r="DN39" s="1318"/>
      <c r="DO39" s="1318"/>
      <c r="DP39" s="1318"/>
      <c r="DQ39" s="1318"/>
      <c r="DR39" s="1318"/>
      <c r="DS39" s="1318"/>
      <c r="DT39" s="1318"/>
      <c r="DU39" s="1318"/>
      <c r="DV39" s="1318"/>
      <c r="DW39" s="1318"/>
      <c r="DX39" s="1318"/>
      <c r="DY39" s="1318"/>
      <c r="DZ39" s="1318"/>
      <c r="EA39" s="1318"/>
      <c r="EB39" s="1318"/>
      <c r="EC39" s="1318"/>
      <c r="ED39" s="1318"/>
      <c r="EE39" s="1318"/>
      <c r="EF39" s="1318"/>
      <c r="EG39" s="1318"/>
      <c r="EH39" s="1318"/>
      <c r="EI39" s="1318"/>
      <c r="EJ39" s="1318"/>
      <c r="EK39" s="1318"/>
      <c r="EL39" s="1318"/>
      <c r="EM39" s="1318"/>
      <c r="EN39" s="1318"/>
      <c r="EO39" s="1318"/>
      <c r="EP39" s="1318"/>
      <c r="EQ39" s="1318"/>
      <c r="ER39" s="1318"/>
      <c r="ES39" s="1318"/>
      <c r="ET39" s="1318"/>
      <c r="EU39" s="1318"/>
      <c r="EV39" s="1318"/>
      <c r="EW39" s="1318"/>
      <c r="EX39" s="1318"/>
      <c r="EY39" s="1318"/>
      <c r="EZ39" s="1318"/>
      <c r="FA39" s="1318"/>
      <c r="FB39" s="1318"/>
      <c r="FC39" s="1318"/>
      <c r="FD39" s="1318"/>
      <c r="FE39" s="1318"/>
      <c r="FF39" s="1318"/>
      <c r="FG39" s="1318"/>
      <c r="FH39" s="1318"/>
      <c r="FI39" s="1318"/>
      <c r="FJ39" s="1318"/>
      <c r="FK39" s="1318"/>
      <c r="FL39" s="1318"/>
      <c r="FM39" s="1318"/>
      <c r="FN39" s="1318"/>
      <c r="FO39" s="1318"/>
      <c r="FP39" s="1318"/>
      <c r="FQ39" s="1318"/>
      <c r="FR39" s="1318"/>
      <c r="FS39" s="1318"/>
      <c r="FT39" s="1318"/>
      <c r="FU39" s="1318"/>
      <c r="FV39" s="1318"/>
      <c r="FW39" s="1318"/>
      <c r="FX39" s="1318"/>
      <c r="FY39" s="1318"/>
      <c r="FZ39" s="1318"/>
      <c r="GA39" s="1318"/>
      <c r="GB39" s="1318"/>
      <c r="GC39" s="1318"/>
      <c r="GD39" s="1318"/>
      <c r="GE39" s="1318"/>
      <c r="GF39" s="1318"/>
      <c r="GG39" s="1318"/>
      <c r="GH39" s="1318"/>
      <c r="GI39" s="1318"/>
      <c r="GJ39" s="1318"/>
      <c r="GK39" s="1318"/>
      <c r="GL39" s="1318"/>
      <c r="GM39" s="1318"/>
      <c r="GN39" s="1318"/>
      <c r="GO39" s="1318"/>
      <c r="GP39" s="1318"/>
      <c r="GQ39" s="1318"/>
      <c r="GR39" s="1318"/>
      <c r="GS39" s="1318"/>
      <c r="GT39" s="1318"/>
      <c r="GU39" s="1318"/>
      <c r="GV39" s="1318"/>
      <c r="GW39" s="1318"/>
      <c r="GX39" s="1318"/>
      <c r="GY39" s="1318"/>
      <c r="GZ39" s="1318"/>
      <c r="HA39" s="1318"/>
      <c r="HB39" s="1318"/>
      <c r="HC39" s="1318"/>
      <c r="HD39" s="1318"/>
      <c r="HE39" s="1318"/>
      <c r="HF39" s="1318"/>
      <c r="HG39" s="1318"/>
      <c r="HH39" s="1318"/>
      <c r="HI39" s="1318"/>
      <c r="HJ39" s="1318"/>
      <c r="HK39" s="1318"/>
    </row>
    <row r="40" spans="1:219">
      <c r="A40" s="1299"/>
      <c r="B40" s="1300"/>
      <c r="C40" s="1299"/>
      <c r="D40" s="1301"/>
      <c r="E40" s="1301"/>
      <c r="F40" s="1302"/>
      <c r="G40" s="1301"/>
      <c r="H40" s="726"/>
      <c r="I40" s="1303"/>
      <c r="J40" s="1304"/>
      <c r="K40" s="785" t="s">
        <v>292</v>
      </c>
      <c r="L40" s="1283"/>
      <c r="M40" s="1284"/>
      <c r="N40" s="1283"/>
      <c r="O40" s="1284"/>
      <c r="P40" s="1283"/>
      <c r="Q40" s="1284"/>
      <c r="R40" s="1283"/>
      <c r="S40" s="1284"/>
      <c r="T40" s="1283"/>
      <c r="U40" s="1284"/>
      <c r="V40" s="1283"/>
      <c r="W40" s="1284"/>
      <c r="X40" s="1283"/>
      <c r="Y40" s="1284"/>
      <c r="Z40" s="1283"/>
      <c r="AA40" s="1284"/>
      <c r="AB40" s="1283"/>
      <c r="AC40" s="1284"/>
      <c r="AD40" s="1283"/>
      <c r="AE40" s="1284"/>
      <c r="AF40" s="1283"/>
      <c r="AG40" s="1284"/>
      <c r="AH40" s="1283"/>
      <c r="AI40" s="1284"/>
      <c r="AJ40" s="1283"/>
      <c r="AK40" s="1284"/>
      <c r="AL40" s="1283"/>
      <c r="AM40" s="1284"/>
      <c r="AN40" s="1283">
        <v>1</v>
      </c>
      <c r="AO40" s="1284"/>
      <c r="AP40" s="1283">
        <v>1</v>
      </c>
      <c r="AQ40" s="1284"/>
      <c r="AR40" s="1283"/>
      <c r="AS40" s="1284"/>
      <c r="AT40" s="1283"/>
      <c r="AU40" s="1284"/>
      <c r="AV40" s="1283"/>
      <c r="AW40" s="1284"/>
      <c r="AX40" s="1283"/>
      <c r="AY40" s="1284"/>
      <c r="AZ40" s="1283"/>
      <c r="BA40" s="1284"/>
      <c r="BB40" s="1283"/>
      <c r="BC40" s="1284"/>
      <c r="BD40" s="1283"/>
      <c r="BE40" s="1284"/>
      <c r="BF40" s="1283"/>
      <c r="BG40" s="1284"/>
      <c r="BH40" s="1283"/>
      <c r="BI40" s="1284"/>
      <c r="BJ40" s="1283"/>
      <c r="BK40" s="1284"/>
      <c r="BL40" s="1283"/>
      <c r="BM40" s="1284"/>
      <c r="BN40" s="1283"/>
      <c r="BO40" s="1284"/>
      <c r="BP40" s="1283"/>
      <c r="BQ40" s="1284"/>
      <c r="BR40" s="1283"/>
      <c r="BS40" s="1284"/>
      <c r="BT40" s="1283"/>
      <c r="BU40" s="1284"/>
      <c r="BV40" s="1283"/>
      <c r="BW40" s="1284"/>
      <c r="BX40" s="1283"/>
      <c r="BY40" s="1284"/>
      <c r="BZ40" s="1283"/>
      <c r="CA40" s="1284"/>
      <c r="CB40" s="1283"/>
      <c r="CC40" s="1284"/>
      <c r="CD40" s="1283"/>
      <c r="CE40" s="1284"/>
      <c r="CF40" s="1283"/>
      <c r="CG40" s="1284"/>
      <c r="CH40" s="1283"/>
      <c r="CI40" s="1284"/>
      <c r="CJ40" s="1283"/>
      <c r="CK40" s="1284"/>
      <c r="CL40" s="1283"/>
      <c r="CM40" s="1284"/>
      <c r="CN40" s="1283"/>
      <c r="CO40" s="1284"/>
      <c r="CP40" s="1283"/>
      <c r="CQ40" s="1284"/>
      <c r="CR40" s="1283"/>
      <c r="CS40" s="1284"/>
      <c r="CT40" s="1283"/>
      <c r="CU40" s="1284"/>
      <c r="CV40" s="1283"/>
      <c r="CW40" s="1284"/>
      <c r="CX40" s="1283"/>
      <c r="CY40" s="1284"/>
      <c r="CZ40" s="1283"/>
      <c r="DA40" s="1284"/>
      <c r="DB40" s="1283"/>
      <c r="DC40" s="1284"/>
      <c r="DD40" s="1283"/>
      <c r="DE40" s="1284"/>
      <c r="DF40" s="1283"/>
      <c r="DG40" s="1284"/>
      <c r="DH40" s="1283"/>
      <c r="DI40" s="1284"/>
      <c r="DJ40" s="1265"/>
      <c r="DK40" s="1265"/>
      <c r="DL40" s="1264"/>
      <c r="DM40" s="1264"/>
      <c r="DN40" s="1264"/>
      <c r="DO40" s="1264"/>
      <c r="DP40" s="1264"/>
      <c r="DQ40" s="1264"/>
      <c r="DR40" s="1264"/>
      <c r="DS40" s="1264"/>
      <c r="DT40" s="1264"/>
      <c r="DU40" s="1264"/>
      <c r="DV40" s="1264"/>
      <c r="DW40" s="1264"/>
      <c r="DX40" s="1264"/>
      <c r="DY40" s="1264"/>
      <c r="DZ40" s="1264"/>
      <c r="EA40" s="1264"/>
      <c r="EB40" s="1264"/>
      <c r="EC40" s="1264"/>
      <c r="ED40" s="1264"/>
      <c r="EE40" s="1264"/>
      <c r="EF40" s="1264"/>
      <c r="EG40" s="1264"/>
      <c r="EH40" s="1264"/>
      <c r="EI40" s="1264"/>
      <c r="EJ40" s="1264"/>
      <c r="EK40" s="1264"/>
      <c r="EL40" s="1264"/>
      <c r="EM40" s="1264"/>
      <c r="EN40" s="1264"/>
      <c r="EO40" s="1264"/>
      <c r="EP40" s="1264"/>
      <c r="EQ40" s="1264"/>
      <c r="ER40" s="1264"/>
      <c r="ES40" s="1264"/>
      <c r="ET40" s="1264"/>
      <c r="EU40" s="1264"/>
      <c r="EV40" s="1264"/>
      <c r="EW40" s="1264"/>
      <c r="EX40" s="1264"/>
      <c r="EY40" s="1264"/>
      <c r="EZ40" s="1264"/>
      <c r="FA40" s="1264"/>
      <c r="FB40" s="1264"/>
      <c r="FC40" s="1264"/>
      <c r="FD40" s="1264"/>
      <c r="FE40" s="1264"/>
      <c r="FF40" s="1264"/>
      <c r="FG40" s="1264"/>
      <c r="FH40" s="1264"/>
      <c r="FI40" s="1264"/>
      <c r="FJ40" s="1264"/>
      <c r="FK40" s="1264"/>
      <c r="FL40" s="1264"/>
      <c r="FM40" s="1264"/>
      <c r="FN40" s="1264"/>
      <c r="FO40" s="1264"/>
      <c r="FP40" s="1264"/>
      <c r="FQ40" s="1264"/>
      <c r="FR40" s="1264"/>
      <c r="FS40" s="1264"/>
      <c r="FT40" s="1264"/>
      <c r="FU40" s="1264"/>
      <c r="FV40" s="1264"/>
      <c r="FW40" s="1264"/>
      <c r="FX40" s="1264"/>
      <c r="FY40" s="1264"/>
      <c r="FZ40" s="1264"/>
      <c r="GA40" s="1264"/>
      <c r="GB40" s="1264"/>
      <c r="GC40" s="1264"/>
      <c r="GD40" s="1264"/>
      <c r="GE40" s="1264"/>
      <c r="GF40" s="1264"/>
      <c r="GG40" s="1264"/>
      <c r="GH40" s="1264"/>
      <c r="GI40" s="1264"/>
      <c r="GJ40" s="1264"/>
      <c r="GK40" s="1264"/>
      <c r="GL40" s="1264"/>
      <c r="GM40" s="1264"/>
      <c r="GN40" s="1264"/>
      <c r="GO40" s="1264"/>
      <c r="GP40" s="1264"/>
      <c r="GQ40" s="1264"/>
      <c r="GR40" s="1264"/>
      <c r="GS40" s="1264"/>
      <c r="GT40" s="1264"/>
      <c r="GU40" s="1264"/>
      <c r="GV40" s="1264"/>
      <c r="GW40" s="1264"/>
      <c r="GX40" s="1264"/>
      <c r="GY40" s="1264"/>
      <c r="GZ40" s="1264"/>
      <c r="HA40" s="1264"/>
      <c r="HB40" s="1264"/>
      <c r="HC40" s="1264"/>
      <c r="HD40" s="1264"/>
      <c r="HE40" s="1264"/>
      <c r="HF40" s="1264"/>
      <c r="HG40" s="1264"/>
      <c r="HH40" s="1264"/>
      <c r="HI40" s="1264"/>
      <c r="HJ40" s="1264"/>
      <c r="HK40" s="1264"/>
    </row>
    <row r="41" spans="1:219">
      <c r="A41" s="1299"/>
      <c r="B41" s="1300"/>
      <c r="C41" s="1299"/>
      <c r="D41" s="1301"/>
      <c r="E41" s="1301"/>
      <c r="F41" s="1302"/>
      <c r="G41" s="1301"/>
      <c r="H41" s="726"/>
      <c r="I41" s="1303"/>
      <c r="J41" s="1304"/>
      <c r="K41" s="786" t="s">
        <v>293</v>
      </c>
      <c r="L41" s="1255">
        <f>(L39*L40*$G$39)*$L$8</f>
        <v>0</v>
      </c>
      <c r="M41" s="1256"/>
      <c r="N41" s="1255">
        <f>(N39*N40*$G$39)*$L$8</f>
        <v>0</v>
      </c>
      <c r="O41" s="1256"/>
      <c r="P41" s="1255">
        <f>(P39*P40*$G$39)*$L$8</f>
        <v>0</v>
      </c>
      <c r="Q41" s="1256"/>
      <c r="R41" s="1255">
        <f>(R39*R40*$G$39)*$L$8</f>
        <v>0</v>
      </c>
      <c r="S41" s="1256"/>
      <c r="T41" s="1255">
        <f>(T39*T40*$G$39)*$T$8</f>
        <v>0</v>
      </c>
      <c r="U41" s="1256"/>
      <c r="V41" s="1255">
        <f>(V39*V40*$G$39)*$T$8</f>
        <v>0</v>
      </c>
      <c r="W41" s="1256"/>
      <c r="X41" s="1255">
        <f>(X39*X40*$G$39)*$T$8</f>
        <v>0</v>
      </c>
      <c r="Y41" s="1256"/>
      <c r="Z41" s="1255">
        <f>(Z39*Z40*$G$39)*$T$8</f>
        <v>0</v>
      </c>
      <c r="AA41" s="1256"/>
      <c r="AB41" s="1255">
        <f>(AB39*AB40*$G$39)*$AB$8</f>
        <v>0</v>
      </c>
      <c r="AC41" s="1256"/>
      <c r="AD41" s="1255">
        <f>(AD39*AD40*$G$39)*$AB$8</f>
        <v>0</v>
      </c>
      <c r="AE41" s="1256"/>
      <c r="AF41" s="1255">
        <f>(AF39*AF40*$G$39)*$AB$8</f>
        <v>0</v>
      </c>
      <c r="AG41" s="1256"/>
      <c r="AH41" s="1255">
        <f>(AH39*AH40*$G$39)*$AB$8</f>
        <v>0</v>
      </c>
      <c r="AI41" s="1256"/>
      <c r="AJ41" s="1255">
        <f>(AJ39*AJ40*$G$39)*$AJ$8</f>
        <v>0</v>
      </c>
      <c r="AK41" s="1256"/>
      <c r="AL41" s="1255">
        <f>(AL39*AL40*$G$39)*$AJ$8</f>
        <v>0</v>
      </c>
      <c r="AM41" s="1256"/>
      <c r="AN41" s="1255">
        <f>(AN39*AN40*$G$39)*$AJ$8</f>
        <v>14.319999999999991</v>
      </c>
      <c r="AO41" s="1256"/>
      <c r="AP41" s="1255">
        <f>(AP39*AP40*$G$39)*$AJ$8</f>
        <v>35.680000000000007</v>
      </c>
      <c r="AQ41" s="1256"/>
      <c r="AR41" s="1255">
        <f>(AR39*AR40*$G$39)*$AJ$8</f>
        <v>0</v>
      </c>
      <c r="AS41" s="1256"/>
      <c r="AT41" s="1255">
        <f>(AT39*AT40*$G$39)*$AT$8</f>
        <v>0</v>
      </c>
      <c r="AU41" s="1256"/>
      <c r="AV41" s="1255">
        <f>(AV39*AV40*$G$39)*$AT$8</f>
        <v>0</v>
      </c>
      <c r="AW41" s="1256"/>
      <c r="AX41" s="1255">
        <f>(AX39*AX40*$G$39)*$AT$8</f>
        <v>0</v>
      </c>
      <c r="AY41" s="1256"/>
      <c r="AZ41" s="1255">
        <f>(AZ39*AZ40*$G$39)*$BB$8</f>
        <v>0</v>
      </c>
      <c r="BA41" s="1256"/>
      <c r="BB41" s="1255">
        <f>(BB39*BB40*$G$39)*$BB$8</f>
        <v>0</v>
      </c>
      <c r="BC41" s="1256"/>
      <c r="BD41" s="1255">
        <f>(BD39*BD40*$G$39)*$BB$8</f>
        <v>0</v>
      </c>
      <c r="BE41" s="1256"/>
      <c r="BF41" s="1255">
        <f>(BF39*BF40*$G$39)*$BB$8</f>
        <v>0</v>
      </c>
      <c r="BG41" s="1256"/>
      <c r="BH41" s="1255">
        <f>(BH39*BH40*$G$39)*$BB$8</f>
        <v>0</v>
      </c>
      <c r="BI41" s="1256"/>
      <c r="BJ41" s="1255">
        <f>(BJ39*BJ40*$G$39)*$BJ$8</f>
        <v>0</v>
      </c>
      <c r="BK41" s="1256"/>
      <c r="BL41" s="1255">
        <f>(BL39*BL40*$G$39)*$BJ$8</f>
        <v>0</v>
      </c>
      <c r="BM41" s="1256"/>
      <c r="BN41" s="1255">
        <f>(BN39*BN40*$G$39)*$BJ$8</f>
        <v>0</v>
      </c>
      <c r="BO41" s="1256"/>
      <c r="BP41" s="1255">
        <f>(BP39*BP40*$G$39)*$BJ$8</f>
        <v>0</v>
      </c>
      <c r="BQ41" s="1256"/>
      <c r="BR41" s="1255">
        <f>(BR39*BR40*$G$39)*$BJ$8</f>
        <v>0</v>
      </c>
      <c r="BS41" s="1256"/>
      <c r="BT41" s="1255">
        <f>(BT39*BT40*$G$39)*$BT$8</f>
        <v>0</v>
      </c>
      <c r="BU41" s="1256"/>
      <c r="BV41" s="1255">
        <f>(BV39*BV40*$G$39)*$BT$8</f>
        <v>0</v>
      </c>
      <c r="BW41" s="1256"/>
      <c r="BX41" s="1255">
        <f>(BX39*BX40*$G$39)*$BT$8</f>
        <v>0</v>
      </c>
      <c r="BY41" s="1256"/>
      <c r="BZ41" s="1255">
        <f>(BZ39*BZ40*$G$39)*$BT$8</f>
        <v>0</v>
      </c>
      <c r="CA41" s="1256"/>
      <c r="CB41" s="1255">
        <f>(CB39*CB40*$G$39)*$CB$8</f>
        <v>0</v>
      </c>
      <c r="CC41" s="1256"/>
      <c r="CD41" s="1255">
        <f>(CD39*CD40*$G$39)*$CB$8</f>
        <v>0</v>
      </c>
      <c r="CE41" s="1256"/>
      <c r="CF41" s="1255">
        <f>(CF39*CF40*$G$39)*$CB$8</f>
        <v>0</v>
      </c>
      <c r="CG41" s="1256"/>
      <c r="CH41" s="1255">
        <f>(CH39*CH40*$G$39)*$CB$8</f>
        <v>0</v>
      </c>
      <c r="CI41" s="1256"/>
      <c r="CJ41" s="1255">
        <f>(CJ39*CJ40*$G$39)*$CJ$8</f>
        <v>0</v>
      </c>
      <c r="CK41" s="1256"/>
      <c r="CL41" s="1255">
        <f>(CL39*CL40*$G$39)*$CJ$8</f>
        <v>0</v>
      </c>
      <c r="CM41" s="1256"/>
      <c r="CN41" s="1255">
        <f>(CN39*CN40*$G$39)*$CJ$8</f>
        <v>0</v>
      </c>
      <c r="CO41" s="1256"/>
      <c r="CP41" s="1255">
        <f>(CP39*CP40*$G$39)*$CJ$8</f>
        <v>0</v>
      </c>
      <c r="CQ41" s="1256"/>
      <c r="CR41" s="1255">
        <f>(CR39*CR40*$G$39)*$CJ$8</f>
        <v>0</v>
      </c>
      <c r="CS41" s="1256"/>
      <c r="CT41" s="1255">
        <f>(CT39*CT40*$G$39)*$CT$8</f>
        <v>0</v>
      </c>
      <c r="CU41" s="1256"/>
      <c r="CV41" s="1255">
        <f>(CV39*CV40*$G$39)*$CT$8</f>
        <v>0</v>
      </c>
      <c r="CW41" s="1256"/>
      <c r="CX41" s="1255">
        <f>(CX39*CX40*$G$39)*$CT$8</f>
        <v>0</v>
      </c>
      <c r="CY41" s="1256"/>
      <c r="CZ41" s="1255">
        <f t="shared" ref="CZ41" si="2">(CZ39*CZ40*$G$39)*$BJ$8</f>
        <v>0</v>
      </c>
      <c r="DA41" s="1256"/>
      <c r="DB41" s="1255">
        <f t="shared" ref="DB41" si="3">(DB39*DB40*$G$39)*$BJ$8</f>
        <v>0</v>
      </c>
      <c r="DC41" s="1256"/>
      <c r="DD41" s="1255">
        <f>(DD39*DD40*$G$39)*$DB$8</f>
        <v>0</v>
      </c>
      <c r="DE41" s="1256"/>
      <c r="DF41" s="1255">
        <f>(DF39*DF40*$G$39)*$DB$8</f>
        <v>0</v>
      </c>
      <c r="DG41" s="1256"/>
      <c r="DH41" s="1255">
        <f>(DH39*DH40*$G$39)*$DB$8</f>
        <v>0</v>
      </c>
      <c r="DI41" s="1256"/>
      <c r="DJ41" s="1257">
        <f>(DJ39*DJ40*$G$39)*$DL$8</f>
        <v>0</v>
      </c>
      <c r="DK41" s="1258"/>
      <c r="DL41" s="1255">
        <f>(DL39*DL40*$G$39)*$DL$8</f>
        <v>0</v>
      </c>
      <c r="DM41" s="1256"/>
      <c r="DN41" s="1255">
        <f>(DN39*DN40*$G$39)*$DL$8</f>
        <v>0</v>
      </c>
      <c r="DO41" s="1256"/>
      <c r="DP41" s="1255">
        <f>(DP39*DP40*$G$39)*$DL$8</f>
        <v>0</v>
      </c>
      <c r="DQ41" s="1256"/>
      <c r="DR41" s="1255">
        <f>(DR39*DR40*$G$39)*$DL$8</f>
        <v>0</v>
      </c>
      <c r="DS41" s="1256"/>
      <c r="DT41" s="1255">
        <f>(DT39*DT40*$G$39)*$DT$8</f>
        <v>0</v>
      </c>
      <c r="DU41" s="1256"/>
      <c r="DV41" s="1255">
        <f>(DV39*DV40*$G$39)*$DT$8</f>
        <v>0</v>
      </c>
      <c r="DW41" s="1256"/>
      <c r="DX41" s="1255">
        <f>(DX39*DX40*$G$39)*$DT$8</f>
        <v>0</v>
      </c>
      <c r="DY41" s="1256"/>
      <c r="DZ41" s="1255">
        <f>(DZ39*DZ40*$G$39)*$DT$8</f>
        <v>0</v>
      </c>
      <c r="EA41" s="1256"/>
      <c r="EB41" s="1255">
        <f>(EB39*EB40*$G$39)*$EB$8</f>
        <v>0</v>
      </c>
      <c r="EC41" s="1256"/>
      <c r="ED41" s="1255">
        <f>(ED39*ED40*$G$39)*$EB$8</f>
        <v>0</v>
      </c>
      <c r="EE41" s="1256"/>
      <c r="EF41" s="1255">
        <f>(EF39*EF40*$G$39)*$EB$8</f>
        <v>0</v>
      </c>
      <c r="EG41" s="1256"/>
      <c r="EH41" s="1255">
        <f>(EH39*EH40*$G$39)*$EB$8</f>
        <v>0</v>
      </c>
      <c r="EI41" s="1256"/>
      <c r="EJ41" s="1255">
        <f>(EJ39*EJ40*$G$39)*$EJ$8</f>
        <v>0</v>
      </c>
      <c r="EK41" s="1256"/>
      <c r="EL41" s="1255">
        <f>(EL39*EL40*$G$39)*$EJ$8</f>
        <v>0</v>
      </c>
      <c r="EM41" s="1256"/>
      <c r="EN41" s="1255">
        <f>(EN39*EN40*$G$39)*$EJ$8</f>
        <v>0</v>
      </c>
      <c r="EO41" s="1256"/>
      <c r="EP41" s="1255">
        <f>(EP39*EP40*$G$39)*$EJ$8</f>
        <v>0</v>
      </c>
      <c r="EQ41" s="1256"/>
      <c r="ER41" s="1255">
        <f>(ER39*ER40*$G$39)*$EJ$8</f>
        <v>0</v>
      </c>
      <c r="ES41" s="1256"/>
      <c r="ET41" s="1255">
        <f>(ET39*ET40*$G$39)*$ET$8</f>
        <v>0</v>
      </c>
      <c r="EU41" s="1256"/>
      <c r="EV41" s="1255">
        <f>(EV39*EV40*$G$39)*$ET$8</f>
        <v>0</v>
      </c>
      <c r="EW41" s="1256"/>
      <c r="EX41" s="1255">
        <f>(EX39*EX40*$G$39)*$ET$8</f>
        <v>0</v>
      </c>
      <c r="EY41" s="1256"/>
      <c r="EZ41" s="1255">
        <f>(EZ39*EZ40*$G$39)*$ET$8</f>
        <v>0</v>
      </c>
      <c r="FA41" s="1256"/>
      <c r="FB41" s="1255">
        <f>(FB39*FB40*$G$39)*$FB$8</f>
        <v>0</v>
      </c>
      <c r="FC41" s="1256"/>
      <c r="FD41" s="1255">
        <f>(FD39*FD40*$G$39)*$FB$8</f>
        <v>0</v>
      </c>
      <c r="FE41" s="1256"/>
      <c r="FF41" s="1255">
        <f>(FF39*FF40*$G$39)*$FB$8</f>
        <v>0</v>
      </c>
      <c r="FG41" s="1256"/>
      <c r="FH41" s="1255">
        <f>(FH39*FH40*$G$39)*$FB$8</f>
        <v>0</v>
      </c>
      <c r="FI41" s="1256"/>
      <c r="FJ41" s="1255">
        <f>(FJ39*FJ40*$G$39)*$FB$8</f>
        <v>0</v>
      </c>
      <c r="FK41" s="1256"/>
      <c r="FL41" s="1255">
        <f>(FL39*FL40*$G$39)*$FL$8</f>
        <v>0</v>
      </c>
      <c r="FM41" s="1256"/>
      <c r="FN41" s="1255">
        <f>(FN39*FN40*$G$39)*$FL$8</f>
        <v>0</v>
      </c>
      <c r="FO41" s="1256"/>
      <c r="FP41" s="1255">
        <f>(FP39*FP40*$G$39)*$FL$8</f>
        <v>0</v>
      </c>
      <c r="FQ41" s="1256"/>
      <c r="FR41" s="1255">
        <f>(FR39*FR40*$G$39)*$FL$8</f>
        <v>0</v>
      </c>
      <c r="FS41" s="1256"/>
      <c r="FT41" s="1255">
        <f>(FT39*FT40*$G$39)*$FT$8</f>
        <v>0</v>
      </c>
      <c r="FU41" s="1256"/>
      <c r="FV41" s="1255">
        <f>(FV39*FV40*$G$39)*$FT$8</f>
        <v>0</v>
      </c>
      <c r="FW41" s="1256"/>
      <c r="FX41" s="1255">
        <f>(FX39*FX40*$G$39)*$FT$8</f>
        <v>0</v>
      </c>
      <c r="FY41" s="1256"/>
      <c r="FZ41" s="1255">
        <f>(FZ39*FZ40*$G$39)*$GL$8</f>
        <v>0</v>
      </c>
      <c r="GA41" s="1256"/>
      <c r="GB41" s="1255">
        <f>(GB39*GB40*$G$39)*$GL$8</f>
        <v>0</v>
      </c>
      <c r="GC41" s="1256"/>
      <c r="GD41" s="1255">
        <f>(GD39*GD40*$G$39)*$GL$8</f>
        <v>0</v>
      </c>
      <c r="GE41" s="1256"/>
      <c r="GF41" s="1255">
        <f>(GF39*GF40*$G$39)*$GT$8</f>
        <v>0</v>
      </c>
      <c r="GG41" s="1256"/>
      <c r="GH41" s="1255">
        <f>(GH39*GH40*$G$39)*$GT$8</f>
        <v>0</v>
      </c>
      <c r="GI41" s="1256"/>
      <c r="GJ41" s="1255">
        <f>(GJ39*GJ40*$G$39)*$GT$8</f>
        <v>0</v>
      </c>
      <c r="GK41" s="1256"/>
      <c r="GL41" s="1255">
        <f>(GL39*GL40*$G$39)*$GT$8</f>
        <v>0</v>
      </c>
      <c r="GM41" s="1256"/>
      <c r="GN41" s="1255">
        <f>(GN39*GN40*$G$39)*$GN$8</f>
        <v>0</v>
      </c>
      <c r="GO41" s="1256"/>
      <c r="GP41" s="1255">
        <f>(GP39*GP40*$G$39)*$GN$8</f>
        <v>0</v>
      </c>
      <c r="GQ41" s="1256"/>
      <c r="GR41" s="1255">
        <f>(GR39*GR40*$G$39)*$GN$8</f>
        <v>0</v>
      </c>
      <c r="GS41" s="1256"/>
      <c r="GT41" s="1255">
        <f>(GT39*GT40*$G$39)*$GN$8</f>
        <v>0</v>
      </c>
      <c r="GU41" s="1256"/>
      <c r="GV41" s="1255">
        <f>(GV39*GV40*$G$39)*$GN$8</f>
        <v>0</v>
      </c>
      <c r="GW41" s="1256"/>
      <c r="GX41" s="1255">
        <f>(GX39*GX40*$G$39)*$GN$8</f>
        <v>0</v>
      </c>
      <c r="GY41" s="1256"/>
      <c r="GZ41" s="1255">
        <f>(GZ39*GZ40*$G$39)*$GN$8</f>
        <v>0</v>
      </c>
      <c r="HA41" s="1256"/>
      <c r="HB41" s="1255">
        <f>(HB39*HB40*$G$39)*$GN$8</f>
        <v>0</v>
      </c>
      <c r="HC41" s="1256"/>
      <c r="HD41" s="1255">
        <f>(HD39*HD40*$G$39)*$GN$8</f>
        <v>0</v>
      </c>
      <c r="HE41" s="1256"/>
      <c r="HF41" s="1255">
        <f>(HF39*HF40*$G$39)*$GN$8</f>
        <v>0</v>
      </c>
      <c r="HG41" s="1256"/>
      <c r="HH41" s="1255">
        <f>(HH39*HH40*$G$39)*$GN$8</f>
        <v>0</v>
      </c>
      <c r="HI41" s="1256"/>
      <c r="HJ41" s="1255">
        <f>(HJ39*HJ40*$G$39)*$GN$8</f>
        <v>0</v>
      </c>
      <c r="HK41" s="1256"/>
    </row>
    <row r="42" spans="1:219">
      <c r="A42" s="1299"/>
      <c r="B42" s="1300"/>
      <c r="C42" s="1299"/>
      <c r="D42" s="1301"/>
      <c r="E42" s="1301"/>
      <c r="F42" s="1302"/>
      <c r="G42" s="1301"/>
      <c r="H42" s="726"/>
      <c r="I42" s="1303"/>
      <c r="J42" s="1304"/>
      <c r="K42" s="787" t="s">
        <v>294</v>
      </c>
      <c r="L42" s="1272">
        <f>L41</f>
        <v>0</v>
      </c>
      <c r="M42" s="1273"/>
      <c r="N42" s="1272">
        <f>L42+N41</f>
        <v>0</v>
      </c>
      <c r="O42" s="1273"/>
      <c r="P42" s="1272">
        <f>N42+P41</f>
        <v>0</v>
      </c>
      <c r="Q42" s="1273"/>
      <c r="R42" s="1272">
        <f>P42+R41</f>
        <v>0</v>
      </c>
      <c r="S42" s="1273"/>
      <c r="T42" s="1272">
        <f>R42+T41</f>
        <v>0</v>
      </c>
      <c r="U42" s="1273"/>
      <c r="V42" s="1272">
        <f>T42+V41</f>
        <v>0</v>
      </c>
      <c r="W42" s="1273"/>
      <c r="X42" s="1272">
        <f>V42+X41</f>
        <v>0</v>
      </c>
      <c r="Y42" s="1273"/>
      <c r="Z42" s="1272">
        <f>X42+Z41</f>
        <v>0</v>
      </c>
      <c r="AA42" s="1273"/>
      <c r="AB42" s="1272">
        <f>Z42+AB41</f>
        <v>0</v>
      </c>
      <c r="AC42" s="1273"/>
      <c r="AD42" s="1272">
        <f>AB42+AD41</f>
        <v>0</v>
      </c>
      <c r="AE42" s="1273"/>
      <c r="AF42" s="1272">
        <f>AD42+AF41</f>
        <v>0</v>
      </c>
      <c r="AG42" s="1273"/>
      <c r="AH42" s="1272">
        <f>AF42+AH41</f>
        <v>0</v>
      </c>
      <c r="AI42" s="1273"/>
      <c r="AJ42" s="1272">
        <f>AH42+AJ41</f>
        <v>0</v>
      </c>
      <c r="AK42" s="1273"/>
      <c r="AL42" s="1272">
        <f>AJ42+AL41</f>
        <v>0</v>
      </c>
      <c r="AM42" s="1273"/>
      <c r="AN42" s="1272">
        <f>AL42+AN41</f>
        <v>14.319999999999991</v>
      </c>
      <c r="AO42" s="1273"/>
      <c r="AP42" s="1272">
        <f>AN42+AP41</f>
        <v>50</v>
      </c>
      <c r="AQ42" s="1273"/>
      <c r="AR42" s="1272">
        <f>AP42+AR41</f>
        <v>50</v>
      </c>
      <c r="AS42" s="1273"/>
      <c r="AT42" s="1272">
        <f>AR42+AT41</f>
        <v>50</v>
      </c>
      <c r="AU42" s="1273"/>
      <c r="AV42" s="1272">
        <f>AT42+AV41</f>
        <v>50</v>
      </c>
      <c r="AW42" s="1273"/>
      <c r="AX42" s="1272">
        <f>AV42+AX41</f>
        <v>50</v>
      </c>
      <c r="AY42" s="1273"/>
      <c r="AZ42" s="1272">
        <f>AX42+AZ41</f>
        <v>50</v>
      </c>
      <c r="BA42" s="1273"/>
      <c r="BB42" s="1272">
        <f>AZ42+BB41</f>
        <v>50</v>
      </c>
      <c r="BC42" s="1273"/>
      <c r="BD42" s="1272">
        <f>BB42+BD41</f>
        <v>50</v>
      </c>
      <c r="BE42" s="1273"/>
      <c r="BF42" s="1272">
        <f>BD42+BF41</f>
        <v>50</v>
      </c>
      <c r="BG42" s="1273"/>
      <c r="BH42" s="1272">
        <f>BF42+BH41</f>
        <v>50</v>
      </c>
      <c r="BI42" s="1273"/>
      <c r="BJ42" s="1272">
        <f>BH42+BJ41</f>
        <v>50</v>
      </c>
      <c r="BK42" s="1273"/>
      <c r="BL42" s="1272">
        <f>BJ42+BL41</f>
        <v>50</v>
      </c>
      <c r="BM42" s="1273"/>
      <c r="BN42" s="1272">
        <f>BL42+BN41</f>
        <v>50</v>
      </c>
      <c r="BO42" s="1273"/>
      <c r="BP42" s="1272">
        <f>BN42+BP41</f>
        <v>50</v>
      </c>
      <c r="BQ42" s="1273"/>
      <c r="BR42" s="1272">
        <f>BP42+BR41</f>
        <v>50</v>
      </c>
      <c r="BS42" s="1273"/>
      <c r="BT42" s="1272">
        <f>BR42+BT41</f>
        <v>50</v>
      </c>
      <c r="BU42" s="1273"/>
      <c r="BV42" s="1272">
        <f>BT42+BV41</f>
        <v>50</v>
      </c>
      <c r="BW42" s="1273"/>
      <c r="BX42" s="1272">
        <f>BV42+BX41</f>
        <v>50</v>
      </c>
      <c r="BY42" s="1273"/>
      <c r="BZ42" s="1272">
        <f>BX42+BZ41</f>
        <v>50</v>
      </c>
      <c r="CA42" s="1273"/>
      <c r="CB42" s="1272">
        <f>BZ42+CB41</f>
        <v>50</v>
      </c>
      <c r="CC42" s="1273"/>
      <c r="CD42" s="1272">
        <f>CB42+CD41</f>
        <v>50</v>
      </c>
      <c r="CE42" s="1273"/>
      <c r="CF42" s="1272">
        <f>CD42+CF41</f>
        <v>50</v>
      </c>
      <c r="CG42" s="1273"/>
      <c r="CH42" s="1272">
        <f>CF42+CH41</f>
        <v>50</v>
      </c>
      <c r="CI42" s="1273"/>
      <c r="CJ42" s="1272">
        <f>CH42+CJ41</f>
        <v>50</v>
      </c>
      <c r="CK42" s="1273"/>
      <c r="CL42" s="1272">
        <f>CJ42+CL41</f>
        <v>50</v>
      </c>
      <c r="CM42" s="1273"/>
      <c r="CN42" s="1272">
        <f>CL42+CN41</f>
        <v>50</v>
      </c>
      <c r="CO42" s="1273"/>
      <c r="CP42" s="1272">
        <f>CN42+CP41</f>
        <v>50</v>
      </c>
      <c r="CQ42" s="1273"/>
      <c r="CR42" s="1272">
        <f>CP42+CR41</f>
        <v>50</v>
      </c>
      <c r="CS42" s="1273"/>
      <c r="CT42" s="1272">
        <f>CR42+CT41</f>
        <v>50</v>
      </c>
      <c r="CU42" s="1273"/>
      <c r="CV42" s="1272">
        <f>CT42+CV41</f>
        <v>50</v>
      </c>
      <c r="CW42" s="1273"/>
      <c r="CX42" s="1272">
        <f>CV42+CX41</f>
        <v>50</v>
      </c>
      <c r="CY42" s="1273"/>
      <c r="CZ42" s="1272">
        <f t="shared" ref="CZ42" si="4">CX42+CZ41</f>
        <v>50</v>
      </c>
      <c r="DA42" s="1273"/>
      <c r="DB42" s="1272">
        <f t="shared" ref="DB42" si="5">CZ42+DB41</f>
        <v>50</v>
      </c>
      <c r="DC42" s="1273"/>
      <c r="DD42" s="1272">
        <f>DB42+DD41</f>
        <v>50</v>
      </c>
      <c r="DE42" s="1273"/>
      <c r="DF42" s="1272">
        <f>DD42+DF41</f>
        <v>50</v>
      </c>
      <c r="DG42" s="1273"/>
      <c r="DH42" s="1272">
        <f>DF42+DH41</f>
        <v>50</v>
      </c>
      <c r="DI42" s="1273"/>
      <c r="DJ42" s="1323">
        <f>DH42+DJ41</f>
        <v>50</v>
      </c>
      <c r="DK42" s="1324"/>
      <c r="DL42" s="1272">
        <f>DJ42+DL41</f>
        <v>50</v>
      </c>
      <c r="DM42" s="1273"/>
      <c r="DN42" s="1272">
        <f>DL42+DN41</f>
        <v>50</v>
      </c>
      <c r="DO42" s="1273"/>
      <c r="DP42" s="1272">
        <f>DN42+DP41</f>
        <v>50</v>
      </c>
      <c r="DQ42" s="1273"/>
      <c r="DR42" s="1272">
        <f>DP42+DR41</f>
        <v>50</v>
      </c>
      <c r="DS42" s="1273"/>
      <c r="DT42" s="1272">
        <f>DR42+DT41</f>
        <v>50</v>
      </c>
      <c r="DU42" s="1273"/>
      <c r="DV42" s="1272">
        <f>DT42+DV41</f>
        <v>50</v>
      </c>
      <c r="DW42" s="1273"/>
      <c r="DX42" s="1272">
        <f>DV42+DX41</f>
        <v>50</v>
      </c>
      <c r="DY42" s="1273"/>
      <c r="DZ42" s="1272">
        <f>DX42+DZ41</f>
        <v>50</v>
      </c>
      <c r="EA42" s="1273"/>
      <c r="EB42" s="1272">
        <f>DZ42+EB41</f>
        <v>50</v>
      </c>
      <c r="EC42" s="1273"/>
      <c r="ED42" s="1272">
        <f>EB42+ED41</f>
        <v>50</v>
      </c>
      <c r="EE42" s="1273"/>
      <c r="EF42" s="1272">
        <f>ED42+EF41</f>
        <v>50</v>
      </c>
      <c r="EG42" s="1273"/>
      <c r="EH42" s="1272">
        <f>EF42+EH41</f>
        <v>50</v>
      </c>
      <c r="EI42" s="1273"/>
      <c r="EJ42" s="1272">
        <f>EH42+EJ41</f>
        <v>50</v>
      </c>
      <c r="EK42" s="1273"/>
      <c r="EL42" s="1272">
        <f>EJ42+EL41</f>
        <v>50</v>
      </c>
      <c r="EM42" s="1273"/>
      <c r="EN42" s="1272">
        <f>EL42+EN41</f>
        <v>50</v>
      </c>
      <c r="EO42" s="1273"/>
      <c r="EP42" s="1272">
        <f>EN42+EP41</f>
        <v>50</v>
      </c>
      <c r="EQ42" s="1273"/>
      <c r="ER42" s="1272">
        <f>EP42+ER41</f>
        <v>50</v>
      </c>
      <c r="ES42" s="1273"/>
      <c r="ET42" s="1272">
        <f>ER42+ET41</f>
        <v>50</v>
      </c>
      <c r="EU42" s="1273"/>
      <c r="EV42" s="1272">
        <f>ET42+EV41</f>
        <v>50</v>
      </c>
      <c r="EW42" s="1273"/>
      <c r="EX42" s="1272">
        <f>EV42+EX41</f>
        <v>50</v>
      </c>
      <c r="EY42" s="1273"/>
      <c r="EZ42" s="1272">
        <f>EX42+EZ41</f>
        <v>50</v>
      </c>
      <c r="FA42" s="1273"/>
      <c r="FB42" s="1272">
        <f>EZ42+FB41</f>
        <v>50</v>
      </c>
      <c r="FC42" s="1273"/>
      <c r="FD42" s="1272">
        <f>FB42+FD41</f>
        <v>50</v>
      </c>
      <c r="FE42" s="1273"/>
      <c r="FF42" s="1272">
        <f>FD42+FF41</f>
        <v>50</v>
      </c>
      <c r="FG42" s="1273"/>
      <c r="FH42" s="1272">
        <f>FF42+FH41</f>
        <v>50</v>
      </c>
      <c r="FI42" s="1273"/>
      <c r="FJ42" s="1272">
        <f>FH42+FJ41</f>
        <v>50</v>
      </c>
      <c r="FK42" s="1273"/>
      <c r="FL42" s="1272">
        <f>FJ42+FL41</f>
        <v>50</v>
      </c>
      <c r="FM42" s="1273"/>
      <c r="FN42" s="1272">
        <f>FL42+FN41</f>
        <v>50</v>
      </c>
      <c r="FO42" s="1273"/>
      <c r="FP42" s="1272">
        <f>FN42+FP41</f>
        <v>50</v>
      </c>
      <c r="FQ42" s="1273"/>
      <c r="FR42" s="1272">
        <f>FP42+FR41</f>
        <v>50</v>
      </c>
      <c r="FS42" s="1273"/>
      <c r="FT42" s="1272">
        <f>FR42+FT41</f>
        <v>50</v>
      </c>
      <c r="FU42" s="1273"/>
      <c r="FV42" s="1272">
        <f>FT42+FV41</f>
        <v>50</v>
      </c>
      <c r="FW42" s="1273"/>
      <c r="FX42" s="1272">
        <f>FV42+FX41</f>
        <v>50</v>
      </c>
      <c r="FY42" s="1273"/>
      <c r="FZ42" s="1272">
        <f>FX42+FZ41</f>
        <v>50</v>
      </c>
      <c r="GA42" s="1273"/>
      <c r="GB42" s="1272">
        <f>FZ42+GB41</f>
        <v>50</v>
      </c>
      <c r="GC42" s="1273"/>
      <c r="GD42" s="1272">
        <f>GB42+GD41</f>
        <v>50</v>
      </c>
      <c r="GE42" s="1273"/>
      <c r="GF42" s="1272">
        <f>GD42+GF41</f>
        <v>50</v>
      </c>
      <c r="GG42" s="1273"/>
      <c r="GH42" s="1272">
        <f>GF42+GH41</f>
        <v>50</v>
      </c>
      <c r="GI42" s="1273"/>
      <c r="GJ42" s="1272">
        <f>GH42+GJ41</f>
        <v>50</v>
      </c>
      <c r="GK42" s="1273"/>
      <c r="GL42" s="1272">
        <f>GJ42+GL41</f>
        <v>50</v>
      </c>
      <c r="GM42" s="1273"/>
      <c r="GN42" s="1272">
        <f>GL42+GN41</f>
        <v>50</v>
      </c>
      <c r="GO42" s="1273"/>
      <c r="GP42" s="1272">
        <f>GN42+GP41</f>
        <v>50</v>
      </c>
      <c r="GQ42" s="1273"/>
      <c r="GR42" s="1272">
        <f>GP42+GR41</f>
        <v>50</v>
      </c>
      <c r="GS42" s="1273"/>
      <c r="GT42" s="1272">
        <f>GR42+GT41</f>
        <v>50</v>
      </c>
      <c r="GU42" s="1273"/>
      <c r="GV42" s="1272">
        <f>GT42+GV41</f>
        <v>50</v>
      </c>
      <c r="GW42" s="1273"/>
      <c r="GX42" s="1272">
        <f>GV42+GX41</f>
        <v>50</v>
      </c>
      <c r="GY42" s="1273"/>
      <c r="GZ42" s="1272">
        <f>GX42+GZ41</f>
        <v>50</v>
      </c>
      <c r="HA42" s="1273"/>
      <c r="HB42" s="1272">
        <f>GZ42+HB41</f>
        <v>50</v>
      </c>
      <c r="HC42" s="1273"/>
      <c r="HD42" s="1272">
        <f>HB42+HD41</f>
        <v>50</v>
      </c>
      <c r="HE42" s="1273"/>
      <c r="HF42" s="1272">
        <f>HD42+HF41</f>
        <v>50</v>
      </c>
      <c r="HG42" s="1273"/>
      <c r="HH42" s="1272">
        <f>HF42+HH41</f>
        <v>50</v>
      </c>
      <c r="HI42" s="1273"/>
      <c r="HJ42" s="1272">
        <f>HH42+HJ41</f>
        <v>50</v>
      </c>
      <c r="HK42" s="1273"/>
    </row>
    <row r="43" spans="1:219" s="19" customFormat="1">
      <c r="A43" s="1299"/>
      <c r="B43" s="1300"/>
      <c r="C43" s="1299"/>
      <c r="D43" s="1301"/>
      <c r="E43" s="1301"/>
      <c r="F43" s="1302"/>
      <c r="G43" s="1301"/>
      <c r="H43" s="788"/>
      <c r="I43" s="1303"/>
      <c r="J43" s="1304"/>
      <c r="K43" s="789" t="s">
        <v>295</v>
      </c>
      <c r="L43" s="1266"/>
      <c r="M43" s="1267"/>
      <c r="N43" s="1266"/>
      <c r="O43" s="1267"/>
      <c r="P43" s="1266"/>
      <c r="Q43" s="1267"/>
      <c r="R43" s="1266"/>
      <c r="S43" s="1267"/>
      <c r="T43" s="1266"/>
      <c r="U43" s="1267"/>
      <c r="V43" s="1266"/>
      <c r="W43" s="1267"/>
      <c r="X43" s="1266"/>
      <c r="Y43" s="1267"/>
      <c r="Z43" s="1266"/>
      <c r="AA43" s="1267"/>
      <c r="AB43" s="1266"/>
      <c r="AC43" s="1267"/>
      <c r="AD43" s="1266"/>
      <c r="AE43" s="1267"/>
      <c r="AF43" s="1266"/>
      <c r="AG43" s="1267"/>
      <c r="AH43" s="1266"/>
      <c r="AI43" s="1267"/>
      <c r="AJ43" s="1266"/>
      <c r="AK43" s="1267"/>
      <c r="AL43" s="1266"/>
      <c r="AM43" s="1267"/>
      <c r="AN43" s="1266"/>
      <c r="AO43" s="1267"/>
      <c r="AP43" s="1266"/>
      <c r="AQ43" s="1267"/>
      <c r="AR43" s="1266"/>
      <c r="AS43" s="1267"/>
      <c r="AT43" s="1266"/>
      <c r="AU43" s="1267"/>
      <c r="AV43" s="1266"/>
      <c r="AW43" s="1267"/>
      <c r="AX43" s="1266"/>
      <c r="AY43" s="1267"/>
      <c r="AZ43" s="1266"/>
      <c r="BA43" s="1267"/>
      <c r="BB43" s="1266"/>
      <c r="BC43" s="1267"/>
      <c r="BD43" s="1266"/>
      <c r="BE43" s="1267"/>
      <c r="BF43" s="1266"/>
      <c r="BG43" s="1267"/>
      <c r="BH43" s="1266"/>
      <c r="BI43" s="1267"/>
      <c r="BJ43" s="1266"/>
      <c r="BK43" s="1267"/>
      <c r="BL43" s="1266"/>
      <c r="BM43" s="1267"/>
      <c r="BN43" s="1266"/>
      <c r="BO43" s="1267"/>
      <c r="BP43" s="1266"/>
      <c r="BQ43" s="1267"/>
      <c r="BR43" s="1266"/>
      <c r="BS43" s="1267"/>
      <c r="BT43" s="1266"/>
      <c r="BU43" s="1267"/>
      <c r="BV43" s="1266"/>
      <c r="BW43" s="1267"/>
      <c r="BX43" s="1266"/>
      <c r="BY43" s="1267"/>
      <c r="BZ43" s="1266"/>
      <c r="CA43" s="1267"/>
      <c r="CB43" s="1266"/>
      <c r="CC43" s="1267"/>
      <c r="CD43" s="1266"/>
      <c r="CE43" s="1267"/>
      <c r="CF43" s="1266"/>
      <c r="CG43" s="1267"/>
      <c r="CH43" s="1266"/>
      <c r="CI43" s="1267"/>
      <c r="CJ43" s="1266"/>
      <c r="CK43" s="1267"/>
      <c r="CL43" s="1266"/>
      <c r="CM43" s="1267"/>
      <c r="CN43" s="1266"/>
      <c r="CO43" s="1267"/>
      <c r="CP43" s="1266"/>
      <c r="CQ43" s="1267"/>
      <c r="CR43" s="1266"/>
      <c r="CS43" s="1267"/>
      <c r="CT43" s="1266"/>
      <c r="CU43" s="1267"/>
      <c r="CV43" s="1266"/>
      <c r="CW43" s="1267"/>
      <c r="CX43" s="1266"/>
      <c r="CY43" s="1267"/>
      <c r="CZ43" s="1266"/>
      <c r="DA43" s="1267"/>
      <c r="DB43" s="1266"/>
      <c r="DC43" s="1267"/>
      <c r="DD43" s="1266"/>
      <c r="DE43" s="1267"/>
      <c r="DF43" s="1266"/>
      <c r="DG43" s="1267"/>
      <c r="DH43" s="1266"/>
      <c r="DI43" s="1267"/>
      <c r="DJ43" s="1268"/>
      <c r="DK43" s="1269"/>
      <c r="DL43" s="1266"/>
      <c r="DM43" s="1267"/>
      <c r="DN43" s="1266"/>
      <c r="DO43" s="1267"/>
      <c r="DP43" s="1266"/>
      <c r="DQ43" s="1267"/>
      <c r="DR43" s="1266"/>
      <c r="DS43" s="1267"/>
      <c r="DT43" s="1266"/>
      <c r="DU43" s="1267"/>
      <c r="DV43" s="1266"/>
      <c r="DW43" s="1267"/>
      <c r="DX43" s="1266"/>
      <c r="DY43" s="1267"/>
      <c r="DZ43" s="1266"/>
      <c r="EA43" s="1267"/>
      <c r="EB43" s="1266"/>
      <c r="EC43" s="1267"/>
      <c r="ED43" s="1266"/>
      <c r="EE43" s="1267"/>
      <c r="EF43" s="1266"/>
      <c r="EG43" s="1267"/>
      <c r="EH43" s="1266"/>
      <c r="EI43" s="1267"/>
      <c r="EJ43" s="1266"/>
      <c r="EK43" s="1267"/>
      <c r="EL43" s="1266"/>
      <c r="EM43" s="1267"/>
      <c r="EN43" s="1266"/>
      <c r="EO43" s="1267"/>
      <c r="EP43" s="1266"/>
      <c r="EQ43" s="1267"/>
      <c r="ER43" s="1266"/>
      <c r="ES43" s="1267"/>
      <c r="ET43" s="1266"/>
      <c r="EU43" s="1267"/>
      <c r="EV43" s="1266"/>
      <c r="EW43" s="1267"/>
      <c r="EX43" s="1266"/>
      <c r="EY43" s="1267"/>
      <c r="EZ43" s="1266"/>
      <c r="FA43" s="1267"/>
      <c r="FB43" s="1266"/>
      <c r="FC43" s="1267"/>
      <c r="FD43" s="1266"/>
      <c r="FE43" s="1267"/>
      <c r="FF43" s="1266"/>
      <c r="FG43" s="1267"/>
      <c r="FH43" s="1266"/>
      <c r="FI43" s="1267"/>
      <c r="FJ43" s="1266"/>
      <c r="FK43" s="1267"/>
      <c r="FL43" s="1266"/>
      <c r="FM43" s="1267"/>
      <c r="FN43" s="1266"/>
      <c r="FO43" s="1267"/>
      <c r="FP43" s="1266"/>
      <c r="FQ43" s="1267"/>
      <c r="FR43" s="1266"/>
      <c r="FS43" s="1267"/>
      <c r="FT43" s="1266"/>
      <c r="FU43" s="1267"/>
      <c r="FV43" s="1266"/>
      <c r="FW43" s="1267"/>
      <c r="FX43" s="1266"/>
      <c r="FY43" s="1267"/>
      <c r="FZ43" s="1266"/>
      <c r="GA43" s="1267"/>
      <c r="GB43" s="1266"/>
      <c r="GC43" s="1267"/>
      <c r="GD43" s="1266"/>
      <c r="GE43" s="1267"/>
      <c r="GF43" s="1266"/>
      <c r="GG43" s="1267"/>
      <c r="GH43" s="1266"/>
      <c r="GI43" s="1267"/>
      <c r="GJ43" s="1266"/>
      <c r="GK43" s="1267"/>
      <c r="GL43" s="1266"/>
      <c r="GM43" s="1267"/>
      <c r="GN43" s="1266"/>
      <c r="GO43" s="1267"/>
      <c r="GP43" s="1266"/>
      <c r="GQ43" s="1267"/>
      <c r="GR43" s="1266"/>
      <c r="GS43" s="1267"/>
      <c r="GT43" s="1266"/>
      <c r="GU43" s="1267"/>
      <c r="GV43" s="1266"/>
      <c r="GW43" s="1267"/>
      <c r="GX43" s="1266"/>
      <c r="GY43" s="1267"/>
      <c r="GZ43" s="1266"/>
      <c r="HA43" s="1267"/>
      <c r="HB43" s="1266"/>
      <c r="HC43" s="1267"/>
      <c r="HD43" s="1266"/>
      <c r="HE43" s="1267"/>
      <c r="HF43" s="1266"/>
      <c r="HG43" s="1267"/>
      <c r="HH43" s="1266"/>
      <c r="HI43" s="1267"/>
      <c r="HJ43" s="1266"/>
      <c r="HK43" s="1267"/>
    </row>
    <row r="44" spans="1:219" s="20" customFormat="1">
      <c r="A44" s="1299"/>
      <c r="B44" s="1300"/>
      <c r="C44" s="1299"/>
      <c r="D44" s="1301"/>
      <c r="E44" s="1301"/>
      <c r="F44" s="1302"/>
      <c r="G44" s="1301"/>
      <c r="H44" s="790"/>
      <c r="I44" s="1303"/>
      <c r="J44" s="1304"/>
      <c r="K44" s="791" t="s">
        <v>296</v>
      </c>
      <c r="L44" s="1259">
        <f>L43</f>
        <v>0</v>
      </c>
      <c r="M44" s="1260"/>
      <c r="N44" s="1259">
        <f>N43+L44</f>
        <v>0</v>
      </c>
      <c r="O44" s="1260"/>
      <c r="P44" s="1259">
        <f>P43+N44</f>
        <v>0</v>
      </c>
      <c r="Q44" s="1260"/>
      <c r="R44" s="1259">
        <f>R43+P44</f>
        <v>0</v>
      </c>
      <c r="S44" s="1260"/>
      <c r="T44" s="1259">
        <f>T43+R44</f>
        <v>0</v>
      </c>
      <c r="U44" s="1260"/>
      <c r="V44" s="1259">
        <f>V43+T44</f>
        <v>0</v>
      </c>
      <c r="W44" s="1260"/>
      <c r="X44" s="1259">
        <f>X43+V44</f>
        <v>0</v>
      </c>
      <c r="Y44" s="1260"/>
      <c r="Z44" s="1259">
        <f>Z43+X44</f>
        <v>0</v>
      </c>
      <c r="AA44" s="1260"/>
      <c r="AB44" s="1259">
        <f>AB43+Z44</f>
        <v>0</v>
      </c>
      <c r="AC44" s="1260"/>
      <c r="AD44" s="1259">
        <f>AD43+AB44</f>
        <v>0</v>
      </c>
      <c r="AE44" s="1260"/>
      <c r="AF44" s="1259">
        <f>AF43+AD44</f>
        <v>0</v>
      </c>
      <c r="AG44" s="1260"/>
      <c r="AH44" s="1259">
        <f>AH43+AF44</f>
        <v>0</v>
      </c>
      <c r="AI44" s="1260"/>
      <c r="AJ44" s="1259">
        <f>AJ43+AH44</f>
        <v>0</v>
      </c>
      <c r="AK44" s="1260"/>
      <c r="AL44" s="1259">
        <f>AL43+AJ44</f>
        <v>0</v>
      </c>
      <c r="AM44" s="1260"/>
      <c r="AN44" s="1259">
        <f>AN43+AL44</f>
        <v>0</v>
      </c>
      <c r="AO44" s="1260"/>
      <c r="AP44" s="1259">
        <f>AP43+AN44</f>
        <v>0</v>
      </c>
      <c r="AQ44" s="1260"/>
      <c r="AR44" s="1259">
        <f>AR43+AP44</f>
        <v>0</v>
      </c>
      <c r="AS44" s="1260"/>
      <c r="AT44" s="1259">
        <f>AT43+AR44</f>
        <v>0</v>
      </c>
      <c r="AU44" s="1260"/>
      <c r="AV44" s="1259">
        <f>AV43+AT44</f>
        <v>0</v>
      </c>
      <c r="AW44" s="1260"/>
      <c r="AX44" s="1259">
        <f>AX43+AV44</f>
        <v>0</v>
      </c>
      <c r="AY44" s="1260"/>
      <c r="AZ44" s="1259">
        <f>AZ43+AX44</f>
        <v>0</v>
      </c>
      <c r="BA44" s="1260"/>
      <c r="BB44" s="1259">
        <f>BB43+AZ44</f>
        <v>0</v>
      </c>
      <c r="BC44" s="1260"/>
      <c r="BD44" s="1259">
        <f>BD43+BB44</f>
        <v>0</v>
      </c>
      <c r="BE44" s="1260"/>
      <c r="BF44" s="1259">
        <f>BF43+BD44</f>
        <v>0</v>
      </c>
      <c r="BG44" s="1260"/>
      <c r="BH44" s="1259">
        <f>BH43+BF44</f>
        <v>0</v>
      </c>
      <c r="BI44" s="1260"/>
      <c r="BJ44" s="1259">
        <f>BJ43+BH44</f>
        <v>0</v>
      </c>
      <c r="BK44" s="1260"/>
      <c r="BL44" s="1259">
        <f>BL43+BJ44</f>
        <v>0</v>
      </c>
      <c r="BM44" s="1260"/>
      <c r="BN44" s="1259">
        <f>BN43+BL44</f>
        <v>0</v>
      </c>
      <c r="BO44" s="1260"/>
      <c r="BP44" s="1259">
        <f>BP43+BN44</f>
        <v>0</v>
      </c>
      <c r="BQ44" s="1260"/>
      <c r="BR44" s="1259">
        <f>BR43+BP44</f>
        <v>0</v>
      </c>
      <c r="BS44" s="1260"/>
      <c r="BT44" s="1259">
        <f>BT43+BR44</f>
        <v>0</v>
      </c>
      <c r="BU44" s="1260"/>
      <c r="BV44" s="1259">
        <f>BV43+BT44</f>
        <v>0</v>
      </c>
      <c r="BW44" s="1260"/>
      <c r="BX44" s="1259">
        <f>BX43+BV44</f>
        <v>0</v>
      </c>
      <c r="BY44" s="1260"/>
      <c r="BZ44" s="1259">
        <f>BZ43+BX44</f>
        <v>0</v>
      </c>
      <c r="CA44" s="1260"/>
      <c r="CB44" s="1259">
        <f>CB43+BZ44</f>
        <v>0</v>
      </c>
      <c r="CC44" s="1260"/>
      <c r="CD44" s="1259">
        <f>CD43+CB44</f>
        <v>0</v>
      </c>
      <c r="CE44" s="1260"/>
      <c r="CF44" s="1259">
        <f>CF43+CD44</f>
        <v>0</v>
      </c>
      <c r="CG44" s="1260"/>
      <c r="CH44" s="1259">
        <f>CH43+CF44</f>
        <v>0</v>
      </c>
      <c r="CI44" s="1260"/>
      <c r="CJ44" s="1259">
        <f>CJ43+CH44</f>
        <v>0</v>
      </c>
      <c r="CK44" s="1260"/>
      <c r="CL44" s="1259">
        <f>CL43+CJ44</f>
        <v>0</v>
      </c>
      <c r="CM44" s="1260"/>
      <c r="CN44" s="1259">
        <f>CN43+CL44</f>
        <v>0</v>
      </c>
      <c r="CO44" s="1260"/>
      <c r="CP44" s="1259">
        <f>CP43+CN44</f>
        <v>0</v>
      </c>
      <c r="CQ44" s="1260"/>
      <c r="CR44" s="1259">
        <f>CR43+CP44</f>
        <v>0</v>
      </c>
      <c r="CS44" s="1260"/>
      <c r="CT44" s="1259">
        <f>CT43+CR44</f>
        <v>0</v>
      </c>
      <c r="CU44" s="1260"/>
      <c r="CV44" s="1259">
        <f>CV43+CT44</f>
        <v>0</v>
      </c>
      <c r="CW44" s="1260"/>
      <c r="CX44" s="1259">
        <f>CX43+CV44</f>
        <v>0</v>
      </c>
      <c r="CY44" s="1260"/>
      <c r="CZ44" s="1259">
        <f t="shared" ref="CZ44" si="6">CZ43+CX44</f>
        <v>0</v>
      </c>
      <c r="DA44" s="1260"/>
      <c r="DB44" s="1259">
        <f t="shared" ref="DB44" si="7">DB43+CZ44</f>
        <v>0</v>
      </c>
      <c r="DC44" s="1260"/>
      <c r="DD44" s="1259">
        <f>DD43+DB44</f>
        <v>0</v>
      </c>
      <c r="DE44" s="1260"/>
      <c r="DF44" s="1259">
        <f>DF43+DD44</f>
        <v>0</v>
      </c>
      <c r="DG44" s="1260"/>
      <c r="DH44" s="1259">
        <f>DH43+DF44</f>
        <v>0</v>
      </c>
      <c r="DI44" s="1260"/>
      <c r="DJ44" s="1261">
        <f>DJ43+DH44</f>
        <v>0</v>
      </c>
      <c r="DK44" s="1262"/>
      <c r="DL44" s="1259">
        <f>DL43+DJ44</f>
        <v>0</v>
      </c>
      <c r="DM44" s="1260"/>
      <c r="DN44" s="1259">
        <f>DN43+DL44</f>
        <v>0</v>
      </c>
      <c r="DO44" s="1260"/>
      <c r="DP44" s="1259">
        <f>DP43+DN44</f>
        <v>0</v>
      </c>
      <c r="DQ44" s="1260"/>
      <c r="DR44" s="1259">
        <f>DR43+DP44</f>
        <v>0</v>
      </c>
      <c r="DS44" s="1260"/>
      <c r="DT44" s="1259">
        <f>DT43+DR44</f>
        <v>0</v>
      </c>
      <c r="DU44" s="1260"/>
      <c r="DV44" s="1259">
        <f>DV43+DT44</f>
        <v>0</v>
      </c>
      <c r="DW44" s="1260"/>
      <c r="DX44" s="1259">
        <f>DX43+DV44</f>
        <v>0</v>
      </c>
      <c r="DY44" s="1260"/>
      <c r="DZ44" s="1259">
        <f>DZ43+DX44</f>
        <v>0</v>
      </c>
      <c r="EA44" s="1260"/>
      <c r="EB44" s="1259">
        <f>EB43+DZ44</f>
        <v>0</v>
      </c>
      <c r="EC44" s="1260"/>
      <c r="ED44" s="1259">
        <f>ED43+EB44</f>
        <v>0</v>
      </c>
      <c r="EE44" s="1260"/>
      <c r="EF44" s="1259">
        <f>EF43+ED44</f>
        <v>0</v>
      </c>
      <c r="EG44" s="1260"/>
      <c r="EH44" s="1259">
        <f>EH43+EF44</f>
        <v>0</v>
      </c>
      <c r="EI44" s="1260"/>
      <c r="EJ44" s="1259">
        <f>EJ43+EH44</f>
        <v>0</v>
      </c>
      <c r="EK44" s="1260"/>
      <c r="EL44" s="1259">
        <f>EL43+EJ44</f>
        <v>0</v>
      </c>
      <c r="EM44" s="1260"/>
      <c r="EN44" s="1259">
        <f>EN43+EL44</f>
        <v>0</v>
      </c>
      <c r="EO44" s="1260"/>
      <c r="EP44" s="1259">
        <f>EP43+EN44</f>
        <v>0</v>
      </c>
      <c r="EQ44" s="1260"/>
      <c r="ER44" s="1259">
        <f>ER43+EP44</f>
        <v>0</v>
      </c>
      <c r="ES44" s="1260"/>
      <c r="ET44" s="1259">
        <f>ET43+ER44</f>
        <v>0</v>
      </c>
      <c r="EU44" s="1260"/>
      <c r="EV44" s="1259">
        <f>EV43+ET44</f>
        <v>0</v>
      </c>
      <c r="EW44" s="1260"/>
      <c r="EX44" s="1259">
        <f>EX43+EV44</f>
        <v>0</v>
      </c>
      <c r="EY44" s="1260"/>
      <c r="EZ44" s="1259">
        <f>EZ43+EX44</f>
        <v>0</v>
      </c>
      <c r="FA44" s="1260"/>
      <c r="FB44" s="1259">
        <f>FB43+EZ44</f>
        <v>0</v>
      </c>
      <c r="FC44" s="1260"/>
      <c r="FD44" s="1259">
        <f>FD43+FB44</f>
        <v>0</v>
      </c>
      <c r="FE44" s="1260"/>
      <c r="FF44" s="1259">
        <f>FF43+FD44</f>
        <v>0</v>
      </c>
      <c r="FG44" s="1260"/>
      <c r="FH44" s="1259">
        <f>FH43+FF44</f>
        <v>0</v>
      </c>
      <c r="FI44" s="1260"/>
      <c r="FJ44" s="1259">
        <f>FJ43+FH44</f>
        <v>0</v>
      </c>
      <c r="FK44" s="1260"/>
      <c r="FL44" s="1259">
        <f>FL43+FJ44</f>
        <v>0</v>
      </c>
      <c r="FM44" s="1260"/>
      <c r="FN44" s="1259">
        <f>FN43+FL44</f>
        <v>0</v>
      </c>
      <c r="FO44" s="1260"/>
      <c r="FP44" s="1259">
        <f>FP43+FN44</f>
        <v>0</v>
      </c>
      <c r="FQ44" s="1260"/>
      <c r="FR44" s="1259">
        <f>FR43+FP44</f>
        <v>0</v>
      </c>
      <c r="FS44" s="1260"/>
      <c r="FT44" s="1259">
        <f>FT43+FR44</f>
        <v>0</v>
      </c>
      <c r="FU44" s="1260"/>
      <c r="FV44" s="1259">
        <f>FV43+FT44</f>
        <v>0</v>
      </c>
      <c r="FW44" s="1260"/>
      <c r="FX44" s="1259">
        <f>FX43+FV44</f>
        <v>0</v>
      </c>
      <c r="FY44" s="1260"/>
      <c r="FZ44" s="1259">
        <f>FZ43+FX44</f>
        <v>0</v>
      </c>
      <c r="GA44" s="1260"/>
      <c r="GB44" s="1259">
        <f>GB43+FZ44</f>
        <v>0</v>
      </c>
      <c r="GC44" s="1260"/>
      <c r="GD44" s="1259">
        <f>GD43+GB44</f>
        <v>0</v>
      </c>
      <c r="GE44" s="1260"/>
      <c r="GF44" s="1259">
        <f>GF43+GD44</f>
        <v>0</v>
      </c>
      <c r="GG44" s="1260"/>
      <c r="GH44" s="1259">
        <f>GH43+GF44</f>
        <v>0</v>
      </c>
      <c r="GI44" s="1260"/>
      <c r="GJ44" s="1259">
        <f>GJ43+GH44</f>
        <v>0</v>
      </c>
      <c r="GK44" s="1260"/>
      <c r="GL44" s="1259">
        <f>GL43+GJ44</f>
        <v>0</v>
      </c>
      <c r="GM44" s="1260"/>
      <c r="GN44" s="1259">
        <f>GN43+GL44</f>
        <v>0</v>
      </c>
      <c r="GO44" s="1260"/>
      <c r="GP44" s="1259">
        <f>GP43+GN44</f>
        <v>0</v>
      </c>
      <c r="GQ44" s="1260"/>
      <c r="GR44" s="1259">
        <f>GR43+GP44</f>
        <v>0</v>
      </c>
      <c r="GS44" s="1260"/>
      <c r="GT44" s="1259">
        <f>GT43+GR44</f>
        <v>0</v>
      </c>
      <c r="GU44" s="1260"/>
      <c r="GV44" s="1259">
        <f>GV43+GT44</f>
        <v>0</v>
      </c>
      <c r="GW44" s="1260"/>
      <c r="GX44" s="1259">
        <f>GX43+GV44</f>
        <v>0</v>
      </c>
      <c r="GY44" s="1260"/>
      <c r="GZ44" s="1259">
        <f>GZ43+GX44</f>
        <v>0</v>
      </c>
      <c r="HA44" s="1260"/>
      <c r="HB44" s="1259">
        <f>HB43+GZ44</f>
        <v>0</v>
      </c>
      <c r="HC44" s="1260"/>
      <c r="HD44" s="1259">
        <f>HD43+HB44</f>
        <v>0</v>
      </c>
      <c r="HE44" s="1260"/>
      <c r="HF44" s="1259">
        <f>HF43+HD44</f>
        <v>0</v>
      </c>
      <c r="HG44" s="1260"/>
      <c r="HH44" s="1259">
        <f>HH43+HF44</f>
        <v>0</v>
      </c>
      <c r="HI44" s="1260"/>
      <c r="HJ44" s="1259">
        <f>HJ43+HH44</f>
        <v>0</v>
      </c>
      <c r="HK44" s="1260"/>
    </row>
    <row r="45" spans="1:219" s="21" customFormat="1">
      <c r="A45" s="1299"/>
      <c r="B45" s="1300"/>
      <c r="C45" s="1299"/>
      <c r="D45" s="1301"/>
      <c r="E45" s="1301"/>
      <c r="F45" s="1302"/>
      <c r="G45" s="1301"/>
      <c r="H45" s="792"/>
      <c r="I45" s="1303"/>
      <c r="J45" s="1304"/>
      <c r="K45" s="793" t="s">
        <v>297</v>
      </c>
      <c r="L45" s="1270">
        <f>IF($E$39&gt;0,L42/$E$39,"-")</f>
        <v>0</v>
      </c>
      <c r="M45" s="1271"/>
      <c r="N45" s="1270">
        <f>IF($E$39&gt;0,N42/$E$39,"-")</f>
        <v>0</v>
      </c>
      <c r="O45" s="1271"/>
      <c r="P45" s="1270">
        <f>IF($E$39&gt;0,P42/$E$39,"-")</f>
        <v>0</v>
      </c>
      <c r="Q45" s="1271"/>
      <c r="R45" s="1270">
        <f>IF($E$39&gt;0,R42/$E$39,"-")</f>
        <v>0</v>
      </c>
      <c r="S45" s="1271"/>
      <c r="T45" s="1270">
        <f>IF($E$39&gt;0,T42/$E$39,"-")</f>
        <v>0</v>
      </c>
      <c r="U45" s="1271"/>
      <c r="V45" s="1270">
        <f>IF($E$39&gt;0,V42/$E$39,"-")</f>
        <v>0</v>
      </c>
      <c r="W45" s="1271"/>
      <c r="X45" s="1270">
        <f>IF($E$39&gt;0,X42/$E$39,"-")</f>
        <v>0</v>
      </c>
      <c r="Y45" s="1271"/>
      <c r="Z45" s="1270">
        <f>IF($E$39&gt;0,Z42/$E$39,"-")</f>
        <v>0</v>
      </c>
      <c r="AA45" s="1271"/>
      <c r="AB45" s="1270">
        <f>IF($E$39&gt;0,AB42/$E$39,"-")</f>
        <v>0</v>
      </c>
      <c r="AC45" s="1271"/>
      <c r="AD45" s="1270">
        <f>IF($E$39&gt;0,AD42/$E$39,"-")</f>
        <v>0</v>
      </c>
      <c r="AE45" s="1271"/>
      <c r="AF45" s="1270">
        <f>IF($E$39&gt;0,AF42/$E$39,"-")</f>
        <v>0</v>
      </c>
      <c r="AG45" s="1271"/>
      <c r="AH45" s="1270">
        <f>IF($E$39&gt;0,AH42/$E$39,"-")</f>
        <v>0</v>
      </c>
      <c r="AI45" s="1271"/>
      <c r="AJ45" s="1270">
        <f>IF($E$39&gt;0,AJ42/$E$39,"-")</f>
        <v>0</v>
      </c>
      <c r="AK45" s="1271"/>
      <c r="AL45" s="1270">
        <f>IF($E$39&gt;0,AL42/$E$39,"-")</f>
        <v>0</v>
      </c>
      <c r="AM45" s="1271"/>
      <c r="AN45" s="1270">
        <f>IF($E$39&gt;0,AN42/$E$39,"-")</f>
        <v>14.319999999999991</v>
      </c>
      <c r="AO45" s="1271"/>
      <c r="AP45" s="1270">
        <f>IF($E$39&gt;0,AP42/$E$39,"-")</f>
        <v>50</v>
      </c>
      <c r="AQ45" s="1271"/>
      <c r="AR45" s="1270">
        <f>IF($E$39&gt;0,AR42/$E$39,"-")</f>
        <v>50</v>
      </c>
      <c r="AS45" s="1271"/>
      <c r="AT45" s="1270">
        <f>IF($E$39&gt;0,AT42/$E$39,"-")</f>
        <v>50</v>
      </c>
      <c r="AU45" s="1271"/>
      <c r="AV45" s="1270">
        <f>IF($E$39&gt;0,AV42/$E$39,"-")</f>
        <v>50</v>
      </c>
      <c r="AW45" s="1271"/>
      <c r="AX45" s="1270">
        <f>IF($E$39&gt;0,AX42/$E$39,"-")</f>
        <v>50</v>
      </c>
      <c r="AY45" s="1271"/>
      <c r="AZ45" s="1270">
        <f>IF($E$39&gt;0,AZ42/$E$39,"-")</f>
        <v>50</v>
      </c>
      <c r="BA45" s="1271"/>
      <c r="BB45" s="1270">
        <f>IF($E$39&gt;0,BB42/$E$39,"-")</f>
        <v>50</v>
      </c>
      <c r="BC45" s="1271"/>
      <c r="BD45" s="1270">
        <f>IF($E$39&gt;0,BD42/$E$39,"-")</f>
        <v>50</v>
      </c>
      <c r="BE45" s="1271"/>
      <c r="BF45" s="1270">
        <f>IF($E$39&gt;0,BF42/$E$39,"-")</f>
        <v>50</v>
      </c>
      <c r="BG45" s="1271"/>
      <c r="BH45" s="1270">
        <f>IF($E$39&gt;0,BH42/$E$39,"-")</f>
        <v>50</v>
      </c>
      <c r="BI45" s="1271"/>
      <c r="BJ45" s="1270">
        <f>IF($E$39&gt;0,BJ42/$E$39,"-")</f>
        <v>50</v>
      </c>
      <c r="BK45" s="1271"/>
      <c r="BL45" s="1270">
        <f>IF($E$39&gt;0,BL42/$E$39,"-")</f>
        <v>50</v>
      </c>
      <c r="BM45" s="1271"/>
      <c r="BN45" s="1270">
        <f>IF($E$39&gt;0,BN42/$E$39,"-")</f>
        <v>50</v>
      </c>
      <c r="BO45" s="1271"/>
      <c r="BP45" s="1270">
        <f>IF($E$39&gt;0,BP42/$E$39,"-")</f>
        <v>50</v>
      </c>
      <c r="BQ45" s="1271"/>
      <c r="BR45" s="1270">
        <f>IF($E$39&gt;0,BR42/$E$39,"-")</f>
        <v>50</v>
      </c>
      <c r="BS45" s="1271"/>
      <c r="BT45" s="1270">
        <f>IF($E$39&gt;0,BT42/$E$39,"-")</f>
        <v>50</v>
      </c>
      <c r="BU45" s="1271"/>
      <c r="BV45" s="1270">
        <f>IF($E$39&gt;0,BV42/$E$39,"-")</f>
        <v>50</v>
      </c>
      <c r="BW45" s="1271"/>
      <c r="BX45" s="1270">
        <f>IF($E$39&gt;0,BX42/$E$39,"-")</f>
        <v>50</v>
      </c>
      <c r="BY45" s="1271"/>
      <c r="BZ45" s="1270">
        <f>IF($E$39&gt;0,BZ42/$E$39,"-")</f>
        <v>50</v>
      </c>
      <c r="CA45" s="1271"/>
      <c r="CB45" s="1270">
        <f>IF($E$39&gt;0,CB42/$E$39,"-")</f>
        <v>50</v>
      </c>
      <c r="CC45" s="1271"/>
      <c r="CD45" s="1270">
        <f>IF($E$39&gt;0,CD42/$E$39,"-")</f>
        <v>50</v>
      </c>
      <c r="CE45" s="1271"/>
      <c r="CF45" s="1270">
        <f>IF($E$39&gt;0,CF42/$E$39,"-")</f>
        <v>50</v>
      </c>
      <c r="CG45" s="1271"/>
      <c r="CH45" s="1270">
        <f>IF($E$39&gt;0,CH42/$E$39,"-")</f>
        <v>50</v>
      </c>
      <c r="CI45" s="1271"/>
      <c r="CJ45" s="1270">
        <f>IF($E$39&gt;0,CJ42/$E$39,"-")</f>
        <v>50</v>
      </c>
      <c r="CK45" s="1271"/>
      <c r="CL45" s="1270">
        <f>IF($E$39&gt;0,CL42/$E$39,"-")</f>
        <v>50</v>
      </c>
      <c r="CM45" s="1271"/>
      <c r="CN45" s="1270">
        <f>IF($E$39&gt;0,CN42/$E$39,"-")</f>
        <v>50</v>
      </c>
      <c r="CO45" s="1271"/>
      <c r="CP45" s="1270">
        <f>IF($E$39&gt;0,CP42/$E$39,"-")</f>
        <v>50</v>
      </c>
      <c r="CQ45" s="1271"/>
      <c r="CR45" s="1270">
        <f>IF($E$39&gt;0,CR42/$E$39,"-")</f>
        <v>50</v>
      </c>
      <c r="CS45" s="1271"/>
      <c r="CT45" s="1270">
        <f>IF($E$39&gt;0,CT42/$E$39,"-")</f>
        <v>50</v>
      </c>
      <c r="CU45" s="1271"/>
      <c r="CV45" s="1270">
        <f>IF($E$39&gt;0,CV42/$E$39,"-")</f>
        <v>50</v>
      </c>
      <c r="CW45" s="1271"/>
      <c r="CX45" s="1270">
        <f>IF($E$39&gt;0,CX42/$E$39,"-")</f>
        <v>50</v>
      </c>
      <c r="CY45" s="1271"/>
      <c r="CZ45" s="1270">
        <f t="shared" ref="CZ45" si="8">IF($E$39&gt;0,CZ42/$E$39,"-")</f>
        <v>50</v>
      </c>
      <c r="DA45" s="1271"/>
      <c r="DB45" s="1270">
        <f t="shared" ref="DB45" si="9">IF($E$39&gt;0,DB42/$E$39,"-")</f>
        <v>50</v>
      </c>
      <c r="DC45" s="1271"/>
      <c r="DD45" s="1270">
        <f>IF($E$39&gt;0,DD42/$E$39,"-")</f>
        <v>50</v>
      </c>
      <c r="DE45" s="1271"/>
      <c r="DF45" s="1270">
        <f>IF($E$39&gt;0,DF42/$E$39,"-")</f>
        <v>50</v>
      </c>
      <c r="DG45" s="1271"/>
      <c r="DH45" s="1270">
        <f>IF($E$39&gt;0,DH42/$E$39,"-")</f>
        <v>50</v>
      </c>
      <c r="DI45" s="1271"/>
      <c r="DJ45" s="1325">
        <f>IF($E$39&gt;0,DJ42/$E$39,"-")</f>
        <v>50</v>
      </c>
      <c r="DK45" s="1326"/>
      <c r="DL45" s="1270">
        <f>IF($E$39&gt;0,DL42/$E$39,"-")</f>
        <v>50</v>
      </c>
      <c r="DM45" s="1271"/>
      <c r="DN45" s="1270">
        <f>IF($E$39&gt;0,DN42/$E$39,"-")</f>
        <v>50</v>
      </c>
      <c r="DO45" s="1271"/>
      <c r="DP45" s="1270">
        <f>IF($E$39&gt;0,DP42/$E$39,"-")</f>
        <v>50</v>
      </c>
      <c r="DQ45" s="1271"/>
      <c r="DR45" s="1270">
        <f>IF($E$39&gt;0,DR42/$E$39,"-")</f>
        <v>50</v>
      </c>
      <c r="DS45" s="1271"/>
      <c r="DT45" s="1270">
        <f>IF($E$39&gt;0,DT42/$E$39,"-")</f>
        <v>50</v>
      </c>
      <c r="DU45" s="1271"/>
      <c r="DV45" s="1270">
        <f>IF($E$39&gt;0,DV42/$E$39,"-")</f>
        <v>50</v>
      </c>
      <c r="DW45" s="1271"/>
      <c r="DX45" s="1270">
        <f>IF($E$39&gt;0,DX42/$E$39,"-")</f>
        <v>50</v>
      </c>
      <c r="DY45" s="1271"/>
      <c r="DZ45" s="1270">
        <f>IF($E$39&gt;0,DZ42/$E$39,"-")</f>
        <v>50</v>
      </c>
      <c r="EA45" s="1271"/>
      <c r="EB45" s="1270">
        <f>IF($E$39&gt;0,EB42/$E$39,"-")</f>
        <v>50</v>
      </c>
      <c r="EC45" s="1271"/>
      <c r="ED45" s="1270">
        <f>IF($E$39&gt;0,ED42/$E$39,"-")</f>
        <v>50</v>
      </c>
      <c r="EE45" s="1271"/>
      <c r="EF45" s="1270">
        <f>IF($E$39&gt;0,EF42/$E$39,"-")</f>
        <v>50</v>
      </c>
      <c r="EG45" s="1271"/>
      <c r="EH45" s="1270">
        <f>IF($E$39&gt;0,EH42/$E$39,"-")</f>
        <v>50</v>
      </c>
      <c r="EI45" s="1271"/>
      <c r="EJ45" s="1270">
        <f>IF($E$39&gt;0,EJ42/$E$39,"-")</f>
        <v>50</v>
      </c>
      <c r="EK45" s="1271"/>
      <c r="EL45" s="1270">
        <f>IF($E$39&gt;0,EL42/$E$39,"-")</f>
        <v>50</v>
      </c>
      <c r="EM45" s="1271"/>
      <c r="EN45" s="1270">
        <f>IF($E$39&gt;0,EN42/$E$39,"-")</f>
        <v>50</v>
      </c>
      <c r="EO45" s="1271"/>
      <c r="EP45" s="1270">
        <f>IF($E$39&gt;0,EP42/$E$39,"-")</f>
        <v>50</v>
      </c>
      <c r="EQ45" s="1271"/>
      <c r="ER45" s="1270">
        <f>IF($E$39&gt;0,ER42/$E$39,"-")</f>
        <v>50</v>
      </c>
      <c r="ES45" s="1271"/>
      <c r="ET45" s="1270">
        <f>IF($E$39&gt;0,ET42/$E$39,"-")</f>
        <v>50</v>
      </c>
      <c r="EU45" s="1271"/>
      <c r="EV45" s="1270">
        <f>IF($E$39&gt;0,EV42/$E$39,"-")</f>
        <v>50</v>
      </c>
      <c r="EW45" s="1271"/>
      <c r="EX45" s="1270">
        <f>IF($E$39&gt;0,EX42/$E$39,"-")</f>
        <v>50</v>
      </c>
      <c r="EY45" s="1271"/>
      <c r="EZ45" s="1270">
        <f>IF($E$39&gt;0,EZ42/$E$39,"-")</f>
        <v>50</v>
      </c>
      <c r="FA45" s="1271"/>
      <c r="FB45" s="1270">
        <f>IF($E$39&gt;0,FB42/$E$39,"-")</f>
        <v>50</v>
      </c>
      <c r="FC45" s="1271"/>
      <c r="FD45" s="1270">
        <f>IF($E$39&gt;0,FD42/$E$39,"-")</f>
        <v>50</v>
      </c>
      <c r="FE45" s="1271"/>
      <c r="FF45" s="1270">
        <f>IF($E$39&gt;0,FF42/$E$39,"-")</f>
        <v>50</v>
      </c>
      <c r="FG45" s="1271"/>
      <c r="FH45" s="1270">
        <f>IF($E$39&gt;0,FH42/$E$39,"-")</f>
        <v>50</v>
      </c>
      <c r="FI45" s="1271"/>
      <c r="FJ45" s="1270">
        <f>IF($E$39&gt;0,FJ42/$E$39,"-")</f>
        <v>50</v>
      </c>
      <c r="FK45" s="1271"/>
      <c r="FL45" s="1270">
        <f>IF($E$39&gt;0,FL42/$E$39,"-")</f>
        <v>50</v>
      </c>
      <c r="FM45" s="1271"/>
      <c r="FN45" s="1270">
        <f>IF($E$39&gt;0,FN42/$E$39,"-")</f>
        <v>50</v>
      </c>
      <c r="FO45" s="1271"/>
      <c r="FP45" s="1270">
        <f>IF($E$39&gt;0,FP42/$E$39,"-")</f>
        <v>50</v>
      </c>
      <c r="FQ45" s="1271"/>
      <c r="FR45" s="1270">
        <f>IF($E$39&gt;0,FR42/$E$39,"-")</f>
        <v>50</v>
      </c>
      <c r="FS45" s="1271"/>
      <c r="FT45" s="1270">
        <f>IF($E$39&gt;0,FT42/$E$39,"-")</f>
        <v>50</v>
      </c>
      <c r="FU45" s="1271"/>
      <c r="FV45" s="1270">
        <f>IF($E$39&gt;0,FV42/$E$39,"-")</f>
        <v>50</v>
      </c>
      <c r="FW45" s="1271"/>
      <c r="FX45" s="1270">
        <f>IF($E$39&gt;0,FX42/$E$39,"-")</f>
        <v>50</v>
      </c>
      <c r="FY45" s="1271"/>
      <c r="FZ45" s="1270">
        <f>IF($E$39&gt;0,FZ42/$E$39,"-")</f>
        <v>50</v>
      </c>
      <c r="GA45" s="1271"/>
      <c r="GB45" s="1270">
        <f>IF($E$39&gt;0,GB42/$E$39,"-")</f>
        <v>50</v>
      </c>
      <c r="GC45" s="1271"/>
      <c r="GD45" s="1270">
        <f>IF($E$39&gt;0,GD42/$E$39,"-")</f>
        <v>50</v>
      </c>
      <c r="GE45" s="1271"/>
      <c r="GF45" s="1270">
        <f>IF($E$39&gt;0,GF42/$E$39,"-")</f>
        <v>50</v>
      </c>
      <c r="GG45" s="1271"/>
      <c r="GH45" s="1270">
        <f>IF($E$39&gt;0,GH42/$E$39,"-")</f>
        <v>50</v>
      </c>
      <c r="GI45" s="1271"/>
      <c r="GJ45" s="1270">
        <f>IF($E$39&gt;0,GJ42/$E$39,"-")</f>
        <v>50</v>
      </c>
      <c r="GK45" s="1271"/>
      <c r="GL45" s="1270">
        <f>IF($E$39&gt;0,GL42/$E$39,"-")</f>
        <v>50</v>
      </c>
      <c r="GM45" s="1271"/>
      <c r="GN45" s="1270">
        <f>IF($E$39&gt;0,GN42/$E$39,"-")</f>
        <v>50</v>
      </c>
      <c r="GO45" s="1271"/>
      <c r="GP45" s="1270">
        <f>IF($E$39&gt;0,GP42/$E$39,"-")</f>
        <v>50</v>
      </c>
      <c r="GQ45" s="1271"/>
      <c r="GR45" s="1270">
        <f>IF($E$39&gt;0,GR42/$E$39,"-")</f>
        <v>50</v>
      </c>
      <c r="GS45" s="1271"/>
      <c r="GT45" s="1270">
        <f>IF($E$39&gt;0,GT42/$E$39,"-")</f>
        <v>50</v>
      </c>
      <c r="GU45" s="1271"/>
      <c r="GV45" s="1270">
        <f>IF($E$39&gt;0,GV42/$E$39,"-")</f>
        <v>50</v>
      </c>
      <c r="GW45" s="1271"/>
      <c r="GX45" s="1270">
        <f>IF($E$39&gt;0,GX42/$E$39,"-")</f>
        <v>50</v>
      </c>
      <c r="GY45" s="1271"/>
      <c r="GZ45" s="1270">
        <f>IF($E$39&gt;0,GZ42/$E$39,"-")</f>
        <v>50</v>
      </c>
      <c r="HA45" s="1271"/>
      <c r="HB45" s="1270">
        <f>IF($E$39&gt;0,HB42/$E$39,"-")</f>
        <v>50</v>
      </c>
      <c r="HC45" s="1271"/>
      <c r="HD45" s="1270">
        <f>IF($E$39&gt;0,HD42/$E$39,"-")</f>
        <v>50</v>
      </c>
      <c r="HE45" s="1271"/>
      <c r="HF45" s="1270">
        <f>IF($E$39&gt;0,HF42/$E$39,"-")</f>
        <v>50</v>
      </c>
      <c r="HG45" s="1271"/>
      <c r="HH45" s="1270">
        <f>IF($E$39&gt;0,HH42/$E$39,"-")</f>
        <v>50</v>
      </c>
      <c r="HI45" s="1271"/>
      <c r="HJ45" s="1270">
        <f>IF($E$39&gt;0,HJ42/$E$39,"-")</f>
        <v>50</v>
      </c>
      <c r="HK45" s="1271"/>
    </row>
    <row r="46" spans="1:219">
      <c r="A46" s="1299"/>
      <c r="B46" s="1300"/>
      <c r="C46" s="1299"/>
      <c r="D46" s="1301"/>
      <c r="E46" s="1301"/>
      <c r="F46" s="1302"/>
      <c r="G46" s="1301"/>
      <c r="H46" s="726"/>
      <c r="I46" s="1303"/>
      <c r="J46" s="1304"/>
      <c r="K46" s="794" t="s">
        <v>298</v>
      </c>
      <c r="L46" s="1294">
        <f>IF($E$39&gt;0,L44/$E$39,"-")</f>
        <v>0</v>
      </c>
      <c r="M46" s="1295"/>
      <c r="N46" s="1294">
        <f>IF($E$39&gt;0,N44/$E$39,"-")</f>
        <v>0</v>
      </c>
      <c r="O46" s="1295"/>
      <c r="P46" s="1294">
        <f>IF($E$39&gt;0,P44/$E$39,"-")</f>
        <v>0</v>
      </c>
      <c r="Q46" s="1295"/>
      <c r="R46" s="1294">
        <f>IF($E$39&gt;0,R44/$E$39,"-")</f>
        <v>0</v>
      </c>
      <c r="S46" s="1295"/>
      <c r="T46" s="1294">
        <f>IF($E$39&gt;0,T44/$E$39,"-")</f>
        <v>0</v>
      </c>
      <c r="U46" s="1295"/>
      <c r="V46" s="1294">
        <f>IF($E$39&gt;0,V44/$E$39,"-")</f>
        <v>0</v>
      </c>
      <c r="W46" s="1295"/>
      <c r="X46" s="1294">
        <f>IF($E$39&gt;0,X44/$E$39,"-")</f>
        <v>0</v>
      </c>
      <c r="Y46" s="1295"/>
      <c r="Z46" s="1294">
        <f>IF($E$39&gt;0,Z44/$E$39,"-")</f>
        <v>0</v>
      </c>
      <c r="AA46" s="1295"/>
      <c r="AB46" s="1294">
        <f>IF($E$39&gt;0,AB44/$E$39,"-")</f>
        <v>0</v>
      </c>
      <c r="AC46" s="1295"/>
      <c r="AD46" s="1294">
        <f>IF($E$39&gt;0,AD44/$E$39,"-")</f>
        <v>0</v>
      </c>
      <c r="AE46" s="1295"/>
      <c r="AF46" s="1294">
        <f>IF($E$39&gt;0,AF44/$E$39,"-")</f>
        <v>0</v>
      </c>
      <c r="AG46" s="1295"/>
      <c r="AH46" s="1294">
        <f>IF($E$39&gt;0,AH44/$E$39,"-")</f>
        <v>0</v>
      </c>
      <c r="AI46" s="1295"/>
      <c r="AJ46" s="1294">
        <f>IF($E$39&gt;0,AJ44/$E$39,"-")</f>
        <v>0</v>
      </c>
      <c r="AK46" s="1295"/>
      <c r="AL46" s="1294">
        <f>IF($E$39&gt;0,AL44/$E$39,"-")</f>
        <v>0</v>
      </c>
      <c r="AM46" s="1295"/>
      <c r="AN46" s="1294">
        <f>IF($E$39&gt;0,AN44/$E$39,"-")</f>
        <v>0</v>
      </c>
      <c r="AO46" s="1295"/>
      <c r="AP46" s="1294">
        <f>IF($E$39&gt;0,AP44/$E$39,"-")</f>
        <v>0</v>
      </c>
      <c r="AQ46" s="1295"/>
      <c r="AR46" s="1294">
        <f>IF($E$39&gt;0,AR44/$E$39,"-")</f>
        <v>0</v>
      </c>
      <c r="AS46" s="1295"/>
      <c r="AT46" s="1294">
        <f>IF($E$39&gt;0,AT44/$E$39,"-")</f>
        <v>0</v>
      </c>
      <c r="AU46" s="1295"/>
      <c r="AV46" s="1294">
        <f>IF($E$39&gt;0,AV44/$E$39,"-")</f>
        <v>0</v>
      </c>
      <c r="AW46" s="1295"/>
      <c r="AX46" s="1294">
        <f>IF($E$39&gt;0,AX44/$E$39,"-")</f>
        <v>0</v>
      </c>
      <c r="AY46" s="1295"/>
      <c r="AZ46" s="1294">
        <f>IF($E$39&gt;0,AZ44/$E$39,"-")</f>
        <v>0</v>
      </c>
      <c r="BA46" s="1295"/>
      <c r="BB46" s="1294">
        <f>IF($E$39&gt;0,BB44/$E$39,"-")</f>
        <v>0</v>
      </c>
      <c r="BC46" s="1295"/>
      <c r="BD46" s="1294">
        <f>IF($E$39&gt;0,BD44/$E$39,"-")</f>
        <v>0</v>
      </c>
      <c r="BE46" s="1295"/>
      <c r="BF46" s="1294">
        <f>IF($E$39&gt;0,BF44/$E$39,"-")</f>
        <v>0</v>
      </c>
      <c r="BG46" s="1295"/>
      <c r="BH46" s="1294">
        <f>IF($E$39&gt;0,BH44/$E$39,"-")</f>
        <v>0</v>
      </c>
      <c r="BI46" s="1295"/>
      <c r="BJ46" s="1294">
        <f>IF($E$39&gt;0,BJ44/$E$39,"-")</f>
        <v>0</v>
      </c>
      <c r="BK46" s="1295"/>
      <c r="BL46" s="1294">
        <f>IF($E$39&gt;0,BL44/$E$39,"-")</f>
        <v>0</v>
      </c>
      <c r="BM46" s="1295"/>
      <c r="BN46" s="1294">
        <f>IF($E$39&gt;0,BN44/$E$39,"-")</f>
        <v>0</v>
      </c>
      <c r="BO46" s="1295"/>
      <c r="BP46" s="1294">
        <f>IF($E$39&gt;0,BP44/$E$39,"-")</f>
        <v>0</v>
      </c>
      <c r="BQ46" s="1295"/>
      <c r="BR46" s="1253">
        <f>IF($E$39&gt;0,BR44/$E$39,"-")</f>
        <v>0</v>
      </c>
      <c r="BS46" s="1253"/>
      <c r="BT46" s="1253">
        <f>IF($E$39&gt;0,BT44/$E$39,"-")</f>
        <v>0</v>
      </c>
      <c r="BU46" s="1253"/>
      <c r="BV46" s="1253">
        <f>IF($E$39&gt;0,BV44/$E$39,"-")</f>
        <v>0</v>
      </c>
      <c r="BW46" s="1253"/>
      <c r="BX46" s="1253">
        <f>IF($E$39&gt;0,BX44/$E$39,"-")</f>
        <v>0</v>
      </c>
      <c r="BY46" s="1253"/>
      <c r="BZ46" s="1253">
        <f>IF($E$39&gt;0,BZ44/$E$39,"-")</f>
        <v>0</v>
      </c>
      <c r="CA46" s="1253"/>
      <c r="CB46" s="1253">
        <f>IF($E$39&gt;0,CB44/$E$39,"-")</f>
        <v>0</v>
      </c>
      <c r="CC46" s="1253"/>
      <c r="CD46" s="1253">
        <f>IF($E$39&gt;0,CD44/$E$39,"-")</f>
        <v>0</v>
      </c>
      <c r="CE46" s="1253"/>
      <c r="CF46" s="1253">
        <f>IF($E$39&gt;0,CF44/$E$39,"-")</f>
        <v>0</v>
      </c>
      <c r="CG46" s="1253"/>
      <c r="CH46" s="1253">
        <f>IF($E$39&gt;0,CH44/$E$39,"-")</f>
        <v>0</v>
      </c>
      <c r="CI46" s="1253"/>
      <c r="CJ46" s="1253">
        <f>IF($E$39&gt;0,CJ44/$E$39,"-")</f>
        <v>0</v>
      </c>
      <c r="CK46" s="1253"/>
      <c r="CL46" s="1253">
        <f>IF($E$39&gt;0,CL44/$E$39,"-")</f>
        <v>0</v>
      </c>
      <c r="CM46" s="1253"/>
      <c r="CN46" s="1253">
        <f>IF($E$39&gt;0,CN44/$E$39,"-")</f>
        <v>0</v>
      </c>
      <c r="CO46" s="1253"/>
      <c r="CP46" s="1253">
        <f>IF($E$39&gt;0,CP44/$E$39,"-")</f>
        <v>0</v>
      </c>
      <c r="CQ46" s="1253"/>
      <c r="CR46" s="1253">
        <f>IF($E$39&gt;0,CR44/$E$39,"-")</f>
        <v>0</v>
      </c>
      <c r="CS46" s="1253"/>
      <c r="CT46" s="1253">
        <f>IF($E$39&gt;0,CT44/$E$39,"-")</f>
        <v>0</v>
      </c>
      <c r="CU46" s="1253"/>
      <c r="CV46" s="1253">
        <f>IF($E$39&gt;0,CV44/$E$39,"-")</f>
        <v>0</v>
      </c>
      <c r="CW46" s="1253"/>
      <c r="CX46" s="1253">
        <f>IF($E$39&gt;0,CX44/$E$39,"-")</f>
        <v>0</v>
      </c>
      <c r="CY46" s="1253"/>
      <c r="CZ46" s="1294">
        <f t="shared" ref="CZ46" si="10">IF($E$39&gt;0,CZ44/$E$39,"-")</f>
        <v>0</v>
      </c>
      <c r="DA46" s="1295"/>
      <c r="DB46" s="1294">
        <f t="shared" ref="DB46" si="11">IF($E$39&gt;0,DB44/$E$39,"-")</f>
        <v>0</v>
      </c>
      <c r="DC46" s="1295"/>
      <c r="DD46" s="1253">
        <f>IF($E$39&gt;0,DD44/$E$39,"-")</f>
        <v>0</v>
      </c>
      <c r="DE46" s="1253"/>
      <c r="DF46" s="1253">
        <f>IF($E$39&gt;0,DF44/$E$39,"-")</f>
        <v>0</v>
      </c>
      <c r="DG46" s="1253"/>
      <c r="DH46" s="1253">
        <f>IF($E$39&gt;0,DH44/$E$39,"-")</f>
        <v>0</v>
      </c>
      <c r="DI46" s="1253"/>
      <c r="DJ46" s="1254">
        <f>IF($E$39&gt;0,DJ44/$E$39,"-")</f>
        <v>0</v>
      </c>
      <c r="DK46" s="1254"/>
      <c r="DL46" s="1253">
        <f>IF($E$39&gt;0,DL44/$E$39,"-")</f>
        <v>0</v>
      </c>
      <c r="DM46" s="1253"/>
      <c r="DN46" s="1253">
        <f>IF($E$39&gt;0,DN44/$E$39,"-")</f>
        <v>0</v>
      </c>
      <c r="DO46" s="1253"/>
      <c r="DP46" s="1253">
        <f>IF($E$39&gt;0,DP44/$E$39,"-")</f>
        <v>0</v>
      </c>
      <c r="DQ46" s="1253"/>
      <c r="DR46" s="1253">
        <f>IF($E$39&gt;0,DR44/$E$39,"-")</f>
        <v>0</v>
      </c>
      <c r="DS46" s="1253"/>
      <c r="DT46" s="1253">
        <f>IF($E$39&gt;0,DT44/$E$39,"-")</f>
        <v>0</v>
      </c>
      <c r="DU46" s="1253"/>
      <c r="DV46" s="1253">
        <f>IF($E$39&gt;0,DV44/$E$39,"-")</f>
        <v>0</v>
      </c>
      <c r="DW46" s="1253"/>
      <c r="DX46" s="1253">
        <f>IF($E$39&gt;0,DX44/$E$39,"-")</f>
        <v>0</v>
      </c>
      <c r="DY46" s="1253"/>
      <c r="DZ46" s="1253">
        <f>IF($E$39&gt;0,DZ44/$E$39,"-")</f>
        <v>0</v>
      </c>
      <c r="EA46" s="1253"/>
      <c r="EB46" s="1253">
        <f>IF($E$39&gt;0,EB44/$E$39,"-")</f>
        <v>0</v>
      </c>
      <c r="EC46" s="1253"/>
      <c r="ED46" s="1253">
        <f>IF($E$39&gt;0,ED44/$E$39,"-")</f>
        <v>0</v>
      </c>
      <c r="EE46" s="1253"/>
      <c r="EF46" s="1253">
        <f>IF($E$39&gt;0,EF44/$E$39,"-")</f>
        <v>0</v>
      </c>
      <c r="EG46" s="1253"/>
      <c r="EH46" s="1253">
        <f>IF($E$39&gt;0,EH44/$E$39,"-")</f>
        <v>0</v>
      </c>
      <c r="EI46" s="1253"/>
      <c r="EJ46" s="1253">
        <f>IF($E$39&gt;0,EJ44/$E$39,"-")</f>
        <v>0</v>
      </c>
      <c r="EK46" s="1253"/>
      <c r="EL46" s="1253">
        <f>IF($E$39&gt;0,EL44/$E$39,"-")</f>
        <v>0</v>
      </c>
      <c r="EM46" s="1253"/>
      <c r="EN46" s="1253">
        <f>IF($E$39&gt;0,EN44/$E$39,"-")</f>
        <v>0</v>
      </c>
      <c r="EO46" s="1253"/>
      <c r="EP46" s="1253">
        <f>IF($E$39&gt;0,EP44/$E$39,"-")</f>
        <v>0</v>
      </c>
      <c r="EQ46" s="1253"/>
      <c r="ER46" s="1253">
        <f>IF($E$39&gt;0,ER44/$E$39,"-")</f>
        <v>0</v>
      </c>
      <c r="ES46" s="1253"/>
      <c r="ET46" s="1253">
        <f>IF($E$39&gt;0,ET44/$E$39,"-")</f>
        <v>0</v>
      </c>
      <c r="EU46" s="1253"/>
      <c r="EV46" s="1253">
        <f>IF($E$39&gt;0,EV44/$E$39,"-")</f>
        <v>0</v>
      </c>
      <c r="EW46" s="1253"/>
      <c r="EX46" s="1253">
        <f>IF($E$39&gt;0,EX44/$E$39,"-")</f>
        <v>0</v>
      </c>
      <c r="EY46" s="1253"/>
      <c r="EZ46" s="1253">
        <f>IF($E$39&gt;0,EZ44/$E$39,"-")</f>
        <v>0</v>
      </c>
      <c r="FA46" s="1253"/>
      <c r="FB46" s="1253">
        <f>IF($E$39&gt;0,FB44/$E$39,"-")</f>
        <v>0</v>
      </c>
      <c r="FC46" s="1253"/>
      <c r="FD46" s="1253">
        <f>IF($E$39&gt;0,FD44/$E$39,"-")</f>
        <v>0</v>
      </c>
      <c r="FE46" s="1253"/>
      <c r="FF46" s="1253">
        <f>IF($E$39&gt;0,FF44/$E$39,"-")</f>
        <v>0</v>
      </c>
      <c r="FG46" s="1253"/>
      <c r="FH46" s="1253">
        <f>IF($E$39&gt;0,FH44/$E$39,"-")</f>
        <v>0</v>
      </c>
      <c r="FI46" s="1253"/>
      <c r="FJ46" s="1253">
        <f>IF($E$39&gt;0,FJ44/$E$39,"-")</f>
        <v>0</v>
      </c>
      <c r="FK46" s="1253"/>
      <c r="FL46" s="1253">
        <f>IF($E$39&gt;0,FL44/$E$39,"-")</f>
        <v>0</v>
      </c>
      <c r="FM46" s="1253"/>
      <c r="FN46" s="1253">
        <f>IF($E$39&gt;0,FN44/$E$39,"-")</f>
        <v>0</v>
      </c>
      <c r="FO46" s="1253"/>
      <c r="FP46" s="1253">
        <f>IF($E$39&gt;0,FP44/$E$39,"-")</f>
        <v>0</v>
      </c>
      <c r="FQ46" s="1253"/>
      <c r="FR46" s="1253">
        <f>IF($E$39&gt;0,FR44/$E$39,"-")</f>
        <v>0</v>
      </c>
      <c r="FS46" s="1253"/>
      <c r="FT46" s="1253">
        <f>IF($E$39&gt;0,FT44/$E$39,"-")</f>
        <v>0</v>
      </c>
      <c r="FU46" s="1253"/>
      <c r="FV46" s="1253">
        <f>IF($E$39&gt;0,FV44/$E$39,"-")</f>
        <v>0</v>
      </c>
      <c r="FW46" s="1253"/>
      <c r="FX46" s="1253">
        <f>IF($E$39&gt;0,FX44/$E$39,"-")</f>
        <v>0</v>
      </c>
      <c r="FY46" s="1253"/>
      <c r="FZ46" s="1253">
        <f>IF($E$39&gt;0,FZ44/$E$39,"-")</f>
        <v>0</v>
      </c>
      <c r="GA46" s="1253"/>
      <c r="GB46" s="1253">
        <f>IF($E$39&gt;0,GB44/$E$39,"-")</f>
        <v>0</v>
      </c>
      <c r="GC46" s="1253"/>
      <c r="GD46" s="1253">
        <f>IF($E$39&gt;0,GD44/$E$39,"-")</f>
        <v>0</v>
      </c>
      <c r="GE46" s="1253"/>
      <c r="GF46" s="1253">
        <f>IF($E$39&gt;0,GF44/$E$39,"-")</f>
        <v>0</v>
      </c>
      <c r="GG46" s="1253"/>
      <c r="GH46" s="1253">
        <f>IF($E$39&gt;0,GH44/$E$39,"-")</f>
        <v>0</v>
      </c>
      <c r="GI46" s="1253"/>
      <c r="GJ46" s="1253">
        <f>IF($E$39&gt;0,GJ44/$E$39,"-")</f>
        <v>0</v>
      </c>
      <c r="GK46" s="1253"/>
      <c r="GL46" s="1253">
        <f>IF($E$39&gt;0,GL44/$E$39,"-")</f>
        <v>0</v>
      </c>
      <c r="GM46" s="1253"/>
      <c r="GN46" s="1253">
        <f>IF($E$39&gt;0,GN44/$E$39,"-")</f>
        <v>0</v>
      </c>
      <c r="GO46" s="1253"/>
      <c r="GP46" s="1253">
        <f>IF($E$39&gt;0,GP44/$E$39,"-")</f>
        <v>0</v>
      </c>
      <c r="GQ46" s="1253"/>
      <c r="GR46" s="1253">
        <f>IF($E$39&gt;0,GR44/$E$39,"-")</f>
        <v>0</v>
      </c>
      <c r="GS46" s="1253"/>
      <c r="GT46" s="1253">
        <f>IF($E$39&gt;0,GT44/$E$39,"-")</f>
        <v>0</v>
      </c>
      <c r="GU46" s="1253"/>
      <c r="GV46" s="1253">
        <f>IF($E$39&gt;0,GV44/$E$39,"-")</f>
        <v>0</v>
      </c>
      <c r="GW46" s="1253"/>
      <c r="GX46" s="1253">
        <f>IF($E$39&gt;0,GX44/$E$39,"-")</f>
        <v>0</v>
      </c>
      <c r="GY46" s="1253"/>
      <c r="GZ46" s="1253">
        <f>IF($E$39&gt;0,GZ44/$E$39,"-")</f>
        <v>0</v>
      </c>
      <c r="HA46" s="1253"/>
      <c r="HB46" s="1253">
        <f>IF($E$39&gt;0,HB44/$E$39,"-")</f>
        <v>0</v>
      </c>
      <c r="HC46" s="1253"/>
      <c r="HD46" s="1253">
        <f>IF($E$39&gt;0,HD44/$E$39,"-")</f>
        <v>0</v>
      </c>
      <c r="HE46" s="1253"/>
      <c r="HF46" s="1253">
        <f>IF($E$39&gt;0,HF44/$E$39,"-")</f>
        <v>0</v>
      </c>
      <c r="HG46" s="1253"/>
      <c r="HH46" s="1253">
        <f>IF($E$39&gt;0,HH44/$E$39,"-")</f>
        <v>0</v>
      </c>
      <c r="HI46" s="1253"/>
      <c r="HJ46" s="1253">
        <f>IF($E$39&gt;0,HJ44/$E$39,"-")</f>
        <v>0</v>
      </c>
      <c r="HK46" s="1253"/>
    </row>
    <row r="47" spans="1:219" s="5" customFormat="1" ht="14.4">
      <c r="A47" s="690"/>
      <c r="B47" s="691"/>
      <c r="C47" s="691"/>
      <c r="D47" s="692"/>
      <c r="E47" s="692"/>
      <c r="F47" s="797"/>
      <c r="G47" s="691"/>
      <c r="H47" s="691"/>
      <c r="I47" s="691"/>
      <c r="J47" s="691"/>
      <c r="K47" s="691"/>
      <c r="L47" s="1274"/>
      <c r="M47" s="1274"/>
      <c r="N47" s="1274"/>
      <c r="O47" s="1274"/>
      <c r="P47" s="1274"/>
      <c r="Q47" s="1274"/>
      <c r="R47" s="1274"/>
      <c r="S47" s="1362"/>
      <c r="T47" s="1276"/>
      <c r="U47" s="1274"/>
      <c r="V47" s="1274"/>
      <c r="W47" s="1274"/>
      <c r="X47" s="1274"/>
      <c r="Y47" s="1274"/>
      <c r="Z47" s="1274"/>
      <c r="AA47" s="1362"/>
      <c r="AB47" s="1276"/>
      <c r="AC47" s="1274"/>
      <c r="AD47" s="1274"/>
      <c r="AE47" s="1274"/>
      <c r="AF47" s="1274"/>
      <c r="AG47" s="1274"/>
      <c r="AH47" s="1274"/>
      <c r="AI47" s="1362"/>
      <c r="AJ47" s="1276"/>
      <c r="AK47" s="1274"/>
      <c r="AL47" s="1274"/>
      <c r="AM47" s="1274"/>
      <c r="AN47" s="1274"/>
      <c r="AO47" s="1274"/>
      <c r="AP47" s="1274"/>
      <c r="AQ47" s="1362"/>
      <c r="AR47" s="1276"/>
      <c r="AS47" s="1274"/>
      <c r="AT47" s="777"/>
      <c r="AU47" s="777"/>
      <c r="AV47" s="777"/>
      <c r="AW47" s="777"/>
      <c r="AX47" s="777"/>
      <c r="AY47" s="778"/>
      <c r="AZ47" s="779"/>
      <c r="BA47" s="777"/>
      <c r="BB47" s="777"/>
      <c r="BC47" s="777"/>
      <c r="BD47" s="777"/>
      <c r="BE47" s="777"/>
      <c r="BF47" s="777"/>
      <c r="BG47" s="778"/>
      <c r="BH47" s="779"/>
      <c r="BI47" s="777"/>
      <c r="BJ47" s="777"/>
      <c r="BK47" s="777"/>
      <c r="BL47" s="777"/>
      <c r="BM47" s="777"/>
      <c r="BN47" s="777"/>
      <c r="BO47" s="778"/>
      <c r="BP47" s="779"/>
      <c r="BQ47" s="777"/>
      <c r="BR47" s="777"/>
      <c r="BS47" s="777"/>
      <c r="BT47" s="777"/>
      <c r="BU47" s="777"/>
      <c r="BV47" s="777"/>
      <c r="BW47" s="778"/>
      <c r="BX47" s="779"/>
      <c r="BY47" s="777"/>
      <c r="BZ47" s="777"/>
      <c r="CA47" s="777"/>
      <c r="CB47" s="777"/>
      <c r="CC47" s="777"/>
      <c r="CD47" s="1274"/>
      <c r="CE47" s="1275"/>
      <c r="CF47" s="1276"/>
      <c r="CG47" s="1277"/>
      <c r="CH47" s="1274"/>
      <c r="CI47" s="1277"/>
      <c r="CJ47" s="1274"/>
      <c r="CK47" s="1277"/>
      <c r="CL47" s="1274"/>
      <c r="CM47" s="1275"/>
      <c r="CN47" s="1276"/>
      <c r="CO47" s="1277"/>
      <c r="CP47" s="1296"/>
      <c r="CQ47" s="1297"/>
      <c r="CR47" s="1296"/>
      <c r="CS47" s="1297"/>
      <c r="CT47" s="780"/>
      <c r="CU47" s="781"/>
      <c r="CV47" s="782"/>
      <c r="CW47" s="780"/>
      <c r="CX47" s="780"/>
      <c r="CY47" s="780"/>
      <c r="CZ47" s="780"/>
      <c r="DA47" s="780"/>
      <c r="DB47" s="780"/>
      <c r="DC47" s="781"/>
      <c r="DD47" s="782"/>
      <c r="DE47" s="780"/>
      <c r="DF47" s="780"/>
      <c r="DG47" s="780"/>
      <c r="DH47" s="780"/>
      <c r="DI47" s="780"/>
      <c r="DJ47" s="783"/>
      <c r="DK47" s="784"/>
      <c r="DL47" s="782"/>
      <c r="DM47" s="780"/>
      <c r="DN47" s="780"/>
      <c r="DO47" s="780"/>
      <c r="DP47" s="780"/>
      <c r="DQ47" s="780"/>
      <c r="DR47" s="780"/>
      <c r="DS47" s="781"/>
      <c r="DT47" s="782"/>
      <c r="DU47" s="780"/>
      <c r="DV47" s="780"/>
      <c r="DW47" s="780"/>
      <c r="DX47" s="780"/>
      <c r="DY47" s="780"/>
      <c r="DZ47" s="780"/>
      <c r="EA47" s="781"/>
      <c r="EB47" s="782"/>
      <c r="EC47" s="780"/>
      <c r="ED47" s="780"/>
      <c r="EE47" s="780"/>
      <c r="EF47" s="780"/>
      <c r="EG47" s="780"/>
      <c r="EH47" s="780"/>
      <c r="EI47" s="781"/>
      <c r="EJ47" s="782"/>
      <c r="EK47" s="780"/>
      <c r="EL47" s="780"/>
      <c r="EM47" s="780"/>
      <c r="EN47" s="780"/>
      <c r="EO47" s="780"/>
      <c r="EP47" s="780"/>
      <c r="EQ47" s="781"/>
      <c r="ER47" s="782"/>
      <c r="ES47" s="780"/>
      <c r="ET47" s="780"/>
      <c r="EU47" s="780"/>
      <c r="EV47" s="780"/>
      <c r="EW47" s="780"/>
      <c r="EX47" s="780"/>
      <c r="EY47" s="781"/>
      <c r="EZ47" s="782"/>
      <c r="FA47" s="780"/>
      <c r="FB47" s="780"/>
      <c r="FC47" s="780"/>
      <c r="FD47" s="780"/>
      <c r="FE47" s="780"/>
      <c r="FF47" s="780"/>
      <c r="FG47" s="781"/>
      <c r="FH47" s="782"/>
      <c r="FI47" s="780"/>
      <c r="FJ47" s="780"/>
      <c r="FK47" s="780"/>
      <c r="FL47" s="780"/>
      <c r="FM47" s="780"/>
      <c r="FN47" s="780"/>
      <c r="FO47" s="781"/>
      <c r="FP47" s="782"/>
      <c r="FQ47" s="780"/>
      <c r="FR47" s="780"/>
      <c r="FS47" s="780"/>
      <c r="FT47" s="780"/>
      <c r="FU47" s="780"/>
      <c r="FV47" s="780"/>
      <c r="FW47" s="781"/>
      <c r="FX47" s="782"/>
      <c r="FY47" s="780"/>
      <c r="FZ47" s="780"/>
      <c r="GA47" s="780"/>
      <c r="GB47" s="780"/>
      <c r="GC47" s="780"/>
      <c r="GD47" s="780"/>
      <c r="GE47" s="781"/>
      <c r="GF47" s="782"/>
      <c r="GG47" s="780"/>
      <c r="GH47" s="780"/>
      <c r="GI47" s="780"/>
      <c r="GJ47" s="780"/>
      <c r="GK47" s="780"/>
      <c r="GL47" s="780"/>
      <c r="GM47" s="781"/>
      <c r="GN47" s="782"/>
      <c r="GO47" s="780"/>
      <c r="GP47" s="780"/>
      <c r="GQ47" s="780"/>
      <c r="GR47" s="780"/>
      <c r="GS47" s="780"/>
      <c r="GT47" s="780"/>
      <c r="GU47" s="781"/>
      <c r="GV47" s="780"/>
      <c r="GW47" s="781"/>
      <c r="GX47" s="780"/>
      <c r="GY47" s="781"/>
      <c r="GZ47" s="780"/>
      <c r="HA47" s="781"/>
      <c r="HB47" s="780"/>
      <c r="HC47" s="781"/>
      <c r="HD47" s="780"/>
      <c r="HE47" s="781"/>
      <c r="HF47" s="780"/>
      <c r="HG47" s="781"/>
      <c r="HH47" s="780"/>
      <c r="HI47" s="781"/>
      <c r="HJ47" s="780"/>
      <c r="HK47" s="781"/>
    </row>
    <row r="48" spans="1:219">
      <c r="A48" s="1299" t="s">
        <v>223</v>
      </c>
      <c r="B48" s="1300" t="str">
        <f>VLOOKUP(A48,PLANEJAMENTO!$B$10:$C$70,2,FALSE)</f>
        <v>Carga, transporte, descarga e estocagem de madeira - Romaneio e Cubagem - DMT 501 até 1000 m</v>
      </c>
      <c r="C48" s="1299" t="str">
        <f>VLOOKUP(A48,PLANEJAMENTO!$B$10:$D$70,3,FALSE)</f>
        <v>m³</v>
      </c>
      <c r="D48" s="1301">
        <f>VLOOKUP(A48,PLANEJAMENTO!$B$10:$E$70,4,FALSE)</f>
        <v>1</v>
      </c>
      <c r="E48" s="1301">
        <f>D48</f>
        <v>1</v>
      </c>
      <c r="F48" s="1302">
        <v>1</v>
      </c>
      <c r="G48" s="1301">
        <f>F48*8</f>
        <v>8</v>
      </c>
      <c r="H48" s="726"/>
      <c r="I48" s="1303"/>
      <c r="J48" s="1304"/>
      <c r="K48" s="727" t="s">
        <v>291</v>
      </c>
      <c r="L48" s="1285"/>
      <c r="M48" s="1286"/>
      <c r="N48" s="1285"/>
      <c r="O48" s="1286"/>
      <c r="P48" s="1285"/>
      <c r="Q48" s="1286"/>
      <c r="R48" s="1285"/>
      <c r="S48" s="1286"/>
      <c r="T48" s="1285"/>
      <c r="U48" s="1286"/>
      <c r="V48" s="1285"/>
      <c r="W48" s="1286"/>
      <c r="X48" s="1285"/>
      <c r="Y48" s="1286"/>
      <c r="Z48" s="1285"/>
      <c r="AA48" s="1286"/>
      <c r="AB48" s="1285"/>
      <c r="AC48" s="1286"/>
      <c r="AD48" s="1285"/>
      <c r="AE48" s="1286"/>
      <c r="AF48" s="1285"/>
      <c r="AG48" s="1286"/>
      <c r="AH48" s="1285"/>
      <c r="AI48" s="1286"/>
      <c r="AJ48" s="1360"/>
      <c r="AK48" s="1361"/>
      <c r="AL48" s="1360"/>
      <c r="AM48" s="1361"/>
      <c r="AN48" s="1285"/>
      <c r="AO48" s="1286"/>
      <c r="AP48" s="1285">
        <v>6</v>
      </c>
      <c r="AQ48" s="1286"/>
      <c r="AR48" s="1311">
        <f>(D48-AP51)/AP50*6</f>
        <v>-5.8318385650224212</v>
      </c>
      <c r="AS48" s="1312"/>
      <c r="AT48" s="1285"/>
      <c r="AU48" s="1286"/>
      <c r="AV48" s="1285"/>
      <c r="AW48" s="1286"/>
      <c r="AX48" s="1285"/>
      <c r="AY48" s="1286"/>
      <c r="AZ48" s="1285"/>
      <c r="BA48" s="1286"/>
      <c r="BB48" s="1285"/>
      <c r="BC48" s="1286"/>
      <c r="BD48" s="1285"/>
      <c r="BE48" s="1286"/>
      <c r="BF48" s="1285"/>
      <c r="BG48" s="1286"/>
      <c r="BH48" s="1285"/>
      <c r="BI48" s="1286"/>
      <c r="BJ48" s="1285"/>
      <c r="BK48" s="1286"/>
      <c r="BL48" s="1285"/>
      <c r="BM48" s="1286"/>
      <c r="BN48" s="1285"/>
      <c r="BO48" s="1286"/>
      <c r="BP48" s="1285"/>
      <c r="BQ48" s="1286"/>
      <c r="BR48" s="1285"/>
      <c r="BS48" s="1286"/>
      <c r="BT48" s="1285"/>
      <c r="BU48" s="1286"/>
      <c r="BV48" s="1285"/>
      <c r="BW48" s="1286"/>
      <c r="BX48" s="1285"/>
      <c r="BY48" s="1286"/>
      <c r="BZ48" s="1285"/>
      <c r="CA48" s="1286"/>
      <c r="CB48" s="1285"/>
      <c r="CC48" s="1286"/>
      <c r="CD48" s="1285"/>
      <c r="CE48" s="1286"/>
      <c r="CF48" s="1285"/>
      <c r="CG48" s="1286"/>
      <c r="CH48" s="1285"/>
      <c r="CI48" s="1286"/>
      <c r="CJ48" s="1285"/>
      <c r="CK48" s="1286"/>
      <c r="CL48" s="1285"/>
      <c r="CM48" s="1286"/>
      <c r="CN48" s="1285"/>
      <c r="CO48" s="1286"/>
      <c r="CP48" s="1285"/>
      <c r="CQ48" s="1286"/>
      <c r="CR48" s="1285"/>
      <c r="CS48" s="1286"/>
      <c r="CT48" s="1285"/>
      <c r="CU48" s="1286"/>
      <c r="CV48" s="1285"/>
      <c r="CW48" s="1286"/>
      <c r="CX48" s="1285"/>
      <c r="CY48" s="1286"/>
      <c r="CZ48" s="1285"/>
      <c r="DA48" s="1286"/>
      <c r="DB48" s="1285"/>
      <c r="DC48" s="1286"/>
      <c r="DD48" s="1285"/>
      <c r="DE48" s="1286"/>
      <c r="DF48" s="1285"/>
      <c r="DG48" s="1286"/>
      <c r="DH48" s="1285"/>
      <c r="DI48" s="1286"/>
      <c r="DJ48" s="1327"/>
      <c r="DK48" s="1327"/>
      <c r="DL48" s="1263"/>
      <c r="DM48" s="1263"/>
      <c r="DN48" s="1263"/>
      <c r="DO48" s="1263"/>
      <c r="DP48" s="1263"/>
      <c r="DQ48" s="1263"/>
      <c r="DR48" s="1263"/>
      <c r="DS48" s="1263"/>
      <c r="DT48" s="1263"/>
      <c r="DU48" s="1263"/>
      <c r="DV48" s="1263"/>
      <c r="DW48" s="1263"/>
      <c r="DX48" s="1263"/>
      <c r="DY48" s="1263"/>
      <c r="DZ48" s="1263"/>
      <c r="EA48" s="1263"/>
      <c r="EB48" s="1263"/>
      <c r="EC48" s="1263"/>
      <c r="ED48" s="1263"/>
      <c r="EE48" s="1263"/>
      <c r="EF48" s="1263"/>
      <c r="EG48" s="1263"/>
      <c r="EH48" s="1263"/>
      <c r="EI48" s="1263"/>
      <c r="EJ48" s="1263"/>
      <c r="EK48" s="1263"/>
      <c r="EL48" s="1263"/>
      <c r="EM48" s="1263"/>
      <c r="EN48" s="1263"/>
      <c r="EO48" s="1263"/>
      <c r="EP48" s="1263"/>
      <c r="EQ48" s="1263"/>
      <c r="ER48" s="1263"/>
      <c r="ES48" s="1263"/>
      <c r="ET48" s="1263"/>
      <c r="EU48" s="1263"/>
      <c r="EV48" s="1263"/>
      <c r="EW48" s="1263"/>
      <c r="EX48" s="1263"/>
      <c r="EY48" s="1263"/>
      <c r="EZ48" s="1263"/>
      <c r="FA48" s="1263"/>
      <c r="FB48" s="1263"/>
      <c r="FC48" s="1263"/>
      <c r="FD48" s="1263"/>
      <c r="FE48" s="1263"/>
      <c r="FF48" s="1263"/>
      <c r="FG48" s="1263"/>
      <c r="FH48" s="1263"/>
      <c r="FI48" s="1263"/>
      <c r="FJ48" s="1263"/>
      <c r="FK48" s="1263"/>
      <c r="FL48" s="1263"/>
      <c r="FM48" s="1263"/>
      <c r="FN48" s="1263"/>
      <c r="FO48" s="1263"/>
      <c r="FP48" s="1263"/>
      <c r="FQ48" s="1263"/>
      <c r="FR48" s="1263"/>
      <c r="FS48" s="1263"/>
      <c r="FT48" s="1263"/>
      <c r="FU48" s="1263"/>
      <c r="FV48" s="1263"/>
      <c r="FW48" s="1263"/>
      <c r="FX48" s="1263"/>
      <c r="FY48" s="1263"/>
      <c r="FZ48" s="1263"/>
      <c r="GA48" s="1263"/>
      <c r="GB48" s="1263"/>
      <c r="GC48" s="1263"/>
      <c r="GD48" s="1263"/>
      <c r="GE48" s="1263"/>
      <c r="GF48" s="1263"/>
      <c r="GG48" s="1263"/>
      <c r="GH48" s="1263"/>
      <c r="GI48" s="1263"/>
      <c r="GJ48" s="1263"/>
      <c r="GK48" s="1263"/>
      <c r="GL48" s="1263"/>
      <c r="GM48" s="1263"/>
      <c r="GN48" s="1263"/>
      <c r="GO48" s="1263"/>
      <c r="GP48" s="1263"/>
      <c r="GQ48" s="1263"/>
      <c r="GR48" s="1263"/>
      <c r="GS48" s="1263"/>
      <c r="GT48" s="1263"/>
      <c r="GU48" s="1263"/>
      <c r="GV48" s="1263"/>
      <c r="GW48" s="1263"/>
      <c r="GX48" s="1263"/>
      <c r="GY48" s="1263"/>
      <c r="GZ48" s="1263"/>
      <c r="HA48" s="1263"/>
      <c r="HB48" s="1263"/>
      <c r="HC48" s="1263"/>
      <c r="HD48" s="1263"/>
      <c r="HE48" s="1263"/>
      <c r="HF48" s="1263"/>
      <c r="HG48" s="1263"/>
      <c r="HH48" s="1263"/>
      <c r="HI48" s="1263"/>
      <c r="HJ48" s="1263"/>
      <c r="HK48" s="1263"/>
    </row>
    <row r="49" spans="1:219">
      <c r="A49" s="1299"/>
      <c r="B49" s="1300"/>
      <c r="C49" s="1299"/>
      <c r="D49" s="1301"/>
      <c r="E49" s="1301"/>
      <c r="F49" s="1302"/>
      <c r="G49" s="1301"/>
      <c r="H49" s="726"/>
      <c r="I49" s="1303"/>
      <c r="J49" s="1304"/>
      <c r="K49" s="785" t="s">
        <v>292</v>
      </c>
      <c r="L49" s="1283"/>
      <c r="M49" s="1284"/>
      <c r="N49" s="1283"/>
      <c r="O49" s="1284"/>
      <c r="P49" s="1283"/>
      <c r="Q49" s="1284"/>
      <c r="R49" s="1283"/>
      <c r="S49" s="1284"/>
      <c r="T49" s="1283"/>
      <c r="U49" s="1284"/>
      <c r="V49" s="1283"/>
      <c r="W49" s="1284"/>
      <c r="X49" s="1283"/>
      <c r="Y49" s="1284"/>
      <c r="Z49" s="1283"/>
      <c r="AA49" s="1284"/>
      <c r="AB49" s="1283"/>
      <c r="AC49" s="1284"/>
      <c r="AD49" s="1283"/>
      <c r="AE49" s="1284"/>
      <c r="AF49" s="1283"/>
      <c r="AG49" s="1284"/>
      <c r="AH49" s="1283"/>
      <c r="AI49" s="1284"/>
      <c r="AJ49" s="1283"/>
      <c r="AK49" s="1284"/>
      <c r="AL49" s="1283"/>
      <c r="AM49" s="1284"/>
      <c r="AN49" s="1283"/>
      <c r="AO49" s="1284"/>
      <c r="AP49" s="1283">
        <v>1</v>
      </c>
      <c r="AQ49" s="1284"/>
      <c r="AR49" s="1283">
        <v>1</v>
      </c>
      <c r="AS49" s="1284"/>
      <c r="AT49" s="1283"/>
      <c r="AU49" s="1284"/>
      <c r="AV49" s="1283"/>
      <c r="AW49" s="1284"/>
      <c r="AX49" s="1283"/>
      <c r="AY49" s="1284"/>
      <c r="AZ49" s="1283"/>
      <c r="BA49" s="1284"/>
      <c r="BB49" s="1283"/>
      <c r="BC49" s="1284"/>
      <c r="BD49" s="1283"/>
      <c r="BE49" s="1284"/>
      <c r="BF49" s="1283"/>
      <c r="BG49" s="1284"/>
      <c r="BH49" s="1283"/>
      <c r="BI49" s="1284"/>
      <c r="BJ49" s="1283"/>
      <c r="BK49" s="1284"/>
      <c r="BL49" s="1283"/>
      <c r="BM49" s="1284"/>
      <c r="BN49" s="1283"/>
      <c r="BO49" s="1284"/>
      <c r="BP49" s="1283"/>
      <c r="BQ49" s="1284"/>
      <c r="BR49" s="1283"/>
      <c r="BS49" s="1284"/>
      <c r="BT49" s="1283"/>
      <c r="BU49" s="1284"/>
      <c r="BV49" s="1283"/>
      <c r="BW49" s="1284"/>
      <c r="BX49" s="1283"/>
      <c r="BY49" s="1284"/>
      <c r="BZ49" s="1283"/>
      <c r="CA49" s="1284"/>
      <c r="CB49" s="1283"/>
      <c r="CC49" s="1284"/>
      <c r="CD49" s="1283"/>
      <c r="CE49" s="1284"/>
      <c r="CF49" s="1283"/>
      <c r="CG49" s="1284"/>
      <c r="CH49" s="1283"/>
      <c r="CI49" s="1284"/>
      <c r="CJ49" s="1283"/>
      <c r="CK49" s="1284"/>
      <c r="CL49" s="1283"/>
      <c r="CM49" s="1284"/>
      <c r="CN49" s="1283"/>
      <c r="CO49" s="1284"/>
      <c r="CP49" s="1283"/>
      <c r="CQ49" s="1284"/>
      <c r="CR49" s="1283"/>
      <c r="CS49" s="1284"/>
      <c r="CT49" s="1283"/>
      <c r="CU49" s="1284"/>
      <c r="CV49" s="1283"/>
      <c r="CW49" s="1284"/>
      <c r="CX49" s="1283"/>
      <c r="CY49" s="1284"/>
      <c r="CZ49" s="1283"/>
      <c r="DA49" s="1284"/>
      <c r="DB49" s="1283"/>
      <c r="DC49" s="1284"/>
      <c r="DD49" s="1283"/>
      <c r="DE49" s="1284"/>
      <c r="DF49" s="1283"/>
      <c r="DG49" s="1284"/>
      <c r="DH49" s="1283"/>
      <c r="DI49" s="1284"/>
      <c r="DJ49" s="1265"/>
      <c r="DK49" s="1265"/>
      <c r="DL49" s="1264"/>
      <c r="DM49" s="1264"/>
      <c r="DN49" s="1264"/>
      <c r="DO49" s="1264"/>
      <c r="DP49" s="1264"/>
      <c r="DQ49" s="1264"/>
      <c r="DR49" s="1264"/>
      <c r="DS49" s="1264"/>
      <c r="DT49" s="1264"/>
      <c r="DU49" s="1264"/>
      <c r="DV49" s="1264"/>
      <c r="DW49" s="1264"/>
      <c r="DX49" s="1264"/>
      <c r="DY49" s="1264"/>
      <c r="DZ49" s="1264"/>
      <c r="EA49" s="1264"/>
      <c r="EB49" s="1264"/>
      <c r="EC49" s="1264"/>
      <c r="ED49" s="1264"/>
      <c r="EE49" s="1264"/>
      <c r="EF49" s="1264"/>
      <c r="EG49" s="1264"/>
      <c r="EH49" s="1264"/>
      <c r="EI49" s="1264"/>
      <c r="EJ49" s="1317"/>
      <c r="EK49" s="1317"/>
      <c r="EL49" s="1264"/>
      <c r="EM49" s="1264"/>
      <c r="EN49" s="1264"/>
      <c r="EO49" s="1264"/>
      <c r="EP49" s="1264"/>
      <c r="EQ49" s="1264"/>
      <c r="ER49" s="1264"/>
      <c r="ES49" s="1264"/>
      <c r="ET49" s="1264"/>
      <c r="EU49" s="1264"/>
      <c r="EV49" s="1264"/>
      <c r="EW49" s="1264"/>
      <c r="EX49" s="1264"/>
      <c r="EY49" s="1264"/>
      <c r="EZ49" s="1264"/>
      <c r="FA49" s="1264"/>
      <c r="FB49" s="1264"/>
      <c r="FC49" s="1264"/>
      <c r="FD49" s="1264"/>
      <c r="FE49" s="1264"/>
      <c r="FF49" s="1264"/>
      <c r="FG49" s="1264"/>
      <c r="FH49" s="1264"/>
      <c r="FI49" s="1264"/>
      <c r="FJ49" s="1264"/>
      <c r="FK49" s="1264"/>
      <c r="FL49" s="1264"/>
      <c r="FM49" s="1264"/>
      <c r="FN49" s="1264"/>
      <c r="FO49" s="1264"/>
      <c r="FP49" s="1264"/>
      <c r="FQ49" s="1264"/>
      <c r="FR49" s="1264"/>
      <c r="FS49" s="1264"/>
      <c r="FT49" s="1264"/>
      <c r="FU49" s="1264"/>
      <c r="FV49" s="1264"/>
      <c r="FW49" s="1264"/>
      <c r="FX49" s="1264"/>
      <c r="FY49" s="1264"/>
      <c r="FZ49" s="1264"/>
      <c r="GA49" s="1264"/>
      <c r="GB49" s="1264"/>
      <c r="GC49" s="1264"/>
      <c r="GD49" s="1264"/>
      <c r="GE49" s="1264"/>
      <c r="GF49" s="1264"/>
      <c r="GG49" s="1264"/>
      <c r="GH49" s="1264"/>
      <c r="GI49" s="1264"/>
      <c r="GJ49" s="1264"/>
      <c r="GK49" s="1264"/>
      <c r="GL49" s="1264"/>
      <c r="GM49" s="1264"/>
      <c r="GN49" s="1264"/>
      <c r="GO49" s="1264"/>
      <c r="GP49" s="1264"/>
      <c r="GQ49" s="1264"/>
      <c r="GR49" s="1264"/>
      <c r="GS49" s="1264"/>
      <c r="GT49" s="1264"/>
      <c r="GU49" s="1264"/>
      <c r="GV49" s="1264"/>
      <c r="GW49" s="1264"/>
      <c r="GX49" s="1264"/>
      <c r="GY49" s="1264"/>
      <c r="GZ49" s="1264"/>
      <c r="HA49" s="1264"/>
      <c r="HB49" s="1264"/>
      <c r="HC49" s="1264"/>
      <c r="HD49" s="1264"/>
      <c r="HE49" s="1264"/>
      <c r="HF49" s="1264"/>
      <c r="HG49" s="1264"/>
      <c r="HH49" s="1264"/>
      <c r="HI49" s="1264"/>
      <c r="HJ49" s="1264"/>
      <c r="HK49" s="1264"/>
    </row>
    <row r="50" spans="1:219">
      <c r="A50" s="1299"/>
      <c r="B50" s="1300"/>
      <c r="C50" s="1299"/>
      <c r="D50" s="1301"/>
      <c r="E50" s="1301"/>
      <c r="F50" s="1302"/>
      <c r="G50" s="1301"/>
      <c r="H50" s="726"/>
      <c r="I50" s="1303"/>
      <c r="J50" s="1304"/>
      <c r="K50" s="786" t="s">
        <v>293</v>
      </c>
      <c r="L50" s="1255">
        <f>(L48*L49*$G$48)*$L$8</f>
        <v>0</v>
      </c>
      <c r="M50" s="1256"/>
      <c r="N50" s="1255">
        <f>(N48*N49*$G$48)*$L$8</f>
        <v>0</v>
      </c>
      <c r="O50" s="1256"/>
      <c r="P50" s="1255">
        <f>(P48*P49*$G$48)*$L$8</f>
        <v>0</v>
      </c>
      <c r="Q50" s="1256"/>
      <c r="R50" s="1255">
        <f>(R48*R49*$G$48)*$L$8</f>
        <v>0</v>
      </c>
      <c r="S50" s="1256"/>
      <c r="T50" s="1255">
        <f>(T48*T49*$G$48)*$T$8</f>
        <v>0</v>
      </c>
      <c r="U50" s="1256"/>
      <c r="V50" s="1255">
        <f>(V48*V49*$G$48)*$T$8</f>
        <v>0</v>
      </c>
      <c r="W50" s="1256"/>
      <c r="X50" s="1255">
        <f>(X48*X49*$G$48)*$T$8</f>
        <v>0</v>
      </c>
      <c r="Y50" s="1256"/>
      <c r="Z50" s="1255">
        <f>(Z48*Z49*$G$48)*$T$8</f>
        <v>0</v>
      </c>
      <c r="AA50" s="1256"/>
      <c r="AB50" s="1255">
        <f>(AB48*AB49*$G$48)*$AB$8</f>
        <v>0</v>
      </c>
      <c r="AC50" s="1256"/>
      <c r="AD50" s="1255">
        <f>(AD48*AD49*$G$48)*$AJ$8</f>
        <v>0</v>
      </c>
      <c r="AE50" s="1256"/>
      <c r="AF50" s="1255">
        <f>(AF48*AF49*$G$48)*$AJ$8</f>
        <v>0</v>
      </c>
      <c r="AG50" s="1256"/>
      <c r="AH50" s="1255">
        <f>(AH48*AH49*$G$48)*$AJ$8</f>
        <v>0</v>
      </c>
      <c r="AI50" s="1256"/>
      <c r="AJ50" s="1255">
        <f>(AJ48*AJ49*$G$48)*$AJ$8</f>
        <v>0</v>
      </c>
      <c r="AK50" s="1256"/>
      <c r="AL50" s="1255">
        <f>(AL48*AL49*$G$48)*$AJ$8</f>
        <v>0</v>
      </c>
      <c r="AM50" s="1256"/>
      <c r="AN50" s="1255">
        <f>(AN48*AN49*$G$48)*$AJ$8</f>
        <v>0</v>
      </c>
      <c r="AO50" s="1256"/>
      <c r="AP50" s="1255">
        <f>(AP48*AP49*$G$48)*$AJ$8</f>
        <v>35.680000000000007</v>
      </c>
      <c r="AQ50" s="1256"/>
      <c r="AR50" s="1255">
        <f>(AR48*AR49*$G$48)*$AJ$8</f>
        <v>-34.68</v>
      </c>
      <c r="AS50" s="1256"/>
      <c r="AT50" s="1255">
        <f>(AT48*AT49*$G$48)*$AT$8</f>
        <v>0</v>
      </c>
      <c r="AU50" s="1256"/>
      <c r="AV50" s="1255">
        <f>(AV48*AV49*$G$48)*$AT$8</f>
        <v>0</v>
      </c>
      <c r="AW50" s="1256"/>
      <c r="AX50" s="1255">
        <f>(AX48*AX49*$G$48)*$AT$8</f>
        <v>0</v>
      </c>
      <c r="AY50" s="1256"/>
      <c r="AZ50" s="1255">
        <f>(AZ48*AZ49*$G$48)*$AT$8</f>
        <v>0</v>
      </c>
      <c r="BA50" s="1256"/>
      <c r="BB50" s="1255">
        <f>(BB48*BB49*$G$48)*$BB$8</f>
        <v>0</v>
      </c>
      <c r="BC50" s="1256"/>
      <c r="BD50" s="1255">
        <f>(BD48*BD49*$G$48)*$BB$8</f>
        <v>0</v>
      </c>
      <c r="BE50" s="1256"/>
      <c r="BF50" s="1255">
        <f>(BF48*BF49*$G$48)*$BB$8</f>
        <v>0</v>
      </c>
      <c r="BG50" s="1256"/>
      <c r="BH50" s="1255">
        <f>(BH48*BH49*$G$48)*$BB$8</f>
        <v>0</v>
      </c>
      <c r="BI50" s="1256"/>
      <c r="BJ50" s="1255">
        <f>(BJ48*BJ49*$G$48)*$BJ$8</f>
        <v>0</v>
      </c>
      <c r="BK50" s="1256"/>
      <c r="BL50" s="1255">
        <f>(BL48*BL49*$G$48)*$BJ$8</f>
        <v>0</v>
      </c>
      <c r="BM50" s="1256"/>
      <c r="BN50" s="1255">
        <f>(BN48*BN49*$G$48)*$BJ$8</f>
        <v>0</v>
      </c>
      <c r="BO50" s="1256"/>
      <c r="BP50" s="1255">
        <f>(BP48*BP49*$G$48)*$BJ$8</f>
        <v>0</v>
      </c>
      <c r="BQ50" s="1256"/>
      <c r="BR50" s="1255">
        <f>(BR48*BR49*$G$48)*$BJ$8</f>
        <v>0</v>
      </c>
      <c r="BS50" s="1256"/>
      <c r="BT50" s="1255">
        <f>(BT48*BT49*$G$48)*$BT$8</f>
        <v>0</v>
      </c>
      <c r="BU50" s="1256"/>
      <c r="BV50" s="1255">
        <f>(BV48*BV49*$G$48)*$BT$8</f>
        <v>0</v>
      </c>
      <c r="BW50" s="1256"/>
      <c r="BX50" s="1255">
        <f>(BX48*BX49*$G$48)*$BT$8</f>
        <v>0</v>
      </c>
      <c r="BY50" s="1256"/>
      <c r="BZ50" s="1255">
        <f>(BZ48*BZ49*$G$48)*$BT$8</f>
        <v>0</v>
      </c>
      <c r="CA50" s="1256"/>
      <c r="CB50" s="1255">
        <f>(CB48*CB49*$G$48)*$CB$8</f>
        <v>0</v>
      </c>
      <c r="CC50" s="1256"/>
      <c r="CD50" s="1255">
        <f>(CD48*CD49*$G$48)*$CB$8</f>
        <v>0</v>
      </c>
      <c r="CE50" s="1256"/>
      <c r="CF50" s="1255">
        <f>(CF48*CF49*$G$48)*$CB$8</f>
        <v>0</v>
      </c>
      <c r="CG50" s="1256"/>
      <c r="CH50" s="1255">
        <f>(CH48*CH49*$G$48)*$CB$8</f>
        <v>0</v>
      </c>
      <c r="CI50" s="1256"/>
      <c r="CJ50" s="1255">
        <f>(CJ48*CJ49*$G$48)*$CJ$8</f>
        <v>0</v>
      </c>
      <c r="CK50" s="1256"/>
      <c r="CL50" s="1255">
        <f>(CL48*CL49*$G$48)*$CJ$8</f>
        <v>0</v>
      </c>
      <c r="CM50" s="1256"/>
      <c r="CN50" s="1255">
        <f>(CN48*CN49*$G$48)*$CJ$8</f>
        <v>0</v>
      </c>
      <c r="CO50" s="1256"/>
      <c r="CP50" s="1255">
        <f>(CP48*CP49*$G$48)*$CJ$8</f>
        <v>0</v>
      </c>
      <c r="CQ50" s="1256"/>
      <c r="CR50" s="1255">
        <f>(CR48*CR49*$G$48)*$CJ$8</f>
        <v>0</v>
      </c>
      <c r="CS50" s="1256"/>
      <c r="CT50" s="1255">
        <f>(CT48*CT49*$G$48)*$CT$8</f>
        <v>0</v>
      </c>
      <c r="CU50" s="1256"/>
      <c r="CV50" s="1255">
        <f>(CV48*CV49*$G$48)*$CT$8</f>
        <v>0</v>
      </c>
      <c r="CW50" s="1256"/>
      <c r="CX50" s="1255">
        <f>(CX48*CX49*$G$48)*$CT$8</f>
        <v>0</v>
      </c>
      <c r="CY50" s="1256"/>
      <c r="CZ50" s="1255">
        <f>(CZ48*CZ49*$G$48)*$CT$8</f>
        <v>0</v>
      </c>
      <c r="DA50" s="1256"/>
      <c r="DB50" s="1255">
        <f>(DB48*DB49*$G$48)*$DB$8</f>
        <v>0</v>
      </c>
      <c r="DC50" s="1256"/>
      <c r="DD50" s="1255">
        <f>(DD48*DD49*$G$48)*$DB$8</f>
        <v>0</v>
      </c>
      <c r="DE50" s="1256"/>
      <c r="DF50" s="1255">
        <f>(DF48*DF49*$G$48)*$DB$8</f>
        <v>0</v>
      </c>
      <c r="DG50" s="1256"/>
      <c r="DH50" s="1255">
        <f>(DH48*DH49*$G$48)*$DB$8</f>
        <v>0</v>
      </c>
      <c r="DI50" s="1256"/>
      <c r="DJ50" s="1257">
        <f>(DJ48*DJ49*$G$48)*$DL$8</f>
        <v>0</v>
      </c>
      <c r="DK50" s="1258"/>
      <c r="DL50" s="1255">
        <f>(DL48*DL49*$G$48)*$DL$8</f>
        <v>0</v>
      </c>
      <c r="DM50" s="1256"/>
      <c r="DN50" s="1255">
        <f>(DN48*DN49*$G$48)*$DL$8</f>
        <v>0</v>
      </c>
      <c r="DO50" s="1256"/>
      <c r="DP50" s="1255">
        <f>(DP48*DP49*$G$48)*$DL$8</f>
        <v>0</v>
      </c>
      <c r="DQ50" s="1256"/>
      <c r="DR50" s="1255">
        <f>(DR48*DR49*$G$48)*$DL$8</f>
        <v>0</v>
      </c>
      <c r="DS50" s="1256"/>
      <c r="DT50" s="1255">
        <f>(DT48*DT49*$G$48)*$DT$8</f>
        <v>0</v>
      </c>
      <c r="DU50" s="1256"/>
      <c r="DV50" s="1255">
        <f>(DV48*DV49*$G$48)*$DT$8</f>
        <v>0</v>
      </c>
      <c r="DW50" s="1256"/>
      <c r="DX50" s="1255">
        <f>(DX48*DX49*$G$48)*$DT$8</f>
        <v>0</v>
      </c>
      <c r="DY50" s="1256"/>
      <c r="DZ50" s="1255">
        <f>(DZ48*DZ49*$G$48)*$DT$8</f>
        <v>0</v>
      </c>
      <c r="EA50" s="1256"/>
      <c r="EB50" s="1255">
        <f>(EB48*EB49*$G$48)*$EB$8</f>
        <v>0</v>
      </c>
      <c r="EC50" s="1256"/>
      <c r="ED50" s="1255">
        <f>(ED48*ED49*$G$48)*$EB$8</f>
        <v>0</v>
      </c>
      <c r="EE50" s="1256"/>
      <c r="EF50" s="1255">
        <f>(EF48*EF49*$G$48)*$EB$8</f>
        <v>0</v>
      </c>
      <c r="EG50" s="1256"/>
      <c r="EH50" s="1255">
        <f>(EH48*EH49*$G$48)*$EB$8</f>
        <v>0</v>
      </c>
      <c r="EI50" s="1256"/>
      <c r="EJ50" s="1255">
        <f>(EJ48*EJ49*$G$48)*$EJ$8</f>
        <v>0</v>
      </c>
      <c r="EK50" s="1256"/>
      <c r="EL50" s="1255">
        <f>(EL48*EL49*$G$48)*$EJ$8</f>
        <v>0</v>
      </c>
      <c r="EM50" s="1256"/>
      <c r="EN50" s="1255">
        <f>(EN48*EN49*$G$48)*$EJ$8</f>
        <v>0</v>
      </c>
      <c r="EO50" s="1256"/>
      <c r="EP50" s="1255">
        <f>(EP48*EP49*$G$48)*$EJ$8</f>
        <v>0</v>
      </c>
      <c r="EQ50" s="1256"/>
      <c r="ER50" s="1255">
        <f>(ER48*ER49*$G$48)*$EJ$8</f>
        <v>0</v>
      </c>
      <c r="ES50" s="1256"/>
      <c r="ET50" s="1255">
        <f>(ET48*ET49*$G$48)*$ET$8</f>
        <v>0</v>
      </c>
      <c r="EU50" s="1256"/>
      <c r="EV50" s="1255">
        <f>(EV48*EV49*$G$48)*$ET$8</f>
        <v>0</v>
      </c>
      <c r="EW50" s="1256"/>
      <c r="EX50" s="1255">
        <f>(EX48*EX49*$G$48)*$ET$8</f>
        <v>0</v>
      </c>
      <c r="EY50" s="1256"/>
      <c r="EZ50" s="1255">
        <f>(EZ48*EZ49*$G$48)*$ET$8</f>
        <v>0</v>
      </c>
      <c r="FA50" s="1256"/>
      <c r="FB50" s="1255">
        <f>(FB48*FB49*$G$48)*$FB$8</f>
        <v>0</v>
      </c>
      <c r="FC50" s="1256"/>
      <c r="FD50" s="1255">
        <f>(FD48*FD49*$G$48)*$FB$8</f>
        <v>0</v>
      </c>
      <c r="FE50" s="1256"/>
      <c r="FF50" s="1255">
        <f>(FF48*FF49*$G$48)*$FB$8</f>
        <v>0</v>
      </c>
      <c r="FG50" s="1256"/>
      <c r="FH50" s="1255">
        <f>(FH48*FH49*$G$48)*$FB$8</f>
        <v>0</v>
      </c>
      <c r="FI50" s="1256"/>
      <c r="FJ50" s="1255">
        <f>(FJ48*FJ49*$G$48)*$FB$8</f>
        <v>0</v>
      </c>
      <c r="FK50" s="1256"/>
      <c r="FL50" s="1255">
        <f>(FL48*FL49*$G$48)*$FL$8</f>
        <v>0</v>
      </c>
      <c r="FM50" s="1256"/>
      <c r="FN50" s="1255">
        <f>(FN48*FN49*$G$48)*$FL$8</f>
        <v>0</v>
      </c>
      <c r="FO50" s="1256"/>
      <c r="FP50" s="1255">
        <f>(FP48*FP49*$G$48)*$FL$8</f>
        <v>0</v>
      </c>
      <c r="FQ50" s="1256"/>
      <c r="FR50" s="1255">
        <f>(FR48*FR49*$G$48)*$FL$8</f>
        <v>0</v>
      </c>
      <c r="FS50" s="1256"/>
      <c r="FT50" s="1255">
        <f>(FT48*FT49*$G$48)*$FT$8</f>
        <v>0</v>
      </c>
      <c r="FU50" s="1256"/>
      <c r="FV50" s="1255">
        <f>(FV48*FV49*$G$48)*$FT$8</f>
        <v>0</v>
      </c>
      <c r="FW50" s="1256"/>
      <c r="FX50" s="1255">
        <f>(FX48*FX49*$G$48)*$FT$8</f>
        <v>0</v>
      </c>
      <c r="FY50" s="1256"/>
      <c r="FZ50" s="1255">
        <f>(FZ48*FZ49*$G$48)*$FT$8</f>
        <v>0</v>
      </c>
      <c r="GA50" s="1256"/>
      <c r="GB50" s="1255">
        <f>(GB48*GB49*$G$48)*$DB$8</f>
        <v>0</v>
      </c>
      <c r="GC50" s="1256"/>
      <c r="GD50" s="1255">
        <f>(GD48*GD49*$G$48)*$DB$8</f>
        <v>0</v>
      </c>
      <c r="GE50" s="1256"/>
      <c r="GF50" s="1255">
        <f>(GF48*GF49*$G$48)*$DB$8</f>
        <v>0</v>
      </c>
      <c r="GG50" s="1256"/>
      <c r="GH50" s="1255">
        <f>(GH48*GH49*$G$48)*$DB$8</f>
        <v>0</v>
      </c>
      <c r="GI50" s="1256"/>
      <c r="GJ50" s="1255">
        <f>(GJ48*GJ49*$G$48)*$DB$8</f>
        <v>0</v>
      </c>
      <c r="GK50" s="1256"/>
      <c r="GL50" s="1255">
        <f>(GL48*GL49*$G$48)*$DB$8</f>
        <v>0</v>
      </c>
      <c r="GM50" s="1256"/>
      <c r="GN50" s="1255">
        <f>(GN48*GN49*$G$48)*$DB$8</f>
        <v>0</v>
      </c>
      <c r="GO50" s="1256"/>
      <c r="GP50" s="1255">
        <f>(GP48*GP49*$G$48)*$DB$8</f>
        <v>0</v>
      </c>
      <c r="GQ50" s="1256"/>
      <c r="GR50" s="1255">
        <f>(GR48*GR49*$G$48)*$DB$8</f>
        <v>0</v>
      </c>
      <c r="GS50" s="1256"/>
      <c r="GT50" s="1255">
        <f>(GT48*GT49*$G$48)*$DB$8</f>
        <v>0</v>
      </c>
      <c r="GU50" s="1256"/>
      <c r="GV50" s="1255">
        <f>(GV48*GV49*$G$48)*$DB$8</f>
        <v>0</v>
      </c>
      <c r="GW50" s="1256"/>
      <c r="GX50" s="1255">
        <f>(GX48*GX49*$G$48)*$DB$8</f>
        <v>0</v>
      </c>
      <c r="GY50" s="1256"/>
      <c r="GZ50" s="1255">
        <f>(GZ48*GZ49*$G$48)*$DB$8</f>
        <v>0</v>
      </c>
      <c r="HA50" s="1256"/>
      <c r="HB50" s="1255">
        <f>(HB48*HB49*$G$48)*$DB$8</f>
        <v>0</v>
      </c>
      <c r="HC50" s="1256"/>
      <c r="HD50" s="1255">
        <f>(HD48*HD49*$G$48)*$DB$8</f>
        <v>0</v>
      </c>
      <c r="HE50" s="1256"/>
      <c r="HF50" s="1255">
        <f>(HF48*HF49*$G$48)*$DB$8</f>
        <v>0</v>
      </c>
      <c r="HG50" s="1256"/>
      <c r="HH50" s="1255">
        <f>(HH48*HH49*$G$48)*$DB$8</f>
        <v>0</v>
      </c>
      <c r="HI50" s="1256"/>
      <c r="HJ50" s="1255">
        <f>(HJ48*HJ49*$G$48)*$DB$8</f>
        <v>0</v>
      </c>
      <c r="HK50" s="1256"/>
    </row>
    <row r="51" spans="1:219">
      <c r="A51" s="1299"/>
      <c r="B51" s="1300"/>
      <c r="C51" s="1299"/>
      <c r="D51" s="1301"/>
      <c r="E51" s="1301"/>
      <c r="F51" s="1302"/>
      <c r="G51" s="1301"/>
      <c r="H51" s="726"/>
      <c r="I51" s="1303"/>
      <c r="J51" s="1304"/>
      <c r="K51" s="787" t="s">
        <v>294</v>
      </c>
      <c r="L51" s="1272">
        <f>L50</f>
        <v>0</v>
      </c>
      <c r="M51" s="1273"/>
      <c r="N51" s="1272">
        <f>L51+N50</f>
        <v>0</v>
      </c>
      <c r="O51" s="1273"/>
      <c r="P51" s="1272">
        <f>N51+P50</f>
        <v>0</v>
      </c>
      <c r="Q51" s="1273"/>
      <c r="R51" s="1272">
        <f>P51+R50</f>
        <v>0</v>
      </c>
      <c r="S51" s="1273"/>
      <c r="T51" s="1272">
        <f>R51+T50</f>
        <v>0</v>
      </c>
      <c r="U51" s="1273"/>
      <c r="V51" s="1272">
        <f>T51+V50</f>
        <v>0</v>
      </c>
      <c r="W51" s="1273"/>
      <c r="X51" s="1272">
        <f>V51+X50</f>
        <v>0</v>
      </c>
      <c r="Y51" s="1273"/>
      <c r="Z51" s="1272">
        <f>X51+Z50</f>
        <v>0</v>
      </c>
      <c r="AA51" s="1273"/>
      <c r="AB51" s="1272">
        <f>Z51+AB50</f>
        <v>0</v>
      </c>
      <c r="AC51" s="1273"/>
      <c r="AD51" s="1272">
        <f>AB51+AD50</f>
        <v>0</v>
      </c>
      <c r="AE51" s="1273"/>
      <c r="AF51" s="1272">
        <f>AD51+AF50</f>
        <v>0</v>
      </c>
      <c r="AG51" s="1273"/>
      <c r="AH51" s="1272">
        <f>AF51+AH50</f>
        <v>0</v>
      </c>
      <c r="AI51" s="1273"/>
      <c r="AJ51" s="1272">
        <f>AH51+AJ50</f>
        <v>0</v>
      </c>
      <c r="AK51" s="1273"/>
      <c r="AL51" s="1272">
        <f>AJ51+AL50</f>
        <v>0</v>
      </c>
      <c r="AM51" s="1273"/>
      <c r="AN51" s="1272">
        <f>AL51+AN50</f>
        <v>0</v>
      </c>
      <c r="AO51" s="1273"/>
      <c r="AP51" s="1272">
        <f>AN51+AP50</f>
        <v>35.680000000000007</v>
      </c>
      <c r="AQ51" s="1273"/>
      <c r="AR51" s="1272">
        <f>AP51+AR50</f>
        <v>1.0000000000000071</v>
      </c>
      <c r="AS51" s="1273"/>
      <c r="AT51" s="1272">
        <f>AR51+AT50</f>
        <v>1.0000000000000071</v>
      </c>
      <c r="AU51" s="1273"/>
      <c r="AV51" s="1272">
        <f>AT51+AV50</f>
        <v>1.0000000000000071</v>
      </c>
      <c r="AW51" s="1273"/>
      <c r="AX51" s="1272">
        <f>AV51+AX50</f>
        <v>1.0000000000000071</v>
      </c>
      <c r="AY51" s="1273"/>
      <c r="AZ51" s="1272">
        <f>AX51+AZ50</f>
        <v>1.0000000000000071</v>
      </c>
      <c r="BA51" s="1273"/>
      <c r="BB51" s="1272">
        <f>AZ51+BB50</f>
        <v>1.0000000000000071</v>
      </c>
      <c r="BC51" s="1273"/>
      <c r="BD51" s="1272">
        <f>BB51+BD50</f>
        <v>1.0000000000000071</v>
      </c>
      <c r="BE51" s="1273"/>
      <c r="BF51" s="1272">
        <f>BD51+BF50</f>
        <v>1.0000000000000071</v>
      </c>
      <c r="BG51" s="1273"/>
      <c r="BH51" s="1272">
        <f>BF51+BH50</f>
        <v>1.0000000000000071</v>
      </c>
      <c r="BI51" s="1273"/>
      <c r="BJ51" s="1272">
        <f>BH51+BJ50</f>
        <v>1.0000000000000071</v>
      </c>
      <c r="BK51" s="1273"/>
      <c r="BL51" s="1272">
        <f>BJ51+BL50</f>
        <v>1.0000000000000071</v>
      </c>
      <c r="BM51" s="1273"/>
      <c r="BN51" s="1272">
        <f>BL51+BN50</f>
        <v>1.0000000000000071</v>
      </c>
      <c r="BO51" s="1273"/>
      <c r="BP51" s="1272">
        <f>BN51+BP50</f>
        <v>1.0000000000000071</v>
      </c>
      <c r="BQ51" s="1273"/>
      <c r="BR51" s="1272">
        <f>BP51+BR50</f>
        <v>1.0000000000000071</v>
      </c>
      <c r="BS51" s="1273"/>
      <c r="BT51" s="1272">
        <f>BR51+BT50</f>
        <v>1.0000000000000071</v>
      </c>
      <c r="BU51" s="1273"/>
      <c r="BV51" s="1272">
        <f>BT51+BV50</f>
        <v>1.0000000000000071</v>
      </c>
      <c r="BW51" s="1273"/>
      <c r="BX51" s="1272">
        <f>BV51+BX50</f>
        <v>1.0000000000000071</v>
      </c>
      <c r="BY51" s="1273"/>
      <c r="BZ51" s="1272">
        <f>BX51+BZ50</f>
        <v>1.0000000000000071</v>
      </c>
      <c r="CA51" s="1273"/>
      <c r="CB51" s="1272">
        <f>BZ51+CB50</f>
        <v>1.0000000000000071</v>
      </c>
      <c r="CC51" s="1273"/>
      <c r="CD51" s="1272">
        <f>CB51+CD50</f>
        <v>1.0000000000000071</v>
      </c>
      <c r="CE51" s="1273"/>
      <c r="CF51" s="1272">
        <f>CD51+CF50</f>
        <v>1.0000000000000071</v>
      </c>
      <c r="CG51" s="1273"/>
      <c r="CH51" s="1272">
        <f>CF51+CH50</f>
        <v>1.0000000000000071</v>
      </c>
      <c r="CI51" s="1273"/>
      <c r="CJ51" s="1272">
        <f>CH51+CJ50</f>
        <v>1.0000000000000071</v>
      </c>
      <c r="CK51" s="1273"/>
      <c r="CL51" s="1272">
        <f>CJ51+CL50</f>
        <v>1.0000000000000071</v>
      </c>
      <c r="CM51" s="1273"/>
      <c r="CN51" s="1272">
        <f>CL51+CN50</f>
        <v>1.0000000000000071</v>
      </c>
      <c r="CO51" s="1273"/>
      <c r="CP51" s="1272">
        <f>CN51+CP50</f>
        <v>1.0000000000000071</v>
      </c>
      <c r="CQ51" s="1273"/>
      <c r="CR51" s="1272">
        <f>CP51+CR50</f>
        <v>1.0000000000000071</v>
      </c>
      <c r="CS51" s="1273"/>
      <c r="CT51" s="1272">
        <f>CR51+CT50</f>
        <v>1.0000000000000071</v>
      </c>
      <c r="CU51" s="1273"/>
      <c r="CV51" s="1272">
        <f>CT51+CV50</f>
        <v>1.0000000000000071</v>
      </c>
      <c r="CW51" s="1273"/>
      <c r="CX51" s="1272">
        <f>CV51+CX50</f>
        <v>1.0000000000000071</v>
      </c>
      <c r="CY51" s="1273"/>
      <c r="CZ51" s="1272">
        <f>CX51+CZ50</f>
        <v>1.0000000000000071</v>
      </c>
      <c r="DA51" s="1273"/>
      <c r="DB51" s="1272">
        <f>CZ51+DB50</f>
        <v>1.0000000000000071</v>
      </c>
      <c r="DC51" s="1273"/>
      <c r="DD51" s="1272">
        <f>DB51+DD50</f>
        <v>1.0000000000000071</v>
      </c>
      <c r="DE51" s="1273"/>
      <c r="DF51" s="1272">
        <f>DD51+DF50</f>
        <v>1.0000000000000071</v>
      </c>
      <c r="DG51" s="1273"/>
      <c r="DH51" s="1272">
        <f>DF51+DH50</f>
        <v>1.0000000000000071</v>
      </c>
      <c r="DI51" s="1273"/>
      <c r="DJ51" s="1323">
        <f>DH51+DJ50</f>
        <v>1.0000000000000071</v>
      </c>
      <c r="DK51" s="1324"/>
      <c r="DL51" s="1272">
        <f>DJ51+DL50</f>
        <v>1.0000000000000071</v>
      </c>
      <c r="DM51" s="1273"/>
      <c r="DN51" s="1272">
        <f>DL51+DN50</f>
        <v>1.0000000000000071</v>
      </c>
      <c r="DO51" s="1273"/>
      <c r="DP51" s="1272">
        <f>DN51+DP50</f>
        <v>1.0000000000000071</v>
      </c>
      <c r="DQ51" s="1273"/>
      <c r="DR51" s="1272">
        <f>DP51+DR50</f>
        <v>1.0000000000000071</v>
      </c>
      <c r="DS51" s="1273"/>
      <c r="DT51" s="1272">
        <f>DR51+DT50</f>
        <v>1.0000000000000071</v>
      </c>
      <c r="DU51" s="1273"/>
      <c r="DV51" s="1272">
        <f>DT51+DV50</f>
        <v>1.0000000000000071</v>
      </c>
      <c r="DW51" s="1273"/>
      <c r="DX51" s="1272">
        <f>DV51+DX50</f>
        <v>1.0000000000000071</v>
      </c>
      <c r="DY51" s="1273"/>
      <c r="DZ51" s="1272">
        <f>DX51+DZ50</f>
        <v>1.0000000000000071</v>
      </c>
      <c r="EA51" s="1273"/>
      <c r="EB51" s="1272">
        <f>DZ51+EB50</f>
        <v>1.0000000000000071</v>
      </c>
      <c r="EC51" s="1273"/>
      <c r="ED51" s="1272">
        <f>EB51+ED50</f>
        <v>1.0000000000000071</v>
      </c>
      <c r="EE51" s="1273"/>
      <c r="EF51" s="1272">
        <f>ED51+EF50</f>
        <v>1.0000000000000071</v>
      </c>
      <c r="EG51" s="1273"/>
      <c r="EH51" s="1272">
        <f>EF51+EH50</f>
        <v>1.0000000000000071</v>
      </c>
      <c r="EI51" s="1273"/>
      <c r="EJ51" s="1272">
        <f>EH51+EJ50</f>
        <v>1.0000000000000071</v>
      </c>
      <c r="EK51" s="1273"/>
      <c r="EL51" s="1272">
        <f>EJ51+EL50</f>
        <v>1.0000000000000071</v>
      </c>
      <c r="EM51" s="1273"/>
      <c r="EN51" s="1272">
        <f>EL51+EN50</f>
        <v>1.0000000000000071</v>
      </c>
      <c r="EO51" s="1273"/>
      <c r="EP51" s="1272">
        <f>EN51+EP50</f>
        <v>1.0000000000000071</v>
      </c>
      <c r="EQ51" s="1273"/>
      <c r="ER51" s="1272">
        <f>EP51+ER50</f>
        <v>1.0000000000000071</v>
      </c>
      <c r="ES51" s="1273"/>
      <c r="ET51" s="1272">
        <f>ER51+ET50</f>
        <v>1.0000000000000071</v>
      </c>
      <c r="EU51" s="1273"/>
      <c r="EV51" s="1272">
        <f>ET51+EV50</f>
        <v>1.0000000000000071</v>
      </c>
      <c r="EW51" s="1273"/>
      <c r="EX51" s="1272">
        <f>EV51+EX50</f>
        <v>1.0000000000000071</v>
      </c>
      <c r="EY51" s="1273"/>
      <c r="EZ51" s="1272">
        <f>EX51+EZ50</f>
        <v>1.0000000000000071</v>
      </c>
      <c r="FA51" s="1273"/>
      <c r="FB51" s="1272">
        <f>EZ51+FB50</f>
        <v>1.0000000000000071</v>
      </c>
      <c r="FC51" s="1273"/>
      <c r="FD51" s="1272">
        <f>FB51+FD50</f>
        <v>1.0000000000000071</v>
      </c>
      <c r="FE51" s="1273"/>
      <c r="FF51" s="1272">
        <f>FD51+FF50</f>
        <v>1.0000000000000071</v>
      </c>
      <c r="FG51" s="1273"/>
      <c r="FH51" s="1272">
        <f>FF51+FH50</f>
        <v>1.0000000000000071</v>
      </c>
      <c r="FI51" s="1273"/>
      <c r="FJ51" s="1272">
        <f>FH51+FJ50</f>
        <v>1.0000000000000071</v>
      </c>
      <c r="FK51" s="1273"/>
      <c r="FL51" s="1272">
        <f>FJ51+FL50</f>
        <v>1.0000000000000071</v>
      </c>
      <c r="FM51" s="1273"/>
      <c r="FN51" s="1272">
        <f>FL51+FN50</f>
        <v>1.0000000000000071</v>
      </c>
      <c r="FO51" s="1273"/>
      <c r="FP51" s="1272">
        <f>FN51+FP50</f>
        <v>1.0000000000000071</v>
      </c>
      <c r="FQ51" s="1273"/>
      <c r="FR51" s="1272">
        <f>FP51+FR50</f>
        <v>1.0000000000000071</v>
      </c>
      <c r="FS51" s="1273"/>
      <c r="FT51" s="1272">
        <f>FR51+FT50</f>
        <v>1.0000000000000071</v>
      </c>
      <c r="FU51" s="1273"/>
      <c r="FV51" s="1272">
        <f>FT51+FV50</f>
        <v>1.0000000000000071</v>
      </c>
      <c r="FW51" s="1273"/>
      <c r="FX51" s="1272">
        <f>FV51+FX50</f>
        <v>1.0000000000000071</v>
      </c>
      <c r="FY51" s="1273"/>
      <c r="FZ51" s="1272">
        <f>FX51+FZ50</f>
        <v>1.0000000000000071</v>
      </c>
      <c r="GA51" s="1273"/>
      <c r="GB51" s="1272">
        <f>FZ51+GB50</f>
        <v>1.0000000000000071</v>
      </c>
      <c r="GC51" s="1273"/>
      <c r="GD51" s="1272">
        <f>GB51+GD50</f>
        <v>1.0000000000000071</v>
      </c>
      <c r="GE51" s="1273"/>
      <c r="GF51" s="1272">
        <f>GD51+GF50</f>
        <v>1.0000000000000071</v>
      </c>
      <c r="GG51" s="1273"/>
      <c r="GH51" s="1272">
        <f>GF51+GH50</f>
        <v>1.0000000000000071</v>
      </c>
      <c r="GI51" s="1273"/>
      <c r="GJ51" s="1272">
        <f>GH51+GJ50</f>
        <v>1.0000000000000071</v>
      </c>
      <c r="GK51" s="1273"/>
      <c r="GL51" s="1272">
        <f>GJ51+GL50</f>
        <v>1.0000000000000071</v>
      </c>
      <c r="GM51" s="1273"/>
      <c r="GN51" s="1272">
        <f>GL51+GN50</f>
        <v>1.0000000000000071</v>
      </c>
      <c r="GO51" s="1273"/>
      <c r="GP51" s="1272">
        <f>GN51+GP50</f>
        <v>1.0000000000000071</v>
      </c>
      <c r="GQ51" s="1273"/>
      <c r="GR51" s="1272">
        <f>GP51+GR50</f>
        <v>1.0000000000000071</v>
      </c>
      <c r="GS51" s="1273"/>
      <c r="GT51" s="1272">
        <f>GR51+GT50</f>
        <v>1.0000000000000071</v>
      </c>
      <c r="GU51" s="1273"/>
      <c r="GV51" s="1272">
        <f>GT51+GV50</f>
        <v>1.0000000000000071</v>
      </c>
      <c r="GW51" s="1273"/>
      <c r="GX51" s="1272">
        <f>GV51+GX50</f>
        <v>1.0000000000000071</v>
      </c>
      <c r="GY51" s="1273"/>
      <c r="GZ51" s="1272">
        <f>GX51+GZ50</f>
        <v>1.0000000000000071</v>
      </c>
      <c r="HA51" s="1273"/>
      <c r="HB51" s="1272">
        <f>GZ51+HB50</f>
        <v>1.0000000000000071</v>
      </c>
      <c r="HC51" s="1273"/>
      <c r="HD51" s="1272">
        <f>HB51+HD50</f>
        <v>1.0000000000000071</v>
      </c>
      <c r="HE51" s="1273"/>
      <c r="HF51" s="1272">
        <f>HD51+HF50</f>
        <v>1.0000000000000071</v>
      </c>
      <c r="HG51" s="1273"/>
      <c r="HH51" s="1272">
        <f>HF51+HH50</f>
        <v>1.0000000000000071</v>
      </c>
      <c r="HI51" s="1273"/>
      <c r="HJ51" s="1272">
        <f>HH51+HJ50</f>
        <v>1.0000000000000071</v>
      </c>
      <c r="HK51" s="1273"/>
    </row>
    <row r="52" spans="1:219" s="19" customFormat="1">
      <c r="A52" s="1299"/>
      <c r="B52" s="1300"/>
      <c r="C52" s="1299"/>
      <c r="D52" s="1301"/>
      <c r="E52" s="1301"/>
      <c r="F52" s="1302"/>
      <c r="G52" s="1301"/>
      <c r="H52" s="788"/>
      <c r="I52" s="1303"/>
      <c r="J52" s="1304"/>
      <c r="K52" s="789" t="s">
        <v>295</v>
      </c>
      <c r="L52" s="1266"/>
      <c r="M52" s="1267"/>
      <c r="N52" s="1266"/>
      <c r="O52" s="1267"/>
      <c r="P52" s="1266"/>
      <c r="Q52" s="1267"/>
      <c r="R52" s="1266"/>
      <c r="S52" s="1267"/>
      <c r="T52" s="1266"/>
      <c r="U52" s="1267"/>
      <c r="V52" s="1266"/>
      <c r="W52" s="1267"/>
      <c r="X52" s="1266"/>
      <c r="Y52" s="1267"/>
      <c r="Z52" s="1266"/>
      <c r="AA52" s="1267"/>
      <c r="AB52" s="1266"/>
      <c r="AC52" s="1267"/>
      <c r="AD52" s="1266"/>
      <c r="AE52" s="1267"/>
      <c r="AF52" s="1266"/>
      <c r="AG52" s="1267"/>
      <c r="AH52" s="1266"/>
      <c r="AI52" s="1267"/>
      <c r="AJ52" s="1266"/>
      <c r="AK52" s="1267"/>
      <c r="AL52" s="1266"/>
      <c r="AM52" s="1267"/>
      <c r="AN52" s="1266"/>
      <c r="AO52" s="1267"/>
      <c r="AP52" s="1266"/>
      <c r="AQ52" s="1267"/>
      <c r="AR52" s="1266"/>
      <c r="AS52" s="1267"/>
      <c r="AT52" s="1266"/>
      <c r="AU52" s="1267"/>
      <c r="AV52" s="1266"/>
      <c r="AW52" s="1267"/>
      <c r="AX52" s="1266"/>
      <c r="AY52" s="1267"/>
      <c r="AZ52" s="1266"/>
      <c r="BA52" s="1267"/>
      <c r="BB52" s="1266"/>
      <c r="BC52" s="1267"/>
      <c r="BD52" s="1266"/>
      <c r="BE52" s="1267"/>
      <c r="BF52" s="1266"/>
      <c r="BG52" s="1267"/>
      <c r="BH52" s="1266"/>
      <c r="BI52" s="1267"/>
      <c r="BJ52" s="1266"/>
      <c r="BK52" s="1267"/>
      <c r="BL52" s="1266"/>
      <c r="BM52" s="1267"/>
      <c r="BN52" s="1266"/>
      <c r="BO52" s="1267"/>
      <c r="BP52" s="1266"/>
      <c r="BQ52" s="1267"/>
      <c r="BR52" s="1266"/>
      <c r="BS52" s="1267"/>
      <c r="BT52" s="1266"/>
      <c r="BU52" s="1267"/>
      <c r="BV52" s="1266"/>
      <c r="BW52" s="1267"/>
      <c r="BX52" s="1266"/>
      <c r="BY52" s="1267"/>
      <c r="BZ52" s="1266"/>
      <c r="CA52" s="1267"/>
      <c r="CB52" s="1266"/>
      <c r="CC52" s="1267"/>
      <c r="CD52" s="1266"/>
      <c r="CE52" s="1267"/>
      <c r="CF52" s="1266"/>
      <c r="CG52" s="1267"/>
      <c r="CH52" s="1266"/>
      <c r="CI52" s="1267"/>
      <c r="CJ52" s="1266"/>
      <c r="CK52" s="1267"/>
      <c r="CL52" s="1266"/>
      <c r="CM52" s="1267"/>
      <c r="CN52" s="1266"/>
      <c r="CO52" s="1267"/>
      <c r="CP52" s="1266"/>
      <c r="CQ52" s="1267"/>
      <c r="CR52" s="1266"/>
      <c r="CS52" s="1267"/>
      <c r="CT52" s="1266"/>
      <c r="CU52" s="1267"/>
      <c r="CV52" s="1266"/>
      <c r="CW52" s="1267"/>
      <c r="CX52" s="1266"/>
      <c r="CY52" s="1267"/>
      <c r="CZ52" s="1266"/>
      <c r="DA52" s="1267"/>
      <c r="DB52" s="1266"/>
      <c r="DC52" s="1267"/>
      <c r="DD52" s="1266"/>
      <c r="DE52" s="1267"/>
      <c r="DF52" s="1266"/>
      <c r="DG52" s="1267"/>
      <c r="DH52" s="1266"/>
      <c r="DI52" s="1267"/>
      <c r="DJ52" s="1268"/>
      <c r="DK52" s="1269"/>
      <c r="DL52" s="1266">
        <f>(DL42+DL32)*0.8</f>
        <v>32040</v>
      </c>
      <c r="DM52" s="1267"/>
      <c r="DN52" s="1266">
        <f>(DN42+DN32)*0.8</f>
        <v>32040</v>
      </c>
      <c r="DO52" s="1267"/>
      <c r="DP52" s="1266">
        <f>(DP42+DP32)*0.8</f>
        <v>32040</v>
      </c>
      <c r="DQ52" s="1267"/>
      <c r="DR52" s="1266">
        <f>(DR42+DR32)*0.8</f>
        <v>32040</v>
      </c>
      <c r="DS52" s="1267"/>
      <c r="DT52" s="1266">
        <f>(DT42+DT32)*0.8</f>
        <v>32040</v>
      </c>
      <c r="DU52" s="1267"/>
      <c r="DV52" s="1266">
        <f>(DV42+DV32)*0.8</f>
        <v>32040</v>
      </c>
      <c r="DW52" s="1267"/>
      <c r="DX52" s="1266">
        <f>(DX42+DX32)*0.8</f>
        <v>32040</v>
      </c>
      <c r="DY52" s="1267"/>
      <c r="DZ52" s="1266">
        <f>(DZ42+DZ32)*0.8</f>
        <v>32040</v>
      </c>
      <c r="EA52" s="1267"/>
      <c r="EB52" s="1266">
        <f>(EB42+EB32)*0.8</f>
        <v>32040</v>
      </c>
      <c r="EC52" s="1267"/>
      <c r="ED52" s="1266">
        <f>(ED42+ED32)*0.8</f>
        <v>32040</v>
      </c>
      <c r="EE52" s="1267"/>
      <c r="EF52" s="1266">
        <f>(EF42+EF32)*0.8</f>
        <v>32040</v>
      </c>
      <c r="EG52" s="1267"/>
      <c r="EH52" s="1266">
        <f>(EH42+EH32)*0.8</f>
        <v>32040</v>
      </c>
      <c r="EI52" s="1267"/>
      <c r="EJ52" s="1266">
        <f>(EJ42+EJ32)*0.8</f>
        <v>32040</v>
      </c>
      <c r="EK52" s="1267"/>
      <c r="EL52" s="1266">
        <f>(EL42+EL32)*0.8</f>
        <v>32040</v>
      </c>
      <c r="EM52" s="1267"/>
      <c r="EN52" s="1266">
        <f>(EN42+EN32)*0.8</f>
        <v>32040</v>
      </c>
      <c r="EO52" s="1267"/>
      <c r="EP52" s="1266">
        <f>(EP42+EP32)*0.8</f>
        <v>32040</v>
      </c>
      <c r="EQ52" s="1267"/>
      <c r="ER52" s="1266">
        <f>(ER42+ER32)*0.8</f>
        <v>32040</v>
      </c>
      <c r="ES52" s="1267"/>
      <c r="ET52" s="1266">
        <f>(ET42+ET32)*0.8</f>
        <v>32040</v>
      </c>
      <c r="EU52" s="1267"/>
      <c r="EV52" s="1266">
        <f>(EV42+EV32)*0.8</f>
        <v>32040</v>
      </c>
      <c r="EW52" s="1267"/>
      <c r="EX52" s="1266">
        <f>(EX42+EX32)*0.8</f>
        <v>32040</v>
      </c>
      <c r="EY52" s="1267"/>
      <c r="EZ52" s="1266">
        <f>(EZ42+EZ32)*0.8</f>
        <v>32040</v>
      </c>
      <c r="FA52" s="1267"/>
      <c r="FB52" s="1266">
        <f>(FB42+FB32)*0.8</f>
        <v>32040</v>
      </c>
      <c r="FC52" s="1267"/>
      <c r="FD52" s="1266">
        <f>(FD42+FD32)*0.8</f>
        <v>32040</v>
      </c>
      <c r="FE52" s="1267"/>
      <c r="FF52" s="1266">
        <f>(FF42+FF32)*0.8</f>
        <v>32040</v>
      </c>
      <c r="FG52" s="1267"/>
      <c r="FH52" s="1266">
        <f>(FH42+FH32)*0.8</f>
        <v>32040</v>
      </c>
      <c r="FI52" s="1267"/>
      <c r="FJ52" s="1266">
        <f>(FJ42+FJ32)*0.8</f>
        <v>32040</v>
      </c>
      <c r="FK52" s="1267"/>
      <c r="FL52" s="1266">
        <f>(FL42+FL32)*0.8</f>
        <v>32040</v>
      </c>
      <c r="FM52" s="1267"/>
      <c r="FN52" s="1266">
        <f>(FN42+FN32)*0.8</f>
        <v>32040</v>
      </c>
      <c r="FO52" s="1267"/>
      <c r="FP52" s="1266">
        <f>(FP42+FP32)*0.8</f>
        <v>32040</v>
      </c>
      <c r="FQ52" s="1267"/>
      <c r="FR52" s="1266">
        <f>(FR42+FR32)*0.8</f>
        <v>32040</v>
      </c>
      <c r="FS52" s="1267"/>
      <c r="FT52" s="1266">
        <f>(FT42+FT32)*0.8</f>
        <v>32040</v>
      </c>
      <c r="FU52" s="1267"/>
      <c r="FV52" s="1266">
        <f>(FV42+FV32)*0.8</f>
        <v>32040</v>
      </c>
      <c r="FW52" s="1267"/>
      <c r="FX52" s="1266">
        <f>(FX42+FX32)*0.8</f>
        <v>32040</v>
      </c>
      <c r="FY52" s="1267"/>
      <c r="FZ52" s="1266">
        <f>(FZ42+FZ32)*0.8</f>
        <v>32040</v>
      </c>
      <c r="GA52" s="1267"/>
      <c r="GB52" s="1266"/>
      <c r="GC52" s="1267"/>
      <c r="GD52" s="1266"/>
      <c r="GE52" s="1267"/>
      <c r="GF52" s="1266"/>
      <c r="GG52" s="1267"/>
      <c r="GH52" s="1266"/>
      <c r="GI52" s="1267"/>
      <c r="GJ52" s="1266"/>
      <c r="GK52" s="1267"/>
      <c r="GL52" s="1266"/>
      <c r="GM52" s="1267"/>
      <c r="GN52" s="1266"/>
      <c r="GO52" s="1267"/>
      <c r="GP52" s="1266"/>
      <c r="GQ52" s="1267"/>
      <c r="GR52" s="1266"/>
      <c r="GS52" s="1267"/>
      <c r="GT52" s="1266"/>
      <c r="GU52" s="1267"/>
      <c r="GV52" s="1266"/>
      <c r="GW52" s="1267"/>
      <c r="GX52" s="1266"/>
      <c r="GY52" s="1267"/>
      <c r="GZ52" s="1266"/>
      <c r="HA52" s="1267"/>
      <c r="HB52" s="1266"/>
      <c r="HC52" s="1267"/>
      <c r="HD52" s="1266"/>
      <c r="HE52" s="1267"/>
      <c r="HF52" s="1266"/>
      <c r="HG52" s="1267"/>
      <c r="HH52" s="1266"/>
      <c r="HI52" s="1267"/>
      <c r="HJ52" s="1266"/>
      <c r="HK52" s="1267"/>
    </row>
    <row r="53" spans="1:219" s="20" customFormat="1">
      <c r="A53" s="1299"/>
      <c r="B53" s="1300"/>
      <c r="C53" s="1299"/>
      <c r="D53" s="1301"/>
      <c r="E53" s="1301"/>
      <c r="F53" s="1302"/>
      <c r="G53" s="1301"/>
      <c r="H53" s="790"/>
      <c r="I53" s="1303"/>
      <c r="J53" s="1304"/>
      <c r="K53" s="791" t="s">
        <v>296</v>
      </c>
      <c r="L53" s="1259">
        <f>L52</f>
        <v>0</v>
      </c>
      <c r="M53" s="1260"/>
      <c r="N53" s="1259">
        <f>N52+L53</f>
        <v>0</v>
      </c>
      <c r="O53" s="1260"/>
      <c r="P53" s="1259">
        <f>P52+N53</f>
        <v>0</v>
      </c>
      <c r="Q53" s="1260"/>
      <c r="R53" s="1259">
        <f>R52+P53</f>
        <v>0</v>
      </c>
      <c r="S53" s="1260"/>
      <c r="T53" s="1259">
        <f>T52+R53</f>
        <v>0</v>
      </c>
      <c r="U53" s="1260"/>
      <c r="V53" s="1259">
        <f>V52+T53</f>
        <v>0</v>
      </c>
      <c r="W53" s="1260"/>
      <c r="X53" s="1259">
        <f>X52+V53</f>
        <v>0</v>
      </c>
      <c r="Y53" s="1260"/>
      <c r="Z53" s="1259">
        <f>Z52+X53</f>
        <v>0</v>
      </c>
      <c r="AA53" s="1260"/>
      <c r="AB53" s="1259">
        <f>AB52+Z53</f>
        <v>0</v>
      </c>
      <c r="AC53" s="1260"/>
      <c r="AD53" s="1259">
        <f>AD52+AB53</f>
        <v>0</v>
      </c>
      <c r="AE53" s="1260"/>
      <c r="AF53" s="1259">
        <f>AF52+AD53</f>
        <v>0</v>
      </c>
      <c r="AG53" s="1260"/>
      <c r="AH53" s="1259">
        <f>AH52+AF53</f>
        <v>0</v>
      </c>
      <c r="AI53" s="1260"/>
      <c r="AJ53" s="1259">
        <f>AJ52+AH53</f>
        <v>0</v>
      </c>
      <c r="AK53" s="1260"/>
      <c r="AL53" s="1259">
        <f>AL52+AJ53</f>
        <v>0</v>
      </c>
      <c r="AM53" s="1260"/>
      <c r="AN53" s="1259">
        <f>AN52+AL53</f>
        <v>0</v>
      </c>
      <c r="AO53" s="1260"/>
      <c r="AP53" s="1259">
        <f>AP52+AN53</f>
        <v>0</v>
      </c>
      <c r="AQ53" s="1260"/>
      <c r="AR53" s="1259">
        <f>AR52+AP53</f>
        <v>0</v>
      </c>
      <c r="AS53" s="1260"/>
      <c r="AT53" s="1259">
        <f>AT52+AR53</f>
        <v>0</v>
      </c>
      <c r="AU53" s="1260"/>
      <c r="AV53" s="1259">
        <f>AV52+AT53</f>
        <v>0</v>
      </c>
      <c r="AW53" s="1260"/>
      <c r="AX53" s="1259">
        <f>AX52+AV53</f>
        <v>0</v>
      </c>
      <c r="AY53" s="1260"/>
      <c r="AZ53" s="1259">
        <f>AZ52+AX53</f>
        <v>0</v>
      </c>
      <c r="BA53" s="1260"/>
      <c r="BB53" s="1259">
        <f>BB52+AZ53</f>
        <v>0</v>
      </c>
      <c r="BC53" s="1260"/>
      <c r="BD53" s="1259">
        <f>BD52+BB53</f>
        <v>0</v>
      </c>
      <c r="BE53" s="1260"/>
      <c r="BF53" s="1259">
        <f>BF52+BD53</f>
        <v>0</v>
      </c>
      <c r="BG53" s="1260"/>
      <c r="BH53" s="1259">
        <f>BH52+BF53</f>
        <v>0</v>
      </c>
      <c r="BI53" s="1260"/>
      <c r="BJ53" s="1259">
        <f>BJ52+BH53</f>
        <v>0</v>
      </c>
      <c r="BK53" s="1260"/>
      <c r="BL53" s="1259">
        <f>BL52+BJ53</f>
        <v>0</v>
      </c>
      <c r="BM53" s="1260"/>
      <c r="BN53" s="1259">
        <f>BN52+BL53</f>
        <v>0</v>
      </c>
      <c r="BO53" s="1260"/>
      <c r="BP53" s="1259">
        <f>BP52+BN53</f>
        <v>0</v>
      </c>
      <c r="BQ53" s="1260"/>
      <c r="BR53" s="1259">
        <f>BR52+BP53</f>
        <v>0</v>
      </c>
      <c r="BS53" s="1260"/>
      <c r="BT53" s="1259">
        <f>BT52+BR53</f>
        <v>0</v>
      </c>
      <c r="BU53" s="1260"/>
      <c r="BV53" s="1259">
        <f>BV52+BT53</f>
        <v>0</v>
      </c>
      <c r="BW53" s="1260"/>
      <c r="BX53" s="1259">
        <f>BX52+BV53</f>
        <v>0</v>
      </c>
      <c r="BY53" s="1260"/>
      <c r="BZ53" s="1259">
        <f>BZ52+BX53</f>
        <v>0</v>
      </c>
      <c r="CA53" s="1260"/>
      <c r="CB53" s="1259">
        <f>CB52+BZ53</f>
        <v>0</v>
      </c>
      <c r="CC53" s="1260"/>
      <c r="CD53" s="1259">
        <f>CD52+CB53</f>
        <v>0</v>
      </c>
      <c r="CE53" s="1260"/>
      <c r="CF53" s="1259">
        <f>CF52+CD53</f>
        <v>0</v>
      </c>
      <c r="CG53" s="1260"/>
      <c r="CH53" s="1259">
        <f>CH52+CF53</f>
        <v>0</v>
      </c>
      <c r="CI53" s="1260"/>
      <c r="CJ53" s="1259">
        <f>CJ52+CH53</f>
        <v>0</v>
      </c>
      <c r="CK53" s="1260"/>
      <c r="CL53" s="1259">
        <f>CL52+CJ53</f>
        <v>0</v>
      </c>
      <c r="CM53" s="1260"/>
      <c r="CN53" s="1259">
        <f>CN52+CL53</f>
        <v>0</v>
      </c>
      <c r="CO53" s="1260"/>
      <c r="CP53" s="1259">
        <f>CP52+CN53</f>
        <v>0</v>
      </c>
      <c r="CQ53" s="1260"/>
      <c r="CR53" s="1259">
        <f>CR52+CP53</f>
        <v>0</v>
      </c>
      <c r="CS53" s="1260"/>
      <c r="CT53" s="1259">
        <f>CT52+CR53</f>
        <v>0</v>
      </c>
      <c r="CU53" s="1260"/>
      <c r="CV53" s="1259">
        <f>CV52+CT53</f>
        <v>0</v>
      </c>
      <c r="CW53" s="1260"/>
      <c r="CX53" s="1259">
        <f>CX52+CV53</f>
        <v>0</v>
      </c>
      <c r="CY53" s="1260"/>
      <c r="CZ53" s="1259">
        <f>CZ52+CX53</f>
        <v>0</v>
      </c>
      <c r="DA53" s="1260"/>
      <c r="DB53" s="1259">
        <f>DB52+CZ53</f>
        <v>0</v>
      </c>
      <c r="DC53" s="1260"/>
      <c r="DD53" s="1259">
        <f>DD52+DB53</f>
        <v>0</v>
      </c>
      <c r="DE53" s="1260"/>
      <c r="DF53" s="1259">
        <f>DF52+DD53</f>
        <v>0</v>
      </c>
      <c r="DG53" s="1260"/>
      <c r="DH53" s="1259">
        <f>DH52+DF53</f>
        <v>0</v>
      </c>
      <c r="DI53" s="1260"/>
      <c r="DJ53" s="1261">
        <f>DJ52+DH53</f>
        <v>0</v>
      </c>
      <c r="DK53" s="1262"/>
      <c r="DL53" s="1259">
        <f>DL52+DJ53</f>
        <v>32040</v>
      </c>
      <c r="DM53" s="1260"/>
      <c r="DN53" s="1259">
        <f>DN52+DL53</f>
        <v>64080</v>
      </c>
      <c r="DO53" s="1260"/>
      <c r="DP53" s="1259">
        <f>DP52+DN53</f>
        <v>96120</v>
      </c>
      <c r="DQ53" s="1260"/>
      <c r="DR53" s="1259">
        <f>DR52+DP53</f>
        <v>128160</v>
      </c>
      <c r="DS53" s="1260"/>
      <c r="DT53" s="1259">
        <f>DT52+DR53</f>
        <v>160200</v>
      </c>
      <c r="DU53" s="1260"/>
      <c r="DV53" s="1259">
        <f>DV52+DT53</f>
        <v>192240</v>
      </c>
      <c r="DW53" s="1260"/>
      <c r="DX53" s="1259">
        <f>DX52+DV53</f>
        <v>224280</v>
      </c>
      <c r="DY53" s="1260"/>
      <c r="DZ53" s="1259">
        <f>DZ52+DX53</f>
        <v>256320</v>
      </c>
      <c r="EA53" s="1260"/>
      <c r="EB53" s="1259">
        <f>EB52+DZ53</f>
        <v>288360</v>
      </c>
      <c r="EC53" s="1260"/>
      <c r="ED53" s="1259">
        <f>ED52+EB53</f>
        <v>320400</v>
      </c>
      <c r="EE53" s="1260"/>
      <c r="EF53" s="1259">
        <f>EF52+ED53</f>
        <v>352440</v>
      </c>
      <c r="EG53" s="1260"/>
      <c r="EH53" s="1259">
        <f>EH52+EF53</f>
        <v>384480</v>
      </c>
      <c r="EI53" s="1260"/>
      <c r="EJ53" s="1259">
        <f>EJ52+EH53</f>
        <v>416520</v>
      </c>
      <c r="EK53" s="1260"/>
      <c r="EL53" s="1259">
        <f>EL52+EJ53</f>
        <v>448560</v>
      </c>
      <c r="EM53" s="1260"/>
      <c r="EN53" s="1259">
        <f>EN52+EL53</f>
        <v>480600</v>
      </c>
      <c r="EO53" s="1260"/>
      <c r="EP53" s="1259">
        <f>EP52+EN53</f>
        <v>512640</v>
      </c>
      <c r="EQ53" s="1260"/>
      <c r="ER53" s="1259">
        <f>ER52+EP53</f>
        <v>544680</v>
      </c>
      <c r="ES53" s="1260"/>
      <c r="ET53" s="1259">
        <f>ET52+ER53</f>
        <v>576720</v>
      </c>
      <c r="EU53" s="1260"/>
      <c r="EV53" s="1259">
        <f>EV52+ET53</f>
        <v>608760</v>
      </c>
      <c r="EW53" s="1260"/>
      <c r="EX53" s="1259">
        <f>EX52+EV53</f>
        <v>640800</v>
      </c>
      <c r="EY53" s="1260"/>
      <c r="EZ53" s="1259">
        <f>EZ52+EX53</f>
        <v>672840</v>
      </c>
      <c r="FA53" s="1260"/>
      <c r="FB53" s="1259">
        <f>FB52+EZ53</f>
        <v>704880</v>
      </c>
      <c r="FC53" s="1260"/>
      <c r="FD53" s="1259">
        <f>FD52+FB53</f>
        <v>736920</v>
      </c>
      <c r="FE53" s="1260"/>
      <c r="FF53" s="1259">
        <f>FF52+FD53</f>
        <v>768960</v>
      </c>
      <c r="FG53" s="1260"/>
      <c r="FH53" s="1259">
        <f>FH52+FF53</f>
        <v>801000</v>
      </c>
      <c r="FI53" s="1260"/>
      <c r="FJ53" s="1259">
        <f>FJ52+FH53</f>
        <v>833040</v>
      </c>
      <c r="FK53" s="1260"/>
      <c r="FL53" s="1259">
        <f>FL52+FJ53</f>
        <v>865080</v>
      </c>
      <c r="FM53" s="1260"/>
      <c r="FN53" s="1259">
        <f>FN52+FL53</f>
        <v>897120</v>
      </c>
      <c r="FO53" s="1260"/>
      <c r="FP53" s="1259">
        <f>FP52+FN53</f>
        <v>929160</v>
      </c>
      <c r="FQ53" s="1260"/>
      <c r="FR53" s="1259">
        <f>FR52+FP53</f>
        <v>961200</v>
      </c>
      <c r="FS53" s="1260"/>
      <c r="FT53" s="1259">
        <f>FT52+FR53</f>
        <v>993240</v>
      </c>
      <c r="FU53" s="1260"/>
      <c r="FV53" s="1259">
        <f>FV52+FT53</f>
        <v>1025280</v>
      </c>
      <c r="FW53" s="1260"/>
      <c r="FX53" s="1259">
        <f>FX52+FV53</f>
        <v>1057320</v>
      </c>
      <c r="FY53" s="1260"/>
      <c r="FZ53" s="1259">
        <f>FZ52+FX53</f>
        <v>1089360</v>
      </c>
      <c r="GA53" s="1260"/>
      <c r="GB53" s="1259">
        <f>GB52+FZ53</f>
        <v>1089360</v>
      </c>
      <c r="GC53" s="1260"/>
      <c r="GD53" s="1259">
        <f>GD52+GB53</f>
        <v>1089360</v>
      </c>
      <c r="GE53" s="1260"/>
      <c r="GF53" s="1259">
        <f>GF52+GD53</f>
        <v>1089360</v>
      </c>
      <c r="GG53" s="1260"/>
      <c r="GH53" s="1259">
        <f>GH52+GF53</f>
        <v>1089360</v>
      </c>
      <c r="GI53" s="1260"/>
      <c r="GJ53" s="1259">
        <f>GJ52+GH53</f>
        <v>1089360</v>
      </c>
      <c r="GK53" s="1260"/>
      <c r="GL53" s="1259">
        <f>GL52+GJ53</f>
        <v>1089360</v>
      </c>
      <c r="GM53" s="1260"/>
      <c r="GN53" s="1259">
        <f>GN52+GL53</f>
        <v>1089360</v>
      </c>
      <c r="GO53" s="1260"/>
      <c r="GP53" s="1259">
        <f>GP52+GN53</f>
        <v>1089360</v>
      </c>
      <c r="GQ53" s="1260"/>
      <c r="GR53" s="1259">
        <f>GR52+GP53</f>
        <v>1089360</v>
      </c>
      <c r="GS53" s="1260"/>
      <c r="GT53" s="1259">
        <f>GT52+GR53</f>
        <v>1089360</v>
      </c>
      <c r="GU53" s="1260"/>
      <c r="GV53" s="1259">
        <f>GV52+GT53</f>
        <v>1089360</v>
      </c>
      <c r="GW53" s="1260"/>
      <c r="GX53" s="1259">
        <f>GX52+GV53</f>
        <v>1089360</v>
      </c>
      <c r="GY53" s="1260"/>
      <c r="GZ53" s="1259">
        <f>GZ52+GX53</f>
        <v>1089360</v>
      </c>
      <c r="HA53" s="1260"/>
      <c r="HB53" s="1259">
        <f>HB52+GZ53</f>
        <v>1089360</v>
      </c>
      <c r="HC53" s="1260"/>
      <c r="HD53" s="1259">
        <f>HD52+HB53</f>
        <v>1089360</v>
      </c>
      <c r="HE53" s="1260"/>
      <c r="HF53" s="1259">
        <f>HF52+HD53</f>
        <v>1089360</v>
      </c>
      <c r="HG53" s="1260"/>
      <c r="HH53" s="1259">
        <f>HH52+HF53</f>
        <v>1089360</v>
      </c>
      <c r="HI53" s="1260"/>
      <c r="HJ53" s="1259">
        <f>HJ52+HH53</f>
        <v>1089360</v>
      </c>
      <c r="HK53" s="1260"/>
    </row>
    <row r="54" spans="1:219" s="21" customFormat="1">
      <c r="A54" s="1299"/>
      <c r="B54" s="1300"/>
      <c r="C54" s="1299"/>
      <c r="D54" s="1301"/>
      <c r="E54" s="1301"/>
      <c r="F54" s="1302"/>
      <c r="G54" s="1301"/>
      <c r="H54" s="792"/>
      <c r="I54" s="1303"/>
      <c r="J54" s="1304"/>
      <c r="K54" s="793" t="s">
        <v>297</v>
      </c>
      <c r="L54" s="1270">
        <f>IF($E$48&gt;0,L51/$E$48,"-")</f>
        <v>0</v>
      </c>
      <c r="M54" s="1271"/>
      <c r="N54" s="1270">
        <f>IF($E$48&gt;0,N51/$E$48,"-")</f>
        <v>0</v>
      </c>
      <c r="O54" s="1271"/>
      <c r="P54" s="1270">
        <f>IF($E$48&gt;0,P51/$E$48,"-")</f>
        <v>0</v>
      </c>
      <c r="Q54" s="1271"/>
      <c r="R54" s="1270">
        <f>IF($E$48&gt;0,R51/$E$48,"-")</f>
        <v>0</v>
      </c>
      <c r="S54" s="1271"/>
      <c r="T54" s="1270">
        <f>IF($E$48&gt;0,T51/$E$48,"-")</f>
        <v>0</v>
      </c>
      <c r="U54" s="1271"/>
      <c r="V54" s="1270">
        <f>IF($E$48&gt;0,V51/$E$48,"-")</f>
        <v>0</v>
      </c>
      <c r="W54" s="1271"/>
      <c r="X54" s="1270">
        <f>IF($E$48&gt;0,X51/$E$48,"-")</f>
        <v>0</v>
      </c>
      <c r="Y54" s="1271"/>
      <c r="Z54" s="1270">
        <f>IF($E$48&gt;0,Z51/$E$48,"-")</f>
        <v>0</v>
      </c>
      <c r="AA54" s="1271"/>
      <c r="AB54" s="1270">
        <f>IF($E$48&gt;0,AB51/$E$48,"-")</f>
        <v>0</v>
      </c>
      <c r="AC54" s="1271"/>
      <c r="AD54" s="1270">
        <f>IF($E$48&gt;0,AD51/$E$48,"-")</f>
        <v>0</v>
      </c>
      <c r="AE54" s="1271"/>
      <c r="AF54" s="1270">
        <f>IF($E$48&gt;0,AF51/$E$48,"-")</f>
        <v>0</v>
      </c>
      <c r="AG54" s="1271"/>
      <c r="AH54" s="1270">
        <f>IF($E$48&gt;0,AH51/$E$48,"-")</f>
        <v>0</v>
      </c>
      <c r="AI54" s="1271"/>
      <c r="AJ54" s="1270">
        <f>IF($E$48&gt;0,AJ51/$E$48,"-")</f>
        <v>0</v>
      </c>
      <c r="AK54" s="1271"/>
      <c r="AL54" s="1270">
        <f>IF($E$48&gt;0,AL51/$E$48,"-")</f>
        <v>0</v>
      </c>
      <c r="AM54" s="1271"/>
      <c r="AN54" s="1270">
        <f>IF($E$48&gt;0,AN51/$E$48,"-")</f>
        <v>0</v>
      </c>
      <c r="AO54" s="1271"/>
      <c r="AP54" s="1270">
        <f>IF($E$48&gt;0,AP51/$E$48,"-")</f>
        <v>35.680000000000007</v>
      </c>
      <c r="AQ54" s="1271"/>
      <c r="AR54" s="1270">
        <f>IF($E$48&gt;0,AR51/$E$48,"-")</f>
        <v>1.0000000000000071</v>
      </c>
      <c r="AS54" s="1271"/>
      <c r="AT54" s="1270">
        <f>IF($E$48&gt;0,AT51/$E$48,"-")</f>
        <v>1.0000000000000071</v>
      </c>
      <c r="AU54" s="1271"/>
      <c r="AV54" s="1270">
        <f>IF($E$48&gt;0,AV51/$E$48,"-")</f>
        <v>1.0000000000000071</v>
      </c>
      <c r="AW54" s="1271"/>
      <c r="AX54" s="1270">
        <f>IF($E$48&gt;0,AX51/$E$48,"-")</f>
        <v>1.0000000000000071</v>
      </c>
      <c r="AY54" s="1271"/>
      <c r="AZ54" s="1270">
        <f>IF($E$48&gt;0,AZ51/$E$48,"-")</f>
        <v>1.0000000000000071</v>
      </c>
      <c r="BA54" s="1271"/>
      <c r="BB54" s="1270">
        <f>IF($E$48&gt;0,BB51/$E$48,"-")</f>
        <v>1.0000000000000071</v>
      </c>
      <c r="BC54" s="1271"/>
      <c r="BD54" s="1270">
        <f>IF($E$48&gt;0,BD51/$E$48,"-")</f>
        <v>1.0000000000000071</v>
      </c>
      <c r="BE54" s="1271"/>
      <c r="BF54" s="1270">
        <f>IF($E$48&gt;0,BF51/$E$48,"-")</f>
        <v>1.0000000000000071</v>
      </c>
      <c r="BG54" s="1271"/>
      <c r="BH54" s="1270">
        <f>IF($E$48&gt;0,BH51/$E$48,"-")</f>
        <v>1.0000000000000071</v>
      </c>
      <c r="BI54" s="1271"/>
      <c r="BJ54" s="1270">
        <f>IF($E$48&gt;0,BJ51/$E$48,"-")</f>
        <v>1.0000000000000071</v>
      </c>
      <c r="BK54" s="1271"/>
      <c r="BL54" s="1270">
        <f>IF($E$48&gt;0,BL51/$E$48,"-")</f>
        <v>1.0000000000000071</v>
      </c>
      <c r="BM54" s="1271"/>
      <c r="BN54" s="1270">
        <f>IF($E$48&gt;0,BN51/$E$48,"-")</f>
        <v>1.0000000000000071</v>
      </c>
      <c r="BO54" s="1271"/>
      <c r="BP54" s="1270">
        <f>IF($E$48&gt;0,BP51/$E$48,"-")</f>
        <v>1.0000000000000071</v>
      </c>
      <c r="BQ54" s="1271"/>
      <c r="BR54" s="1270">
        <f>IF($E$48&gt;0,BR51/$E$48,"-")</f>
        <v>1.0000000000000071</v>
      </c>
      <c r="BS54" s="1271"/>
      <c r="BT54" s="1270">
        <f>IF($E$48&gt;0,BT51/$E$48,"-")</f>
        <v>1.0000000000000071</v>
      </c>
      <c r="BU54" s="1271"/>
      <c r="BV54" s="1270">
        <f>IF($E$48&gt;0,BV51/$E$48,"-")</f>
        <v>1.0000000000000071</v>
      </c>
      <c r="BW54" s="1271"/>
      <c r="BX54" s="1270">
        <f>IF($E$48&gt;0,BX51/$E$48,"-")</f>
        <v>1.0000000000000071</v>
      </c>
      <c r="BY54" s="1271"/>
      <c r="BZ54" s="1270">
        <f>IF($E$48&gt;0,BZ51/$E$48,"-")</f>
        <v>1.0000000000000071</v>
      </c>
      <c r="CA54" s="1271"/>
      <c r="CB54" s="1270">
        <f>IF($E$48&gt;0,CB51/$E$48,"-")</f>
        <v>1.0000000000000071</v>
      </c>
      <c r="CC54" s="1271"/>
      <c r="CD54" s="1270">
        <f>IF($E$48&gt;0,CD51/$E$48,"-")</f>
        <v>1.0000000000000071</v>
      </c>
      <c r="CE54" s="1271"/>
      <c r="CF54" s="1270">
        <f>IF($E$48&gt;0,CF51/$E$48,"-")</f>
        <v>1.0000000000000071</v>
      </c>
      <c r="CG54" s="1271"/>
      <c r="CH54" s="1270">
        <f>IF($E$48&gt;0,CH51/$E$48,"-")</f>
        <v>1.0000000000000071</v>
      </c>
      <c r="CI54" s="1271"/>
      <c r="CJ54" s="1270">
        <f>IF($E$48&gt;0,CJ51/$E$48,"-")</f>
        <v>1.0000000000000071</v>
      </c>
      <c r="CK54" s="1271"/>
      <c r="CL54" s="1270">
        <f>IF($E$48&gt;0,CL51/$E$48,"-")</f>
        <v>1.0000000000000071</v>
      </c>
      <c r="CM54" s="1271"/>
      <c r="CN54" s="1270">
        <f>IF($E$48&gt;0,CN51/$E$48,"-")</f>
        <v>1.0000000000000071</v>
      </c>
      <c r="CO54" s="1271"/>
      <c r="CP54" s="1270">
        <f>IF($E$48&gt;0,CP51/$E$48,"-")</f>
        <v>1.0000000000000071</v>
      </c>
      <c r="CQ54" s="1271"/>
      <c r="CR54" s="1270">
        <f>IF($E$48&gt;0,CR51/$E$48,"-")</f>
        <v>1.0000000000000071</v>
      </c>
      <c r="CS54" s="1271"/>
      <c r="CT54" s="1270">
        <f>IF($E$48&gt;0,CT51/$E$48,"-")</f>
        <v>1.0000000000000071</v>
      </c>
      <c r="CU54" s="1271"/>
      <c r="CV54" s="1270">
        <f>IF($E$48&gt;0,CV51/$E$48,"-")</f>
        <v>1.0000000000000071</v>
      </c>
      <c r="CW54" s="1271"/>
      <c r="CX54" s="1270">
        <f>IF($E$48&gt;0,CX51/$E$48,"-")</f>
        <v>1.0000000000000071</v>
      </c>
      <c r="CY54" s="1271"/>
      <c r="CZ54" s="1270">
        <f>IF($E$48&gt;0,CZ51/$E$48,"-")</f>
        <v>1.0000000000000071</v>
      </c>
      <c r="DA54" s="1271"/>
      <c r="DB54" s="1270">
        <f>IF($E$48&gt;0,DB51/$E$48,"-")</f>
        <v>1.0000000000000071</v>
      </c>
      <c r="DC54" s="1271"/>
      <c r="DD54" s="1270">
        <f>IF($E$48&gt;0,DD51/$E$48,"-")</f>
        <v>1.0000000000000071</v>
      </c>
      <c r="DE54" s="1271"/>
      <c r="DF54" s="1270">
        <f>IF($E$48&gt;0,DF51/$E$48,"-")</f>
        <v>1.0000000000000071</v>
      </c>
      <c r="DG54" s="1271"/>
      <c r="DH54" s="1270">
        <f>IF($E$48&gt;0,DH51/$E$48,"-")</f>
        <v>1.0000000000000071</v>
      </c>
      <c r="DI54" s="1271"/>
      <c r="DJ54" s="1325">
        <f>IF($E$48&gt;0,DJ51/$E$48,"-")</f>
        <v>1.0000000000000071</v>
      </c>
      <c r="DK54" s="1326"/>
      <c r="DL54" s="1270">
        <f>IF($E$48&gt;0,DL51/$E$48,"-")</f>
        <v>1.0000000000000071</v>
      </c>
      <c r="DM54" s="1271"/>
      <c r="DN54" s="1270">
        <f>IF($E$48&gt;0,DN51/$E$48,"-")</f>
        <v>1.0000000000000071</v>
      </c>
      <c r="DO54" s="1271"/>
      <c r="DP54" s="1270">
        <f>IF($E$48&gt;0,DP51/$E$48,"-")</f>
        <v>1.0000000000000071</v>
      </c>
      <c r="DQ54" s="1271"/>
      <c r="DR54" s="1270">
        <f>IF($E$48&gt;0,DR51/$E$48,"-")</f>
        <v>1.0000000000000071</v>
      </c>
      <c r="DS54" s="1271"/>
      <c r="DT54" s="1270">
        <f>IF($E$48&gt;0,DT51/$E$48,"-")</f>
        <v>1.0000000000000071</v>
      </c>
      <c r="DU54" s="1271"/>
      <c r="DV54" s="1270">
        <f>IF($E$48&gt;0,DV51/$E$48,"-")</f>
        <v>1.0000000000000071</v>
      </c>
      <c r="DW54" s="1271"/>
      <c r="DX54" s="1270">
        <f>IF($E$48&gt;0,DX51/$E$48,"-")</f>
        <v>1.0000000000000071</v>
      </c>
      <c r="DY54" s="1271"/>
      <c r="DZ54" s="1270">
        <f>IF($E$48&gt;0,DZ51/$E$48,"-")</f>
        <v>1.0000000000000071</v>
      </c>
      <c r="EA54" s="1271"/>
      <c r="EB54" s="1270">
        <f>IF($E$48&gt;0,EB51/$E$48,"-")</f>
        <v>1.0000000000000071</v>
      </c>
      <c r="EC54" s="1271"/>
      <c r="ED54" s="1270">
        <f>IF($E$48&gt;0,ED51/$E$48,"-")</f>
        <v>1.0000000000000071</v>
      </c>
      <c r="EE54" s="1271"/>
      <c r="EF54" s="1270">
        <f>IF($E$48&gt;0,EF51/$E$48,"-")</f>
        <v>1.0000000000000071</v>
      </c>
      <c r="EG54" s="1271"/>
      <c r="EH54" s="1270">
        <f>IF($E$48&gt;0,EH51/$E$48,"-")</f>
        <v>1.0000000000000071</v>
      </c>
      <c r="EI54" s="1271"/>
      <c r="EJ54" s="1270">
        <f>IF($E$48&gt;0,EJ51/$E$48,"-")</f>
        <v>1.0000000000000071</v>
      </c>
      <c r="EK54" s="1271"/>
      <c r="EL54" s="1270">
        <f>IF($E$48&gt;0,EL51/$E$48,"-")</f>
        <v>1.0000000000000071</v>
      </c>
      <c r="EM54" s="1271"/>
      <c r="EN54" s="1270">
        <f>IF($E$48&gt;0,EN51/$E$48,"-")</f>
        <v>1.0000000000000071</v>
      </c>
      <c r="EO54" s="1271"/>
      <c r="EP54" s="1270">
        <f>IF($E$48&gt;0,EP51/$E$48,"-")</f>
        <v>1.0000000000000071</v>
      </c>
      <c r="EQ54" s="1271"/>
      <c r="ER54" s="1270">
        <f>IF($E$48&gt;0,ER51/$E$48,"-")</f>
        <v>1.0000000000000071</v>
      </c>
      <c r="ES54" s="1271"/>
      <c r="ET54" s="1270">
        <f>IF($E$48&gt;0,ET51/$E$48,"-")</f>
        <v>1.0000000000000071</v>
      </c>
      <c r="EU54" s="1271"/>
      <c r="EV54" s="1270">
        <f>IF($E$48&gt;0,EV51/$E$48,"-")</f>
        <v>1.0000000000000071</v>
      </c>
      <c r="EW54" s="1271"/>
      <c r="EX54" s="1270">
        <f>IF($E$48&gt;0,EX51/$E$48,"-")</f>
        <v>1.0000000000000071</v>
      </c>
      <c r="EY54" s="1271"/>
      <c r="EZ54" s="1270">
        <f>IF($E$48&gt;0,EZ51/$E$48,"-")</f>
        <v>1.0000000000000071</v>
      </c>
      <c r="FA54" s="1271"/>
      <c r="FB54" s="1270">
        <f>IF($E$48&gt;0,FB51/$E$48,"-")</f>
        <v>1.0000000000000071</v>
      </c>
      <c r="FC54" s="1271"/>
      <c r="FD54" s="1270">
        <f>IF($E$48&gt;0,FD51/$E$48,"-")</f>
        <v>1.0000000000000071</v>
      </c>
      <c r="FE54" s="1271"/>
      <c r="FF54" s="1270">
        <f>IF($E$48&gt;0,FF51/$E$48,"-")</f>
        <v>1.0000000000000071</v>
      </c>
      <c r="FG54" s="1271"/>
      <c r="FH54" s="1270">
        <f>IF($E$48&gt;0,FH51/$E$48,"-")</f>
        <v>1.0000000000000071</v>
      </c>
      <c r="FI54" s="1271"/>
      <c r="FJ54" s="1270">
        <f>IF($E$48&gt;0,FJ51/$E$48,"-")</f>
        <v>1.0000000000000071</v>
      </c>
      <c r="FK54" s="1271"/>
      <c r="FL54" s="1270">
        <f>IF($E$48&gt;0,FL51/$E$48,"-")</f>
        <v>1.0000000000000071</v>
      </c>
      <c r="FM54" s="1271"/>
      <c r="FN54" s="1270">
        <f>IF($E$48&gt;0,FN51/$E$48,"-")</f>
        <v>1.0000000000000071</v>
      </c>
      <c r="FO54" s="1271"/>
      <c r="FP54" s="1270">
        <f>IF($E$48&gt;0,FP51/$E$48,"-")</f>
        <v>1.0000000000000071</v>
      </c>
      <c r="FQ54" s="1271"/>
      <c r="FR54" s="1270">
        <f>IF($E$48&gt;0,FR51/$E$48,"-")</f>
        <v>1.0000000000000071</v>
      </c>
      <c r="FS54" s="1271"/>
      <c r="FT54" s="1270">
        <f>IF($E$48&gt;0,FT51/$E$48,"-")</f>
        <v>1.0000000000000071</v>
      </c>
      <c r="FU54" s="1271"/>
      <c r="FV54" s="1270">
        <f>IF($E$48&gt;0,FV51/$E$48,"-")</f>
        <v>1.0000000000000071</v>
      </c>
      <c r="FW54" s="1271"/>
      <c r="FX54" s="1270">
        <f>IF($E$48&gt;0,FX51/$E$48,"-")</f>
        <v>1.0000000000000071</v>
      </c>
      <c r="FY54" s="1271"/>
      <c r="FZ54" s="1270">
        <f>IF($E$48&gt;0,FZ51/$E$48,"-")</f>
        <v>1.0000000000000071</v>
      </c>
      <c r="GA54" s="1271"/>
      <c r="GB54" s="1270">
        <f>IF($E$48&gt;0,GB51/$E$48,"-")</f>
        <v>1.0000000000000071</v>
      </c>
      <c r="GC54" s="1271"/>
      <c r="GD54" s="1270">
        <f>IF($E$48&gt;0,GD51/$E$48,"-")</f>
        <v>1.0000000000000071</v>
      </c>
      <c r="GE54" s="1271"/>
      <c r="GF54" s="1270">
        <f>IF($E$48&gt;0,GF51/$E$48,"-")</f>
        <v>1.0000000000000071</v>
      </c>
      <c r="GG54" s="1271"/>
      <c r="GH54" s="1270">
        <f>IF($E$48&gt;0,GH51/$E$48,"-")</f>
        <v>1.0000000000000071</v>
      </c>
      <c r="GI54" s="1271"/>
      <c r="GJ54" s="1270">
        <f>IF($E$48&gt;0,GJ51/$E$48,"-")</f>
        <v>1.0000000000000071</v>
      </c>
      <c r="GK54" s="1271"/>
      <c r="GL54" s="1270">
        <f>IF($E$48&gt;0,GL51/$E$48,"-")</f>
        <v>1.0000000000000071</v>
      </c>
      <c r="GM54" s="1271"/>
      <c r="GN54" s="1270">
        <f>IF($E$48&gt;0,GN51/$E$48,"-")</f>
        <v>1.0000000000000071</v>
      </c>
      <c r="GO54" s="1271"/>
      <c r="GP54" s="1270">
        <f>IF($E$48&gt;0,GP51/$E$48,"-")</f>
        <v>1.0000000000000071</v>
      </c>
      <c r="GQ54" s="1271"/>
      <c r="GR54" s="1270">
        <f>IF($E$48&gt;0,GR51/$E$48,"-")</f>
        <v>1.0000000000000071</v>
      </c>
      <c r="GS54" s="1271"/>
      <c r="GT54" s="1270">
        <f>IF($E$48&gt;0,GT51/$E$48,"-")</f>
        <v>1.0000000000000071</v>
      </c>
      <c r="GU54" s="1271"/>
      <c r="GV54" s="1270">
        <f>IF($E$48&gt;0,GV51/$E$48,"-")</f>
        <v>1.0000000000000071</v>
      </c>
      <c r="GW54" s="1271"/>
      <c r="GX54" s="1270">
        <f>IF($E$48&gt;0,GX51/$E$48,"-")</f>
        <v>1.0000000000000071</v>
      </c>
      <c r="GY54" s="1271"/>
      <c r="GZ54" s="1270">
        <f>IF($E$48&gt;0,GZ51/$E$48,"-")</f>
        <v>1.0000000000000071</v>
      </c>
      <c r="HA54" s="1271"/>
      <c r="HB54" s="1270">
        <f>IF($E$48&gt;0,HB51/$E$48,"-")</f>
        <v>1.0000000000000071</v>
      </c>
      <c r="HC54" s="1271"/>
      <c r="HD54" s="1270">
        <f>IF($E$48&gt;0,HD51/$E$48,"-")</f>
        <v>1.0000000000000071</v>
      </c>
      <c r="HE54" s="1271"/>
      <c r="HF54" s="1270">
        <f>IF($E$48&gt;0,HF51/$E$48,"-")</f>
        <v>1.0000000000000071</v>
      </c>
      <c r="HG54" s="1271"/>
      <c r="HH54" s="1270">
        <f>IF($E$48&gt;0,HH51/$E$48,"-")</f>
        <v>1.0000000000000071</v>
      </c>
      <c r="HI54" s="1271"/>
      <c r="HJ54" s="1270">
        <f>IF($E$48&gt;0,HJ51/$E$48,"-")</f>
        <v>1.0000000000000071</v>
      </c>
      <c r="HK54" s="1271"/>
    </row>
    <row r="55" spans="1:219">
      <c r="A55" s="1299"/>
      <c r="B55" s="1300"/>
      <c r="C55" s="1299"/>
      <c r="D55" s="1301"/>
      <c r="E55" s="1301"/>
      <c r="F55" s="1302"/>
      <c r="G55" s="1301"/>
      <c r="H55" s="726"/>
      <c r="I55" s="1303"/>
      <c r="J55" s="1304"/>
      <c r="K55" s="794" t="s">
        <v>298</v>
      </c>
      <c r="L55" s="1294">
        <f>IF($E$48&gt;0,L53/$E$48,"-")</f>
        <v>0</v>
      </c>
      <c r="M55" s="1295"/>
      <c r="N55" s="1294">
        <f>IF($E$48&gt;0,N53/$E$48,"-")</f>
        <v>0</v>
      </c>
      <c r="O55" s="1295"/>
      <c r="P55" s="1294">
        <f>IF($E$48&gt;0,P53/$E$48,"-")</f>
        <v>0</v>
      </c>
      <c r="Q55" s="1295"/>
      <c r="R55" s="1294">
        <f>IF($E$48&gt;0,R53/$E$48,"-")</f>
        <v>0</v>
      </c>
      <c r="S55" s="1295"/>
      <c r="T55" s="1294">
        <f>IF($E$48&gt;0,T53/$E$48,"-")</f>
        <v>0</v>
      </c>
      <c r="U55" s="1295"/>
      <c r="V55" s="1294">
        <f>IF($E$48&gt;0,V53/$E$48,"-")</f>
        <v>0</v>
      </c>
      <c r="W55" s="1295"/>
      <c r="X55" s="1294">
        <f>IF($E$48&gt;0,X53/$E$48,"-")</f>
        <v>0</v>
      </c>
      <c r="Y55" s="1295"/>
      <c r="Z55" s="1294">
        <f>IF($E$48&gt;0,Z53/$E$48,"-")</f>
        <v>0</v>
      </c>
      <c r="AA55" s="1295"/>
      <c r="AB55" s="1294">
        <f>IF($E$48&gt;0,AB53/$E$48,"-")</f>
        <v>0</v>
      </c>
      <c r="AC55" s="1295"/>
      <c r="AD55" s="1294">
        <f>IF($E$48&gt;0,AD53/$E$48,"-")</f>
        <v>0</v>
      </c>
      <c r="AE55" s="1295"/>
      <c r="AF55" s="1294">
        <f>IF($E$48&gt;0,AF53/$E$48,"-")</f>
        <v>0</v>
      </c>
      <c r="AG55" s="1295"/>
      <c r="AH55" s="1294">
        <f>IF($E$48&gt;0,AH53/$E$48,"-")</f>
        <v>0</v>
      </c>
      <c r="AI55" s="1295"/>
      <c r="AJ55" s="1294">
        <f>IF($E$48&gt;0,AJ53/$E$48,"-")</f>
        <v>0</v>
      </c>
      <c r="AK55" s="1295"/>
      <c r="AL55" s="1294">
        <f>IF($E$48&gt;0,AL53/$E$48,"-")</f>
        <v>0</v>
      </c>
      <c r="AM55" s="1295"/>
      <c r="AN55" s="1294">
        <f>IF($E$48&gt;0,AN53/$E$48,"-")</f>
        <v>0</v>
      </c>
      <c r="AO55" s="1295"/>
      <c r="AP55" s="1294">
        <f>IF($E$48&gt;0,AP53/$E$48,"-")</f>
        <v>0</v>
      </c>
      <c r="AQ55" s="1295"/>
      <c r="AR55" s="1294">
        <f>IF($E$48&gt;0,AR53/$E$48,"-")</f>
        <v>0</v>
      </c>
      <c r="AS55" s="1295"/>
      <c r="AT55" s="1294">
        <f>IF($E$48&gt;0,AT53/$E$48,"-")</f>
        <v>0</v>
      </c>
      <c r="AU55" s="1295"/>
      <c r="AV55" s="1294">
        <f>IF($E$48&gt;0,AV53/$E$48,"-")</f>
        <v>0</v>
      </c>
      <c r="AW55" s="1295"/>
      <c r="AX55" s="1294">
        <f>IF($E$48&gt;0,AX53/$E$48,"-")</f>
        <v>0</v>
      </c>
      <c r="AY55" s="1295"/>
      <c r="AZ55" s="1294">
        <f>IF($E$48&gt;0,AZ53/$E$48,"-")</f>
        <v>0</v>
      </c>
      <c r="BA55" s="1295"/>
      <c r="BB55" s="1294">
        <f>IF($E$48&gt;0,BB53/$E$48,"-")</f>
        <v>0</v>
      </c>
      <c r="BC55" s="1295"/>
      <c r="BD55" s="1294">
        <f>IF($E$48&gt;0,BD53/$E$48,"-")</f>
        <v>0</v>
      </c>
      <c r="BE55" s="1295"/>
      <c r="BF55" s="1294">
        <f>IF($E$48&gt;0,BF53/$E$48,"-")</f>
        <v>0</v>
      </c>
      <c r="BG55" s="1295"/>
      <c r="BH55" s="1294">
        <f>IF($E$48&gt;0,BH53/$E$48,"-")</f>
        <v>0</v>
      </c>
      <c r="BI55" s="1295"/>
      <c r="BJ55" s="1294">
        <f>IF($E$48&gt;0,BJ53/$E$48,"-")</f>
        <v>0</v>
      </c>
      <c r="BK55" s="1295"/>
      <c r="BL55" s="1294">
        <f>IF($E$48&gt;0,BL53/$E$48,"-")</f>
        <v>0</v>
      </c>
      <c r="BM55" s="1295"/>
      <c r="BN55" s="1294">
        <f>IF($E$48&gt;0,BN53/$E$48,"-")</f>
        <v>0</v>
      </c>
      <c r="BO55" s="1295"/>
      <c r="BP55" s="1294">
        <f>IF($E$48&gt;0,BP53/$E$48,"-")</f>
        <v>0</v>
      </c>
      <c r="BQ55" s="1295"/>
      <c r="BR55" s="1253">
        <f>IF($E$48&gt;0,BR53/$E$48,"-")</f>
        <v>0</v>
      </c>
      <c r="BS55" s="1253"/>
      <c r="BT55" s="1253">
        <f>IF($E$48&gt;0,BT53/$E$48,"-")</f>
        <v>0</v>
      </c>
      <c r="BU55" s="1253"/>
      <c r="BV55" s="1253">
        <f>IF($E$48&gt;0,BV53/$E$48,"-")</f>
        <v>0</v>
      </c>
      <c r="BW55" s="1253"/>
      <c r="BX55" s="1253">
        <f>IF($E$48&gt;0,BX53/$E$48,"-")</f>
        <v>0</v>
      </c>
      <c r="BY55" s="1253"/>
      <c r="BZ55" s="1253">
        <f>IF($E$48&gt;0,BZ53/$E$48,"-")</f>
        <v>0</v>
      </c>
      <c r="CA55" s="1253"/>
      <c r="CB55" s="1253">
        <f>IF($E$48&gt;0,CB53/$E$48,"-")</f>
        <v>0</v>
      </c>
      <c r="CC55" s="1253"/>
      <c r="CD55" s="1253">
        <f>IF($E$48&gt;0,CD53/$E$48,"-")</f>
        <v>0</v>
      </c>
      <c r="CE55" s="1253"/>
      <c r="CF55" s="1253">
        <f>IF($E$48&gt;0,CF53/$E$48,"-")</f>
        <v>0</v>
      </c>
      <c r="CG55" s="1253"/>
      <c r="CH55" s="1253">
        <f>IF($E$48&gt;0,CH53/$E$48,"-")</f>
        <v>0</v>
      </c>
      <c r="CI55" s="1253"/>
      <c r="CJ55" s="1253">
        <f>IF($E$48&gt;0,CJ53/$E$48,"-")</f>
        <v>0</v>
      </c>
      <c r="CK55" s="1253"/>
      <c r="CL55" s="1253">
        <f>IF($E$48&gt;0,CL53/$E$48,"-")</f>
        <v>0</v>
      </c>
      <c r="CM55" s="1253"/>
      <c r="CN55" s="1253">
        <f>IF($E$48&gt;0,CN53/$E$48,"-")</f>
        <v>0</v>
      </c>
      <c r="CO55" s="1253"/>
      <c r="CP55" s="1253">
        <f>IF($E$48&gt;0,CP53/$E$48,"-")</f>
        <v>0</v>
      </c>
      <c r="CQ55" s="1253"/>
      <c r="CR55" s="1253">
        <f>IF($E$48&gt;0,CR53/$E$48,"-")</f>
        <v>0</v>
      </c>
      <c r="CS55" s="1253"/>
      <c r="CT55" s="1253">
        <f>IF($E$48&gt;0,CT53/$E$48,"-")</f>
        <v>0</v>
      </c>
      <c r="CU55" s="1253"/>
      <c r="CV55" s="1253">
        <f>IF($E$48&gt;0,CV53/$E$48,"-")</f>
        <v>0</v>
      </c>
      <c r="CW55" s="1253"/>
      <c r="CX55" s="1253">
        <f>IF($E$48&gt;0,CX53/$E$48,"-")</f>
        <v>0</v>
      </c>
      <c r="CY55" s="1253"/>
      <c r="CZ55" s="1253">
        <f>IF($E$48&gt;0,CZ53/$E$48,"-")</f>
        <v>0</v>
      </c>
      <c r="DA55" s="1253"/>
      <c r="DB55" s="1253">
        <f>IF($E$48&gt;0,DB53/$E$48,"-")</f>
        <v>0</v>
      </c>
      <c r="DC55" s="1253"/>
      <c r="DD55" s="1253">
        <f>IF($E$48&gt;0,DD53/$E$48,"-")</f>
        <v>0</v>
      </c>
      <c r="DE55" s="1253"/>
      <c r="DF55" s="1253">
        <f>IF($E$48&gt;0,DF53/$E$48,"-")</f>
        <v>0</v>
      </c>
      <c r="DG55" s="1253"/>
      <c r="DH55" s="1253">
        <f>IF($E$48&gt;0,DH53/$E$48,"-")</f>
        <v>0</v>
      </c>
      <c r="DI55" s="1253"/>
      <c r="DJ55" s="1254">
        <f>IF($E$48&gt;0,DJ53/$E$48,"-")</f>
        <v>0</v>
      </c>
      <c r="DK55" s="1254"/>
      <c r="DL55" s="1253">
        <f>IF($E$48&gt;0,DL53/$E$48,"-")</f>
        <v>32040</v>
      </c>
      <c r="DM55" s="1253"/>
      <c r="DN55" s="1253">
        <f>IF($E$48&gt;0,DN53/$E$48,"-")</f>
        <v>64080</v>
      </c>
      <c r="DO55" s="1253"/>
      <c r="DP55" s="1253">
        <f>IF($E$48&gt;0,DP53/$E$48,"-")</f>
        <v>96120</v>
      </c>
      <c r="DQ55" s="1253"/>
      <c r="DR55" s="1253">
        <f>IF($E$48&gt;0,DR53/$E$48,"-")</f>
        <v>128160</v>
      </c>
      <c r="DS55" s="1253"/>
      <c r="DT55" s="1253">
        <f>IF($E$48&gt;0,DT53/$E$48,"-")</f>
        <v>160200</v>
      </c>
      <c r="DU55" s="1253"/>
      <c r="DV55" s="1253">
        <f>IF($E$48&gt;0,DV53/$E$48,"-")</f>
        <v>192240</v>
      </c>
      <c r="DW55" s="1253"/>
      <c r="DX55" s="1253">
        <f>IF($E$48&gt;0,DX53/$E$48,"-")</f>
        <v>224280</v>
      </c>
      <c r="DY55" s="1253"/>
      <c r="DZ55" s="1253">
        <f>IF($E$48&gt;0,DZ53/$E$48,"-")</f>
        <v>256320</v>
      </c>
      <c r="EA55" s="1253"/>
      <c r="EB55" s="1253">
        <f>IF($E$48&gt;0,EB53/$E$48,"-")</f>
        <v>288360</v>
      </c>
      <c r="EC55" s="1253"/>
      <c r="ED55" s="1253">
        <f>IF($E$48&gt;0,ED53/$E$48,"-")</f>
        <v>320400</v>
      </c>
      <c r="EE55" s="1253"/>
      <c r="EF55" s="1253">
        <f>IF($E$48&gt;0,EF53/$E$48,"-")</f>
        <v>352440</v>
      </c>
      <c r="EG55" s="1253"/>
      <c r="EH55" s="1253">
        <f>IF($E$48&gt;0,EH53/$E$48,"-")</f>
        <v>384480</v>
      </c>
      <c r="EI55" s="1253"/>
      <c r="EJ55" s="1253">
        <f>IF($E$48&gt;0,EJ53/$E$48,"-")</f>
        <v>416520</v>
      </c>
      <c r="EK55" s="1253"/>
      <c r="EL55" s="1253">
        <f>IF($E$48&gt;0,EL53/$E$48,"-")</f>
        <v>448560</v>
      </c>
      <c r="EM55" s="1253"/>
      <c r="EN55" s="1253">
        <f>IF($E$48&gt;0,EN53/$E$48,"-")</f>
        <v>480600</v>
      </c>
      <c r="EO55" s="1253"/>
      <c r="EP55" s="1253">
        <f>IF($E$48&gt;0,EP53/$E$48,"-")</f>
        <v>512640</v>
      </c>
      <c r="EQ55" s="1253"/>
      <c r="ER55" s="1253">
        <f>IF($E$48&gt;0,ER53/$E$48,"-")</f>
        <v>544680</v>
      </c>
      <c r="ES55" s="1253"/>
      <c r="ET55" s="1253">
        <f>IF($E$48&gt;0,ET53/$E$48,"-")</f>
        <v>576720</v>
      </c>
      <c r="EU55" s="1253"/>
      <c r="EV55" s="1253">
        <f>IF($E$48&gt;0,EV53/$E$48,"-")</f>
        <v>608760</v>
      </c>
      <c r="EW55" s="1253"/>
      <c r="EX55" s="1253">
        <f>IF($E$48&gt;0,EX53/$E$48,"-")</f>
        <v>640800</v>
      </c>
      <c r="EY55" s="1253"/>
      <c r="EZ55" s="1253">
        <f>IF($E$48&gt;0,EZ53/$E$48,"-")</f>
        <v>672840</v>
      </c>
      <c r="FA55" s="1253"/>
      <c r="FB55" s="1253">
        <f>IF($E$48&gt;0,FB53/$E$48,"-")</f>
        <v>704880</v>
      </c>
      <c r="FC55" s="1253"/>
      <c r="FD55" s="1253">
        <f>IF($E$48&gt;0,FD53/$E$48,"-")</f>
        <v>736920</v>
      </c>
      <c r="FE55" s="1253"/>
      <c r="FF55" s="1253">
        <f>IF($E$48&gt;0,FF53/$E$48,"-")</f>
        <v>768960</v>
      </c>
      <c r="FG55" s="1253"/>
      <c r="FH55" s="1253">
        <f>IF($E$48&gt;0,FH53/$E$48,"-")</f>
        <v>801000</v>
      </c>
      <c r="FI55" s="1253"/>
      <c r="FJ55" s="1253">
        <f>IF($E$48&gt;0,FJ53/$E$48,"-")</f>
        <v>833040</v>
      </c>
      <c r="FK55" s="1253"/>
      <c r="FL55" s="1253">
        <f>IF($E$48&gt;0,FL53/$E$48,"-")</f>
        <v>865080</v>
      </c>
      <c r="FM55" s="1253"/>
      <c r="FN55" s="1253">
        <f>IF($E$48&gt;0,FN53/$E$48,"-")</f>
        <v>897120</v>
      </c>
      <c r="FO55" s="1253"/>
      <c r="FP55" s="1253">
        <f>IF($E$48&gt;0,FP53/$E$48,"-")</f>
        <v>929160</v>
      </c>
      <c r="FQ55" s="1253"/>
      <c r="FR55" s="1253">
        <f>IF($E$48&gt;0,FR53/$E$48,"-")</f>
        <v>961200</v>
      </c>
      <c r="FS55" s="1253"/>
      <c r="FT55" s="1253">
        <f>IF($E$48&gt;0,FT53/$E$48,"-")</f>
        <v>993240</v>
      </c>
      <c r="FU55" s="1253"/>
      <c r="FV55" s="1253">
        <f>IF($E$48&gt;0,FV53/$E$48,"-")</f>
        <v>1025280</v>
      </c>
      <c r="FW55" s="1253"/>
      <c r="FX55" s="1253">
        <f>IF($E$48&gt;0,FX53/$E$48,"-")</f>
        <v>1057320</v>
      </c>
      <c r="FY55" s="1253"/>
      <c r="FZ55" s="1253">
        <f>IF($E$48&gt;0,FZ53/$E$48,"-")</f>
        <v>1089360</v>
      </c>
      <c r="GA55" s="1253"/>
      <c r="GB55" s="1253">
        <f>IF($E$48&gt;0,GB53/$E$48,"-")</f>
        <v>1089360</v>
      </c>
      <c r="GC55" s="1253"/>
      <c r="GD55" s="1253">
        <f>IF($E$48&gt;0,GD53/$E$48,"-")</f>
        <v>1089360</v>
      </c>
      <c r="GE55" s="1253"/>
      <c r="GF55" s="1253">
        <f>IF($E$48&gt;0,GF53/$E$48,"-")</f>
        <v>1089360</v>
      </c>
      <c r="GG55" s="1253"/>
      <c r="GH55" s="1253">
        <f>IF($E$48&gt;0,GH53/$E$48,"-")</f>
        <v>1089360</v>
      </c>
      <c r="GI55" s="1253"/>
      <c r="GJ55" s="1253">
        <f>IF($E$48&gt;0,GJ53/$E$48,"-")</f>
        <v>1089360</v>
      </c>
      <c r="GK55" s="1253"/>
      <c r="GL55" s="1253">
        <f>IF($E$48&gt;0,GL53/$E$48,"-")</f>
        <v>1089360</v>
      </c>
      <c r="GM55" s="1253"/>
      <c r="GN55" s="1253">
        <f>IF($E$48&gt;0,GN53/$E$48,"-")</f>
        <v>1089360</v>
      </c>
      <c r="GO55" s="1253"/>
      <c r="GP55" s="1253">
        <f>IF($E$48&gt;0,GP53/$E$48,"-")</f>
        <v>1089360</v>
      </c>
      <c r="GQ55" s="1253"/>
      <c r="GR55" s="1253">
        <f>IF($E$48&gt;0,GR53/$E$48,"-")</f>
        <v>1089360</v>
      </c>
      <c r="GS55" s="1253"/>
      <c r="GT55" s="1253">
        <f>IF($E$48&gt;0,GT53/$E$48,"-")</f>
        <v>1089360</v>
      </c>
      <c r="GU55" s="1253"/>
      <c r="GV55" s="1253">
        <f>IF($E$48&gt;0,GV53/$E$48,"-")</f>
        <v>1089360</v>
      </c>
      <c r="GW55" s="1253"/>
      <c r="GX55" s="1253">
        <f>IF($E$48&gt;0,GX53/$E$48,"-")</f>
        <v>1089360</v>
      </c>
      <c r="GY55" s="1253"/>
      <c r="GZ55" s="1253">
        <f>IF($E$48&gt;0,GZ53/$E$48,"-")</f>
        <v>1089360</v>
      </c>
      <c r="HA55" s="1253"/>
      <c r="HB55" s="1253">
        <f>IF($E$48&gt;0,HB53/$E$48,"-")</f>
        <v>1089360</v>
      </c>
      <c r="HC55" s="1253"/>
      <c r="HD55" s="1253">
        <f>IF($E$48&gt;0,HD53/$E$48,"-")</f>
        <v>1089360</v>
      </c>
      <c r="HE55" s="1253"/>
      <c r="HF55" s="1253">
        <f>IF($E$48&gt;0,HF53/$E$48,"-")</f>
        <v>1089360</v>
      </c>
      <c r="HG55" s="1253"/>
      <c r="HH55" s="1253">
        <f>IF($E$48&gt;0,HH53/$E$48,"-")</f>
        <v>1089360</v>
      </c>
      <c r="HI55" s="1253"/>
      <c r="HJ55" s="1253">
        <f>IF($E$48&gt;0,HJ53/$E$48,"-")</f>
        <v>1089360</v>
      </c>
      <c r="HK55" s="1253"/>
    </row>
    <row r="56" spans="1:219" s="5" customFormat="1" ht="14.4">
      <c r="A56" s="163"/>
      <c r="B56" s="164"/>
      <c r="C56" s="164"/>
      <c r="D56" s="165"/>
      <c r="E56" s="165"/>
      <c r="F56" s="164"/>
      <c r="G56" s="164"/>
      <c r="H56" s="164"/>
      <c r="I56" s="164"/>
      <c r="J56" s="164"/>
      <c r="K56" s="164"/>
      <c r="L56" s="1383"/>
      <c r="M56" s="1383"/>
      <c r="N56" s="1383"/>
      <c r="O56" s="1383"/>
      <c r="P56" s="1383"/>
      <c r="Q56" s="1383"/>
      <c r="R56" s="1383"/>
      <c r="S56" s="1385"/>
      <c r="T56" s="1381"/>
      <c r="U56" s="1383"/>
      <c r="V56" s="1383"/>
      <c r="W56" s="1383"/>
      <c r="X56" s="1383"/>
      <c r="Y56" s="1383"/>
      <c r="Z56" s="1383"/>
      <c r="AA56" s="1385"/>
      <c r="AB56" s="1381"/>
      <c r="AC56" s="1383"/>
      <c r="AD56" s="1383"/>
      <c r="AE56" s="1383"/>
      <c r="AF56" s="1383"/>
      <c r="AG56" s="1383"/>
      <c r="AH56" s="1383"/>
      <c r="AI56" s="1385"/>
      <c r="AJ56" s="1381"/>
      <c r="AK56" s="1383"/>
      <c r="AL56" s="1383"/>
      <c r="AM56" s="1383"/>
      <c r="AN56" s="1383"/>
      <c r="AO56" s="1383"/>
      <c r="AP56" s="1383"/>
      <c r="AQ56" s="1385"/>
      <c r="AR56" s="1381"/>
      <c r="AS56" s="1383"/>
      <c r="AT56" s="166"/>
      <c r="AU56" s="166"/>
      <c r="AV56" s="166"/>
      <c r="AW56" s="166"/>
      <c r="AX56" s="166"/>
      <c r="AY56" s="167"/>
      <c r="AZ56" s="168"/>
      <c r="BA56" s="166"/>
      <c r="BB56" s="166"/>
      <c r="BC56" s="166"/>
      <c r="BD56" s="166"/>
      <c r="BE56" s="166"/>
      <c r="BF56" s="166"/>
      <c r="BG56" s="167"/>
      <c r="BH56" s="168"/>
      <c r="BI56" s="166"/>
      <c r="BJ56" s="166"/>
      <c r="BK56" s="166"/>
      <c r="BL56" s="166"/>
      <c r="BM56" s="166"/>
      <c r="BN56" s="166"/>
      <c r="BO56" s="167"/>
      <c r="BP56" s="168"/>
      <c r="BQ56" s="166"/>
      <c r="BR56" s="166"/>
      <c r="BS56" s="166"/>
      <c r="BT56" s="166"/>
      <c r="BU56" s="166"/>
      <c r="BV56" s="166"/>
      <c r="BW56" s="167"/>
      <c r="BX56" s="168"/>
      <c r="BY56" s="166"/>
      <c r="BZ56" s="166"/>
      <c r="CA56" s="166"/>
      <c r="CB56" s="166"/>
      <c r="CC56" s="166"/>
      <c r="CD56" s="1383"/>
      <c r="CE56" s="1384"/>
      <c r="CF56" s="1381"/>
      <c r="CG56" s="1382"/>
      <c r="CH56" s="1383"/>
      <c r="CI56" s="1382"/>
      <c r="CJ56" s="1383"/>
      <c r="CK56" s="1382"/>
      <c r="CL56" s="1383"/>
      <c r="CM56" s="1384"/>
      <c r="CN56" s="1381"/>
      <c r="CO56" s="1382"/>
      <c r="CP56" s="1379"/>
      <c r="CQ56" s="1380"/>
      <c r="CR56" s="1379"/>
      <c r="CS56" s="1380"/>
      <c r="CT56" s="169"/>
      <c r="CU56" s="170"/>
      <c r="CV56" s="171"/>
      <c r="CW56" s="169"/>
      <c r="CX56" s="169"/>
      <c r="CY56" s="169"/>
      <c r="CZ56" s="169"/>
      <c r="DA56" s="169"/>
      <c r="DB56" s="169"/>
      <c r="DC56" s="170"/>
      <c r="DD56" s="171"/>
      <c r="DE56" s="169"/>
      <c r="DF56" s="169"/>
      <c r="DG56" s="169"/>
      <c r="DH56" s="169"/>
      <c r="DI56" s="169"/>
      <c r="DJ56" s="688"/>
      <c r="DK56" s="689"/>
      <c r="DL56" s="171"/>
      <c r="DM56" s="169"/>
      <c r="DN56" s="169"/>
      <c r="DO56" s="169"/>
      <c r="DP56" s="169"/>
      <c r="DQ56" s="169"/>
      <c r="DR56" s="169"/>
      <c r="DS56" s="170"/>
      <c r="DT56" s="171"/>
      <c r="DU56" s="169"/>
      <c r="DV56" s="169"/>
      <c r="DW56" s="169"/>
      <c r="DX56" s="169"/>
      <c r="DY56" s="169"/>
      <c r="DZ56" s="169"/>
      <c r="EA56" s="170"/>
      <c r="EB56" s="171"/>
      <c r="EC56" s="169"/>
      <c r="ED56" s="169"/>
      <c r="EE56" s="169"/>
      <c r="EF56" s="169"/>
      <c r="EG56" s="169"/>
      <c r="EH56" s="169"/>
      <c r="EI56" s="170"/>
      <c r="EJ56" s="171"/>
      <c r="EK56" s="169"/>
      <c r="EL56" s="169"/>
      <c r="EM56" s="169"/>
      <c r="EN56" s="169"/>
      <c r="EO56" s="169"/>
      <c r="EP56" s="169"/>
      <c r="EQ56" s="170"/>
      <c r="ER56" s="171"/>
      <c r="ES56" s="169"/>
      <c r="ET56" s="169"/>
      <c r="EU56" s="169"/>
      <c r="EV56" s="169"/>
      <c r="EW56" s="169"/>
      <c r="EX56" s="169"/>
      <c r="EY56" s="170"/>
      <c r="EZ56" s="171"/>
      <c r="FA56" s="169"/>
      <c r="FB56" s="169"/>
      <c r="FC56" s="169"/>
      <c r="FD56" s="169"/>
      <c r="FE56" s="169"/>
      <c r="FF56" s="169"/>
      <c r="FG56" s="170"/>
      <c r="FH56" s="171"/>
      <c r="FI56" s="169"/>
      <c r="FJ56" s="169"/>
      <c r="FK56" s="169"/>
      <c r="FL56" s="169"/>
      <c r="FM56" s="169"/>
      <c r="FN56" s="169"/>
      <c r="FO56" s="170"/>
      <c r="FP56" s="171"/>
      <c r="FQ56" s="169"/>
      <c r="FR56" s="169"/>
      <c r="FS56" s="169"/>
      <c r="FT56" s="169"/>
      <c r="FU56" s="169"/>
      <c r="FV56" s="169"/>
      <c r="FW56" s="170"/>
      <c r="FX56" s="171"/>
      <c r="FY56" s="169"/>
      <c r="FZ56" s="169"/>
      <c r="GA56" s="169"/>
      <c r="GB56" s="169"/>
      <c r="GC56" s="169"/>
      <c r="GD56" s="169"/>
      <c r="GE56" s="170"/>
      <c r="GF56" s="171"/>
      <c r="GG56" s="169"/>
      <c r="GH56" s="169"/>
      <c r="GI56" s="169"/>
      <c r="GJ56" s="169"/>
      <c r="GK56" s="169"/>
      <c r="GL56" s="169"/>
      <c r="GM56" s="170"/>
      <c r="GN56" s="171"/>
      <c r="GO56" s="169"/>
      <c r="GP56" s="169"/>
      <c r="GQ56" s="169"/>
      <c r="GR56" s="169"/>
      <c r="GS56" s="169"/>
      <c r="GT56" s="169"/>
      <c r="GU56" s="170"/>
      <c r="GV56" s="169"/>
      <c r="GW56" s="170"/>
      <c r="GX56" s="169"/>
      <c r="GY56" s="170"/>
      <c r="GZ56" s="169"/>
      <c r="HA56" s="170"/>
      <c r="HB56" s="169"/>
      <c r="HC56" s="170"/>
      <c r="HD56" s="169"/>
      <c r="HE56" s="170"/>
      <c r="HF56" s="169"/>
      <c r="HG56" s="170"/>
      <c r="HH56" s="169"/>
      <c r="HI56" s="170"/>
      <c r="HJ56" s="169"/>
      <c r="HK56" s="170"/>
    </row>
    <row r="57" spans="1:219" s="947" customFormat="1" ht="14.4">
      <c r="A57" s="937">
        <v>3</v>
      </c>
      <c r="B57" s="938" t="str">
        <f>PLANEJAMENTO!C23</f>
        <v>LIMPEZA DA ÁREA</v>
      </c>
      <c r="C57" s="939"/>
      <c r="D57" s="940"/>
      <c r="E57" s="940"/>
      <c r="F57" s="939"/>
      <c r="G57" s="939"/>
      <c r="H57" s="939"/>
      <c r="I57" s="939"/>
      <c r="J57" s="939"/>
      <c r="K57" s="939"/>
      <c r="L57" s="1278"/>
      <c r="M57" s="1278"/>
      <c r="N57" s="1278"/>
      <c r="O57" s="1278"/>
      <c r="P57" s="1278"/>
      <c r="Q57" s="1278"/>
      <c r="R57" s="1278"/>
      <c r="S57" s="1279"/>
      <c r="T57" s="1280"/>
      <c r="U57" s="1278"/>
      <c r="V57" s="1278"/>
      <c r="W57" s="1278"/>
      <c r="X57" s="1278"/>
      <c r="Y57" s="1278"/>
      <c r="Z57" s="1278"/>
      <c r="AA57" s="1279"/>
      <c r="AB57" s="1280"/>
      <c r="AC57" s="1278"/>
      <c r="AD57" s="1278"/>
      <c r="AE57" s="1278"/>
      <c r="AF57" s="1278"/>
      <c r="AG57" s="1278"/>
      <c r="AH57" s="1278"/>
      <c r="AI57" s="1279"/>
      <c r="AJ57" s="1280"/>
      <c r="AK57" s="1278"/>
      <c r="AL57" s="1278"/>
      <c r="AM57" s="1278"/>
      <c r="AN57" s="1278"/>
      <c r="AO57" s="1278"/>
      <c r="AP57" s="1278"/>
      <c r="AQ57" s="1279"/>
      <c r="AR57" s="1280"/>
      <c r="AS57" s="1278"/>
      <c r="AT57" s="941"/>
      <c r="AU57" s="941"/>
      <c r="AV57" s="941"/>
      <c r="AW57" s="941"/>
      <c r="AX57" s="941"/>
      <c r="AY57" s="942"/>
      <c r="AZ57" s="943"/>
      <c r="BA57" s="941"/>
      <c r="BB57" s="941"/>
      <c r="BC57" s="941"/>
      <c r="BD57" s="941"/>
      <c r="BE57" s="941"/>
      <c r="BF57" s="941"/>
      <c r="BG57" s="942"/>
      <c r="BH57" s="943"/>
      <c r="BI57" s="941"/>
      <c r="BJ57" s="941"/>
      <c r="BK57" s="941"/>
      <c r="BL57" s="941"/>
      <c r="BM57" s="941"/>
      <c r="BN57" s="941"/>
      <c r="BO57" s="942"/>
      <c r="BP57" s="943"/>
      <c r="BQ57" s="941"/>
      <c r="BR57" s="941"/>
      <c r="BS57" s="941"/>
      <c r="BT57" s="941"/>
      <c r="BU57" s="941"/>
      <c r="BV57" s="941"/>
      <c r="BW57" s="942"/>
      <c r="BX57" s="943"/>
      <c r="BY57" s="941"/>
      <c r="BZ57" s="941"/>
      <c r="CA57" s="941"/>
      <c r="CB57" s="941"/>
      <c r="CC57" s="941"/>
      <c r="CD57" s="1278"/>
      <c r="CE57" s="1281"/>
      <c r="CF57" s="1280"/>
      <c r="CG57" s="1282"/>
      <c r="CH57" s="1278"/>
      <c r="CI57" s="1282"/>
      <c r="CJ57" s="1278"/>
      <c r="CK57" s="1282"/>
      <c r="CL57" s="1278"/>
      <c r="CM57" s="1281"/>
      <c r="CN57" s="1280"/>
      <c r="CO57" s="1282"/>
      <c r="CP57" s="1342"/>
      <c r="CQ57" s="1343"/>
      <c r="CR57" s="1342"/>
      <c r="CS57" s="1343"/>
      <c r="CT57" s="944"/>
      <c r="CU57" s="945"/>
      <c r="CV57" s="946"/>
      <c r="CW57" s="944"/>
      <c r="CX57" s="944"/>
      <c r="CY57" s="944"/>
      <c r="CZ57" s="944"/>
      <c r="DA57" s="944"/>
      <c r="DB57" s="944"/>
      <c r="DC57" s="945"/>
      <c r="DD57" s="946"/>
      <c r="DE57" s="944"/>
      <c r="DF57" s="944"/>
      <c r="DG57" s="944"/>
      <c r="DH57" s="944"/>
      <c r="DI57" s="944"/>
      <c r="DJ57" s="944"/>
      <c r="DK57" s="945"/>
      <c r="DL57" s="946"/>
      <c r="DM57" s="944"/>
      <c r="DN57" s="944"/>
      <c r="DO57" s="944"/>
      <c r="DP57" s="944"/>
      <c r="DQ57" s="944"/>
      <c r="DR57" s="944"/>
      <c r="DS57" s="945"/>
      <c r="DT57" s="946"/>
      <c r="DU57" s="944"/>
      <c r="DV57" s="944"/>
      <c r="DW57" s="944"/>
      <c r="DX57" s="944"/>
      <c r="DY57" s="944"/>
      <c r="DZ57" s="944"/>
      <c r="EA57" s="945"/>
      <c r="EB57" s="946"/>
      <c r="EC57" s="944"/>
      <c r="ED57" s="944"/>
      <c r="EE57" s="944"/>
      <c r="EF57" s="944"/>
      <c r="EG57" s="944"/>
      <c r="EH57" s="944"/>
      <c r="EI57" s="945"/>
      <c r="EJ57" s="946"/>
      <c r="EK57" s="944"/>
      <c r="EL57" s="944"/>
      <c r="EM57" s="944"/>
      <c r="EN57" s="944"/>
      <c r="EO57" s="944"/>
      <c r="EP57" s="944"/>
      <c r="EQ57" s="945"/>
      <c r="ER57" s="946"/>
      <c r="ES57" s="944"/>
      <c r="ET57" s="944"/>
      <c r="EU57" s="944"/>
      <c r="EV57" s="944"/>
      <c r="EW57" s="944"/>
      <c r="EX57" s="944"/>
      <c r="EY57" s="945"/>
      <c r="EZ57" s="946"/>
      <c r="FA57" s="944"/>
      <c r="FB57" s="944"/>
      <c r="FC57" s="944"/>
      <c r="FD57" s="944"/>
      <c r="FE57" s="944"/>
      <c r="FF57" s="944"/>
      <c r="FG57" s="945"/>
      <c r="FH57" s="946"/>
      <c r="FI57" s="944"/>
      <c r="FJ57" s="944"/>
      <c r="FK57" s="944"/>
      <c r="FL57" s="944"/>
      <c r="FM57" s="944"/>
      <c r="FN57" s="944"/>
      <c r="FO57" s="945"/>
      <c r="FP57" s="946"/>
      <c r="FQ57" s="944"/>
      <c r="FR57" s="944"/>
      <c r="FS57" s="944"/>
      <c r="FT57" s="944"/>
      <c r="FU57" s="944"/>
      <c r="FV57" s="944"/>
      <c r="FW57" s="945"/>
      <c r="FX57" s="946"/>
      <c r="FY57" s="944"/>
      <c r="FZ57" s="944"/>
      <c r="GA57" s="944"/>
      <c r="GB57" s="944"/>
      <c r="GC57" s="944"/>
      <c r="GD57" s="944"/>
      <c r="GE57" s="945"/>
      <c r="GF57" s="946"/>
      <c r="GG57" s="944"/>
      <c r="GH57" s="944"/>
      <c r="GI57" s="944"/>
      <c r="GJ57" s="944"/>
      <c r="GK57" s="944"/>
      <c r="GL57" s="944"/>
      <c r="GM57" s="945"/>
      <c r="GN57" s="946"/>
      <c r="GO57" s="944"/>
      <c r="GP57" s="944"/>
      <c r="GQ57" s="944"/>
      <c r="GR57" s="944"/>
      <c r="GS57" s="944"/>
      <c r="GT57" s="944"/>
      <c r="GU57" s="945"/>
      <c r="GV57" s="944"/>
      <c r="GW57" s="945"/>
      <c r="GX57" s="944"/>
      <c r="GY57" s="945"/>
      <c r="GZ57" s="944"/>
      <c r="HA57" s="945"/>
      <c r="HB57" s="944"/>
      <c r="HC57" s="945"/>
      <c r="HD57" s="944"/>
      <c r="HE57" s="945"/>
      <c r="HF57" s="944"/>
      <c r="HG57" s="945"/>
      <c r="HH57" s="944"/>
      <c r="HI57" s="945"/>
      <c r="HJ57" s="944"/>
      <c r="HK57" s="945"/>
    </row>
    <row r="58" spans="1:219" s="731" customFormat="1">
      <c r="A58" s="728"/>
      <c r="B58" s="729"/>
      <c r="C58" s="728"/>
      <c r="D58" s="730"/>
      <c r="E58" s="730"/>
      <c r="F58" s="730"/>
      <c r="G58" s="728"/>
      <c r="DJ58" s="732"/>
      <c r="DK58" s="732"/>
    </row>
    <row r="59" spans="1:219">
      <c r="A59" s="1299" t="s">
        <v>125</v>
      </c>
      <c r="B59" s="1300" t="str">
        <f>VLOOKUP(A59,PLANEJAMENTO!$B$10:$C$70,2,FALSE)</f>
        <v>Escavação, carga e transporte de camada de solo superficial com espessura maxima de 15cm para a área de depósito - DMT 0 até 500 m</v>
      </c>
      <c r="C59" s="1299" t="str">
        <f>VLOOKUP(A59,PLANEJAMENTO!$B$10:$D$70,3,FALSE)</f>
        <v>m³</v>
      </c>
      <c r="D59" s="1301">
        <f>VLOOKUP(A59,PLANEJAMENTO!$B$10:$E$70,4,FALSE)</f>
        <v>1</v>
      </c>
      <c r="E59" s="1301">
        <f>D59</f>
        <v>1</v>
      </c>
      <c r="F59" s="1302">
        <f>PRODUÇÕES!$D$38</f>
        <v>200</v>
      </c>
      <c r="G59" s="1301">
        <f>F59*8</f>
        <v>1600</v>
      </c>
      <c r="H59" s="726"/>
      <c r="I59" s="1303"/>
      <c r="J59" s="1304"/>
      <c r="K59" s="727" t="s">
        <v>291</v>
      </c>
      <c r="L59" s="1319"/>
      <c r="M59" s="1320"/>
      <c r="N59" s="1319"/>
      <c r="O59" s="1320"/>
      <c r="P59" s="1319"/>
      <c r="Q59" s="1320"/>
      <c r="R59" s="1319"/>
      <c r="S59" s="1320"/>
      <c r="T59" s="1319"/>
      <c r="U59" s="1320"/>
      <c r="V59" s="1319"/>
      <c r="W59" s="1320"/>
      <c r="X59" s="1319"/>
      <c r="Y59" s="1320"/>
      <c r="Z59" s="1319"/>
      <c r="AA59" s="1320"/>
      <c r="AB59" s="1319"/>
      <c r="AC59" s="1320"/>
      <c r="AD59" s="1319"/>
      <c r="AE59" s="1320"/>
      <c r="AF59" s="1319"/>
      <c r="AG59" s="1320"/>
      <c r="AH59" s="1319"/>
      <c r="AI59" s="1320"/>
      <c r="AJ59" s="1319"/>
      <c r="AK59" s="1320"/>
      <c r="AL59" s="1391"/>
      <c r="AM59" s="1392"/>
      <c r="AN59" s="1389"/>
      <c r="AO59" s="1390"/>
      <c r="AP59" s="1386"/>
      <c r="AQ59" s="1387"/>
      <c r="AR59" s="1311">
        <v>2.5224215246636774</v>
      </c>
      <c r="AS59" s="1312"/>
      <c r="AT59" s="1391"/>
      <c r="AU59" s="1392"/>
      <c r="AV59" s="1319"/>
      <c r="AW59" s="1320"/>
      <c r="AX59" s="1393"/>
      <c r="AY59" s="1394"/>
      <c r="AZ59" s="1393"/>
      <c r="BA59" s="1394"/>
      <c r="BB59" s="1319"/>
      <c r="BC59" s="1320"/>
      <c r="BD59" s="1319"/>
      <c r="BE59" s="1320"/>
      <c r="BF59" s="1319"/>
      <c r="BG59" s="1320"/>
      <c r="BH59" s="1319"/>
      <c r="BI59" s="1320"/>
      <c r="BJ59" s="1319"/>
      <c r="BK59" s="1320"/>
      <c r="BL59" s="1319"/>
      <c r="BM59" s="1320"/>
      <c r="BN59" s="1319"/>
      <c r="BO59" s="1320"/>
      <c r="BP59" s="1319"/>
      <c r="BQ59" s="1320"/>
      <c r="BR59" s="1319"/>
      <c r="BS59" s="1320"/>
      <c r="BT59" s="1263"/>
      <c r="BU59" s="1263"/>
      <c r="BV59" s="1315"/>
      <c r="BW59" s="1315"/>
      <c r="BX59" s="1263"/>
      <c r="BY59" s="1263"/>
      <c r="BZ59" s="1263"/>
      <c r="CA59" s="1263"/>
      <c r="CB59" s="1263"/>
      <c r="CC59" s="1263"/>
      <c r="CD59" s="1315"/>
      <c r="CE59" s="1315"/>
      <c r="CF59" s="1315"/>
      <c r="CG59" s="1315"/>
      <c r="CH59" s="1315"/>
      <c r="CI59" s="1315"/>
      <c r="CJ59" s="1315"/>
      <c r="CK59" s="1315"/>
      <c r="CL59" s="1315"/>
      <c r="CM59" s="1315"/>
      <c r="CN59" s="1315"/>
      <c r="CO59" s="1315"/>
      <c r="CP59" s="1315"/>
      <c r="CQ59" s="1315"/>
      <c r="CR59" s="1315"/>
      <c r="CS59" s="1315"/>
      <c r="CT59" s="1315"/>
      <c r="CU59" s="1315"/>
      <c r="CV59" s="1315"/>
      <c r="CW59" s="1315"/>
      <c r="CX59" s="1315"/>
      <c r="CY59" s="1315"/>
      <c r="CZ59" s="1315"/>
      <c r="DA59" s="1315"/>
      <c r="DB59" s="1315"/>
      <c r="DC59" s="1315"/>
      <c r="DD59" s="1263"/>
      <c r="DE59" s="1263"/>
      <c r="DF59" s="1263"/>
      <c r="DG59" s="1263"/>
      <c r="DH59" s="1263"/>
      <c r="DI59" s="1263"/>
      <c r="DJ59" s="1327"/>
      <c r="DK59" s="1327"/>
      <c r="DL59" s="1263"/>
      <c r="DM59" s="1263"/>
      <c r="DN59" s="1263"/>
      <c r="DO59" s="1263"/>
      <c r="DP59" s="1263"/>
      <c r="DQ59" s="1263"/>
      <c r="DR59" s="1263"/>
      <c r="DS59" s="1263"/>
      <c r="DT59" s="1263"/>
      <c r="DU59" s="1263"/>
      <c r="DV59" s="1263"/>
      <c r="DW59" s="1263"/>
      <c r="DX59" s="1263"/>
      <c r="DY59" s="1263"/>
      <c r="DZ59" s="1263"/>
      <c r="EA59" s="1263"/>
      <c r="EB59" s="1263"/>
      <c r="EC59" s="1263"/>
      <c r="ED59" s="1315"/>
      <c r="EE59" s="1315"/>
      <c r="EF59" s="1315"/>
      <c r="EG59" s="1315"/>
      <c r="EH59" s="1315"/>
      <c r="EI59" s="1315"/>
      <c r="EJ59" s="1263"/>
      <c r="EK59" s="1263"/>
      <c r="EL59" s="1263"/>
      <c r="EM59" s="1263"/>
      <c r="EN59" s="1263"/>
      <c r="EO59" s="1263"/>
      <c r="EP59" s="1263"/>
      <c r="EQ59" s="1263"/>
      <c r="ER59" s="1263"/>
      <c r="ES59" s="1263"/>
      <c r="ET59" s="1263"/>
      <c r="EU59" s="1263"/>
      <c r="EV59" s="1263"/>
      <c r="EW59" s="1263"/>
      <c r="EX59" s="1263"/>
      <c r="EY59" s="1263"/>
      <c r="EZ59" s="1263"/>
      <c r="FA59" s="1263"/>
      <c r="FB59" s="1263"/>
      <c r="FC59" s="1263"/>
      <c r="FD59" s="1263"/>
      <c r="FE59" s="1263"/>
      <c r="FF59" s="1263"/>
      <c r="FG59" s="1263"/>
      <c r="FH59" s="1263"/>
      <c r="FI59" s="1263"/>
      <c r="FJ59" s="1263"/>
      <c r="FK59" s="1263"/>
      <c r="FL59" s="1263"/>
      <c r="FM59" s="1263"/>
      <c r="FN59" s="1263"/>
      <c r="FO59" s="1263"/>
      <c r="FP59" s="1263"/>
      <c r="FQ59" s="1263"/>
      <c r="FR59" s="1263"/>
      <c r="FS59" s="1263"/>
      <c r="FT59" s="1263"/>
      <c r="FU59" s="1263"/>
      <c r="FV59" s="1263"/>
      <c r="FW59" s="1263"/>
      <c r="FX59" s="1263"/>
      <c r="FY59" s="1263"/>
      <c r="FZ59" s="1263"/>
      <c r="GA59" s="1263"/>
      <c r="GB59" s="1263"/>
      <c r="GC59" s="1263"/>
      <c r="GD59" s="1263"/>
      <c r="GE59" s="1263"/>
      <c r="GF59" s="1263"/>
      <c r="GG59" s="1263"/>
      <c r="GH59" s="1263"/>
      <c r="GI59" s="1263"/>
      <c r="GJ59" s="1263"/>
      <c r="GK59" s="1263"/>
      <c r="GL59" s="1263"/>
      <c r="GM59" s="1263"/>
      <c r="GN59" s="1263"/>
      <c r="GO59" s="1263"/>
      <c r="GP59" s="1263"/>
      <c r="GQ59" s="1263"/>
      <c r="GR59" s="1263"/>
      <c r="GS59" s="1263"/>
      <c r="GT59" s="1263"/>
      <c r="GU59" s="1263"/>
      <c r="GV59" s="1263"/>
      <c r="GW59" s="1263"/>
      <c r="GX59" s="1263"/>
      <c r="GY59" s="1263"/>
      <c r="GZ59" s="1263"/>
      <c r="HA59" s="1263"/>
      <c r="HB59" s="1263"/>
      <c r="HC59" s="1263"/>
      <c r="HD59" s="1263"/>
      <c r="HE59" s="1263"/>
      <c r="HF59" s="1263"/>
      <c r="HG59" s="1263"/>
      <c r="HH59" s="1263"/>
      <c r="HI59" s="1263"/>
      <c r="HJ59" s="1263"/>
      <c r="HK59" s="1263"/>
    </row>
    <row r="60" spans="1:219">
      <c r="A60" s="1299"/>
      <c r="B60" s="1300"/>
      <c r="C60" s="1299"/>
      <c r="D60" s="1301"/>
      <c r="E60" s="1301"/>
      <c r="F60" s="1302"/>
      <c r="G60" s="1301"/>
      <c r="H60" s="726"/>
      <c r="I60" s="1303"/>
      <c r="J60" s="1304"/>
      <c r="K60" s="785" t="s">
        <v>292</v>
      </c>
      <c r="L60" s="1283"/>
      <c r="M60" s="1284"/>
      <c r="N60" s="1283"/>
      <c r="O60" s="1284"/>
      <c r="P60" s="1283"/>
      <c r="Q60" s="1284"/>
      <c r="R60" s="1283"/>
      <c r="S60" s="1284"/>
      <c r="T60" s="1283"/>
      <c r="U60" s="1284"/>
      <c r="V60" s="1283"/>
      <c r="W60" s="1284"/>
      <c r="X60" s="1283"/>
      <c r="Y60" s="1284"/>
      <c r="Z60" s="1283"/>
      <c r="AA60" s="1284"/>
      <c r="AB60" s="1283"/>
      <c r="AC60" s="1284"/>
      <c r="AD60" s="1283"/>
      <c r="AE60" s="1284"/>
      <c r="AF60" s="1283"/>
      <c r="AG60" s="1284"/>
      <c r="AH60" s="1283"/>
      <c r="AI60" s="1284"/>
      <c r="AJ60" s="1283"/>
      <c r="AK60" s="1284"/>
      <c r="AL60" s="1283"/>
      <c r="AM60" s="1284"/>
      <c r="AN60" s="1283"/>
      <c r="AO60" s="1284"/>
      <c r="AP60" s="1283"/>
      <c r="AQ60" s="1284"/>
      <c r="AR60" s="1283">
        <v>1</v>
      </c>
      <c r="AS60" s="1284"/>
      <c r="AT60" s="1283"/>
      <c r="AU60" s="1284"/>
      <c r="AV60" s="1283"/>
      <c r="AW60" s="1284"/>
      <c r="AX60" s="1283"/>
      <c r="AY60" s="1284"/>
      <c r="AZ60" s="1283"/>
      <c r="BA60" s="1284"/>
      <c r="BB60" s="1283"/>
      <c r="BC60" s="1284"/>
      <c r="BD60" s="1283"/>
      <c r="BE60" s="1284"/>
      <c r="BF60" s="1283"/>
      <c r="BG60" s="1284"/>
      <c r="BH60" s="1283"/>
      <c r="BI60" s="1284"/>
      <c r="BJ60" s="1283"/>
      <c r="BK60" s="1284"/>
      <c r="BL60" s="1283"/>
      <c r="BM60" s="1284"/>
      <c r="BN60" s="1283"/>
      <c r="BO60" s="1284"/>
      <c r="BP60" s="1283"/>
      <c r="BQ60" s="1284"/>
      <c r="BR60" s="1283"/>
      <c r="BS60" s="1284"/>
      <c r="BT60" s="1264"/>
      <c r="BU60" s="1264"/>
      <c r="BV60" s="1264"/>
      <c r="BW60" s="1264"/>
      <c r="BX60" s="1264"/>
      <c r="BY60" s="1264"/>
      <c r="BZ60" s="1264"/>
      <c r="CA60" s="1264"/>
      <c r="CB60" s="1264"/>
      <c r="CC60" s="1264"/>
      <c r="CD60" s="1264"/>
      <c r="CE60" s="1264"/>
      <c r="CF60" s="1264"/>
      <c r="CG60" s="1264"/>
      <c r="CH60" s="1264"/>
      <c r="CI60" s="1264"/>
      <c r="CJ60" s="1264"/>
      <c r="CK60" s="1264"/>
      <c r="CL60" s="1264"/>
      <c r="CM60" s="1264"/>
      <c r="CN60" s="1264"/>
      <c r="CO60" s="1264"/>
      <c r="CP60" s="1264"/>
      <c r="CQ60" s="1264"/>
      <c r="CR60" s="1264"/>
      <c r="CS60" s="1264"/>
      <c r="CT60" s="1264"/>
      <c r="CU60" s="1264"/>
      <c r="CV60" s="1264"/>
      <c r="CW60" s="1264"/>
      <c r="CX60" s="1264"/>
      <c r="CY60" s="1264"/>
      <c r="CZ60" s="1264"/>
      <c r="DA60" s="1264"/>
      <c r="DB60" s="1264"/>
      <c r="DC60" s="1264"/>
      <c r="DD60" s="1264"/>
      <c r="DE60" s="1264"/>
      <c r="DF60" s="1264"/>
      <c r="DG60" s="1264"/>
      <c r="DH60" s="1264"/>
      <c r="DI60" s="1264"/>
      <c r="DJ60" s="1265"/>
      <c r="DK60" s="1265"/>
      <c r="DL60" s="1264"/>
      <c r="DM60" s="1264"/>
      <c r="DN60" s="1264"/>
      <c r="DO60" s="1264"/>
      <c r="DP60" s="1264"/>
      <c r="DQ60" s="1264"/>
      <c r="DR60" s="1264"/>
      <c r="DS60" s="1264"/>
      <c r="DT60" s="1264"/>
      <c r="DU60" s="1264"/>
      <c r="DV60" s="1264"/>
      <c r="DW60" s="1264"/>
      <c r="DX60" s="1264"/>
      <c r="DY60" s="1264"/>
      <c r="DZ60" s="1264"/>
      <c r="EA60" s="1264"/>
      <c r="EB60" s="1264"/>
      <c r="EC60" s="1264"/>
      <c r="ED60" s="1264"/>
      <c r="EE60" s="1264"/>
      <c r="EF60" s="1264"/>
      <c r="EG60" s="1264"/>
      <c r="EH60" s="1264"/>
      <c r="EI60" s="1264"/>
      <c r="EJ60" s="1264"/>
      <c r="EK60" s="1264"/>
      <c r="EL60" s="1264"/>
      <c r="EM60" s="1264"/>
      <c r="EN60" s="1264"/>
      <c r="EO60" s="1264"/>
      <c r="EP60" s="1264"/>
      <c r="EQ60" s="1264"/>
      <c r="ER60" s="1264"/>
      <c r="ES60" s="1264"/>
      <c r="ET60" s="1264"/>
      <c r="EU60" s="1264"/>
      <c r="EV60" s="1264"/>
      <c r="EW60" s="1264"/>
      <c r="EX60" s="1264"/>
      <c r="EY60" s="1264"/>
      <c r="EZ60" s="1264"/>
      <c r="FA60" s="1264"/>
      <c r="FB60" s="1264"/>
      <c r="FC60" s="1264"/>
      <c r="FD60" s="1264"/>
      <c r="FE60" s="1264"/>
      <c r="FF60" s="1264"/>
      <c r="FG60" s="1264"/>
      <c r="FH60" s="1264"/>
      <c r="FI60" s="1264"/>
      <c r="FJ60" s="1264"/>
      <c r="FK60" s="1264"/>
      <c r="FL60" s="1264"/>
      <c r="FM60" s="1264"/>
      <c r="FN60" s="1264"/>
      <c r="FO60" s="1264"/>
      <c r="FP60" s="1264"/>
      <c r="FQ60" s="1264"/>
      <c r="FR60" s="1264"/>
      <c r="FS60" s="1264"/>
      <c r="FT60" s="1264"/>
      <c r="FU60" s="1264"/>
      <c r="FV60" s="1264"/>
      <c r="FW60" s="1264"/>
      <c r="FX60" s="1264"/>
      <c r="FY60" s="1264"/>
      <c r="FZ60" s="1264"/>
      <c r="GA60" s="1264"/>
      <c r="GB60" s="1264"/>
      <c r="GC60" s="1264"/>
      <c r="GD60" s="1264"/>
      <c r="GE60" s="1264"/>
      <c r="GF60" s="1264"/>
      <c r="GG60" s="1264"/>
      <c r="GH60" s="1264"/>
      <c r="GI60" s="1264"/>
      <c r="GJ60" s="1264"/>
      <c r="GK60" s="1264"/>
      <c r="GL60" s="1264"/>
      <c r="GM60" s="1264"/>
      <c r="GN60" s="1264"/>
      <c r="GO60" s="1264"/>
      <c r="GP60" s="1264"/>
      <c r="GQ60" s="1264"/>
      <c r="GR60" s="1264"/>
      <c r="GS60" s="1264"/>
      <c r="GT60" s="1264"/>
      <c r="GU60" s="1264"/>
      <c r="GV60" s="1264"/>
      <c r="GW60" s="1264"/>
      <c r="GX60" s="1264"/>
      <c r="GY60" s="1264"/>
      <c r="GZ60" s="1264"/>
      <c r="HA60" s="1264"/>
      <c r="HB60" s="1264"/>
      <c r="HC60" s="1264"/>
      <c r="HD60" s="1264"/>
      <c r="HE60" s="1264"/>
      <c r="HF60" s="1264"/>
      <c r="HG60" s="1264"/>
      <c r="HH60" s="1264"/>
      <c r="HI60" s="1264"/>
      <c r="HJ60" s="1264"/>
      <c r="HK60" s="1264"/>
    </row>
    <row r="61" spans="1:219">
      <c r="A61" s="1299"/>
      <c r="B61" s="1300"/>
      <c r="C61" s="1299"/>
      <c r="D61" s="1301"/>
      <c r="E61" s="1301"/>
      <c r="F61" s="1302"/>
      <c r="G61" s="1301"/>
      <c r="H61" s="726"/>
      <c r="I61" s="1303"/>
      <c r="J61" s="1304"/>
      <c r="K61" s="786" t="s">
        <v>293</v>
      </c>
      <c r="L61" s="1255">
        <f>(L59*L60*$G$59)*$L$8</f>
        <v>0</v>
      </c>
      <c r="M61" s="1256"/>
      <c r="N61" s="1255">
        <f>(N59*N60*$G$59)*$L$8</f>
        <v>0</v>
      </c>
      <c r="O61" s="1256"/>
      <c r="P61" s="1255">
        <f>(P59*P60*$G$59)*$L$8</f>
        <v>0</v>
      </c>
      <c r="Q61" s="1256"/>
      <c r="R61" s="1255">
        <f>(R59*R60*$G$59)*$L$8</f>
        <v>0</v>
      </c>
      <c r="S61" s="1256"/>
      <c r="T61" s="1255">
        <f>(T59*T60*$G$59)*$T$8</f>
        <v>0</v>
      </c>
      <c r="U61" s="1256"/>
      <c r="V61" s="1255">
        <f>(V59*V60*$G$59)*$T$8</f>
        <v>0</v>
      </c>
      <c r="W61" s="1256"/>
      <c r="X61" s="1255">
        <f>(X59*X60*$G$59)*$T$8</f>
        <v>0</v>
      </c>
      <c r="Y61" s="1256"/>
      <c r="Z61" s="1255">
        <f>(Z59*Z60*$G$59)*$T$8</f>
        <v>0</v>
      </c>
      <c r="AA61" s="1256"/>
      <c r="AB61" s="1255">
        <f>(AB59*AB60*$G$59)*$AB$8</f>
        <v>0</v>
      </c>
      <c r="AC61" s="1256"/>
      <c r="AD61" s="1255">
        <f>(AD59*AD60*$G$59)*$AB$8</f>
        <v>0</v>
      </c>
      <c r="AE61" s="1256"/>
      <c r="AF61" s="1255">
        <f>(AF59*AF60*$G$59)*$AB$8</f>
        <v>0</v>
      </c>
      <c r="AG61" s="1256"/>
      <c r="AH61" s="1255">
        <f>(AH59*AH60*$G$59)*$AB$8</f>
        <v>0</v>
      </c>
      <c r="AI61" s="1256"/>
      <c r="AJ61" s="1255">
        <f>(AJ59*AJ60*$G$59)*$AJ$8</f>
        <v>0</v>
      </c>
      <c r="AK61" s="1256"/>
      <c r="AL61" s="1255">
        <f>(AL59*AL60*$G$59)*$AJ$8</f>
        <v>0</v>
      </c>
      <c r="AM61" s="1256"/>
      <c r="AN61" s="1255">
        <f>(AN59*AN60*$G$59)*$AJ$8</f>
        <v>0</v>
      </c>
      <c r="AO61" s="1256"/>
      <c r="AP61" s="1255">
        <f>(AP59*AP60*$G$59)*$AJ$8</f>
        <v>0</v>
      </c>
      <c r="AQ61" s="1256"/>
      <c r="AR61" s="1255">
        <f>(AR59*AR60*$G$59)*$AJ$8</f>
        <v>3000.0000000000005</v>
      </c>
      <c r="AS61" s="1256"/>
      <c r="AT61" s="1255">
        <f>(AT59*AT60*$G$59)*$AT$8</f>
        <v>0</v>
      </c>
      <c r="AU61" s="1256"/>
      <c r="AV61" s="1255">
        <f>(AV59*AV60*$G$59)*$AT$8</f>
        <v>0</v>
      </c>
      <c r="AW61" s="1256"/>
      <c r="AX61" s="1255">
        <f>(AX59*AX60*$G$59)*$AT$8</f>
        <v>0</v>
      </c>
      <c r="AY61" s="1256"/>
      <c r="AZ61" s="1255">
        <f>(AZ59*AZ60*$G$59)*$BB$8</f>
        <v>0</v>
      </c>
      <c r="BA61" s="1256"/>
      <c r="BB61" s="1255">
        <f>(BB59*BB60*$G$59)*$BB$8</f>
        <v>0</v>
      </c>
      <c r="BC61" s="1256"/>
      <c r="BD61" s="1255">
        <f>(BD59*BD60*$G$59)*$BB$8</f>
        <v>0</v>
      </c>
      <c r="BE61" s="1256"/>
      <c r="BF61" s="1255">
        <f>(BF59*BF60*$G$59)*$BB$8</f>
        <v>0</v>
      </c>
      <c r="BG61" s="1256"/>
      <c r="BH61" s="1255">
        <f>(BH59*BH60*$G$59)*$BB$8</f>
        <v>0</v>
      </c>
      <c r="BI61" s="1256"/>
      <c r="BJ61" s="1255">
        <f>(BJ59*BJ60*$G$59)*$BJ$8</f>
        <v>0</v>
      </c>
      <c r="BK61" s="1256"/>
      <c r="BL61" s="1255">
        <f>(BL59*BL60*$G$59)*$BJ$8</f>
        <v>0</v>
      </c>
      <c r="BM61" s="1256"/>
      <c r="BN61" s="1255">
        <f>(BN59*BN60*$G$59)*$BJ$8</f>
        <v>0</v>
      </c>
      <c r="BO61" s="1256"/>
      <c r="BP61" s="1255">
        <f>(BP59*BP60*$G$59)*$BJ$8</f>
        <v>0</v>
      </c>
      <c r="BQ61" s="1256"/>
      <c r="BR61" s="1255">
        <f>(BR59*BR60*$G$59)*$BJ$8</f>
        <v>0</v>
      </c>
      <c r="BS61" s="1256"/>
      <c r="BT61" s="1255">
        <f>(BT59*BT60*$G$59)*$BT$8</f>
        <v>0</v>
      </c>
      <c r="BU61" s="1256"/>
      <c r="BV61" s="1255">
        <f>(BV59*BV60*$G$59)*$BT$8</f>
        <v>0</v>
      </c>
      <c r="BW61" s="1256"/>
      <c r="BX61" s="1255">
        <f>(BX59*BX60*$G$59)*$BT$8</f>
        <v>0</v>
      </c>
      <c r="BY61" s="1256"/>
      <c r="BZ61" s="1255">
        <f>(BZ59*BZ60*$G$59)*$BT$8</f>
        <v>0</v>
      </c>
      <c r="CA61" s="1256"/>
      <c r="CB61" s="1255">
        <f>(CB59*CB60*$G$59)*$CB$8</f>
        <v>0</v>
      </c>
      <c r="CC61" s="1256"/>
      <c r="CD61" s="1255">
        <f>(CD59*CD60*$G$59)*$CB$8</f>
        <v>0</v>
      </c>
      <c r="CE61" s="1256"/>
      <c r="CF61" s="1255">
        <f>(CF59*CF60*$G$59)*$CB$8</f>
        <v>0</v>
      </c>
      <c r="CG61" s="1256"/>
      <c r="CH61" s="1255">
        <f>(CH59*CH60*$G$59)*$CB$8</f>
        <v>0</v>
      </c>
      <c r="CI61" s="1256"/>
      <c r="CJ61" s="1255">
        <f>(CJ59*CJ60*$G$59)*$CJ$8</f>
        <v>0</v>
      </c>
      <c r="CK61" s="1256"/>
      <c r="CL61" s="1255">
        <f>(CL59*CL60*$G$59)*$CJ$8</f>
        <v>0</v>
      </c>
      <c r="CM61" s="1256"/>
      <c r="CN61" s="1255">
        <f>(CN59*CN60*$G$59)*$CJ$8</f>
        <v>0</v>
      </c>
      <c r="CO61" s="1256"/>
      <c r="CP61" s="1255">
        <f>(CP59*CP60*$G$59)*$CJ$8</f>
        <v>0</v>
      </c>
      <c r="CQ61" s="1256"/>
      <c r="CR61" s="1255">
        <f>(CR59*CR60*$G$59)*$CJ$8</f>
        <v>0</v>
      </c>
      <c r="CS61" s="1256"/>
      <c r="CT61" s="1255">
        <f>(CT59*CT60*$G$59)*$CT$8</f>
        <v>0</v>
      </c>
      <c r="CU61" s="1256"/>
      <c r="CV61" s="1255">
        <f>(CV59*CV60*$G$59)*$CT$8</f>
        <v>0</v>
      </c>
      <c r="CW61" s="1256"/>
      <c r="CX61" s="1255">
        <f>(CX59*CX60*$G$59)*$CT$8</f>
        <v>0</v>
      </c>
      <c r="CY61" s="1256"/>
      <c r="CZ61" s="1255">
        <f>(CZ59*CZ60*$G$59)*$CT$8</f>
        <v>0</v>
      </c>
      <c r="DA61" s="1256"/>
      <c r="DB61" s="1255">
        <f>(DB59*DB60*$G$59)*$DB$8</f>
        <v>0</v>
      </c>
      <c r="DC61" s="1256"/>
      <c r="DD61" s="1255">
        <f>(DD59*DD60*$G$59)*$DL$8</f>
        <v>0</v>
      </c>
      <c r="DE61" s="1256"/>
      <c r="DF61" s="1255">
        <f>(DF59*DF60*$G$59)*$DL$8</f>
        <v>0</v>
      </c>
      <c r="DG61" s="1256"/>
      <c r="DH61" s="1255">
        <f>(DH59*DH60*$G$59)*$DL$8</f>
        <v>0</v>
      </c>
      <c r="DI61" s="1256"/>
      <c r="DJ61" s="1257">
        <f>(DJ59*DJ60*$G$59)*$DL$8</f>
        <v>0</v>
      </c>
      <c r="DK61" s="1258"/>
      <c r="DL61" s="1255">
        <f>(DL59*DL60*$G$59)*$DT$8</f>
        <v>0</v>
      </c>
      <c r="DM61" s="1256"/>
      <c r="DN61" s="1255">
        <f>(DN59*DN60*$G$59)*$DT$8</f>
        <v>0</v>
      </c>
      <c r="DO61" s="1256"/>
      <c r="DP61" s="1255">
        <f>(DP59*DP60*$G$59)*$DT$8</f>
        <v>0</v>
      </c>
      <c r="DQ61" s="1256"/>
      <c r="DR61" s="1255">
        <f>(DR59*DR60*$G$59)*$DT$8</f>
        <v>0</v>
      </c>
      <c r="DS61" s="1256"/>
      <c r="DT61" s="1255">
        <f>(DT59*DT60*$G$59)*$EB$8</f>
        <v>0</v>
      </c>
      <c r="DU61" s="1256"/>
      <c r="DV61" s="1255">
        <f>(DV59*DV60*$G$59)*$EB$8</f>
        <v>0</v>
      </c>
      <c r="DW61" s="1256"/>
      <c r="DX61" s="1255">
        <f>(DX59*DX60*$G$59)*$EB$8</f>
        <v>0</v>
      </c>
      <c r="DY61" s="1256"/>
      <c r="DZ61" s="1255">
        <f>(DZ59*DZ60*$G$59)*$EB$8</f>
        <v>0</v>
      </c>
      <c r="EA61" s="1256"/>
      <c r="EB61" s="1255">
        <f>(EB59*EB60*$G$59)*$EJ$8</f>
        <v>0</v>
      </c>
      <c r="EC61" s="1256"/>
      <c r="ED61" s="1255">
        <f>(ED59*ED60*$G$59)*$EJ$8</f>
        <v>0</v>
      </c>
      <c r="EE61" s="1256"/>
      <c r="EF61" s="1255">
        <f>(EF59*EF60*$G$59)*$EJ$8</f>
        <v>0</v>
      </c>
      <c r="EG61" s="1256"/>
      <c r="EH61" s="1255">
        <f>(EH59*EH60*$G$59)*$EJ$8</f>
        <v>0</v>
      </c>
      <c r="EI61" s="1256"/>
      <c r="EJ61" s="1255">
        <f>(EJ59*EJ60*$G$59)*$ET$8</f>
        <v>0</v>
      </c>
      <c r="EK61" s="1256"/>
      <c r="EL61" s="1255">
        <f>(EL59*EL60*$G$59)*$ET$8</f>
        <v>0</v>
      </c>
      <c r="EM61" s="1256"/>
      <c r="EN61" s="1255">
        <f>(EN59*EN60*$G$59)*$ET$8</f>
        <v>0</v>
      </c>
      <c r="EO61" s="1256"/>
      <c r="EP61" s="1255">
        <f>(EP59*EP60*$G$59)*$ET$8</f>
        <v>0</v>
      </c>
      <c r="EQ61" s="1256"/>
      <c r="ER61" s="1255">
        <f>(ER59*ER60*$G$59)*$FB$8</f>
        <v>0</v>
      </c>
      <c r="ES61" s="1256"/>
      <c r="ET61" s="1255">
        <f>(ET59*ET60*$G$59)*$FB$8</f>
        <v>0</v>
      </c>
      <c r="EU61" s="1256"/>
      <c r="EV61" s="1255">
        <f>(EV59*EV60*$G$59)*$FB$8</f>
        <v>0</v>
      </c>
      <c r="EW61" s="1256"/>
      <c r="EX61" s="1255">
        <f>(EX59*EX60*$G$59)*$FB$8</f>
        <v>0</v>
      </c>
      <c r="EY61" s="1256"/>
      <c r="EZ61" s="1255">
        <f>(EZ59*EZ60*$G$59)*$FL$8</f>
        <v>0</v>
      </c>
      <c r="FA61" s="1256"/>
      <c r="FB61" s="1255">
        <f>(FB59*FB60*$G$59)*$FL$8</f>
        <v>0</v>
      </c>
      <c r="FC61" s="1256"/>
      <c r="FD61" s="1255">
        <f>(FD59*FD60*$G$59)*$FL$8</f>
        <v>0</v>
      </c>
      <c r="FE61" s="1256"/>
      <c r="FF61" s="1255">
        <f>(FF59*FF60*$G$59)*$FL$8</f>
        <v>0</v>
      </c>
      <c r="FG61" s="1256"/>
      <c r="FH61" s="1255">
        <f>(FH59*FH60*$G$59)*$FT$8</f>
        <v>0</v>
      </c>
      <c r="FI61" s="1256"/>
      <c r="FJ61" s="1255">
        <f>(FJ59*FJ60*$G$59)*$FT$8</f>
        <v>0</v>
      </c>
      <c r="FK61" s="1256"/>
      <c r="FL61" s="1255">
        <f>(FL59*FL60*$G$59)*$FT$8</f>
        <v>0</v>
      </c>
      <c r="FM61" s="1256"/>
      <c r="FN61" s="1255">
        <f>(FN59*FN60*$G$59)*$FT$8</f>
        <v>0</v>
      </c>
      <c r="FO61" s="1256"/>
      <c r="FP61" s="1255">
        <f>(FP59*FP60*$G$59)*$GD$8</f>
        <v>0</v>
      </c>
      <c r="FQ61" s="1256"/>
      <c r="FR61" s="1255">
        <f>(FR59*FR60*$G$59)*$GD$8</f>
        <v>0</v>
      </c>
      <c r="FS61" s="1256"/>
      <c r="FT61" s="1255">
        <f>(FT59*FT60*$G$59)*$GD$8</f>
        <v>0</v>
      </c>
      <c r="FU61" s="1256"/>
      <c r="FV61" s="1255">
        <f>(FV59*FV60*$G$59)*$GD$8</f>
        <v>0</v>
      </c>
      <c r="FW61" s="1256"/>
      <c r="FX61" s="1255">
        <f>(FX59*FX60*$G$59)*$GL$8</f>
        <v>0</v>
      </c>
      <c r="FY61" s="1256"/>
      <c r="FZ61" s="1255">
        <f>(FZ59*FZ60*$G$59)*$GL$8</f>
        <v>0</v>
      </c>
      <c r="GA61" s="1256"/>
      <c r="GB61" s="1255">
        <f>(GB59*GB60*$G$59)*$GL$8</f>
        <v>0</v>
      </c>
      <c r="GC61" s="1256"/>
      <c r="GD61" s="1255">
        <f>(GD59*GD60*$G$59)*$GL$8</f>
        <v>0</v>
      </c>
      <c r="GE61" s="1256"/>
      <c r="GF61" s="1255">
        <f>(GF59*GF60*$G$59)*$GT$8</f>
        <v>0</v>
      </c>
      <c r="GG61" s="1256"/>
      <c r="GH61" s="1255">
        <f>(GH59*GH60*$G$59)*$GT$8</f>
        <v>0</v>
      </c>
      <c r="GI61" s="1256"/>
      <c r="GJ61" s="1255">
        <f>(GJ59*GJ60*$G$59)*$GT$8</f>
        <v>0</v>
      </c>
      <c r="GK61" s="1256"/>
      <c r="GL61" s="1255">
        <f>(GL59*GL60*$G$59)*$GT$8</f>
        <v>0</v>
      </c>
      <c r="GM61" s="1256"/>
      <c r="GN61" s="1255">
        <f>(GN59*GN60*$G$59)*$GN$8</f>
        <v>0</v>
      </c>
      <c r="GO61" s="1256"/>
      <c r="GP61" s="1255">
        <f>(GP59*GP60*$G$59)*$GN$8</f>
        <v>0</v>
      </c>
      <c r="GQ61" s="1256"/>
      <c r="GR61" s="1255">
        <f>(GR59*GR60*$G$59)*$GN$8</f>
        <v>0</v>
      </c>
      <c r="GS61" s="1256"/>
      <c r="GT61" s="1255">
        <f>(GT59*GT60*$G$59)*$GN$8</f>
        <v>0</v>
      </c>
      <c r="GU61" s="1256"/>
      <c r="GV61" s="1255">
        <f>(GV59*GV60*$G$59)*$GN$8</f>
        <v>0</v>
      </c>
      <c r="GW61" s="1256"/>
      <c r="GX61" s="1255">
        <f>(GX59*GX60*$G$59)*$GN$8</f>
        <v>0</v>
      </c>
      <c r="GY61" s="1256"/>
      <c r="GZ61" s="1255">
        <f>(GZ59*GZ60*$G$59)*$GN$8</f>
        <v>0</v>
      </c>
      <c r="HA61" s="1256"/>
      <c r="HB61" s="1255">
        <f>(HB59*HB60*$G$59)*$GN$8</f>
        <v>0</v>
      </c>
      <c r="HC61" s="1256"/>
      <c r="HD61" s="1255">
        <f>(HD59*HD60*$G$59)*$GN$8</f>
        <v>0</v>
      </c>
      <c r="HE61" s="1256"/>
      <c r="HF61" s="1255">
        <f>(HF59*HF60*$G$59)*$GN$8</f>
        <v>0</v>
      </c>
      <c r="HG61" s="1256"/>
      <c r="HH61" s="1255">
        <f>(HH59*HH60*$G$59)*$GN$8</f>
        <v>0</v>
      </c>
      <c r="HI61" s="1256"/>
      <c r="HJ61" s="1255">
        <f>(HJ59*HJ60*$G$59)*$GN$8</f>
        <v>0</v>
      </c>
      <c r="HK61" s="1256"/>
    </row>
    <row r="62" spans="1:219">
      <c r="A62" s="1299"/>
      <c r="B62" s="1300"/>
      <c r="C62" s="1299"/>
      <c r="D62" s="1301"/>
      <c r="E62" s="1301"/>
      <c r="F62" s="1302"/>
      <c r="G62" s="1301"/>
      <c r="H62" s="726"/>
      <c r="I62" s="1303"/>
      <c r="J62" s="1304"/>
      <c r="K62" s="787" t="s">
        <v>294</v>
      </c>
      <c r="L62" s="1272">
        <f>L61</f>
        <v>0</v>
      </c>
      <c r="M62" s="1273"/>
      <c r="N62" s="1272">
        <f>L62+N61</f>
        <v>0</v>
      </c>
      <c r="O62" s="1273"/>
      <c r="P62" s="1272">
        <f>N62+P61</f>
        <v>0</v>
      </c>
      <c r="Q62" s="1273"/>
      <c r="R62" s="1272">
        <f>P62+R61</f>
        <v>0</v>
      </c>
      <c r="S62" s="1273"/>
      <c r="T62" s="1272">
        <f>R62+T61</f>
        <v>0</v>
      </c>
      <c r="U62" s="1273"/>
      <c r="V62" s="1272">
        <f>T62+V61</f>
        <v>0</v>
      </c>
      <c r="W62" s="1273"/>
      <c r="X62" s="1272">
        <f>V62+X61</f>
        <v>0</v>
      </c>
      <c r="Y62" s="1273"/>
      <c r="Z62" s="1272">
        <f>X62+Z61</f>
        <v>0</v>
      </c>
      <c r="AA62" s="1273"/>
      <c r="AB62" s="1272">
        <f>Z62+AB61</f>
        <v>0</v>
      </c>
      <c r="AC62" s="1273"/>
      <c r="AD62" s="1272">
        <f>AB62+AD61</f>
        <v>0</v>
      </c>
      <c r="AE62" s="1273"/>
      <c r="AF62" s="1272">
        <f>AD62+AF61</f>
        <v>0</v>
      </c>
      <c r="AG62" s="1273"/>
      <c r="AH62" s="1272">
        <f>AF62+AH61</f>
        <v>0</v>
      </c>
      <c r="AI62" s="1273"/>
      <c r="AJ62" s="1272">
        <f>AH62+AJ61</f>
        <v>0</v>
      </c>
      <c r="AK62" s="1273"/>
      <c r="AL62" s="1272">
        <f>AJ62+AL61</f>
        <v>0</v>
      </c>
      <c r="AM62" s="1273"/>
      <c r="AN62" s="1272">
        <f>AL62+AN61</f>
        <v>0</v>
      </c>
      <c r="AO62" s="1273"/>
      <c r="AP62" s="1272">
        <f>AN62+AP61</f>
        <v>0</v>
      </c>
      <c r="AQ62" s="1273"/>
      <c r="AR62" s="1272">
        <f>AP62+AR61</f>
        <v>3000.0000000000005</v>
      </c>
      <c r="AS62" s="1273"/>
      <c r="AT62" s="1272">
        <f>AR62+AT61</f>
        <v>3000.0000000000005</v>
      </c>
      <c r="AU62" s="1273"/>
      <c r="AV62" s="1272">
        <f>AT62+AV61</f>
        <v>3000.0000000000005</v>
      </c>
      <c r="AW62" s="1273"/>
      <c r="AX62" s="1272">
        <f>AV62+AX61</f>
        <v>3000.0000000000005</v>
      </c>
      <c r="AY62" s="1273"/>
      <c r="AZ62" s="1272">
        <f>AX62+AZ61</f>
        <v>3000.0000000000005</v>
      </c>
      <c r="BA62" s="1273"/>
      <c r="BB62" s="1272">
        <f>AZ62+BB61</f>
        <v>3000.0000000000005</v>
      </c>
      <c r="BC62" s="1273"/>
      <c r="BD62" s="1272">
        <f>BB62+BD61</f>
        <v>3000.0000000000005</v>
      </c>
      <c r="BE62" s="1273"/>
      <c r="BF62" s="1272">
        <f>BD62+BF61</f>
        <v>3000.0000000000005</v>
      </c>
      <c r="BG62" s="1273"/>
      <c r="BH62" s="1272">
        <f>BF62+BH61</f>
        <v>3000.0000000000005</v>
      </c>
      <c r="BI62" s="1273"/>
      <c r="BJ62" s="1272">
        <f>BH62+BJ61</f>
        <v>3000.0000000000005</v>
      </c>
      <c r="BK62" s="1273"/>
      <c r="BL62" s="1272">
        <f>BJ62+BL61</f>
        <v>3000.0000000000005</v>
      </c>
      <c r="BM62" s="1273"/>
      <c r="BN62" s="1272">
        <f>BL62+BN61</f>
        <v>3000.0000000000005</v>
      </c>
      <c r="BO62" s="1273"/>
      <c r="BP62" s="1272">
        <f>BN62+BP61</f>
        <v>3000.0000000000005</v>
      </c>
      <c r="BQ62" s="1273"/>
      <c r="BR62" s="1272">
        <f>BP62+BR61</f>
        <v>3000.0000000000005</v>
      </c>
      <c r="BS62" s="1273"/>
      <c r="BT62" s="1272">
        <f>BR62+BT61</f>
        <v>3000.0000000000005</v>
      </c>
      <c r="BU62" s="1273"/>
      <c r="BV62" s="1272">
        <f>BT62+BV61</f>
        <v>3000.0000000000005</v>
      </c>
      <c r="BW62" s="1273"/>
      <c r="BX62" s="1272">
        <f>BV62+BX61</f>
        <v>3000.0000000000005</v>
      </c>
      <c r="BY62" s="1273"/>
      <c r="BZ62" s="1272">
        <f>BX62+BZ61</f>
        <v>3000.0000000000005</v>
      </c>
      <c r="CA62" s="1273"/>
      <c r="CB62" s="1272">
        <f>BZ62+CB61</f>
        <v>3000.0000000000005</v>
      </c>
      <c r="CC62" s="1273"/>
      <c r="CD62" s="1272">
        <f>CB62+CD61</f>
        <v>3000.0000000000005</v>
      </c>
      <c r="CE62" s="1273"/>
      <c r="CF62" s="1272">
        <f>CD62+CF61</f>
        <v>3000.0000000000005</v>
      </c>
      <c r="CG62" s="1273"/>
      <c r="CH62" s="1272">
        <f>CF62+CH61</f>
        <v>3000.0000000000005</v>
      </c>
      <c r="CI62" s="1273"/>
      <c r="CJ62" s="1272">
        <f>CH62+CJ61</f>
        <v>3000.0000000000005</v>
      </c>
      <c r="CK62" s="1273"/>
      <c r="CL62" s="1272">
        <f>CJ62+CL61</f>
        <v>3000.0000000000005</v>
      </c>
      <c r="CM62" s="1273"/>
      <c r="CN62" s="1272">
        <f>CL62+CN61</f>
        <v>3000.0000000000005</v>
      </c>
      <c r="CO62" s="1273"/>
      <c r="CP62" s="1272">
        <f>CN62+CP61</f>
        <v>3000.0000000000005</v>
      </c>
      <c r="CQ62" s="1273"/>
      <c r="CR62" s="1272">
        <f>CP62+CR61</f>
        <v>3000.0000000000005</v>
      </c>
      <c r="CS62" s="1273"/>
      <c r="CT62" s="1272">
        <f>CR62+CT61</f>
        <v>3000.0000000000005</v>
      </c>
      <c r="CU62" s="1273"/>
      <c r="CV62" s="1272">
        <f>CT62+CV61</f>
        <v>3000.0000000000005</v>
      </c>
      <c r="CW62" s="1273"/>
      <c r="CX62" s="1272">
        <f>CV62+CX61</f>
        <v>3000.0000000000005</v>
      </c>
      <c r="CY62" s="1273"/>
      <c r="CZ62" s="1272">
        <f>CX62+CZ61</f>
        <v>3000.0000000000005</v>
      </c>
      <c r="DA62" s="1273"/>
      <c r="DB62" s="1272">
        <f>CZ62+DB61</f>
        <v>3000.0000000000005</v>
      </c>
      <c r="DC62" s="1273"/>
      <c r="DD62" s="1272">
        <f>DB62+DD61</f>
        <v>3000.0000000000005</v>
      </c>
      <c r="DE62" s="1273"/>
      <c r="DF62" s="1272">
        <f>DD62+DF61</f>
        <v>3000.0000000000005</v>
      </c>
      <c r="DG62" s="1273"/>
      <c r="DH62" s="1272">
        <f>DF62+DH61</f>
        <v>3000.0000000000005</v>
      </c>
      <c r="DI62" s="1273"/>
      <c r="DJ62" s="1323">
        <f>DH62+DJ61</f>
        <v>3000.0000000000005</v>
      </c>
      <c r="DK62" s="1324"/>
      <c r="DL62" s="1272">
        <f>DJ62+DL61</f>
        <v>3000.0000000000005</v>
      </c>
      <c r="DM62" s="1273"/>
      <c r="DN62" s="1272">
        <f>DL62+DN61</f>
        <v>3000.0000000000005</v>
      </c>
      <c r="DO62" s="1273"/>
      <c r="DP62" s="1272">
        <f>DN62+DP61</f>
        <v>3000.0000000000005</v>
      </c>
      <c r="DQ62" s="1273"/>
      <c r="DR62" s="1272">
        <f>DP62+DR61</f>
        <v>3000.0000000000005</v>
      </c>
      <c r="DS62" s="1273"/>
      <c r="DT62" s="1272">
        <f>DR62+DT61</f>
        <v>3000.0000000000005</v>
      </c>
      <c r="DU62" s="1273"/>
      <c r="DV62" s="1272">
        <f>DT62+DV61</f>
        <v>3000.0000000000005</v>
      </c>
      <c r="DW62" s="1273"/>
      <c r="DX62" s="1272">
        <f>DV62+DX61</f>
        <v>3000.0000000000005</v>
      </c>
      <c r="DY62" s="1273"/>
      <c r="DZ62" s="1272">
        <f>DX62+DZ61</f>
        <v>3000.0000000000005</v>
      </c>
      <c r="EA62" s="1273"/>
      <c r="EB62" s="1272">
        <f>DZ62+EB61</f>
        <v>3000.0000000000005</v>
      </c>
      <c r="EC62" s="1273"/>
      <c r="ED62" s="1272">
        <f>EB62+ED61</f>
        <v>3000.0000000000005</v>
      </c>
      <c r="EE62" s="1273"/>
      <c r="EF62" s="1272">
        <f>ED62+EF61</f>
        <v>3000.0000000000005</v>
      </c>
      <c r="EG62" s="1273"/>
      <c r="EH62" s="1272">
        <f>EF62+EH61</f>
        <v>3000.0000000000005</v>
      </c>
      <c r="EI62" s="1273"/>
      <c r="EJ62" s="1272">
        <f>EH62+EJ61</f>
        <v>3000.0000000000005</v>
      </c>
      <c r="EK62" s="1273"/>
      <c r="EL62" s="1272">
        <f>EJ62+EL61</f>
        <v>3000.0000000000005</v>
      </c>
      <c r="EM62" s="1273"/>
      <c r="EN62" s="1272">
        <f>EL62+EN61</f>
        <v>3000.0000000000005</v>
      </c>
      <c r="EO62" s="1273"/>
      <c r="EP62" s="1272">
        <f>EN62+EP61</f>
        <v>3000.0000000000005</v>
      </c>
      <c r="EQ62" s="1273"/>
      <c r="ER62" s="1272">
        <f>EP62+ER61</f>
        <v>3000.0000000000005</v>
      </c>
      <c r="ES62" s="1273"/>
      <c r="ET62" s="1272">
        <f>ER62+ET61</f>
        <v>3000.0000000000005</v>
      </c>
      <c r="EU62" s="1273"/>
      <c r="EV62" s="1272">
        <f>ET62+EV61</f>
        <v>3000.0000000000005</v>
      </c>
      <c r="EW62" s="1273"/>
      <c r="EX62" s="1272">
        <f>EV62+EX61</f>
        <v>3000.0000000000005</v>
      </c>
      <c r="EY62" s="1273"/>
      <c r="EZ62" s="1272">
        <f>EX62+EZ61</f>
        <v>3000.0000000000005</v>
      </c>
      <c r="FA62" s="1273"/>
      <c r="FB62" s="1272">
        <f>EZ62+FB61</f>
        <v>3000.0000000000005</v>
      </c>
      <c r="FC62" s="1273"/>
      <c r="FD62" s="1272">
        <f>FB62+FD61</f>
        <v>3000.0000000000005</v>
      </c>
      <c r="FE62" s="1273"/>
      <c r="FF62" s="1272">
        <f>FD62+FF61</f>
        <v>3000.0000000000005</v>
      </c>
      <c r="FG62" s="1273"/>
      <c r="FH62" s="1272">
        <f>FF62+FH61</f>
        <v>3000.0000000000005</v>
      </c>
      <c r="FI62" s="1273"/>
      <c r="FJ62" s="1272">
        <f>FH62+FJ61</f>
        <v>3000.0000000000005</v>
      </c>
      <c r="FK62" s="1273"/>
      <c r="FL62" s="1272">
        <f>FJ62+FL61</f>
        <v>3000.0000000000005</v>
      </c>
      <c r="FM62" s="1273"/>
      <c r="FN62" s="1272">
        <f>FL62+FN61</f>
        <v>3000.0000000000005</v>
      </c>
      <c r="FO62" s="1273"/>
      <c r="FP62" s="1272">
        <f>FN62+FP61</f>
        <v>3000.0000000000005</v>
      </c>
      <c r="FQ62" s="1273"/>
      <c r="FR62" s="1272">
        <f>FP62+FR61</f>
        <v>3000.0000000000005</v>
      </c>
      <c r="FS62" s="1273"/>
      <c r="FT62" s="1272">
        <f>FR62+FT61</f>
        <v>3000.0000000000005</v>
      </c>
      <c r="FU62" s="1273"/>
      <c r="FV62" s="1272">
        <f>FT62+FV61</f>
        <v>3000.0000000000005</v>
      </c>
      <c r="FW62" s="1273"/>
      <c r="FX62" s="1272">
        <f>FV62+FX61</f>
        <v>3000.0000000000005</v>
      </c>
      <c r="FY62" s="1273"/>
      <c r="FZ62" s="1272">
        <f>FX62+FZ61</f>
        <v>3000.0000000000005</v>
      </c>
      <c r="GA62" s="1273"/>
      <c r="GB62" s="1272">
        <f>FZ62+GB61</f>
        <v>3000.0000000000005</v>
      </c>
      <c r="GC62" s="1273"/>
      <c r="GD62" s="1272">
        <f>GB62+GD61</f>
        <v>3000.0000000000005</v>
      </c>
      <c r="GE62" s="1273"/>
      <c r="GF62" s="1272">
        <f>GD62+GF61</f>
        <v>3000.0000000000005</v>
      </c>
      <c r="GG62" s="1273"/>
      <c r="GH62" s="1272">
        <f>GF62+GH61</f>
        <v>3000.0000000000005</v>
      </c>
      <c r="GI62" s="1273"/>
      <c r="GJ62" s="1272">
        <f>GH62+GJ61</f>
        <v>3000.0000000000005</v>
      </c>
      <c r="GK62" s="1273"/>
      <c r="GL62" s="1272">
        <f>GJ62+GL61</f>
        <v>3000.0000000000005</v>
      </c>
      <c r="GM62" s="1273"/>
      <c r="GN62" s="1272">
        <f>GL62+GN61</f>
        <v>3000.0000000000005</v>
      </c>
      <c r="GO62" s="1273"/>
      <c r="GP62" s="1272">
        <f>GN62+GP61</f>
        <v>3000.0000000000005</v>
      </c>
      <c r="GQ62" s="1273"/>
      <c r="GR62" s="1272">
        <f>GP62+GR61</f>
        <v>3000.0000000000005</v>
      </c>
      <c r="GS62" s="1273"/>
      <c r="GT62" s="1272">
        <f>GR62+GT61</f>
        <v>3000.0000000000005</v>
      </c>
      <c r="GU62" s="1273"/>
      <c r="GV62" s="1272">
        <f>GT62+GV61</f>
        <v>3000.0000000000005</v>
      </c>
      <c r="GW62" s="1273"/>
      <c r="GX62" s="1272">
        <f>GV62+GX61</f>
        <v>3000.0000000000005</v>
      </c>
      <c r="GY62" s="1273"/>
      <c r="GZ62" s="1272">
        <f>GX62+GZ61</f>
        <v>3000.0000000000005</v>
      </c>
      <c r="HA62" s="1273"/>
      <c r="HB62" s="1272">
        <f>GZ62+HB61</f>
        <v>3000.0000000000005</v>
      </c>
      <c r="HC62" s="1273"/>
      <c r="HD62" s="1272">
        <f>HB62+HD61</f>
        <v>3000.0000000000005</v>
      </c>
      <c r="HE62" s="1273"/>
      <c r="HF62" s="1272">
        <f>HD62+HF61</f>
        <v>3000.0000000000005</v>
      </c>
      <c r="HG62" s="1273"/>
      <c r="HH62" s="1272">
        <f>HF62+HH61</f>
        <v>3000.0000000000005</v>
      </c>
      <c r="HI62" s="1273"/>
      <c r="HJ62" s="1272">
        <f>HH62+HJ61</f>
        <v>3000.0000000000005</v>
      </c>
      <c r="HK62" s="1273"/>
    </row>
    <row r="63" spans="1:219" s="19" customFormat="1">
      <c r="A63" s="1299"/>
      <c r="B63" s="1300"/>
      <c r="C63" s="1299"/>
      <c r="D63" s="1301"/>
      <c r="E63" s="1301"/>
      <c r="F63" s="1302"/>
      <c r="G63" s="1301"/>
      <c r="H63" s="788"/>
      <c r="I63" s="1303"/>
      <c r="J63" s="1304"/>
      <c r="K63" s="789" t="s">
        <v>295</v>
      </c>
      <c r="L63" s="1266"/>
      <c r="M63" s="1267"/>
      <c r="N63" s="1266"/>
      <c r="O63" s="1267"/>
      <c r="P63" s="1266"/>
      <c r="Q63" s="1267"/>
      <c r="R63" s="1266"/>
      <c r="S63" s="1267"/>
      <c r="T63" s="1266"/>
      <c r="U63" s="1267"/>
      <c r="V63" s="1266"/>
      <c r="W63" s="1267"/>
      <c r="X63" s="1266"/>
      <c r="Y63" s="1267"/>
      <c r="Z63" s="1266"/>
      <c r="AA63" s="1267"/>
      <c r="AB63" s="1266"/>
      <c r="AC63" s="1267"/>
      <c r="AD63" s="1266"/>
      <c r="AE63" s="1267"/>
      <c r="AF63" s="1266"/>
      <c r="AG63" s="1267"/>
      <c r="AH63" s="1266"/>
      <c r="AI63" s="1267"/>
      <c r="AJ63" s="1266"/>
      <c r="AK63" s="1267"/>
      <c r="AL63" s="1266"/>
      <c r="AM63" s="1267"/>
      <c r="AN63" s="1266"/>
      <c r="AO63" s="1267"/>
      <c r="AP63" s="1266"/>
      <c r="AQ63" s="1267"/>
      <c r="AR63" s="1266"/>
      <c r="AS63" s="1267"/>
      <c r="AT63" s="1266"/>
      <c r="AU63" s="1267"/>
      <c r="AV63" s="1266"/>
      <c r="AW63" s="1267"/>
      <c r="AX63" s="1266"/>
      <c r="AY63" s="1267"/>
      <c r="AZ63" s="1266"/>
      <c r="BA63" s="1267"/>
      <c r="BB63" s="1266"/>
      <c r="BC63" s="1267"/>
      <c r="BD63" s="1266"/>
      <c r="BE63" s="1267"/>
      <c r="BF63" s="1266"/>
      <c r="BG63" s="1267"/>
      <c r="BH63" s="1266"/>
      <c r="BI63" s="1267"/>
      <c r="BJ63" s="1266"/>
      <c r="BK63" s="1267"/>
      <c r="BL63" s="1266"/>
      <c r="BM63" s="1267"/>
      <c r="BN63" s="1266"/>
      <c r="BO63" s="1267"/>
      <c r="BP63" s="1266"/>
      <c r="BQ63" s="1267"/>
      <c r="BR63" s="1266"/>
      <c r="BS63" s="1267"/>
      <c r="BT63" s="1266"/>
      <c r="BU63" s="1267"/>
      <c r="BV63" s="1266"/>
      <c r="BW63" s="1267"/>
      <c r="BX63" s="1266"/>
      <c r="BY63" s="1267"/>
      <c r="BZ63" s="1266"/>
      <c r="CA63" s="1267"/>
      <c r="CB63" s="1266"/>
      <c r="CC63" s="1267"/>
      <c r="CD63" s="1266"/>
      <c r="CE63" s="1267"/>
      <c r="CF63" s="1266"/>
      <c r="CG63" s="1267"/>
      <c r="CH63" s="1266"/>
      <c r="CI63" s="1267"/>
      <c r="CJ63" s="1266"/>
      <c r="CK63" s="1267"/>
      <c r="CL63" s="1266"/>
      <c r="CM63" s="1267"/>
      <c r="CN63" s="1266"/>
      <c r="CO63" s="1267"/>
      <c r="CP63" s="1266"/>
      <c r="CQ63" s="1267"/>
      <c r="CR63" s="1266"/>
      <c r="CS63" s="1267"/>
      <c r="CT63" s="1266"/>
      <c r="CU63" s="1267"/>
      <c r="CV63" s="1266"/>
      <c r="CW63" s="1267"/>
      <c r="CX63" s="1266"/>
      <c r="CY63" s="1267"/>
      <c r="CZ63" s="1266"/>
      <c r="DA63" s="1267"/>
      <c r="DB63" s="1266"/>
      <c r="DC63" s="1267"/>
      <c r="DD63" s="1266"/>
      <c r="DE63" s="1267"/>
      <c r="DF63" s="1266"/>
      <c r="DG63" s="1267"/>
      <c r="DH63" s="1266"/>
      <c r="DI63" s="1267"/>
      <c r="DJ63" s="1268"/>
      <c r="DK63" s="1269"/>
      <c r="DL63" s="1266"/>
      <c r="DM63" s="1267"/>
      <c r="DN63" s="1266"/>
      <c r="DO63" s="1267"/>
      <c r="DP63" s="1266"/>
      <c r="DQ63" s="1267"/>
      <c r="DR63" s="1266"/>
      <c r="DS63" s="1267"/>
      <c r="DT63" s="1266"/>
      <c r="DU63" s="1267"/>
      <c r="DV63" s="1266"/>
      <c r="DW63" s="1267"/>
      <c r="DX63" s="1266"/>
      <c r="DY63" s="1267"/>
      <c r="DZ63" s="1266"/>
      <c r="EA63" s="1267"/>
      <c r="EB63" s="1266"/>
      <c r="EC63" s="1267"/>
      <c r="ED63" s="1266"/>
      <c r="EE63" s="1267"/>
      <c r="EF63" s="1266"/>
      <c r="EG63" s="1267"/>
      <c r="EH63" s="1266"/>
      <c r="EI63" s="1267"/>
      <c r="EJ63" s="1266"/>
      <c r="EK63" s="1267"/>
      <c r="EL63" s="1266"/>
      <c r="EM63" s="1267"/>
      <c r="EN63" s="1266"/>
      <c r="EO63" s="1267"/>
      <c r="EP63" s="1266"/>
      <c r="EQ63" s="1267"/>
      <c r="ER63" s="1266"/>
      <c r="ES63" s="1267"/>
      <c r="ET63" s="1266"/>
      <c r="EU63" s="1267"/>
      <c r="EV63" s="1266"/>
      <c r="EW63" s="1267"/>
      <c r="EX63" s="1266"/>
      <c r="EY63" s="1267"/>
      <c r="EZ63" s="1266"/>
      <c r="FA63" s="1267"/>
      <c r="FB63" s="1266"/>
      <c r="FC63" s="1267"/>
      <c r="FD63" s="1266"/>
      <c r="FE63" s="1267"/>
      <c r="FF63" s="1266"/>
      <c r="FG63" s="1267"/>
      <c r="FH63" s="1266"/>
      <c r="FI63" s="1267"/>
      <c r="FJ63" s="1266"/>
      <c r="FK63" s="1267"/>
      <c r="FL63" s="1266"/>
      <c r="FM63" s="1267"/>
      <c r="FN63" s="1266"/>
      <c r="FO63" s="1267"/>
      <c r="FP63" s="1266"/>
      <c r="FQ63" s="1267"/>
      <c r="FR63" s="1266"/>
      <c r="FS63" s="1267"/>
      <c r="FT63" s="1266"/>
      <c r="FU63" s="1267"/>
      <c r="FV63" s="1266"/>
      <c r="FW63" s="1267"/>
      <c r="FX63" s="1266"/>
      <c r="FY63" s="1267"/>
      <c r="FZ63" s="1266"/>
      <c r="GA63" s="1267"/>
      <c r="GB63" s="1266"/>
      <c r="GC63" s="1267"/>
      <c r="GD63" s="1266"/>
      <c r="GE63" s="1267"/>
      <c r="GF63" s="1266"/>
      <c r="GG63" s="1267"/>
      <c r="GH63" s="1266"/>
      <c r="GI63" s="1267"/>
      <c r="GJ63" s="1266"/>
      <c r="GK63" s="1267"/>
      <c r="GL63" s="1266"/>
      <c r="GM63" s="1267"/>
      <c r="GN63" s="1266"/>
      <c r="GO63" s="1267"/>
      <c r="GP63" s="1266"/>
      <c r="GQ63" s="1267"/>
      <c r="GR63" s="1266"/>
      <c r="GS63" s="1267"/>
      <c r="GT63" s="1266"/>
      <c r="GU63" s="1267"/>
      <c r="GV63" s="1266"/>
      <c r="GW63" s="1267"/>
      <c r="GX63" s="1266"/>
      <c r="GY63" s="1267"/>
      <c r="GZ63" s="1266"/>
      <c r="HA63" s="1267"/>
      <c r="HB63" s="1266"/>
      <c r="HC63" s="1267"/>
      <c r="HD63" s="1266"/>
      <c r="HE63" s="1267"/>
      <c r="HF63" s="1266"/>
      <c r="HG63" s="1267"/>
      <c r="HH63" s="1266"/>
      <c r="HI63" s="1267"/>
      <c r="HJ63" s="1266"/>
      <c r="HK63" s="1267"/>
    </row>
    <row r="64" spans="1:219" s="20" customFormat="1">
      <c r="A64" s="1299"/>
      <c r="B64" s="1300"/>
      <c r="C64" s="1299"/>
      <c r="D64" s="1301"/>
      <c r="E64" s="1301"/>
      <c r="F64" s="1302"/>
      <c r="G64" s="1301"/>
      <c r="H64" s="790"/>
      <c r="I64" s="1303"/>
      <c r="J64" s="1304"/>
      <c r="K64" s="791" t="s">
        <v>296</v>
      </c>
      <c r="L64" s="1259">
        <f>L63</f>
        <v>0</v>
      </c>
      <c r="M64" s="1260"/>
      <c r="N64" s="1259">
        <f>N63+L64</f>
        <v>0</v>
      </c>
      <c r="O64" s="1260"/>
      <c r="P64" s="1259">
        <f>P63+N64</f>
        <v>0</v>
      </c>
      <c r="Q64" s="1260"/>
      <c r="R64" s="1259">
        <f>R63+P64</f>
        <v>0</v>
      </c>
      <c r="S64" s="1260"/>
      <c r="T64" s="1259">
        <f>T63+R64</f>
        <v>0</v>
      </c>
      <c r="U64" s="1260"/>
      <c r="V64" s="1259">
        <f>V63+T64</f>
        <v>0</v>
      </c>
      <c r="W64" s="1260"/>
      <c r="X64" s="1259">
        <f>X63+V64</f>
        <v>0</v>
      </c>
      <c r="Y64" s="1260"/>
      <c r="Z64" s="1259">
        <f>Z63+X64</f>
        <v>0</v>
      </c>
      <c r="AA64" s="1260"/>
      <c r="AB64" s="1259">
        <f>AB63+Z64</f>
        <v>0</v>
      </c>
      <c r="AC64" s="1260"/>
      <c r="AD64" s="1259">
        <f>AD63+AB64</f>
        <v>0</v>
      </c>
      <c r="AE64" s="1260"/>
      <c r="AF64" s="1259">
        <f>AF63+AD64</f>
        <v>0</v>
      </c>
      <c r="AG64" s="1260"/>
      <c r="AH64" s="1259">
        <f>AH63+AF64</f>
        <v>0</v>
      </c>
      <c r="AI64" s="1260"/>
      <c r="AJ64" s="1259">
        <f>AJ63+AH64</f>
        <v>0</v>
      </c>
      <c r="AK64" s="1260"/>
      <c r="AL64" s="1259">
        <f>AL63+AJ64</f>
        <v>0</v>
      </c>
      <c r="AM64" s="1260"/>
      <c r="AN64" s="1259">
        <f>AN63+AL64</f>
        <v>0</v>
      </c>
      <c r="AO64" s="1260"/>
      <c r="AP64" s="1259">
        <f>AP63+AN64</f>
        <v>0</v>
      </c>
      <c r="AQ64" s="1260"/>
      <c r="AR64" s="1259">
        <f>AR63+AP64</f>
        <v>0</v>
      </c>
      <c r="AS64" s="1260"/>
      <c r="AT64" s="1259">
        <f>AT63+AR64</f>
        <v>0</v>
      </c>
      <c r="AU64" s="1260"/>
      <c r="AV64" s="1259">
        <f>AV63+AT64</f>
        <v>0</v>
      </c>
      <c r="AW64" s="1260"/>
      <c r="AX64" s="1259">
        <f>AX63+AV64</f>
        <v>0</v>
      </c>
      <c r="AY64" s="1260"/>
      <c r="AZ64" s="1259">
        <f>AZ63+AX64</f>
        <v>0</v>
      </c>
      <c r="BA64" s="1260"/>
      <c r="BB64" s="1259">
        <f>BB63+AZ64</f>
        <v>0</v>
      </c>
      <c r="BC64" s="1260"/>
      <c r="BD64" s="1259">
        <f>BD63+BB64</f>
        <v>0</v>
      </c>
      <c r="BE64" s="1260"/>
      <c r="BF64" s="1259">
        <f>BF63+BD64</f>
        <v>0</v>
      </c>
      <c r="BG64" s="1260"/>
      <c r="BH64" s="1259">
        <f>BH63+BF64</f>
        <v>0</v>
      </c>
      <c r="BI64" s="1260"/>
      <c r="BJ64" s="1259">
        <f>BJ63+BH64</f>
        <v>0</v>
      </c>
      <c r="BK64" s="1260"/>
      <c r="BL64" s="1259">
        <f>BL63+BJ64</f>
        <v>0</v>
      </c>
      <c r="BM64" s="1260"/>
      <c r="BN64" s="1259">
        <f>BN63+BL64</f>
        <v>0</v>
      </c>
      <c r="BO64" s="1260"/>
      <c r="BP64" s="1259">
        <f>BP63+BN64</f>
        <v>0</v>
      </c>
      <c r="BQ64" s="1260"/>
      <c r="BR64" s="1259">
        <f>BR63+BP64</f>
        <v>0</v>
      </c>
      <c r="BS64" s="1260"/>
      <c r="BT64" s="1259">
        <f>BT63+BR64</f>
        <v>0</v>
      </c>
      <c r="BU64" s="1260"/>
      <c r="BV64" s="1259">
        <f>BV63+BT64</f>
        <v>0</v>
      </c>
      <c r="BW64" s="1260"/>
      <c r="BX64" s="1259">
        <f>BX63+BV64</f>
        <v>0</v>
      </c>
      <c r="BY64" s="1260"/>
      <c r="BZ64" s="1259">
        <f>BZ63+BX64</f>
        <v>0</v>
      </c>
      <c r="CA64" s="1260"/>
      <c r="CB64" s="1259">
        <f>CB63+BZ64</f>
        <v>0</v>
      </c>
      <c r="CC64" s="1260"/>
      <c r="CD64" s="1259">
        <f>CD63+CB64</f>
        <v>0</v>
      </c>
      <c r="CE64" s="1260"/>
      <c r="CF64" s="1259">
        <f>CF63+CD64</f>
        <v>0</v>
      </c>
      <c r="CG64" s="1260"/>
      <c r="CH64" s="1259">
        <f>CH63+CF64</f>
        <v>0</v>
      </c>
      <c r="CI64" s="1260"/>
      <c r="CJ64" s="1259">
        <f>CJ63+CH64</f>
        <v>0</v>
      </c>
      <c r="CK64" s="1260"/>
      <c r="CL64" s="1259">
        <f>CL63+CJ64</f>
        <v>0</v>
      </c>
      <c r="CM64" s="1260"/>
      <c r="CN64" s="1259">
        <f>CN63+CL64</f>
        <v>0</v>
      </c>
      <c r="CO64" s="1260"/>
      <c r="CP64" s="1259">
        <f>CP63+CN64</f>
        <v>0</v>
      </c>
      <c r="CQ64" s="1260"/>
      <c r="CR64" s="1259">
        <f>CR63+CP64</f>
        <v>0</v>
      </c>
      <c r="CS64" s="1260"/>
      <c r="CT64" s="1259">
        <f>CT63+CR64</f>
        <v>0</v>
      </c>
      <c r="CU64" s="1260"/>
      <c r="CV64" s="1259">
        <f>CV63+CT64</f>
        <v>0</v>
      </c>
      <c r="CW64" s="1260"/>
      <c r="CX64" s="1259">
        <f>CX63+CV64</f>
        <v>0</v>
      </c>
      <c r="CY64" s="1260"/>
      <c r="CZ64" s="1259">
        <f>CZ63+CX64</f>
        <v>0</v>
      </c>
      <c r="DA64" s="1260"/>
      <c r="DB64" s="1259">
        <f>DB63+CZ64</f>
        <v>0</v>
      </c>
      <c r="DC64" s="1260"/>
      <c r="DD64" s="1259">
        <f>DD63+DB64</f>
        <v>0</v>
      </c>
      <c r="DE64" s="1260"/>
      <c r="DF64" s="1259">
        <f>DF63+DD64</f>
        <v>0</v>
      </c>
      <c r="DG64" s="1260"/>
      <c r="DH64" s="1259">
        <f>DH63+DF64</f>
        <v>0</v>
      </c>
      <c r="DI64" s="1260"/>
      <c r="DJ64" s="1261">
        <f>DJ63+DH64</f>
        <v>0</v>
      </c>
      <c r="DK64" s="1262"/>
      <c r="DL64" s="1259">
        <f>DL63+DJ64</f>
        <v>0</v>
      </c>
      <c r="DM64" s="1260"/>
      <c r="DN64" s="1259">
        <f>DN63+DL64</f>
        <v>0</v>
      </c>
      <c r="DO64" s="1260"/>
      <c r="DP64" s="1259">
        <f>DP63+DN64</f>
        <v>0</v>
      </c>
      <c r="DQ64" s="1260"/>
      <c r="DR64" s="1259">
        <f>DR63+DP64</f>
        <v>0</v>
      </c>
      <c r="DS64" s="1260"/>
      <c r="DT64" s="1259">
        <f>DT63+DR64</f>
        <v>0</v>
      </c>
      <c r="DU64" s="1260"/>
      <c r="DV64" s="1259">
        <f>DV63+DT64</f>
        <v>0</v>
      </c>
      <c r="DW64" s="1260"/>
      <c r="DX64" s="1259">
        <f>DX63+DV64</f>
        <v>0</v>
      </c>
      <c r="DY64" s="1260"/>
      <c r="DZ64" s="1259">
        <f>DZ63+DX64</f>
        <v>0</v>
      </c>
      <c r="EA64" s="1260"/>
      <c r="EB64" s="1259">
        <f>EB63+DZ64</f>
        <v>0</v>
      </c>
      <c r="EC64" s="1260"/>
      <c r="ED64" s="1259">
        <f>ED63+EB64</f>
        <v>0</v>
      </c>
      <c r="EE64" s="1260"/>
      <c r="EF64" s="1259">
        <f>EF63+ED64</f>
        <v>0</v>
      </c>
      <c r="EG64" s="1260"/>
      <c r="EH64" s="1259">
        <f>EH63+EF64</f>
        <v>0</v>
      </c>
      <c r="EI64" s="1260"/>
      <c r="EJ64" s="1259">
        <f>EJ63+EH64</f>
        <v>0</v>
      </c>
      <c r="EK64" s="1260"/>
      <c r="EL64" s="1259">
        <f>EL63+EJ64</f>
        <v>0</v>
      </c>
      <c r="EM64" s="1260"/>
      <c r="EN64" s="1259">
        <f>EN63+EL64</f>
        <v>0</v>
      </c>
      <c r="EO64" s="1260"/>
      <c r="EP64" s="1259">
        <f>EP63+EN64</f>
        <v>0</v>
      </c>
      <c r="EQ64" s="1260"/>
      <c r="ER64" s="1259">
        <f>ER63+EP64</f>
        <v>0</v>
      </c>
      <c r="ES64" s="1260"/>
      <c r="ET64" s="1259">
        <f>ET63+ER64</f>
        <v>0</v>
      </c>
      <c r="EU64" s="1260"/>
      <c r="EV64" s="1259">
        <f>EV63+ET64</f>
        <v>0</v>
      </c>
      <c r="EW64" s="1260"/>
      <c r="EX64" s="1259">
        <f>EX63+EV64</f>
        <v>0</v>
      </c>
      <c r="EY64" s="1260"/>
      <c r="EZ64" s="1259">
        <f>EZ63+EX64</f>
        <v>0</v>
      </c>
      <c r="FA64" s="1260"/>
      <c r="FB64" s="1259">
        <f>FB63+EZ64</f>
        <v>0</v>
      </c>
      <c r="FC64" s="1260"/>
      <c r="FD64" s="1259">
        <f>FD63+FB64</f>
        <v>0</v>
      </c>
      <c r="FE64" s="1260"/>
      <c r="FF64" s="1259">
        <f>FF63+FD64</f>
        <v>0</v>
      </c>
      <c r="FG64" s="1260"/>
      <c r="FH64" s="1259">
        <f>FH63+FF64</f>
        <v>0</v>
      </c>
      <c r="FI64" s="1260"/>
      <c r="FJ64" s="1259">
        <f>FJ63+FH64</f>
        <v>0</v>
      </c>
      <c r="FK64" s="1260"/>
      <c r="FL64" s="1259">
        <f>FL63+FJ64</f>
        <v>0</v>
      </c>
      <c r="FM64" s="1260"/>
      <c r="FN64" s="1259">
        <f>FN63+FL64</f>
        <v>0</v>
      </c>
      <c r="FO64" s="1260"/>
      <c r="FP64" s="1259">
        <f>FP63+FN64</f>
        <v>0</v>
      </c>
      <c r="FQ64" s="1260"/>
      <c r="FR64" s="1259">
        <f>FR63+FP64</f>
        <v>0</v>
      </c>
      <c r="FS64" s="1260"/>
      <c r="FT64" s="1259">
        <f>FT63+FR64</f>
        <v>0</v>
      </c>
      <c r="FU64" s="1260"/>
      <c r="FV64" s="1259">
        <f>FV63+FT64</f>
        <v>0</v>
      </c>
      <c r="FW64" s="1260"/>
      <c r="FX64" s="1259">
        <f>FX63+FV64</f>
        <v>0</v>
      </c>
      <c r="FY64" s="1260"/>
      <c r="FZ64" s="1259">
        <f>FZ63+FX64</f>
        <v>0</v>
      </c>
      <c r="GA64" s="1260"/>
      <c r="GB64" s="1259">
        <f>GB63+FZ64</f>
        <v>0</v>
      </c>
      <c r="GC64" s="1260"/>
      <c r="GD64" s="1259">
        <f>GD63+GB64</f>
        <v>0</v>
      </c>
      <c r="GE64" s="1260"/>
      <c r="GF64" s="1259">
        <f>GF63+GD64</f>
        <v>0</v>
      </c>
      <c r="GG64" s="1260"/>
      <c r="GH64" s="1259">
        <f>GH63+GF64</f>
        <v>0</v>
      </c>
      <c r="GI64" s="1260"/>
      <c r="GJ64" s="1259">
        <f>GJ63+GH64</f>
        <v>0</v>
      </c>
      <c r="GK64" s="1260"/>
      <c r="GL64" s="1259">
        <f>GL63+GJ64</f>
        <v>0</v>
      </c>
      <c r="GM64" s="1260"/>
      <c r="GN64" s="1259">
        <f>GN63+GL64</f>
        <v>0</v>
      </c>
      <c r="GO64" s="1260"/>
      <c r="GP64" s="1259">
        <f>GP63+GN64</f>
        <v>0</v>
      </c>
      <c r="GQ64" s="1260"/>
      <c r="GR64" s="1259">
        <f>GR63+GP64</f>
        <v>0</v>
      </c>
      <c r="GS64" s="1260"/>
      <c r="GT64" s="1259">
        <f>GT63+GR64</f>
        <v>0</v>
      </c>
      <c r="GU64" s="1260"/>
      <c r="GV64" s="1259">
        <f>GV63+GT64</f>
        <v>0</v>
      </c>
      <c r="GW64" s="1260"/>
      <c r="GX64" s="1259">
        <f>GX63+GV64</f>
        <v>0</v>
      </c>
      <c r="GY64" s="1260"/>
      <c r="GZ64" s="1259">
        <f>GZ63+GX64</f>
        <v>0</v>
      </c>
      <c r="HA64" s="1260"/>
      <c r="HB64" s="1259">
        <f>HB63+GZ64</f>
        <v>0</v>
      </c>
      <c r="HC64" s="1260"/>
      <c r="HD64" s="1259">
        <f>HD63+HB64</f>
        <v>0</v>
      </c>
      <c r="HE64" s="1260"/>
      <c r="HF64" s="1259">
        <f>HF63+HD64</f>
        <v>0</v>
      </c>
      <c r="HG64" s="1260"/>
      <c r="HH64" s="1259">
        <f>HH63+HF64</f>
        <v>0</v>
      </c>
      <c r="HI64" s="1260"/>
      <c r="HJ64" s="1259">
        <f>HJ63+HH64</f>
        <v>0</v>
      </c>
      <c r="HK64" s="1260"/>
    </row>
    <row r="65" spans="1:219" s="21" customFormat="1" ht="12" customHeight="1">
      <c r="A65" s="1299"/>
      <c r="B65" s="1300"/>
      <c r="C65" s="1299"/>
      <c r="D65" s="1301"/>
      <c r="E65" s="1301"/>
      <c r="F65" s="1302"/>
      <c r="G65" s="1301"/>
      <c r="H65" s="792"/>
      <c r="I65" s="1303"/>
      <c r="J65" s="1304"/>
      <c r="K65" s="793" t="s">
        <v>297</v>
      </c>
      <c r="L65" s="1270">
        <f>IF($E$59&gt;0,L62/$E$59,"-")</f>
        <v>0</v>
      </c>
      <c r="M65" s="1271"/>
      <c r="N65" s="1270">
        <f>IF($E$59&gt;0,N62/$E$59,"-")</f>
        <v>0</v>
      </c>
      <c r="O65" s="1271"/>
      <c r="P65" s="1270">
        <f>IF($E$59&gt;0,P62/$E$59,"-")</f>
        <v>0</v>
      </c>
      <c r="Q65" s="1271"/>
      <c r="R65" s="1270">
        <f>IF($E$59&gt;0,R62/$E$59,"-")</f>
        <v>0</v>
      </c>
      <c r="S65" s="1271"/>
      <c r="T65" s="1270">
        <f>IF($E$59&gt;0,T62/$E$59,"-")</f>
        <v>0</v>
      </c>
      <c r="U65" s="1271"/>
      <c r="V65" s="1270">
        <f>IF($E$59&gt;0,V62/$E$59,"-")</f>
        <v>0</v>
      </c>
      <c r="W65" s="1271"/>
      <c r="X65" s="1270">
        <f>IF($E$59&gt;0,X62/$E$59,"-")</f>
        <v>0</v>
      </c>
      <c r="Y65" s="1271"/>
      <c r="Z65" s="1270">
        <f>IF($E$59&gt;0,Z62/$E$59,"-")</f>
        <v>0</v>
      </c>
      <c r="AA65" s="1271"/>
      <c r="AB65" s="1270">
        <f>IF($E$59&gt;0,AB62/$E$59,"-")</f>
        <v>0</v>
      </c>
      <c r="AC65" s="1271"/>
      <c r="AD65" s="1270">
        <f>IF($E$59&gt;0,AD62/$E$59,"-")</f>
        <v>0</v>
      </c>
      <c r="AE65" s="1271"/>
      <c r="AF65" s="1270">
        <f>IF($E$59&gt;0,AF62/$E$59,"-")</f>
        <v>0</v>
      </c>
      <c r="AG65" s="1271"/>
      <c r="AH65" s="1270">
        <f>IF($E$59&gt;0,AH62/$E$59,"-")</f>
        <v>0</v>
      </c>
      <c r="AI65" s="1271"/>
      <c r="AJ65" s="1270">
        <f>IF($E$59&gt;0,AJ62/$E$59,"-")</f>
        <v>0</v>
      </c>
      <c r="AK65" s="1271"/>
      <c r="AL65" s="1270">
        <f>IF($E$59&gt;0,AL62/$E$59,"-")</f>
        <v>0</v>
      </c>
      <c r="AM65" s="1271"/>
      <c r="AN65" s="1270">
        <f>IF($E$59&gt;0,AN62/$E$59,"-")</f>
        <v>0</v>
      </c>
      <c r="AO65" s="1271"/>
      <c r="AP65" s="1270">
        <f>IF($E$59&gt;0,AP62/$E$59,"-")</f>
        <v>0</v>
      </c>
      <c r="AQ65" s="1271"/>
      <c r="AR65" s="1270">
        <f>IF($E$59&gt;0,AR62/$E$59,"-")</f>
        <v>3000.0000000000005</v>
      </c>
      <c r="AS65" s="1271"/>
      <c r="AT65" s="1270">
        <f>IF($E$59&gt;0,AT62/$E$59,"-")</f>
        <v>3000.0000000000005</v>
      </c>
      <c r="AU65" s="1271"/>
      <c r="AV65" s="1270">
        <f>IF($E$59&gt;0,AV62/$E$59,"-")</f>
        <v>3000.0000000000005</v>
      </c>
      <c r="AW65" s="1271"/>
      <c r="AX65" s="1270">
        <f>IF($E$59&gt;0,AX62/$E$59,"-")</f>
        <v>3000.0000000000005</v>
      </c>
      <c r="AY65" s="1271"/>
      <c r="AZ65" s="1270">
        <f>IF($E$59&gt;0,AZ62/$E$59,"-")</f>
        <v>3000.0000000000005</v>
      </c>
      <c r="BA65" s="1271"/>
      <c r="BB65" s="1270">
        <f>IF($E$59&gt;0,BB62/$E$59,"-")</f>
        <v>3000.0000000000005</v>
      </c>
      <c r="BC65" s="1271"/>
      <c r="BD65" s="1270">
        <f>IF($E$59&gt;0,BD62/$E$59,"-")</f>
        <v>3000.0000000000005</v>
      </c>
      <c r="BE65" s="1271"/>
      <c r="BF65" s="1270">
        <f>IF($E$59&gt;0,BF62/$E$59,"-")</f>
        <v>3000.0000000000005</v>
      </c>
      <c r="BG65" s="1271"/>
      <c r="BH65" s="1270">
        <f>IF($E$59&gt;0,BH62/$E$59,"-")</f>
        <v>3000.0000000000005</v>
      </c>
      <c r="BI65" s="1271"/>
      <c r="BJ65" s="1270">
        <f>IF($E$59&gt;0,BJ62/$E$59,"-")</f>
        <v>3000.0000000000005</v>
      </c>
      <c r="BK65" s="1271"/>
      <c r="BL65" s="1270">
        <f>IF($E$59&gt;0,BL62/$E$59,"-")</f>
        <v>3000.0000000000005</v>
      </c>
      <c r="BM65" s="1271"/>
      <c r="BN65" s="1270">
        <f>IF($E$59&gt;0,BN62/$E$59,"-")</f>
        <v>3000.0000000000005</v>
      </c>
      <c r="BO65" s="1271"/>
      <c r="BP65" s="1270">
        <f>IF($E$59&gt;0,BP62/$E$59,"-")</f>
        <v>3000.0000000000005</v>
      </c>
      <c r="BQ65" s="1271"/>
      <c r="BR65" s="1270">
        <f>IF($E$59&gt;0,BR62/$E$59,"-")</f>
        <v>3000.0000000000005</v>
      </c>
      <c r="BS65" s="1271"/>
      <c r="BT65" s="1270">
        <f>IF($E$59&gt;0,BT62/$E$59,"-")</f>
        <v>3000.0000000000005</v>
      </c>
      <c r="BU65" s="1271"/>
      <c r="BV65" s="1270">
        <f>IF($E$59&gt;0,BV62/$E$59,"-")</f>
        <v>3000.0000000000005</v>
      </c>
      <c r="BW65" s="1271"/>
      <c r="BX65" s="1270">
        <f>IF($E$59&gt;0,BX62/$E$59,"-")</f>
        <v>3000.0000000000005</v>
      </c>
      <c r="BY65" s="1271"/>
      <c r="BZ65" s="1270">
        <f>IF($E$59&gt;0,BZ62/$E$59,"-")</f>
        <v>3000.0000000000005</v>
      </c>
      <c r="CA65" s="1271"/>
      <c r="CB65" s="1270">
        <f>IF($E$59&gt;0,CB62/$E$59,"-")</f>
        <v>3000.0000000000005</v>
      </c>
      <c r="CC65" s="1271"/>
      <c r="CD65" s="1270">
        <f>IF($E$59&gt;0,CD62/$E$59,"-")</f>
        <v>3000.0000000000005</v>
      </c>
      <c r="CE65" s="1271"/>
      <c r="CF65" s="1270">
        <f>IF($E$59&gt;0,CF62/$E$59,"-")</f>
        <v>3000.0000000000005</v>
      </c>
      <c r="CG65" s="1271"/>
      <c r="CH65" s="1270">
        <f>IF($E$59&gt;0,CH62/$E$59,"-")</f>
        <v>3000.0000000000005</v>
      </c>
      <c r="CI65" s="1271"/>
      <c r="CJ65" s="1270">
        <f>IF($E$59&gt;0,CJ62/$E$59,"-")</f>
        <v>3000.0000000000005</v>
      </c>
      <c r="CK65" s="1271"/>
      <c r="CL65" s="1270">
        <f>IF($E$59&gt;0,CL62/$E$59,"-")</f>
        <v>3000.0000000000005</v>
      </c>
      <c r="CM65" s="1271"/>
      <c r="CN65" s="1270">
        <f>IF($E$59&gt;0,CN62/$E$59,"-")</f>
        <v>3000.0000000000005</v>
      </c>
      <c r="CO65" s="1271"/>
      <c r="CP65" s="1270">
        <f>IF($E$59&gt;0,CP62/$E$59,"-")</f>
        <v>3000.0000000000005</v>
      </c>
      <c r="CQ65" s="1271"/>
      <c r="CR65" s="1270">
        <f>IF($E$59&gt;0,CR62/$E$59,"-")</f>
        <v>3000.0000000000005</v>
      </c>
      <c r="CS65" s="1271"/>
      <c r="CT65" s="1270">
        <f>IF($E$59&gt;0,CT62/$E$59,"-")</f>
        <v>3000.0000000000005</v>
      </c>
      <c r="CU65" s="1271"/>
      <c r="CV65" s="1270">
        <f>IF($E$59&gt;0,CV62/$E$59,"-")</f>
        <v>3000.0000000000005</v>
      </c>
      <c r="CW65" s="1271"/>
      <c r="CX65" s="1270">
        <f>IF($E$59&gt;0,CX62/$E$59,"-")</f>
        <v>3000.0000000000005</v>
      </c>
      <c r="CY65" s="1271"/>
      <c r="CZ65" s="1270">
        <f>IF($E$59&gt;0,CZ62/$E$59,"-")</f>
        <v>3000.0000000000005</v>
      </c>
      <c r="DA65" s="1271"/>
      <c r="DB65" s="1270">
        <f>IF($E$59&gt;0,DB62/$E$59,"-")</f>
        <v>3000.0000000000005</v>
      </c>
      <c r="DC65" s="1271"/>
      <c r="DD65" s="1270">
        <f>IF($E$59&gt;0,DD62/$E$59,"-")</f>
        <v>3000.0000000000005</v>
      </c>
      <c r="DE65" s="1271"/>
      <c r="DF65" s="1270">
        <f>IF($E$59&gt;0,DF62/$E$59,"-")</f>
        <v>3000.0000000000005</v>
      </c>
      <c r="DG65" s="1271"/>
      <c r="DH65" s="1270">
        <f>IF($E$59&gt;0,DH62/$E$59,"-")</f>
        <v>3000.0000000000005</v>
      </c>
      <c r="DI65" s="1271"/>
      <c r="DJ65" s="1325">
        <f>IF($E$59&gt;0,DJ62/$E$59,"-")</f>
        <v>3000.0000000000005</v>
      </c>
      <c r="DK65" s="1326"/>
      <c r="DL65" s="1270">
        <f>IF($E$59&gt;0,DL62/$E$59,"-")</f>
        <v>3000.0000000000005</v>
      </c>
      <c r="DM65" s="1271"/>
      <c r="DN65" s="1270">
        <f>IF($E$59&gt;0,DN62/$E$59,"-")</f>
        <v>3000.0000000000005</v>
      </c>
      <c r="DO65" s="1271"/>
      <c r="DP65" s="1270">
        <f>IF($E$59&gt;0,DP62/$E$59,"-")</f>
        <v>3000.0000000000005</v>
      </c>
      <c r="DQ65" s="1271"/>
      <c r="DR65" s="1270">
        <f>IF($E$59&gt;0,DR62/$E$59,"-")</f>
        <v>3000.0000000000005</v>
      </c>
      <c r="DS65" s="1271"/>
      <c r="DT65" s="1270">
        <f>IF($E$59&gt;0,DT62/$E$59,"-")</f>
        <v>3000.0000000000005</v>
      </c>
      <c r="DU65" s="1271"/>
      <c r="DV65" s="1270">
        <f>IF($E$59&gt;0,DV62/$E$59,"-")</f>
        <v>3000.0000000000005</v>
      </c>
      <c r="DW65" s="1271"/>
      <c r="DX65" s="1270">
        <f>IF($E$59&gt;0,DX62/$E$59,"-")</f>
        <v>3000.0000000000005</v>
      </c>
      <c r="DY65" s="1271"/>
      <c r="DZ65" s="1270">
        <f>IF($E$59&gt;0,DZ62/$E$59,"-")</f>
        <v>3000.0000000000005</v>
      </c>
      <c r="EA65" s="1271"/>
      <c r="EB65" s="1270">
        <f>IF($E$59&gt;0,EB62/$E$59,"-")</f>
        <v>3000.0000000000005</v>
      </c>
      <c r="EC65" s="1271"/>
      <c r="ED65" s="1270">
        <f>IF($E$59&gt;0,ED62/$E$59,"-")</f>
        <v>3000.0000000000005</v>
      </c>
      <c r="EE65" s="1271"/>
      <c r="EF65" s="1270">
        <f>IF($E$59&gt;0,EF62/$E$59,"-")</f>
        <v>3000.0000000000005</v>
      </c>
      <c r="EG65" s="1271"/>
      <c r="EH65" s="1270">
        <f>IF($E$59&gt;0,EH62/$E$59,"-")</f>
        <v>3000.0000000000005</v>
      </c>
      <c r="EI65" s="1271"/>
      <c r="EJ65" s="1270">
        <f>IF($E$59&gt;0,EJ62/$E$59,"-")</f>
        <v>3000.0000000000005</v>
      </c>
      <c r="EK65" s="1271"/>
      <c r="EL65" s="1270">
        <f>IF($E$59&gt;0,EL62/$E$59,"-")</f>
        <v>3000.0000000000005</v>
      </c>
      <c r="EM65" s="1271"/>
      <c r="EN65" s="1270">
        <f>IF($E$59&gt;0,EN62/$E$59,"-")</f>
        <v>3000.0000000000005</v>
      </c>
      <c r="EO65" s="1271"/>
      <c r="EP65" s="1270">
        <f>IF($E$59&gt;0,EP62/$E$59,"-")</f>
        <v>3000.0000000000005</v>
      </c>
      <c r="EQ65" s="1271"/>
      <c r="ER65" s="1270">
        <f>IF($E$59&gt;0,ER62/$E$59,"-")</f>
        <v>3000.0000000000005</v>
      </c>
      <c r="ES65" s="1271"/>
      <c r="ET65" s="1270">
        <f>IF($E$59&gt;0,ET62/$E$59,"-")</f>
        <v>3000.0000000000005</v>
      </c>
      <c r="EU65" s="1271"/>
      <c r="EV65" s="1270">
        <f>IF($E$59&gt;0,EV62/$E$59,"-")</f>
        <v>3000.0000000000005</v>
      </c>
      <c r="EW65" s="1271"/>
      <c r="EX65" s="1270">
        <f>IF($E$59&gt;0,EX62/$E$59,"-")</f>
        <v>3000.0000000000005</v>
      </c>
      <c r="EY65" s="1271"/>
      <c r="EZ65" s="1270">
        <f>IF($E$59&gt;0,EZ62/$E$59,"-")</f>
        <v>3000.0000000000005</v>
      </c>
      <c r="FA65" s="1271"/>
      <c r="FB65" s="1270">
        <f>IF($E$59&gt;0,FB62/$E$59,"-")</f>
        <v>3000.0000000000005</v>
      </c>
      <c r="FC65" s="1271"/>
      <c r="FD65" s="1270">
        <f>IF($E$59&gt;0,FD62/$E$59,"-")</f>
        <v>3000.0000000000005</v>
      </c>
      <c r="FE65" s="1271"/>
      <c r="FF65" s="1270">
        <f>IF($E$59&gt;0,FF62/$E$59,"-")</f>
        <v>3000.0000000000005</v>
      </c>
      <c r="FG65" s="1271"/>
      <c r="FH65" s="1270">
        <f>IF($E$59&gt;0,FH62/$E$59,"-")</f>
        <v>3000.0000000000005</v>
      </c>
      <c r="FI65" s="1271"/>
      <c r="FJ65" s="1270">
        <f>IF($E$59&gt;0,FJ62/$E$59,"-")</f>
        <v>3000.0000000000005</v>
      </c>
      <c r="FK65" s="1271"/>
      <c r="FL65" s="1270">
        <f>IF($E$59&gt;0,FL62/$E$59,"-")</f>
        <v>3000.0000000000005</v>
      </c>
      <c r="FM65" s="1271"/>
      <c r="FN65" s="1270">
        <f>IF($E$59&gt;0,FN62/$E$59,"-")</f>
        <v>3000.0000000000005</v>
      </c>
      <c r="FO65" s="1271"/>
      <c r="FP65" s="1270">
        <f>IF($E$59&gt;0,FP62/$E$59,"-")</f>
        <v>3000.0000000000005</v>
      </c>
      <c r="FQ65" s="1271"/>
      <c r="FR65" s="1270">
        <f>IF($E$59&gt;0,FR62/$E$59,"-")</f>
        <v>3000.0000000000005</v>
      </c>
      <c r="FS65" s="1271"/>
      <c r="FT65" s="1270">
        <f>IF($E$59&gt;0,FT62/$E$59,"-")</f>
        <v>3000.0000000000005</v>
      </c>
      <c r="FU65" s="1271"/>
      <c r="FV65" s="1270">
        <f>IF($E$59&gt;0,FV62/$E$59,"-")</f>
        <v>3000.0000000000005</v>
      </c>
      <c r="FW65" s="1271"/>
      <c r="FX65" s="1270">
        <f>IF($E$59&gt;0,FX62/$E$59,"-")</f>
        <v>3000.0000000000005</v>
      </c>
      <c r="FY65" s="1271"/>
      <c r="FZ65" s="1270">
        <f>IF($E$59&gt;0,FZ62/$E$59,"-")</f>
        <v>3000.0000000000005</v>
      </c>
      <c r="GA65" s="1271"/>
      <c r="GB65" s="1270">
        <f>IF($E$59&gt;0,GB62/$E$59,"-")</f>
        <v>3000.0000000000005</v>
      </c>
      <c r="GC65" s="1271"/>
      <c r="GD65" s="1270">
        <f>IF($E$59&gt;0,GD62/$E$59,"-")</f>
        <v>3000.0000000000005</v>
      </c>
      <c r="GE65" s="1271"/>
      <c r="GF65" s="1270">
        <f>IF($E$59&gt;0,GF62/$E$59,"-")</f>
        <v>3000.0000000000005</v>
      </c>
      <c r="GG65" s="1271"/>
      <c r="GH65" s="1270">
        <f>IF($E$59&gt;0,GH62/$E$59,"-")</f>
        <v>3000.0000000000005</v>
      </c>
      <c r="GI65" s="1271"/>
      <c r="GJ65" s="1270">
        <f>IF($E$59&gt;0,GJ62/$E$59,"-")</f>
        <v>3000.0000000000005</v>
      </c>
      <c r="GK65" s="1271"/>
      <c r="GL65" s="1270">
        <f>IF($E$59&gt;0,GL62/$E$59,"-")</f>
        <v>3000.0000000000005</v>
      </c>
      <c r="GM65" s="1271"/>
      <c r="GN65" s="1270">
        <f>IF($E$59&gt;0,GN62/$E$59,"-")</f>
        <v>3000.0000000000005</v>
      </c>
      <c r="GO65" s="1271"/>
      <c r="GP65" s="1270">
        <f>IF($E$59&gt;0,GP62/$E$59,"-")</f>
        <v>3000.0000000000005</v>
      </c>
      <c r="GQ65" s="1271"/>
      <c r="GR65" s="1270">
        <f>IF($E$59&gt;0,GR62/$E$59,"-")</f>
        <v>3000.0000000000005</v>
      </c>
      <c r="GS65" s="1271"/>
      <c r="GT65" s="1270">
        <f>IF($E$59&gt;0,GT62/$E$59,"-")</f>
        <v>3000.0000000000005</v>
      </c>
      <c r="GU65" s="1271"/>
      <c r="GV65" s="1270">
        <f>IF($E$59&gt;0,GV62/$E$59,"-")</f>
        <v>3000.0000000000005</v>
      </c>
      <c r="GW65" s="1271"/>
      <c r="GX65" s="1270">
        <f>IF($E$59&gt;0,GX62/$E$59,"-")</f>
        <v>3000.0000000000005</v>
      </c>
      <c r="GY65" s="1271"/>
      <c r="GZ65" s="1270">
        <f>IF($E$59&gt;0,GZ62/$E$59,"-")</f>
        <v>3000.0000000000005</v>
      </c>
      <c r="HA65" s="1271"/>
      <c r="HB65" s="1270">
        <f>IF($E$59&gt;0,HB62/$E$59,"-")</f>
        <v>3000.0000000000005</v>
      </c>
      <c r="HC65" s="1271"/>
      <c r="HD65" s="1270">
        <f>IF($E$59&gt;0,HD62/$E$59,"-")</f>
        <v>3000.0000000000005</v>
      </c>
      <c r="HE65" s="1271"/>
      <c r="HF65" s="1270">
        <f>IF($E$59&gt;0,HF62/$E$59,"-")</f>
        <v>3000.0000000000005</v>
      </c>
      <c r="HG65" s="1271"/>
      <c r="HH65" s="1270">
        <f>IF($E$59&gt;0,HH62/$E$59,"-")</f>
        <v>3000.0000000000005</v>
      </c>
      <c r="HI65" s="1271"/>
      <c r="HJ65" s="1270">
        <f>IF($E$59&gt;0,HJ62/$E$59,"-")</f>
        <v>3000.0000000000005</v>
      </c>
      <c r="HK65" s="1271"/>
    </row>
    <row r="66" spans="1:219">
      <c r="A66" s="1299"/>
      <c r="B66" s="1300"/>
      <c r="C66" s="1299"/>
      <c r="D66" s="1301"/>
      <c r="E66" s="1301"/>
      <c r="F66" s="1302"/>
      <c r="G66" s="1301"/>
      <c r="H66" s="726"/>
      <c r="I66" s="1303"/>
      <c r="J66" s="1304"/>
      <c r="K66" s="794" t="s">
        <v>298</v>
      </c>
      <c r="L66" s="1294">
        <f>IF($E$59&gt;0,L64/$E$59,"-")</f>
        <v>0</v>
      </c>
      <c r="M66" s="1295"/>
      <c r="N66" s="1294">
        <f>IF($E$59&gt;0,N64/$E$59,"-")</f>
        <v>0</v>
      </c>
      <c r="O66" s="1295"/>
      <c r="P66" s="1294">
        <f>IF($E$59&gt;0,P64/$E$59,"-")</f>
        <v>0</v>
      </c>
      <c r="Q66" s="1295"/>
      <c r="R66" s="1294">
        <f>IF($E$59&gt;0,R64/$E$59,"-")</f>
        <v>0</v>
      </c>
      <c r="S66" s="1295"/>
      <c r="T66" s="1294">
        <f>IF($E$59&gt;0,T64/$E$59,"-")</f>
        <v>0</v>
      </c>
      <c r="U66" s="1295"/>
      <c r="V66" s="1294">
        <f>IF($E$59&gt;0,V64/$E$59,"-")</f>
        <v>0</v>
      </c>
      <c r="W66" s="1295"/>
      <c r="X66" s="1294">
        <f>IF($E$59&gt;0,X64/$E$59,"-")</f>
        <v>0</v>
      </c>
      <c r="Y66" s="1295"/>
      <c r="Z66" s="1294">
        <f>IF($E$59&gt;0,Z64/$E$59,"-")</f>
        <v>0</v>
      </c>
      <c r="AA66" s="1295"/>
      <c r="AB66" s="1294">
        <f>IF($E$59&gt;0,AB64/$E$59,"-")</f>
        <v>0</v>
      </c>
      <c r="AC66" s="1295"/>
      <c r="AD66" s="1294">
        <f>IF($E$59&gt;0,AD64/$E$59,"-")</f>
        <v>0</v>
      </c>
      <c r="AE66" s="1295"/>
      <c r="AF66" s="1294">
        <f>IF($E$59&gt;0,AF64/$E$59,"-")</f>
        <v>0</v>
      </c>
      <c r="AG66" s="1295"/>
      <c r="AH66" s="1294">
        <f>IF($E$59&gt;0,AH64/$E$59,"-")</f>
        <v>0</v>
      </c>
      <c r="AI66" s="1295"/>
      <c r="AJ66" s="1294">
        <f>IF($E$59&gt;0,AJ64/$E$59,"-")</f>
        <v>0</v>
      </c>
      <c r="AK66" s="1295"/>
      <c r="AL66" s="1294">
        <f>IF($E$59&gt;0,AL64/$E$59,"-")</f>
        <v>0</v>
      </c>
      <c r="AM66" s="1295"/>
      <c r="AN66" s="1294">
        <f>IF($E$59&gt;0,AN64/$E$59,"-")</f>
        <v>0</v>
      </c>
      <c r="AO66" s="1295"/>
      <c r="AP66" s="1294">
        <f>IF($E$59&gt;0,AP64/$E$59,"-")</f>
        <v>0</v>
      </c>
      <c r="AQ66" s="1295"/>
      <c r="AR66" s="1294">
        <f>IF($E$59&gt;0,AR64/$E$59,"-")</f>
        <v>0</v>
      </c>
      <c r="AS66" s="1295"/>
      <c r="AT66" s="1294">
        <f>IF($E$59&gt;0,AT64/$E$59,"-")</f>
        <v>0</v>
      </c>
      <c r="AU66" s="1295"/>
      <c r="AV66" s="1294">
        <f>IF($E$59&gt;0,AV64/$E$59,"-")</f>
        <v>0</v>
      </c>
      <c r="AW66" s="1295"/>
      <c r="AX66" s="1294">
        <f>IF($E$59&gt;0,AX64/$E$59,"-")</f>
        <v>0</v>
      </c>
      <c r="AY66" s="1295"/>
      <c r="AZ66" s="1294">
        <f>IF($E$59&gt;0,AZ64/$E$59,"-")</f>
        <v>0</v>
      </c>
      <c r="BA66" s="1295"/>
      <c r="BB66" s="1294">
        <f>IF($E$59&gt;0,BB64/$E$59,"-")</f>
        <v>0</v>
      </c>
      <c r="BC66" s="1295"/>
      <c r="BD66" s="1294">
        <f>IF($E$59&gt;0,BD64/$E$59,"-")</f>
        <v>0</v>
      </c>
      <c r="BE66" s="1295"/>
      <c r="BF66" s="1294">
        <f>IF($E$59&gt;0,BF64/$E$59,"-")</f>
        <v>0</v>
      </c>
      <c r="BG66" s="1295"/>
      <c r="BH66" s="1294">
        <f>IF($E$59&gt;0,BH64/$E$59,"-")</f>
        <v>0</v>
      </c>
      <c r="BI66" s="1295"/>
      <c r="BJ66" s="1294">
        <f>IF($E$59&gt;0,BJ64/$E$59,"-")</f>
        <v>0</v>
      </c>
      <c r="BK66" s="1295"/>
      <c r="BL66" s="1294">
        <f>IF($E$59&gt;0,BL64/$E$59,"-")</f>
        <v>0</v>
      </c>
      <c r="BM66" s="1295"/>
      <c r="BN66" s="1294">
        <f>IF($E$59&gt;0,BN64/$E$59,"-")</f>
        <v>0</v>
      </c>
      <c r="BO66" s="1295"/>
      <c r="BP66" s="1294">
        <f>IF($E$59&gt;0,BP64/$E$59,"-")</f>
        <v>0</v>
      </c>
      <c r="BQ66" s="1295"/>
      <c r="BR66" s="1253">
        <f>IF($E$59&gt;0,BR64/$E$59,"-")</f>
        <v>0</v>
      </c>
      <c r="BS66" s="1253"/>
      <c r="BT66" s="1253">
        <f>IF($E$59&gt;0,BT64/$E$59,"-")</f>
        <v>0</v>
      </c>
      <c r="BU66" s="1253"/>
      <c r="BV66" s="1253">
        <f>IF($E$59&gt;0,BV64/$E$59,"-")</f>
        <v>0</v>
      </c>
      <c r="BW66" s="1253"/>
      <c r="BX66" s="1253">
        <f>IF($E$59&gt;0,BX64/$E$59,"-")</f>
        <v>0</v>
      </c>
      <c r="BY66" s="1253"/>
      <c r="BZ66" s="1253">
        <f>IF($E$59&gt;0,BZ64/$E$59,"-")</f>
        <v>0</v>
      </c>
      <c r="CA66" s="1253"/>
      <c r="CB66" s="1253">
        <f>IF($E$59&gt;0,CB64/$E$59,"-")</f>
        <v>0</v>
      </c>
      <c r="CC66" s="1253"/>
      <c r="CD66" s="1253">
        <f>IF($E$59&gt;0,CD64/$E$59,"-")</f>
        <v>0</v>
      </c>
      <c r="CE66" s="1253"/>
      <c r="CF66" s="1253">
        <f>IF($E$59&gt;0,CF64/$E$59,"-")</f>
        <v>0</v>
      </c>
      <c r="CG66" s="1253"/>
      <c r="CH66" s="1253">
        <f>IF($E$59&gt;0,CH64/$E$59,"-")</f>
        <v>0</v>
      </c>
      <c r="CI66" s="1253"/>
      <c r="CJ66" s="1253">
        <f>IF($E$59&gt;0,CJ64/$E$59,"-")</f>
        <v>0</v>
      </c>
      <c r="CK66" s="1253"/>
      <c r="CL66" s="1253">
        <f>IF($E$59&gt;0,CL64/$E$59,"-")</f>
        <v>0</v>
      </c>
      <c r="CM66" s="1253"/>
      <c r="CN66" s="1253">
        <f>IF($E$59&gt;0,CN64/$E$59,"-")</f>
        <v>0</v>
      </c>
      <c r="CO66" s="1253"/>
      <c r="CP66" s="1253">
        <f>IF($E$59&gt;0,CP64/$E$59,"-")</f>
        <v>0</v>
      </c>
      <c r="CQ66" s="1253"/>
      <c r="CR66" s="1253">
        <f>IF($E$59&gt;0,CR64/$E$59,"-")</f>
        <v>0</v>
      </c>
      <c r="CS66" s="1253"/>
      <c r="CT66" s="1253">
        <f>IF($E$59&gt;0,CT64/$E$59,"-")</f>
        <v>0</v>
      </c>
      <c r="CU66" s="1253"/>
      <c r="CV66" s="1253">
        <f>IF($E$59&gt;0,CV64/$E$59,"-")</f>
        <v>0</v>
      </c>
      <c r="CW66" s="1253"/>
      <c r="CX66" s="1253">
        <f>IF($E$59&gt;0,CX64/$E$59,"-")</f>
        <v>0</v>
      </c>
      <c r="CY66" s="1253"/>
      <c r="CZ66" s="1253">
        <f>IF($E$59&gt;0,CZ64/$E$59,"-")</f>
        <v>0</v>
      </c>
      <c r="DA66" s="1253"/>
      <c r="DB66" s="1253">
        <f>IF($E$59&gt;0,DB64/$E$59,"-")</f>
        <v>0</v>
      </c>
      <c r="DC66" s="1253"/>
      <c r="DD66" s="1253">
        <f>IF($E$59&gt;0,DD64/$E$59,"-")</f>
        <v>0</v>
      </c>
      <c r="DE66" s="1253"/>
      <c r="DF66" s="1253">
        <f>IF($E$59&gt;0,DF64/$E$59,"-")</f>
        <v>0</v>
      </c>
      <c r="DG66" s="1253"/>
      <c r="DH66" s="1253">
        <f>IF($E$59&gt;0,DH64/$E$59,"-")</f>
        <v>0</v>
      </c>
      <c r="DI66" s="1253"/>
      <c r="DJ66" s="1254">
        <f>IF($E$59&gt;0,DJ64/$E$59,"-")</f>
        <v>0</v>
      </c>
      <c r="DK66" s="1254"/>
      <c r="DL66" s="1253">
        <f>IF($E$59&gt;0,DL64/$E$59,"-")</f>
        <v>0</v>
      </c>
      <c r="DM66" s="1253"/>
      <c r="DN66" s="1253">
        <f>IF($E$59&gt;0,DN64/$E$59,"-")</f>
        <v>0</v>
      </c>
      <c r="DO66" s="1253"/>
      <c r="DP66" s="1253">
        <f>IF($E$59&gt;0,DP64/$E$59,"-")</f>
        <v>0</v>
      </c>
      <c r="DQ66" s="1253"/>
      <c r="DR66" s="1253">
        <f>IF($E$59&gt;0,DR64/$E$59,"-")</f>
        <v>0</v>
      </c>
      <c r="DS66" s="1253"/>
      <c r="DT66" s="1253">
        <f>IF($E$59&gt;0,DT64/$E$59,"-")</f>
        <v>0</v>
      </c>
      <c r="DU66" s="1253"/>
      <c r="DV66" s="1253">
        <f>IF($E$59&gt;0,DV64/$E$59,"-")</f>
        <v>0</v>
      </c>
      <c r="DW66" s="1253"/>
      <c r="DX66" s="1253">
        <f>IF($E$59&gt;0,DX64/$E$59,"-")</f>
        <v>0</v>
      </c>
      <c r="DY66" s="1253"/>
      <c r="DZ66" s="1253">
        <f>IF($E$59&gt;0,DZ64/$E$59,"-")</f>
        <v>0</v>
      </c>
      <c r="EA66" s="1253"/>
      <c r="EB66" s="1253">
        <f>IF($E$59&gt;0,EB64/$E$59,"-")</f>
        <v>0</v>
      </c>
      <c r="EC66" s="1253"/>
      <c r="ED66" s="1253">
        <f>IF($E$59&gt;0,ED64/$E$59,"-")</f>
        <v>0</v>
      </c>
      <c r="EE66" s="1253"/>
      <c r="EF66" s="1253">
        <f>IF($E$59&gt;0,EF64/$E$59,"-")</f>
        <v>0</v>
      </c>
      <c r="EG66" s="1253"/>
      <c r="EH66" s="1253">
        <f>IF($E$59&gt;0,EH64/$E$59,"-")</f>
        <v>0</v>
      </c>
      <c r="EI66" s="1253"/>
      <c r="EJ66" s="1253">
        <f>IF($E$59&gt;0,EJ64/$E$59,"-")</f>
        <v>0</v>
      </c>
      <c r="EK66" s="1253"/>
      <c r="EL66" s="1253">
        <f>IF($E$59&gt;0,EL64/$E$59,"-")</f>
        <v>0</v>
      </c>
      <c r="EM66" s="1253"/>
      <c r="EN66" s="1253">
        <f>IF($E$59&gt;0,EN64/$E$59,"-")</f>
        <v>0</v>
      </c>
      <c r="EO66" s="1253"/>
      <c r="EP66" s="1253">
        <f>IF($E$59&gt;0,EP64/$E$59,"-")</f>
        <v>0</v>
      </c>
      <c r="EQ66" s="1253"/>
      <c r="ER66" s="1253">
        <f>IF($E$59&gt;0,ER64/$E$59,"-")</f>
        <v>0</v>
      </c>
      <c r="ES66" s="1253"/>
      <c r="ET66" s="1253">
        <f>IF($E$59&gt;0,ET64/$E$59,"-")</f>
        <v>0</v>
      </c>
      <c r="EU66" s="1253"/>
      <c r="EV66" s="1253">
        <f>IF($E$59&gt;0,EV64/$E$59,"-")</f>
        <v>0</v>
      </c>
      <c r="EW66" s="1253"/>
      <c r="EX66" s="1253">
        <f>IF($E$59&gt;0,EX64/$E$59,"-")</f>
        <v>0</v>
      </c>
      <c r="EY66" s="1253"/>
      <c r="EZ66" s="1253">
        <f>IF($E$59&gt;0,EZ64/$E$59,"-")</f>
        <v>0</v>
      </c>
      <c r="FA66" s="1253"/>
      <c r="FB66" s="1253">
        <f>IF($E$59&gt;0,FB64/$E$59,"-")</f>
        <v>0</v>
      </c>
      <c r="FC66" s="1253"/>
      <c r="FD66" s="1253">
        <f>IF($E$59&gt;0,FD64/$E$59,"-")</f>
        <v>0</v>
      </c>
      <c r="FE66" s="1253"/>
      <c r="FF66" s="1253">
        <f>IF($E$59&gt;0,FF64/$E$59,"-")</f>
        <v>0</v>
      </c>
      <c r="FG66" s="1253"/>
      <c r="FH66" s="1253">
        <f>IF($E$59&gt;0,FH64/$E$59,"-")</f>
        <v>0</v>
      </c>
      <c r="FI66" s="1253"/>
      <c r="FJ66" s="1253">
        <f>IF($E$59&gt;0,FJ64/$E$59,"-")</f>
        <v>0</v>
      </c>
      <c r="FK66" s="1253"/>
      <c r="FL66" s="1253">
        <f>IF($E$59&gt;0,FL64/$E$59,"-")</f>
        <v>0</v>
      </c>
      <c r="FM66" s="1253"/>
      <c r="FN66" s="1253">
        <f>IF($E$59&gt;0,FN64/$E$59,"-")</f>
        <v>0</v>
      </c>
      <c r="FO66" s="1253"/>
      <c r="FP66" s="1253">
        <f>IF($E$59&gt;0,FP64/$E$59,"-")</f>
        <v>0</v>
      </c>
      <c r="FQ66" s="1253"/>
      <c r="FR66" s="1253">
        <f>IF($E$59&gt;0,FR64/$E$59,"-")</f>
        <v>0</v>
      </c>
      <c r="FS66" s="1253"/>
      <c r="FT66" s="1253">
        <f>IF($E$59&gt;0,FT64/$E$59,"-")</f>
        <v>0</v>
      </c>
      <c r="FU66" s="1253"/>
      <c r="FV66" s="1253">
        <f>IF($E$59&gt;0,FV64/$E$59,"-")</f>
        <v>0</v>
      </c>
      <c r="FW66" s="1253"/>
      <c r="FX66" s="1253">
        <f>IF($E$59&gt;0,FX64/$E$59,"-")</f>
        <v>0</v>
      </c>
      <c r="FY66" s="1253"/>
      <c r="FZ66" s="1253">
        <f>IF($E$59&gt;0,FZ64/$E$59,"-")</f>
        <v>0</v>
      </c>
      <c r="GA66" s="1253"/>
      <c r="GB66" s="1253">
        <f>IF($E$59&gt;0,GB64/$E$59,"-")</f>
        <v>0</v>
      </c>
      <c r="GC66" s="1253"/>
      <c r="GD66" s="1253">
        <f>IF($E$59&gt;0,GD64/$E$59,"-")</f>
        <v>0</v>
      </c>
      <c r="GE66" s="1253"/>
      <c r="GF66" s="1253">
        <f>IF($E$59&gt;0,GF64/$E$59,"-")</f>
        <v>0</v>
      </c>
      <c r="GG66" s="1253"/>
      <c r="GH66" s="1253">
        <f>IF($E$59&gt;0,GH64/$E$59,"-")</f>
        <v>0</v>
      </c>
      <c r="GI66" s="1253"/>
      <c r="GJ66" s="1253">
        <f>IF($E$59&gt;0,GJ64/$E$59,"-")</f>
        <v>0</v>
      </c>
      <c r="GK66" s="1253"/>
      <c r="GL66" s="1253">
        <f>IF($E$59&gt;0,GL64/$E$59,"-")</f>
        <v>0</v>
      </c>
      <c r="GM66" s="1253"/>
      <c r="GN66" s="1253">
        <f>IF($E$59&gt;0,GN64/$E$59,"-")</f>
        <v>0</v>
      </c>
      <c r="GO66" s="1253"/>
      <c r="GP66" s="1253">
        <f>IF($E$59&gt;0,GP64/$E$59,"-")</f>
        <v>0</v>
      </c>
      <c r="GQ66" s="1253"/>
      <c r="GR66" s="1253">
        <f>IF($E$59&gt;0,GR64/$E$59,"-")</f>
        <v>0</v>
      </c>
      <c r="GS66" s="1253"/>
      <c r="GT66" s="1253">
        <f>IF($E$59&gt;0,GT64/$E$59,"-")</f>
        <v>0</v>
      </c>
      <c r="GU66" s="1253"/>
      <c r="GV66" s="1253">
        <f>IF($E$59&gt;0,GV64/$E$59,"-")</f>
        <v>0</v>
      </c>
      <c r="GW66" s="1253"/>
      <c r="GX66" s="1253">
        <f>IF($E$59&gt;0,GX64/$E$59,"-")</f>
        <v>0</v>
      </c>
      <c r="GY66" s="1253"/>
      <c r="GZ66" s="1253">
        <f>IF($E$59&gt;0,GZ64/$E$59,"-")</f>
        <v>0</v>
      </c>
      <c r="HA66" s="1253"/>
      <c r="HB66" s="1253">
        <f>IF($E$59&gt;0,HB64/$E$59,"-")</f>
        <v>0</v>
      </c>
      <c r="HC66" s="1253"/>
      <c r="HD66" s="1253">
        <f>IF($E$59&gt;0,HD64/$E$59,"-")</f>
        <v>0</v>
      </c>
      <c r="HE66" s="1253"/>
      <c r="HF66" s="1253">
        <f>IF($E$59&gt;0,HF64/$E$59,"-")</f>
        <v>0</v>
      </c>
      <c r="HG66" s="1253"/>
      <c r="HH66" s="1253">
        <f>IF($E$59&gt;0,HH64/$E$59,"-")</f>
        <v>0</v>
      </c>
      <c r="HI66" s="1253"/>
      <c r="HJ66" s="1253">
        <f>IF($E$59&gt;0,HJ64/$E$59,"-")</f>
        <v>0</v>
      </c>
      <c r="HK66" s="1253"/>
    </row>
    <row r="67" spans="1:219" s="5" customFormat="1" ht="14.4">
      <c r="A67" s="690"/>
      <c r="B67" s="691"/>
      <c r="C67" s="691"/>
      <c r="D67" s="692"/>
      <c r="E67" s="692"/>
      <c r="F67" s="691"/>
      <c r="G67" s="797"/>
      <c r="H67" s="691"/>
      <c r="I67" s="691"/>
      <c r="J67" s="691"/>
      <c r="K67" s="691"/>
      <c r="L67" s="1274"/>
      <c r="M67" s="1274"/>
      <c r="N67" s="1274"/>
      <c r="O67" s="1274"/>
      <c r="P67" s="1274"/>
      <c r="Q67" s="1274"/>
      <c r="R67" s="1274"/>
      <c r="S67" s="1362"/>
      <c r="T67" s="1276"/>
      <c r="U67" s="1274"/>
      <c r="V67" s="1274"/>
      <c r="W67" s="1274"/>
      <c r="X67" s="1274"/>
      <c r="Y67" s="1274"/>
      <c r="Z67" s="1274"/>
      <c r="AA67" s="1362"/>
      <c r="AB67" s="1276"/>
      <c r="AC67" s="1274"/>
      <c r="AD67" s="1274"/>
      <c r="AE67" s="1274"/>
      <c r="AF67" s="1274"/>
      <c r="AG67" s="1274"/>
      <c r="AH67" s="1274"/>
      <c r="AI67" s="1362"/>
      <c r="AJ67" s="1276"/>
      <c r="AK67" s="1274"/>
      <c r="AL67" s="1274"/>
      <c r="AM67" s="1274"/>
      <c r="AN67" s="1274"/>
      <c r="AO67" s="1274"/>
      <c r="AP67" s="1274"/>
      <c r="AQ67" s="1362"/>
      <c r="AR67" s="1276"/>
      <c r="AS67" s="1274"/>
      <c r="AT67" s="777"/>
      <c r="AU67" s="777"/>
      <c r="AV67" s="777"/>
      <c r="AW67" s="777"/>
      <c r="AX67" s="777"/>
      <c r="AY67" s="778"/>
      <c r="AZ67" s="779"/>
      <c r="BA67" s="777"/>
      <c r="BB67" s="777"/>
      <c r="BC67" s="777"/>
      <c r="BD67" s="777"/>
      <c r="BE67" s="777"/>
      <c r="BF67" s="777"/>
      <c r="BG67" s="778"/>
      <c r="BH67" s="779"/>
      <c r="BI67" s="777"/>
      <c r="BJ67" s="777"/>
      <c r="BK67" s="777"/>
      <c r="BL67" s="777"/>
      <c r="BM67" s="777"/>
      <c r="BN67" s="777"/>
      <c r="BO67" s="778"/>
      <c r="BP67" s="779"/>
      <c r="BQ67" s="777"/>
      <c r="BR67" s="777"/>
      <c r="BS67" s="777"/>
      <c r="BT67" s="777"/>
      <c r="BU67" s="777"/>
      <c r="BV67" s="777"/>
      <c r="BW67" s="778"/>
      <c r="BX67" s="779"/>
      <c r="BY67" s="777"/>
      <c r="BZ67" s="777"/>
      <c r="CA67" s="777"/>
      <c r="CB67" s="777"/>
      <c r="CC67" s="777"/>
      <c r="CD67" s="1274"/>
      <c r="CE67" s="1275"/>
      <c r="CF67" s="1276"/>
      <c r="CG67" s="1277"/>
      <c r="CH67" s="1274"/>
      <c r="CI67" s="1277"/>
      <c r="CJ67" s="1274"/>
      <c r="CK67" s="1277"/>
      <c r="CL67" s="1274"/>
      <c r="CM67" s="1275"/>
      <c r="CN67" s="1276"/>
      <c r="CO67" s="1277"/>
      <c r="CP67" s="1296"/>
      <c r="CQ67" s="1297"/>
      <c r="CR67" s="1296"/>
      <c r="CS67" s="1297"/>
      <c r="CT67" s="780"/>
      <c r="CU67" s="781"/>
      <c r="CV67" s="782"/>
      <c r="CW67" s="780"/>
      <c r="CX67" s="780"/>
      <c r="CY67" s="780"/>
      <c r="CZ67" s="780"/>
      <c r="DA67" s="780"/>
      <c r="DB67" s="780"/>
      <c r="DC67" s="781"/>
      <c r="DD67" s="782"/>
      <c r="DE67" s="780"/>
      <c r="DF67" s="780"/>
      <c r="DG67" s="780"/>
      <c r="DH67" s="780"/>
      <c r="DI67" s="780"/>
      <c r="DJ67" s="783"/>
      <c r="DK67" s="784"/>
      <c r="DL67" s="782"/>
      <c r="DM67" s="780"/>
      <c r="DN67" s="780"/>
      <c r="DO67" s="780"/>
      <c r="DP67" s="780"/>
      <c r="DQ67" s="780"/>
      <c r="DR67" s="780"/>
      <c r="DS67" s="781"/>
      <c r="DT67" s="782"/>
      <c r="DU67" s="780"/>
      <c r="DV67" s="780"/>
      <c r="DW67" s="780"/>
      <c r="DX67" s="780"/>
      <c r="DY67" s="780"/>
      <c r="DZ67" s="780"/>
      <c r="EA67" s="781"/>
      <c r="EB67" s="782"/>
      <c r="EC67" s="780"/>
      <c r="ED67" s="780"/>
      <c r="EE67" s="780"/>
      <c r="EF67" s="780"/>
      <c r="EG67" s="780"/>
      <c r="EH67" s="780"/>
      <c r="EI67" s="781"/>
      <c r="EJ67" s="782"/>
      <c r="EK67" s="780"/>
      <c r="EL67" s="780"/>
      <c r="EM67" s="780"/>
      <c r="EN67" s="780"/>
      <c r="EO67" s="780"/>
      <c r="EP67" s="780"/>
      <c r="EQ67" s="781"/>
      <c r="ER67" s="782"/>
      <c r="ES67" s="780"/>
      <c r="ET67" s="780"/>
      <c r="EU67" s="780"/>
      <c r="EV67" s="780"/>
      <c r="EW67" s="780"/>
      <c r="EX67" s="780"/>
      <c r="EY67" s="781"/>
      <c r="EZ67" s="782"/>
      <c r="FA67" s="780"/>
      <c r="FB67" s="780"/>
      <c r="FC67" s="780"/>
      <c r="FD67" s="780"/>
      <c r="FE67" s="780"/>
      <c r="FF67" s="780"/>
      <c r="FG67" s="781"/>
      <c r="FH67" s="782"/>
      <c r="FI67" s="780"/>
      <c r="FJ67" s="780"/>
      <c r="FK67" s="780"/>
      <c r="FL67" s="780"/>
      <c r="FM67" s="780"/>
      <c r="FN67" s="780"/>
      <c r="FO67" s="781"/>
      <c r="FP67" s="782"/>
      <c r="FQ67" s="780"/>
      <c r="FR67" s="780"/>
      <c r="FS67" s="780"/>
      <c r="FT67" s="780"/>
      <c r="FU67" s="780"/>
      <c r="FV67" s="780"/>
      <c r="FW67" s="781"/>
      <c r="FX67" s="782"/>
      <c r="FY67" s="780"/>
      <c r="FZ67" s="780"/>
      <c r="GA67" s="780"/>
      <c r="GB67" s="780"/>
      <c r="GC67" s="780"/>
      <c r="GD67" s="780"/>
      <c r="GE67" s="781"/>
      <c r="GF67" s="782"/>
      <c r="GG67" s="780"/>
      <c r="GH67" s="780"/>
      <c r="GI67" s="780"/>
      <c r="GJ67" s="780"/>
      <c r="GK67" s="780"/>
      <c r="GL67" s="780"/>
      <c r="GM67" s="781"/>
      <c r="GN67" s="782"/>
      <c r="GO67" s="780"/>
      <c r="GP67" s="780"/>
      <c r="GQ67" s="780"/>
      <c r="GR67" s="780"/>
      <c r="GS67" s="780"/>
      <c r="GT67" s="780"/>
      <c r="GU67" s="781"/>
      <c r="GV67" s="780"/>
      <c r="GW67" s="781"/>
      <c r="GX67" s="780"/>
      <c r="GY67" s="781"/>
      <c r="GZ67" s="780"/>
      <c r="HA67" s="781"/>
      <c r="HB67" s="780"/>
      <c r="HC67" s="781"/>
      <c r="HD67" s="780"/>
      <c r="HE67" s="781"/>
      <c r="HF67" s="780"/>
      <c r="HG67" s="781"/>
      <c r="HH67" s="780"/>
      <c r="HI67" s="781"/>
      <c r="HJ67" s="780"/>
      <c r="HK67" s="781"/>
    </row>
    <row r="68" spans="1:219">
      <c r="A68" s="1359" t="s">
        <v>126</v>
      </c>
      <c r="B68" s="1300" t="str">
        <f>VLOOKUP(A68,PLANEJAMENTO!$B$10:$C$70,2,FALSE)</f>
        <v>Escavação, carga e transporte de camada de solo superficial com espessura maxima de 15cm para a área de depósito - DMT 501 até 1000 m</v>
      </c>
      <c r="C68" s="1299" t="str">
        <f>VLOOKUP(A68,PLANEJAMENTO!$B$10:$D$70,3,FALSE)</f>
        <v>m³</v>
      </c>
      <c r="D68" s="1301">
        <f>VLOOKUP(A68,PLANEJAMENTO!$B$10:$E$70,4,FALSE)</f>
        <v>1</v>
      </c>
      <c r="E68" s="1301">
        <f>D68</f>
        <v>1</v>
      </c>
      <c r="F68" s="1302">
        <f>PRODUÇÕES!$D$38</f>
        <v>200</v>
      </c>
      <c r="G68" s="1301">
        <f>F68*8</f>
        <v>1600</v>
      </c>
      <c r="H68" s="726"/>
      <c r="I68" s="1303"/>
      <c r="J68" s="1304"/>
      <c r="K68" s="727" t="s">
        <v>291</v>
      </c>
      <c r="L68" s="1319"/>
      <c r="M68" s="1320"/>
      <c r="N68" s="1319"/>
      <c r="O68" s="1320"/>
      <c r="P68" s="1319"/>
      <c r="Q68" s="1320"/>
      <c r="R68" s="1319"/>
      <c r="S68" s="1320"/>
      <c r="T68" s="1319"/>
      <c r="U68" s="1320"/>
      <c r="V68" s="1319"/>
      <c r="W68" s="1320"/>
      <c r="X68" s="1319"/>
      <c r="Y68" s="1320"/>
      <c r="Z68" s="1319"/>
      <c r="AA68" s="1320"/>
      <c r="AB68" s="1319"/>
      <c r="AC68" s="1320"/>
      <c r="AD68" s="1319"/>
      <c r="AE68" s="1320"/>
      <c r="AF68" s="1319"/>
      <c r="AG68" s="1320"/>
      <c r="AH68" s="1319"/>
      <c r="AI68" s="1320"/>
      <c r="AJ68" s="1319"/>
      <c r="AK68" s="1320"/>
      <c r="AL68" s="1345"/>
      <c r="AM68" s="1346"/>
      <c r="AN68" s="1345"/>
      <c r="AO68" s="1346"/>
      <c r="AP68" s="1386"/>
      <c r="AQ68" s="1387"/>
      <c r="AR68" s="1311">
        <v>2.5224215246636774</v>
      </c>
      <c r="AS68" s="1312"/>
      <c r="AT68" s="1402"/>
      <c r="AU68" s="1403"/>
      <c r="AV68" s="1400"/>
      <c r="AW68" s="1401"/>
      <c r="AX68" s="1319"/>
      <c r="AY68" s="1320"/>
      <c r="AZ68" s="1319"/>
      <c r="BA68" s="1320"/>
      <c r="BB68" s="1319"/>
      <c r="BC68" s="1320"/>
      <c r="BD68" s="1319"/>
      <c r="BE68" s="1320"/>
      <c r="BF68" s="1319"/>
      <c r="BG68" s="1320"/>
      <c r="BH68" s="1319"/>
      <c r="BI68" s="1320"/>
      <c r="BJ68" s="1319"/>
      <c r="BK68" s="1320"/>
      <c r="BL68" s="1319"/>
      <c r="BM68" s="1320"/>
      <c r="BN68" s="1319"/>
      <c r="BO68" s="1320"/>
      <c r="BP68" s="1319"/>
      <c r="BQ68" s="1320"/>
      <c r="BR68" s="1319"/>
      <c r="BS68" s="1320"/>
      <c r="BT68" s="1315"/>
      <c r="BU68" s="1315"/>
      <c r="BV68" s="1263"/>
      <c r="BW68" s="1263"/>
      <c r="BX68" s="1315"/>
      <c r="BY68" s="1315"/>
      <c r="BZ68" s="1315"/>
      <c r="CA68" s="1315"/>
      <c r="CB68" s="1315"/>
      <c r="CC68" s="1315"/>
      <c r="CD68" s="1315"/>
      <c r="CE68" s="1315"/>
      <c r="CF68" s="1315"/>
      <c r="CG68" s="1315"/>
      <c r="CH68" s="1315"/>
      <c r="CI68" s="1315"/>
      <c r="CJ68" s="1315"/>
      <c r="CK68" s="1315"/>
      <c r="CL68" s="1315"/>
      <c r="CM68" s="1315"/>
      <c r="CN68" s="1315"/>
      <c r="CO68" s="1315"/>
      <c r="CP68" s="1315"/>
      <c r="CQ68" s="1315"/>
      <c r="CR68" s="1315"/>
      <c r="CS68" s="1315"/>
      <c r="CT68" s="1315"/>
      <c r="CU68" s="1315"/>
      <c r="CV68" s="1315"/>
      <c r="CW68" s="1315"/>
      <c r="CX68" s="1289"/>
      <c r="CY68" s="1290"/>
      <c r="CZ68" s="1289"/>
      <c r="DA68" s="1290"/>
      <c r="DB68" s="1289"/>
      <c r="DC68" s="1290"/>
      <c r="DD68" s="1289"/>
      <c r="DE68" s="1290"/>
      <c r="DF68" s="1263"/>
      <c r="DG68" s="1263"/>
      <c r="DH68" s="1263"/>
      <c r="DI68" s="1263"/>
      <c r="DJ68" s="1327"/>
      <c r="DK68" s="1327"/>
      <c r="DL68" s="1263"/>
      <c r="DM68" s="1263"/>
      <c r="DN68" s="1263"/>
      <c r="DO68" s="1263"/>
      <c r="DP68" s="1263"/>
      <c r="DQ68" s="1263"/>
      <c r="DR68" s="1263"/>
      <c r="DS68" s="1263"/>
      <c r="DT68" s="1263"/>
      <c r="DU68" s="1263"/>
      <c r="DV68" s="1263"/>
      <c r="DW68" s="1263"/>
      <c r="DX68" s="1263"/>
      <c r="DY68" s="1263"/>
      <c r="DZ68" s="1263"/>
      <c r="EA68" s="1263"/>
      <c r="EB68" s="1263"/>
      <c r="EC68" s="1263"/>
      <c r="ED68" s="1315"/>
      <c r="EE68" s="1315"/>
      <c r="EF68" s="1315"/>
      <c r="EG68" s="1315"/>
      <c r="EH68" s="1263"/>
      <c r="EI68" s="1263"/>
      <c r="EJ68" s="1263"/>
      <c r="EK68" s="1263"/>
      <c r="EL68" s="1263"/>
      <c r="EM68" s="1263"/>
      <c r="EN68" s="1263"/>
      <c r="EO68" s="1263"/>
      <c r="EP68" s="1263"/>
      <c r="EQ68" s="1263"/>
      <c r="ER68" s="1263"/>
      <c r="ES68" s="1263"/>
      <c r="ET68" s="1263"/>
      <c r="EU68" s="1263"/>
      <c r="EV68" s="1263"/>
      <c r="EW68" s="1263"/>
      <c r="EX68" s="1263"/>
      <c r="EY68" s="1263"/>
      <c r="EZ68" s="1263"/>
      <c r="FA68" s="1263"/>
      <c r="FB68" s="1263"/>
      <c r="FC68" s="1263"/>
      <c r="FD68" s="1263"/>
      <c r="FE68" s="1263"/>
      <c r="FF68" s="1263"/>
      <c r="FG68" s="1263"/>
      <c r="FH68" s="1263"/>
      <c r="FI68" s="1263"/>
      <c r="FJ68" s="1263"/>
      <c r="FK68" s="1263"/>
      <c r="FL68" s="1263"/>
      <c r="FM68" s="1263"/>
      <c r="FN68" s="1263"/>
      <c r="FO68" s="1263"/>
      <c r="FP68" s="1263"/>
      <c r="FQ68" s="1263"/>
      <c r="FR68" s="1263"/>
      <c r="FS68" s="1263"/>
      <c r="FT68" s="1263"/>
      <c r="FU68" s="1263"/>
      <c r="FV68" s="1263"/>
      <c r="FW68" s="1263"/>
      <c r="FX68" s="1263"/>
      <c r="FY68" s="1263"/>
      <c r="FZ68" s="1263"/>
      <c r="GA68" s="1263"/>
      <c r="GB68" s="1263"/>
      <c r="GC68" s="1263"/>
      <c r="GD68" s="1263"/>
      <c r="GE68" s="1263"/>
      <c r="GF68" s="1263"/>
      <c r="GG68" s="1263"/>
      <c r="GH68" s="1263"/>
      <c r="GI68" s="1263"/>
      <c r="GJ68" s="1263"/>
      <c r="GK68" s="1263"/>
      <c r="GL68" s="1263"/>
      <c r="GM68" s="1263"/>
      <c r="GN68" s="1263"/>
      <c r="GO68" s="1263"/>
      <c r="GP68" s="1263"/>
      <c r="GQ68" s="1263"/>
      <c r="GR68" s="1263"/>
      <c r="GS68" s="1263"/>
      <c r="GT68" s="1263"/>
      <c r="GU68" s="1263"/>
      <c r="GV68" s="1263"/>
      <c r="GW68" s="1263"/>
      <c r="GX68" s="1263"/>
      <c r="GY68" s="1263"/>
      <c r="GZ68" s="1263"/>
      <c r="HA68" s="1263"/>
      <c r="HB68" s="1263"/>
      <c r="HC68" s="1263"/>
      <c r="HD68" s="1263"/>
      <c r="HE68" s="1263"/>
      <c r="HF68" s="1263"/>
      <c r="HG68" s="1263"/>
      <c r="HH68" s="1263"/>
      <c r="HI68" s="1263"/>
      <c r="HJ68" s="1263"/>
      <c r="HK68" s="1263"/>
    </row>
    <row r="69" spans="1:219">
      <c r="A69" s="1299"/>
      <c r="B69" s="1300"/>
      <c r="C69" s="1299"/>
      <c r="D69" s="1301"/>
      <c r="E69" s="1301"/>
      <c r="F69" s="1302"/>
      <c r="G69" s="1301"/>
      <c r="H69" s="726"/>
      <c r="I69" s="1303"/>
      <c r="J69" s="1304"/>
      <c r="K69" s="785" t="s">
        <v>292</v>
      </c>
      <c r="L69" s="1283"/>
      <c r="M69" s="1284"/>
      <c r="N69" s="1283"/>
      <c r="O69" s="1284"/>
      <c r="P69" s="1283"/>
      <c r="Q69" s="1284"/>
      <c r="R69" s="1283"/>
      <c r="S69" s="1284"/>
      <c r="T69" s="1283"/>
      <c r="U69" s="1284"/>
      <c r="V69" s="1283"/>
      <c r="W69" s="1284"/>
      <c r="X69" s="1283"/>
      <c r="Y69" s="1284"/>
      <c r="Z69" s="1283"/>
      <c r="AA69" s="1284"/>
      <c r="AB69" s="1283"/>
      <c r="AC69" s="1284"/>
      <c r="AD69" s="1283"/>
      <c r="AE69" s="1284"/>
      <c r="AF69" s="1283"/>
      <c r="AG69" s="1284"/>
      <c r="AH69" s="1283"/>
      <c r="AI69" s="1284"/>
      <c r="AJ69" s="1283"/>
      <c r="AK69" s="1284"/>
      <c r="AL69" s="1283"/>
      <c r="AM69" s="1284"/>
      <c r="AN69" s="1283"/>
      <c r="AO69" s="1284"/>
      <c r="AP69" s="1283"/>
      <c r="AQ69" s="1284"/>
      <c r="AR69" s="1283">
        <v>1</v>
      </c>
      <c r="AS69" s="1284"/>
      <c r="AT69" s="1283"/>
      <c r="AU69" s="1284"/>
      <c r="AV69" s="1283"/>
      <c r="AW69" s="1284"/>
      <c r="AX69" s="1283"/>
      <c r="AY69" s="1284"/>
      <c r="AZ69" s="1283"/>
      <c r="BA69" s="1284"/>
      <c r="BB69" s="1283"/>
      <c r="BC69" s="1284"/>
      <c r="BD69" s="1283"/>
      <c r="BE69" s="1284"/>
      <c r="BF69" s="1283"/>
      <c r="BG69" s="1284"/>
      <c r="BH69" s="1283"/>
      <c r="BI69" s="1284"/>
      <c r="BJ69" s="1283"/>
      <c r="BK69" s="1284"/>
      <c r="BL69" s="1283"/>
      <c r="BM69" s="1284"/>
      <c r="BN69" s="1283"/>
      <c r="BO69" s="1284"/>
      <c r="BP69" s="1283"/>
      <c r="BQ69" s="1284"/>
      <c r="BR69" s="1283"/>
      <c r="BS69" s="1284"/>
      <c r="BT69" s="1264"/>
      <c r="BU69" s="1264"/>
      <c r="BV69" s="1264"/>
      <c r="BW69" s="1264"/>
      <c r="BX69" s="1264"/>
      <c r="BY69" s="1264"/>
      <c r="BZ69" s="1264"/>
      <c r="CA69" s="1264"/>
      <c r="CB69" s="1264"/>
      <c r="CC69" s="1264"/>
      <c r="CD69" s="1264"/>
      <c r="CE69" s="1264"/>
      <c r="CF69" s="1264"/>
      <c r="CG69" s="1264"/>
      <c r="CH69" s="1264"/>
      <c r="CI69" s="1264"/>
      <c r="CJ69" s="1264"/>
      <c r="CK69" s="1264"/>
      <c r="CL69" s="1264"/>
      <c r="CM69" s="1264"/>
      <c r="CN69" s="1264"/>
      <c r="CO69" s="1264"/>
      <c r="CP69" s="1264"/>
      <c r="CQ69" s="1264"/>
      <c r="CR69" s="1264"/>
      <c r="CS69" s="1264"/>
      <c r="CT69" s="1264"/>
      <c r="CU69" s="1264"/>
      <c r="CV69" s="1264"/>
      <c r="CW69" s="1264"/>
      <c r="CX69" s="1283"/>
      <c r="CY69" s="1284"/>
      <c r="CZ69" s="1283"/>
      <c r="DA69" s="1284"/>
      <c r="DB69" s="1283"/>
      <c r="DC69" s="1284"/>
      <c r="DD69" s="1283"/>
      <c r="DE69" s="1284"/>
      <c r="DF69" s="1264"/>
      <c r="DG69" s="1264"/>
      <c r="DH69" s="1264"/>
      <c r="DI69" s="1264"/>
      <c r="DJ69" s="1265"/>
      <c r="DK69" s="1265"/>
      <c r="DL69" s="1264"/>
      <c r="DM69" s="1264"/>
      <c r="DN69" s="1264"/>
      <c r="DO69" s="1264"/>
      <c r="DP69" s="1264"/>
      <c r="DQ69" s="1264"/>
      <c r="DR69" s="1264"/>
      <c r="DS69" s="1264"/>
      <c r="DT69" s="1264"/>
      <c r="DU69" s="1264"/>
      <c r="DV69" s="1264"/>
      <c r="DW69" s="1264"/>
      <c r="DX69" s="1264"/>
      <c r="DY69" s="1264"/>
      <c r="DZ69" s="1264"/>
      <c r="EA69" s="1264"/>
      <c r="EB69" s="1264"/>
      <c r="EC69" s="1264"/>
      <c r="ED69" s="1264"/>
      <c r="EE69" s="1264"/>
      <c r="EF69" s="1264"/>
      <c r="EG69" s="1264"/>
      <c r="EH69" s="1264"/>
      <c r="EI69" s="1264"/>
      <c r="EJ69" s="1264"/>
      <c r="EK69" s="1264"/>
      <c r="EL69" s="1264"/>
      <c r="EM69" s="1264"/>
      <c r="EN69" s="1264"/>
      <c r="EO69" s="1264"/>
      <c r="EP69" s="1264"/>
      <c r="EQ69" s="1264"/>
      <c r="ER69" s="1264"/>
      <c r="ES69" s="1264"/>
      <c r="ET69" s="1264"/>
      <c r="EU69" s="1264"/>
      <c r="EV69" s="1264"/>
      <c r="EW69" s="1264"/>
      <c r="EX69" s="1264"/>
      <c r="EY69" s="1264"/>
      <c r="EZ69" s="1264"/>
      <c r="FA69" s="1264"/>
      <c r="FB69" s="1264"/>
      <c r="FC69" s="1264"/>
      <c r="FD69" s="1264"/>
      <c r="FE69" s="1264"/>
      <c r="FF69" s="1264"/>
      <c r="FG69" s="1264"/>
      <c r="FH69" s="1264"/>
      <c r="FI69" s="1264"/>
      <c r="FJ69" s="1264"/>
      <c r="FK69" s="1264"/>
      <c r="FL69" s="1264"/>
      <c r="FM69" s="1264"/>
      <c r="FN69" s="1264"/>
      <c r="FO69" s="1264"/>
      <c r="FP69" s="1264"/>
      <c r="FQ69" s="1264"/>
      <c r="FR69" s="1264"/>
      <c r="FS69" s="1264"/>
      <c r="FT69" s="1264"/>
      <c r="FU69" s="1264"/>
      <c r="FV69" s="1264"/>
      <c r="FW69" s="1264"/>
      <c r="FX69" s="1264"/>
      <c r="FY69" s="1264"/>
      <c r="FZ69" s="1264"/>
      <c r="GA69" s="1264"/>
      <c r="GB69" s="1264"/>
      <c r="GC69" s="1264"/>
      <c r="GD69" s="1264"/>
      <c r="GE69" s="1264"/>
      <c r="GF69" s="1264"/>
      <c r="GG69" s="1264"/>
      <c r="GH69" s="1264"/>
      <c r="GI69" s="1264"/>
      <c r="GJ69" s="1264"/>
      <c r="GK69" s="1264"/>
      <c r="GL69" s="1264"/>
      <c r="GM69" s="1264"/>
      <c r="GN69" s="1264"/>
      <c r="GO69" s="1264"/>
      <c r="GP69" s="1264"/>
      <c r="GQ69" s="1264"/>
      <c r="GR69" s="1264"/>
      <c r="GS69" s="1264"/>
      <c r="GT69" s="1264"/>
      <c r="GU69" s="1264"/>
      <c r="GV69" s="1264"/>
      <c r="GW69" s="1264"/>
      <c r="GX69" s="1264"/>
      <c r="GY69" s="1264"/>
      <c r="GZ69" s="1264"/>
      <c r="HA69" s="1264"/>
      <c r="HB69" s="1264"/>
      <c r="HC69" s="1264"/>
      <c r="HD69" s="1264"/>
      <c r="HE69" s="1264"/>
      <c r="HF69" s="1264"/>
      <c r="HG69" s="1264"/>
      <c r="HH69" s="1264"/>
      <c r="HI69" s="1264"/>
      <c r="HJ69" s="1264"/>
      <c r="HK69" s="1264"/>
    </row>
    <row r="70" spans="1:219">
      <c r="A70" s="1299"/>
      <c r="B70" s="1300"/>
      <c r="C70" s="1299"/>
      <c r="D70" s="1301"/>
      <c r="E70" s="1301"/>
      <c r="F70" s="1302"/>
      <c r="G70" s="1301"/>
      <c r="H70" s="726"/>
      <c r="I70" s="1303"/>
      <c r="J70" s="1304"/>
      <c r="K70" s="786" t="s">
        <v>293</v>
      </c>
      <c r="L70" s="1255">
        <f>(L68*L69*$G68)*$L$8</f>
        <v>0</v>
      </c>
      <c r="M70" s="1256"/>
      <c r="N70" s="1255">
        <f>(N68*N69*$G68)*$L$8</f>
        <v>0</v>
      </c>
      <c r="O70" s="1256"/>
      <c r="P70" s="1255">
        <f>(P68*P69*$G68)*$L$8</f>
        <v>0</v>
      </c>
      <c r="Q70" s="1256"/>
      <c r="R70" s="1255">
        <f>(R68*R69*$G68)*$L$8</f>
        <v>0</v>
      </c>
      <c r="S70" s="1256"/>
      <c r="T70" s="1255">
        <f>(T68*T69*$G68)*$T$8</f>
        <v>0</v>
      </c>
      <c r="U70" s="1256"/>
      <c r="V70" s="1255">
        <f>(V68*V69*$G68)*$T$8</f>
        <v>0</v>
      </c>
      <c r="W70" s="1256"/>
      <c r="X70" s="1255">
        <f>(X68*X69*$G68)*$T$8</f>
        <v>0</v>
      </c>
      <c r="Y70" s="1256"/>
      <c r="Z70" s="1255">
        <f>(Z68*Z69*$G68)*$T$8</f>
        <v>0</v>
      </c>
      <c r="AA70" s="1256"/>
      <c r="AB70" s="1255">
        <f>(AB68*AB69*$G68)*$AB$8</f>
        <v>0</v>
      </c>
      <c r="AC70" s="1256"/>
      <c r="AD70" s="1255">
        <f>(AD68*AD69*$G68)*$AB$8</f>
        <v>0</v>
      </c>
      <c r="AE70" s="1256"/>
      <c r="AF70" s="1255">
        <f>(AF68*AF69*$G68)*$AB$8</f>
        <v>0</v>
      </c>
      <c r="AG70" s="1256"/>
      <c r="AH70" s="1255">
        <f>(AH68*AH69*$G68)*$AB$8</f>
        <v>0</v>
      </c>
      <c r="AI70" s="1256"/>
      <c r="AJ70" s="1255">
        <f>(AJ68*AJ69*$G68)*$AJ$8</f>
        <v>0</v>
      </c>
      <c r="AK70" s="1256"/>
      <c r="AL70" s="1255">
        <f>(AL68*AL69*$G68)*$AJ$8</f>
        <v>0</v>
      </c>
      <c r="AM70" s="1256"/>
      <c r="AN70" s="1255">
        <f>(AN68*AN69*$G68)*$AJ$8</f>
        <v>0</v>
      </c>
      <c r="AO70" s="1256"/>
      <c r="AP70" s="1255">
        <f>(AP68*AP69*$G68)*$AJ$8</f>
        <v>0</v>
      </c>
      <c r="AQ70" s="1256"/>
      <c r="AR70" s="1255">
        <f>(AR68*AR69*$G68)*$AJ$8</f>
        <v>3000.0000000000005</v>
      </c>
      <c r="AS70" s="1256"/>
      <c r="AT70" s="1255">
        <f>(AT68*AT69*$G68)*$AT$8</f>
        <v>0</v>
      </c>
      <c r="AU70" s="1256"/>
      <c r="AV70" s="1255">
        <f>(AV68*AV69*$G68)*$AT$8</f>
        <v>0</v>
      </c>
      <c r="AW70" s="1256"/>
      <c r="AX70" s="1255">
        <f>(AX68*AX69*$G68)*$AT$8</f>
        <v>0</v>
      </c>
      <c r="AY70" s="1256"/>
      <c r="AZ70" s="1255">
        <f>(AZ68*AZ69*$G68)*$BB$8</f>
        <v>0</v>
      </c>
      <c r="BA70" s="1256"/>
      <c r="BB70" s="1255">
        <f>(BB68*BB69*$G68)*$BB$8</f>
        <v>0</v>
      </c>
      <c r="BC70" s="1256"/>
      <c r="BD70" s="1255">
        <f>(BD68*BD69*$G68)*$BB$8</f>
        <v>0</v>
      </c>
      <c r="BE70" s="1256"/>
      <c r="BF70" s="1255">
        <f>(BF68*BF69*$G68)*$BB$8</f>
        <v>0</v>
      </c>
      <c r="BG70" s="1256"/>
      <c r="BH70" s="1255">
        <f>(BH68*BH69*$G68)*$BJ$8</f>
        <v>0</v>
      </c>
      <c r="BI70" s="1256"/>
      <c r="BJ70" s="1255">
        <f>(BJ68*BJ69*$G68)*$BJ$8</f>
        <v>0</v>
      </c>
      <c r="BK70" s="1256"/>
      <c r="BL70" s="1255">
        <f>(BL68*BL69*$G68)*$BJ$8</f>
        <v>0</v>
      </c>
      <c r="BM70" s="1256"/>
      <c r="BN70" s="1255">
        <f>(BN68*BN69*$G68)*$BJ$8</f>
        <v>0</v>
      </c>
      <c r="BO70" s="1256"/>
      <c r="BP70" s="1255">
        <f>(BP68*BP69*$G68)*$BJ$8</f>
        <v>0</v>
      </c>
      <c r="BQ70" s="1256"/>
      <c r="BR70" s="1255">
        <f>(BR68*BR69*$G68)*$BT$8</f>
        <v>0</v>
      </c>
      <c r="BS70" s="1256"/>
      <c r="BT70" s="1255">
        <f>(BT68*BT69*$G68)*$BT$8</f>
        <v>0</v>
      </c>
      <c r="BU70" s="1256"/>
      <c r="BV70" s="1255">
        <f>(BV68*BV69*$G68)*$BT$8</f>
        <v>0</v>
      </c>
      <c r="BW70" s="1256"/>
      <c r="BX70" s="1255">
        <f>(BX68*BX69*$G68)*$BT$8</f>
        <v>0</v>
      </c>
      <c r="BY70" s="1256"/>
      <c r="BZ70" s="1255">
        <f>(BZ68*BZ69*$G68)*$BT$8</f>
        <v>0</v>
      </c>
      <c r="CA70" s="1256"/>
      <c r="CB70" s="1255">
        <f>(CB68*CB69*$G68)*$CB$8</f>
        <v>0</v>
      </c>
      <c r="CC70" s="1256"/>
      <c r="CD70" s="1255">
        <f>(CD68*CD69*$G68)*$CB$8</f>
        <v>0</v>
      </c>
      <c r="CE70" s="1256"/>
      <c r="CF70" s="1255">
        <f>(CF68*CF69*$G68)*$CB$8</f>
        <v>0</v>
      </c>
      <c r="CG70" s="1256"/>
      <c r="CH70" s="1255">
        <f>(CH68*CH69*$G68)*$CB$8</f>
        <v>0</v>
      </c>
      <c r="CI70" s="1256"/>
      <c r="CJ70" s="1255">
        <f>(CJ68*CJ69*$G68)*$CJ$8</f>
        <v>0</v>
      </c>
      <c r="CK70" s="1256"/>
      <c r="CL70" s="1255">
        <f>(CL68*CL69*$G68)*$CJ$8</f>
        <v>0</v>
      </c>
      <c r="CM70" s="1256"/>
      <c r="CN70" s="1255">
        <f>(CN68*CN69*$G68)*$CJ$8</f>
        <v>0</v>
      </c>
      <c r="CO70" s="1256"/>
      <c r="CP70" s="1255">
        <f>(CP68*CP69*$G68)*$CJ$8</f>
        <v>0</v>
      </c>
      <c r="CQ70" s="1256"/>
      <c r="CR70" s="1255">
        <f>(CR68*CR69*$G68)*$CJ$8</f>
        <v>0</v>
      </c>
      <c r="CS70" s="1256"/>
      <c r="CT70" s="1255">
        <f>(CT68*CT69*$G68)*$CT$8</f>
        <v>0</v>
      </c>
      <c r="CU70" s="1256"/>
      <c r="CV70" s="1255">
        <f>(CV68*CV69*$G68)*$CT$8</f>
        <v>0</v>
      </c>
      <c r="CW70" s="1256"/>
      <c r="CX70" s="1255">
        <f>(CX68*CX69*$G68)*$CT$8</f>
        <v>0</v>
      </c>
      <c r="CY70" s="1256"/>
      <c r="CZ70" s="1255">
        <f>(CZ68*CZ69*$G68)*$CT$8</f>
        <v>0</v>
      </c>
      <c r="DA70" s="1256"/>
      <c r="DB70" s="1255">
        <f>(DB68*DB69*$G68)*$DB$8</f>
        <v>0</v>
      </c>
      <c r="DC70" s="1256"/>
      <c r="DD70" s="1255">
        <f>(DD68*DD69*$G68)*$DB$8</f>
        <v>0</v>
      </c>
      <c r="DE70" s="1256"/>
      <c r="DF70" s="1255">
        <f>(DF68*DF69*$G68)*$DB$8</f>
        <v>0</v>
      </c>
      <c r="DG70" s="1256"/>
      <c r="DH70" s="1255">
        <f>(DH68*DH69*$G68)*$DB$8</f>
        <v>0</v>
      </c>
      <c r="DI70" s="1256"/>
      <c r="DJ70" s="1257">
        <f>(DJ68*DJ69*$G68)*$DL$8</f>
        <v>0</v>
      </c>
      <c r="DK70" s="1258"/>
      <c r="DL70" s="1255">
        <f>(DL68*DL69*$G68)*$DL$8</f>
        <v>0</v>
      </c>
      <c r="DM70" s="1256"/>
      <c r="DN70" s="1255">
        <f>(DN68*DN69*$G68)*$DL$8</f>
        <v>0</v>
      </c>
      <c r="DO70" s="1256"/>
      <c r="DP70" s="1255">
        <f>(DP68*DP69*$G68)*$DL$8</f>
        <v>0</v>
      </c>
      <c r="DQ70" s="1256"/>
      <c r="DR70" s="1255">
        <f>(DR68*DR69*$G68)*$DL$8</f>
        <v>0</v>
      </c>
      <c r="DS70" s="1256"/>
      <c r="DT70" s="1255">
        <f>(DT68*DT69*$G68)*$DT$8</f>
        <v>0</v>
      </c>
      <c r="DU70" s="1256"/>
      <c r="DV70" s="1255">
        <f>(DV68*DV69*$G68)*$DT$8</f>
        <v>0</v>
      </c>
      <c r="DW70" s="1256"/>
      <c r="DX70" s="1255">
        <f>(DX68*DX69*$G68)*$DT$8</f>
        <v>0</v>
      </c>
      <c r="DY70" s="1256"/>
      <c r="DZ70" s="1255">
        <f>(DZ68*DZ69*$G68)*$DT$8</f>
        <v>0</v>
      </c>
      <c r="EA70" s="1256"/>
      <c r="EB70" s="1255">
        <f>(EB68*EB69*$G68)*$EJ$8</f>
        <v>0</v>
      </c>
      <c r="EC70" s="1256"/>
      <c r="ED70" s="1255">
        <f>(ED68*ED69*$G68)*$EJ$8</f>
        <v>0</v>
      </c>
      <c r="EE70" s="1256"/>
      <c r="EF70" s="1255">
        <f>(EF68*EF69*$G68)*$EJ$8</f>
        <v>0</v>
      </c>
      <c r="EG70" s="1256"/>
      <c r="EH70" s="1255">
        <f>(EH68*EH69*$G68)*$EJ$8</f>
        <v>0</v>
      </c>
      <c r="EI70" s="1256"/>
      <c r="EJ70" s="1255">
        <f>(EJ68*EJ69*$G68)*$ET$8</f>
        <v>0</v>
      </c>
      <c r="EK70" s="1256"/>
      <c r="EL70" s="1255">
        <f>(EL68*EL69*$G68)*$ET$8</f>
        <v>0</v>
      </c>
      <c r="EM70" s="1256"/>
      <c r="EN70" s="1255">
        <f>(EN68*EN69*$G68)*$ET$8</f>
        <v>0</v>
      </c>
      <c r="EO70" s="1256"/>
      <c r="EP70" s="1255">
        <f>(EP68*EP69*$G68)*$ET$8</f>
        <v>0</v>
      </c>
      <c r="EQ70" s="1256"/>
      <c r="ER70" s="1255">
        <f>(ER68*ER69*$G68)*$FB$8</f>
        <v>0</v>
      </c>
      <c r="ES70" s="1256"/>
      <c r="ET70" s="1255">
        <f>(ET68*ET69*$G68)*$DB$8</f>
        <v>0</v>
      </c>
      <c r="EU70" s="1256"/>
      <c r="EV70" s="1255">
        <f>(EV68*EV69*$G68)*$DB$8</f>
        <v>0</v>
      </c>
      <c r="EW70" s="1256"/>
      <c r="EX70" s="1255">
        <f>(EX68*EX69*$G68)*$DB$8</f>
        <v>0</v>
      </c>
      <c r="EY70" s="1256"/>
      <c r="EZ70" s="1255">
        <f>(EZ68*EZ69*$G68)*$DB$8</f>
        <v>0</v>
      </c>
      <c r="FA70" s="1256"/>
      <c r="FB70" s="1255">
        <f>(FB68*FB69*$G68)*$DB$8</f>
        <v>0</v>
      </c>
      <c r="FC70" s="1256"/>
      <c r="FD70" s="1255">
        <f>(FD68*FD69*$G68)*$DB$8</f>
        <v>0</v>
      </c>
      <c r="FE70" s="1256"/>
      <c r="FF70" s="1255">
        <f>(FF68*FF69*$G68)*$DB$8</f>
        <v>0</v>
      </c>
      <c r="FG70" s="1256"/>
      <c r="FH70" s="1255">
        <f>(FH68*FH69*$G68)*$DB$8</f>
        <v>0</v>
      </c>
      <c r="FI70" s="1256"/>
      <c r="FJ70" s="1255">
        <f>(FJ68*FJ69*$G68)*$DB$8</f>
        <v>0</v>
      </c>
      <c r="FK70" s="1256"/>
      <c r="FL70" s="1255">
        <f>(FL68*FL69*$G68)*$DB$8</f>
        <v>0</v>
      </c>
      <c r="FM70" s="1256"/>
      <c r="FN70" s="1255">
        <f>(FN68*FN69*$G68)*$DB$8</f>
        <v>0</v>
      </c>
      <c r="FO70" s="1256"/>
      <c r="FP70" s="1255">
        <f>(FP68*FP69*$G68)*$DB$8</f>
        <v>0</v>
      </c>
      <c r="FQ70" s="1256"/>
      <c r="FR70" s="1255">
        <f>(FR68*FR69*$G68)*$DB$8</f>
        <v>0</v>
      </c>
      <c r="FS70" s="1256"/>
      <c r="FT70" s="1255">
        <f>(FT68*FT69*$G68)*$FT$8</f>
        <v>0</v>
      </c>
      <c r="FU70" s="1256"/>
      <c r="FV70" s="1255">
        <f>(FV68*FV69*$G68)*$FT$8</f>
        <v>0</v>
      </c>
      <c r="FW70" s="1256"/>
      <c r="FX70" s="1255">
        <f>(FX68*FX69*$G68)*$FT$8</f>
        <v>0</v>
      </c>
      <c r="FY70" s="1256"/>
      <c r="FZ70" s="1255">
        <f>(FZ68*FZ69*$G68)*$FT$8</f>
        <v>0</v>
      </c>
      <c r="GA70" s="1256"/>
      <c r="GB70" s="1255">
        <f>(GB68*GB69*$G68)*$FT$8</f>
        <v>0</v>
      </c>
      <c r="GC70" s="1256"/>
      <c r="GD70" s="1255">
        <f>(GD68*GD69*$G68)*$DB$8</f>
        <v>0</v>
      </c>
      <c r="GE70" s="1256"/>
      <c r="GF70" s="1255">
        <f>(GF68*GF69*$G68)*$DB$8</f>
        <v>0</v>
      </c>
      <c r="GG70" s="1256"/>
      <c r="GH70" s="1255">
        <f>(GH68*GH69*$G68)*$DB$8</f>
        <v>0</v>
      </c>
      <c r="GI70" s="1256"/>
      <c r="GJ70" s="1255">
        <f>(GJ68*GJ69*$G68)*$DB$8</f>
        <v>0</v>
      </c>
      <c r="GK70" s="1256"/>
      <c r="GL70" s="1255">
        <f>(GL68*GL69*$G68)*$DB$8</f>
        <v>0</v>
      </c>
      <c r="GM70" s="1256"/>
      <c r="GN70" s="1255">
        <f>(GN68*GN69*$G68)*$DB$8</f>
        <v>0</v>
      </c>
      <c r="GO70" s="1256"/>
      <c r="GP70" s="1255">
        <f>(GP68*GP69*$G68)*$DB$8</f>
        <v>0</v>
      </c>
      <c r="GQ70" s="1256"/>
      <c r="GR70" s="1255">
        <f>(GR68*GR69*$G68)*$DB$8</f>
        <v>0</v>
      </c>
      <c r="GS70" s="1256"/>
      <c r="GT70" s="1255">
        <f>(GT68*GT69*$G68)*$DB$8</f>
        <v>0</v>
      </c>
      <c r="GU70" s="1256"/>
      <c r="GV70" s="1255">
        <f>(GV68*GV69*$G68)*$DB$8</f>
        <v>0</v>
      </c>
      <c r="GW70" s="1256"/>
      <c r="GX70" s="1255">
        <f>(GX68*GX69*$G68)*$DB$8</f>
        <v>0</v>
      </c>
      <c r="GY70" s="1256"/>
      <c r="GZ70" s="1255">
        <f>(GZ68*GZ69*$G68)*$DB$8</f>
        <v>0</v>
      </c>
      <c r="HA70" s="1256"/>
      <c r="HB70" s="1255">
        <f>(HB68*HB69*$G68)*$DB$8</f>
        <v>0</v>
      </c>
      <c r="HC70" s="1256"/>
      <c r="HD70" s="1255">
        <f>(HD68*HD69*$G68)*$DB$8</f>
        <v>0</v>
      </c>
      <c r="HE70" s="1256"/>
      <c r="HF70" s="1255">
        <f>(HF68*HF69*$G68)*$DB$8</f>
        <v>0</v>
      </c>
      <c r="HG70" s="1256"/>
      <c r="HH70" s="1255">
        <f>(HH68*HH69*$G68)*$DB$8</f>
        <v>0</v>
      </c>
      <c r="HI70" s="1256"/>
      <c r="HJ70" s="1255">
        <f>(HJ68*HJ69*$G68)*$DB$8</f>
        <v>0</v>
      </c>
      <c r="HK70" s="1256"/>
    </row>
    <row r="71" spans="1:219">
      <c r="A71" s="1299"/>
      <c r="B71" s="1300"/>
      <c r="C71" s="1299"/>
      <c r="D71" s="1301"/>
      <c r="E71" s="1301"/>
      <c r="F71" s="1302"/>
      <c r="G71" s="1301"/>
      <c r="H71" s="726"/>
      <c r="I71" s="1303"/>
      <c r="J71" s="1304"/>
      <c r="K71" s="787" t="s">
        <v>294</v>
      </c>
      <c r="L71" s="1272">
        <f>L70</f>
        <v>0</v>
      </c>
      <c r="M71" s="1273"/>
      <c r="N71" s="1272">
        <f>L71+N70</f>
        <v>0</v>
      </c>
      <c r="O71" s="1273"/>
      <c r="P71" s="1272">
        <f>N71+P70</f>
        <v>0</v>
      </c>
      <c r="Q71" s="1273"/>
      <c r="R71" s="1272">
        <f>P71+R70</f>
        <v>0</v>
      </c>
      <c r="S71" s="1273"/>
      <c r="T71" s="1272">
        <f>R71+T70</f>
        <v>0</v>
      </c>
      <c r="U71" s="1273"/>
      <c r="V71" s="1272">
        <f>T71+V70</f>
        <v>0</v>
      </c>
      <c r="W71" s="1273"/>
      <c r="X71" s="1272">
        <f>V71+X70</f>
        <v>0</v>
      </c>
      <c r="Y71" s="1273"/>
      <c r="Z71" s="1272">
        <f>X71+Z70</f>
        <v>0</v>
      </c>
      <c r="AA71" s="1273"/>
      <c r="AB71" s="1272">
        <f>Z71+AB70</f>
        <v>0</v>
      </c>
      <c r="AC71" s="1273"/>
      <c r="AD71" s="1272">
        <f>AB71+AD70</f>
        <v>0</v>
      </c>
      <c r="AE71" s="1273"/>
      <c r="AF71" s="1272">
        <f>AD71+AF70</f>
        <v>0</v>
      </c>
      <c r="AG71" s="1273"/>
      <c r="AH71" s="1272">
        <f>AF71+AH70</f>
        <v>0</v>
      </c>
      <c r="AI71" s="1273"/>
      <c r="AJ71" s="1272">
        <f>AH71+AJ70</f>
        <v>0</v>
      </c>
      <c r="AK71" s="1273"/>
      <c r="AL71" s="1272">
        <f>AJ71+AL70</f>
        <v>0</v>
      </c>
      <c r="AM71" s="1273"/>
      <c r="AN71" s="1272">
        <f>AL71+AN70</f>
        <v>0</v>
      </c>
      <c r="AO71" s="1273"/>
      <c r="AP71" s="1272">
        <f>AN71+AP70</f>
        <v>0</v>
      </c>
      <c r="AQ71" s="1273"/>
      <c r="AR71" s="1272">
        <f>AP71+AR70</f>
        <v>3000.0000000000005</v>
      </c>
      <c r="AS71" s="1273"/>
      <c r="AT71" s="1272">
        <f>AR71+AT70</f>
        <v>3000.0000000000005</v>
      </c>
      <c r="AU71" s="1273"/>
      <c r="AV71" s="1272">
        <f>AT71+AV70</f>
        <v>3000.0000000000005</v>
      </c>
      <c r="AW71" s="1273"/>
      <c r="AX71" s="1272">
        <f>AV71+AX70</f>
        <v>3000.0000000000005</v>
      </c>
      <c r="AY71" s="1273"/>
      <c r="AZ71" s="1272">
        <f>AX71+AZ70</f>
        <v>3000.0000000000005</v>
      </c>
      <c r="BA71" s="1273"/>
      <c r="BB71" s="1272">
        <f>AZ71+BB70</f>
        <v>3000.0000000000005</v>
      </c>
      <c r="BC71" s="1273"/>
      <c r="BD71" s="1272">
        <f>BB71+BD70</f>
        <v>3000.0000000000005</v>
      </c>
      <c r="BE71" s="1273"/>
      <c r="BF71" s="1272">
        <f>BD71+BF70</f>
        <v>3000.0000000000005</v>
      </c>
      <c r="BG71" s="1273"/>
      <c r="BH71" s="1272">
        <f>BF71+BH70</f>
        <v>3000.0000000000005</v>
      </c>
      <c r="BI71" s="1273"/>
      <c r="BJ71" s="1272">
        <f>BH71+BJ70</f>
        <v>3000.0000000000005</v>
      </c>
      <c r="BK71" s="1273"/>
      <c r="BL71" s="1272">
        <f>BJ71+BL70</f>
        <v>3000.0000000000005</v>
      </c>
      <c r="BM71" s="1273"/>
      <c r="BN71" s="1272">
        <f>BL71+BN70</f>
        <v>3000.0000000000005</v>
      </c>
      <c r="BO71" s="1273"/>
      <c r="BP71" s="1272">
        <f>BN71+BP70</f>
        <v>3000.0000000000005</v>
      </c>
      <c r="BQ71" s="1273"/>
      <c r="BR71" s="1272">
        <f>BP71+BR70</f>
        <v>3000.0000000000005</v>
      </c>
      <c r="BS71" s="1273"/>
      <c r="BT71" s="1272">
        <f>BR71+BT70</f>
        <v>3000.0000000000005</v>
      </c>
      <c r="BU71" s="1273"/>
      <c r="BV71" s="1272">
        <f>BT71+BV70</f>
        <v>3000.0000000000005</v>
      </c>
      <c r="BW71" s="1273"/>
      <c r="BX71" s="1272">
        <f>BV71+BX70</f>
        <v>3000.0000000000005</v>
      </c>
      <c r="BY71" s="1273"/>
      <c r="BZ71" s="1272">
        <f>BX71+BZ70</f>
        <v>3000.0000000000005</v>
      </c>
      <c r="CA71" s="1273"/>
      <c r="CB71" s="1272">
        <f>BZ71+CB70</f>
        <v>3000.0000000000005</v>
      </c>
      <c r="CC71" s="1273"/>
      <c r="CD71" s="1272">
        <f>CB71+CD70</f>
        <v>3000.0000000000005</v>
      </c>
      <c r="CE71" s="1273"/>
      <c r="CF71" s="1272">
        <f>CD71+CF70</f>
        <v>3000.0000000000005</v>
      </c>
      <c r="CG71" s="1273"/>
      <c r="CH71" s="1272">
        <f>CF71+CH70</f>
        <v>3000.0000000000005</v>
      </c>
      <c r="CI71" s="1273"/>
      <c r="CJ71" s="1272">
        <f>CH71+CJ70</f>
        <v>3000.0000000000005</v>
      </c>
      <c r="CK71" s="1273"/>
      <c r="CL71" s="1272">
        <f>CJ71+CL70</f>
        <v>3000.0000000000005</v>
      </c>
      <c r="CM71" s="1273"/>
      <c r="CN71" s="1272">
        <f>CL71+CN70</f>
        <v>3000.0000000000005</v>
      </c>
      <c r="CO71" s="1273"/>
      <c r="CP71" s="1272">
        <f>CN71+CP70</f>
        <v>3000.0000000000005</v>
      </c>
      <c r="CQ71" s="1273"/>
      <c r="CR71" s="1272">
        <f>CP71+CR70</f>
        <v>3000.0000000000005</v>
      </c>
      <c r="CS71" s="1273"/>
      <c r="CT71" s="1272">
        <f>CR71+CT70</f>
        <v>3000.0000000000005</v>
      </c>
      <c r="CU71" s="1273"/>
      <c r="CV71" s="1272">
        <f>CT71+CV70</f>
        <v>3000.0000000000005</v>
      </c>
      <c r="CW71" s="1273"/>
      <c r="CX71" s="1272">
        <f>CV71+CX70</f>
        <v>3000.0000000000005</v>
      </c>
      <c r="CY71" s="1273"/>
      <c r="CZ71" s="1272">
        <f>CX71+CZ70</f>
        <v>3000.0000000000005</v>
      </c>
      <c r="DA71" s="1273"/>
      <c r="DB71" s="1272">
        <f>CZ71+DB70</f>
        <v>3000.0000000000005</v>
      </c>
      <c r="DC71" s="1273"/>
      <c r="DD71" s="1272">
        <f>DB71+DD70</f>
        <v>3000.0000000000005</v>
      </c>
      <c r="DE71" s="1273"/>
      <c r="DF71" s="1272">
        <f>DD71+DF70</f>
        <v>3000.0000000000005</v>
      </c>
      <c r="DG71" s="1273"/>
      <c r="DH71" s="1272">
        <f>DF71+DH70</f>
        <v>3000.0000000000005</v>
      </c>
      <c r="DI71" s="1273"/>
      <c r="DJ71" s="1323">
        <f>DH71+DJ70</f>
        <v>3000.0000000000005</v>
      </c>
      <c r="DK71" s="1324"/>
      <c r="DL71" s="1272">
        <f>DJ71+DL70</f>
        <v>3000.0000000000005</v>
      </c>
      <c r="DM71" s="1273"/>
      <c r="DN71" s="1272">
        <f>DL71+DN70</f>
        <v>3000.0000000000005</v>
      </c>
      <c r="DO71" s="1273"/>
      <c r="DP71" s="1272">
        <f>DN71+DP70</f>
        <v>3000.0000000000005</v>
      </c>
      <c r="DQ71" s="1273"/>
      <c r="DR71" s="1272">
        <f>DP71+DR70</f>
        <v>3000.0000000000005</v>
      </c>
      <c r="DS71" s="1273"/>
      <c r="DT71" s="1272">
        <f>DR71+DT70</f>
        <v>3000.0000000000005</v>
      </c>
      <c r="DU71" s="1273"/>
      <c r="DV71" s="1272">
        <f>DT71+DV70</f>
        <v>3000.0000000000005</v>
      </c>
      <c r="DW71" s="1273"/>
      <c r="DX71" s="1272">
        <f>DV71+DX70</f>
        <v>3000.0000000000005</v>
      </c>
      <c r="DY71" s="1273"/>
      <c r="DZ71" s="1272">
        <f>DX71+DZ70</f>
        <v>3000.0000000000005</v>
      </c>
      <c r="EA71" s="1273"/>
      <c r="EB71" s="1272">
        <f>DZ71+EB70</f>
        <v>3000.0000000000005</v>
      </c>
      <c r="EC71" s="1273"/>
      <c r="ED71" s="1272">
        <f>EB71+ED70</f>
        <v>3000.0000000000005</v>
      </c>
      <c r="EE71" s="1273"/>
      <c r="EF71" s="1272">
        <f>ED71+EF70</f>
        <v>3000.0000000000005</v>
      </c>
      <c r="EG71" s="1273"/>
      <c r="EH71" s="1272">
        <f>EF71+EH70</f>
        <v>3000.0000000000005</v>
      </c>
      <c r="EI71" s="1273"/>
      <c r="EJ71" s="1272">
        <f>EH71+EJ70</f>
        <v>3000.0000000000005</v>
      </c>
      <c r="EK71" s="1273"/>
      <c r="EL71" s="1272">
        <f>EJ71+EL70</f>
        <v>3000.0000000000005</v>
      </c>
      <c r="EM71" s="1273"/>
      <c r="EN71" s="1272">
        <f>EL71+EN70</f>
        <v>3000.0000000000005</v>
      </c>
      <c r="EO71" s="1273"/>
      <c r="EP71" s="1272">
        <f>EN71+EP70</f>
        <v>3000.0000000000005</v>
      </c>
      <c r="EQ71" s="1273"/>
      <c r="ER71" s="1272">
        <f>EP71+ER70</f>
        <v>3000.0000000000005</v>
      </c>
      <c r="ES71" s="1273"/>
      <c r="ET71" s="1272">
        <f>ER71+ET70</f>
        <v>3000.0000000000005</v>
      </c>
      <c r="EU71" s="1273"/>
      <c r="EV71" s="1272">
        <f>ET71+EV70</f>
        <v>3000.0000000000005</v>
      </c>
      <c r="EW71" s="1273"/>
      <c r="EX71" s="1272">
        <f>EV71+EX70</f>
        <v>3000.0000000000005</v>
      </c>
      <c r="EY71" s="1273"/>
      <c r="EZ71" s="1272">
        <f>EX71+EZ70</f>
        <v>3000.0000000000005</v>
      </c>
      <c r="FA71" s="1273"/>
      <c r="FB71" s="1272">
        <f>EZ71+FB70</f>
        <v>3000.0000000000005</v>
      </c>
      <c r="FC71" s="1273"/>
      <c r="FD71" s="1272">
        <f>FB71+FD70</f>
        <v>3000.0000000000005</v>
      </c>
      <c r="FE71" s="1273"/>
      <c r="FF71" s="1272">
        <f>FD71+FF70</f>
        <v>3000.0000000000005</v>
      </c>
      <c r="FG71" s="1273"/>
      <c r="FH71" s="1272">
        <f>FF71+FH70</f>
        <v>3000.0000000000005</v>
      </c>
      <c r="FI71" s="1273"/>
      <c r="FJ71" s="1272">
        <f>FH71+FJ70</f>
        <v>3000.0000000000005</v>
      </c>
      <c r="FK71" s="1273"/>
      <c r="FL71" s="1272">
        <f>FJ71+FL70</f>
        <v>3000.0000000000005</v>
      </c>
      <c r="FM71" s="1273"/>
      <c r="FN71" s="1272">
        <f>FL71+FN70</f>
        <v>3000.0000000000005</v>
      </c>
      <c r="FO71" s="1273"/>
      <c r="FP71" s="1272">
        <f>FN71+FP70</f>
        <v>3000.0000000000005</v>
      </c>
      <c r="FQ71" s="1273"/>
      <c r="FR71" s="1272">
        <f>FP71+FR70</f>
        <v>3000.0000000000005</v>
      </c>
      <c r="FS71" s="1273"/>
      <c r="FT71" s="1272">
        <f>FR71+FT70</f>
        <v>3000.0000000000005</v>
      </c>
      <c r="FU71" s="1273"/>
      <c r="FV71" s="1272">
        <f>FT71+FV70</f>
        <v>3000.0000000000005</v>
      </c>
      <c r="FW71" s="1273"/>
      <c r="FX71" s="1272">
        <f>FV71+FX70</f>
        <v>3000.0000000000005</v>
      </c>
      <c r="FY71" s="1273"/>
      <c r="FZ71" s="1272">
        <f>FX71+FZ70</f>
        <v>3000.0000000000005</v>
      </c>
      <c r="GA71" s="1273"/>
      <c r="GB71" s="1272">
        <f>FZ71+GB70</f>
        <v>3000.0000000000005</v>
      </c>
      <c r="GC71" s="1273"/>
      <c r="GD71" s="1272">
        <f>GB71+GD70</f>
        <v>3000.0000000000005</v>
      </c>
      <c r="GE71" s="1273"/>
      <c r="GF71" s="1272">
        <f>GD71+GF70</f>
        <v>3000.0000000000005</v>
      </c>
      <c r="GG71" s="1273"/>
      <c r="GH71" s="1272">
        <f>GF71+GH70</f>
        <v>3000.0000000000005</v>
      </c>
      <c r="GI71" s="1273"/>
      <c r="GJ71" s="1272">
        <f>GH71+GJ70</f>
        <v>3000.0000000000005</v>
      </c>
      <c r="GK71" s="1273"/>
      <c r="GL71" s="1272">
        <f>GJ71+GL70</f>
        <v>3000.0000000000005</v>
      </c>
      <c r="GM71" s="1273"/>
      <c r="GN71" s="1272">
        <f>GL71+GN70</f>
        <v>3000.0000000000005</v>
      </c>
      <c r="GO71" s="1273"/>
      <c r="GP71" s="1272">
        <f>GN71+GP70</f>
        <v>3000.0000000000005</v>
      </c>
      <c r="GQ71" s="1273"/>
      <c r="GR71" s="1272">
        <f>GP71+GR70</f>
        <v>3000.0000000000005</v>
      </c>
      <c r="GS71" s="1273"/>
      <c r="GT71" s="1272">
        <f>GR71+GT70</f>
        <v>3000.0000000000005</v>
      </c>
      <c r="GU71" s="1273"/>
      <c r="GV71" s="1272">
        <f>GT71+GV70</f>
        <v>3000.0000000000005</v>
      </c>
      <c r="GW71" s="1273"/>
      <c r="GX71" s="1272">
        <f>GV71+GX70</f>
        <v>3000.0000000000005</v>
      </c>
      <c r="GY71" s="1273"/>
      <c r="GZ71" s="1272">
        <f>GX71+GZ70</f>
        <v>3000.0000000000005</v>
      </c>
      <c r="HA71" s="1273"/>
      <c r="HB71" s="1272">
        <f>GZ71+HB70</f>
        <v>3000.0000000000005</v>
      </c>
      <c r="HC71" s="1273"/>
      <c r="HD71" s="1272">
        <f>HB71+HD70</f>
        <v>3000.0000000000005</v>
      </c>
      <c r="HE71" s="1273"/>
      <c r="HF71" s="1272">
        <f>HD71+HF70</f>
        <v>3000.0000000000005</v>
      </c>
      <c r="HG71" s="1273"/>
      <c r="HH71" s="1272">
        <f>HF71+HH70</f>
        <v>3000.0000000000005</v>
      </c>
      <c r="HI71" s="1273"/>
      <c r="HJ71" s="1272">
        <f>HH71+HJ70</f>
        <v>3000.0000000000005</v>
      </c>
      <c r="HK71" s="1273"/>
    </row>
    <row r="72" spans="1:219" s="19" customFormat="1">
      <c r="A72" s="1299"/>
      <c r="B72" s="1300"/>
      <c r="C72" s="1299"/>
      <c r="D72" s="1301"/>
      <c r="E72" s="1301"/>
      <c r="F72" s="1302"/>
      <c r="G72" s="1301"/>
      <c r="H72" s="788"/>
      <c r="I72" s="1303"/>
      <c r="J72" s="1304"/>
      <c r="K72" s="789" t="s">
        <v>295</v>
      </c>
      <c r="L72" s="1266"/>
      <c r="M72" s="1267"/>
      <c r="N72" s="1266"/>
      <c r="O72" s="1267"/>
      <c r="P72" s="1266"/>
      <c r="Q72" s="1267"/>
      <c r="R72" s="1266"/>
      <c r="S72" s="1267"/>
      <c r="T72" s="1266"/>
      <c r="U72" s="1267"/>
      <c r="V72" s="1266"/>
      <c r="W72" s="1267"/>
      <c r="X72" s="1266"/>
      <c r="Y72" s="1267"/>
      <c r="Z72" s="1266"/>
      <c r="AA72" s="1267"/>
      <c r="AB72" s="1266"/>
      <c r="AC72" s="1267"/>
      <c r="AD72" s="1266"/>
      <c r="AE72" s="1267"/>
      <c r="AF72" s="1266"/>
      <c r="AG72" s="1267"/>
      <c r="AH72" s="1266"/>
      <c r="AI72" s="1267"/>
      <c r="AJ72" s="1266"/>
      <c r="AK72" s="1267"/>
      <c r="AL72" s="1266"/>
      <c r="AM72" s="1267"/>
      <c r="AN72" s="1266"/>
      <c r="AO72" s="1267"/>
      <c r="AP72" s="1266"/>
      <c r="AQ72" s="1267"/>
      <c r="AR72" s="1266"/>
      <c r="AS72" s="1267"/>
      <c r="AT72" s="1266"/>
      <c r="AU72" s="1267"/>
      <c r="AV72" s="1266"/>
      <c r="AW72" s="1267"/>
      <c r="AX72" s="1266"/>
      <c r="AY72" s="1267"/>
      <c r="AZ72" s="1266"/>
      <c r="BA72" s="1267"/>
      <c r="BB72" s="1266"/>
      <c r="BC72" s="1267"/>
      <c r="BD72" s="1266"/>
      <c r="BE72" s="1267"/>
      <c r="BF72" s="1266"/>
      <c r="BG72" s="1267"/>
      <c r="BH72" s="1266"/>
      <c r="BI72" s="1267"/>
      <c r="BJ72" s="1266"/>
      <c r="BK72" s="1267"/>
      <c r="BL72" s="1266"/>
      <c r="BM72" s="1267"/>
      <c r="BN72" s="1266"/>
      <c r="BO72" s="1267"/>
      <c r="BP72" s="1266"/>
      <c r="BQ72" s="1267"/>
      <c r="BR72" s="1266"/>
      <c r="BS72" s="1267"/>
      <c r="BT72" s="1266"/>
      <c r="BU72" s="1267"/>
      <c r="BV72" s="1266"/>
      <c r="BW72" s="1267"/>
      <c r="BX72" s="1266"/>
      <c r="BY72" s="1267"/>
      <c r="BZ72" s="1266"/>
      <c r="CA72" s="1267"/>
      <c r="CB72" s="1266"/>
      <c r="CC72" s="1267"/>
      <c r="CD72" s="1266"/>
      <c r="CE72" s="1267"/>
      <c r="CF72" s="1266"/>
      <c r="CG72" s="1267"/>
      <c r="CH72" s="1266"/>
      <c r="CI72" s="1267"/>
      <c r="CJ72" s="1266"/>
      <c r="CK72" s="1267"/>
      <c r="CL72" s="1266"/>
      <c r="CM72" s="1267"/>
      <c r="CN72" s="1266"/>
      <c r="CO72" s="1267"/>
      <c r="CP72" s="1266"/>
      <c r="CQ72" s="1267"/>
      <c r="CR72" s="1266"/>
      <c r="CS72" s="1267"/>
      <c r="CT72" s="1266"/>
      <c r="CU72" s="1267"/>
      <c r="CV72" s="1266"/>
      <c r="CW72" s="1267"/>
      <c r="CX72" s="1266"/>
      <c r="CY72" s="1267"/>
      <c r="CZ72" s="1266"/>
      <c r="DA72" s="1267"/>
      <c r="DB72" s="1266"/>
      <c r="DC72" s="1267"/>
      <c r="DD72" s="1266"/>
      <c r="DE72" s="1267"/>
      <c r="DF72" s="1266"/>
      <c r="DG72" s="1267"/>
      <c r="DH72" s="1266"/>
      <c r="DI72" s="1267"/>
      <c r="DJ72" s="1268"/>
      <c r="DK72" s="1269"/>
      <c r="DL72" s="1266"/>
      <c r="DM72" s="1267"/>
      <c r="DN72" s="1266"/>
      <c r="DO72" s="1267"/>
      <c r="DP72" s="1266"/>
      <c r="DQ72" s="1267"/>
      <c r="DR72" s="1266"/>
      <c r="DS72" s="1267"/>
      <c r="DT72" s="1266"/>
      <c r="DU72" s="1267"/>
      <c r="DV72" s="1266"/>
      <c r="DW72" s="1267"/>
      <c r="DX72" s="1266"/>
      <c r="DY72" s="1267"/>
      <c r="DZ72" s="1266"/>
      <c r="EA72" s="1267"/>
      <c r="EB72" s="1266"/>
      <c r="EC72" s="1267"/>
      <c r="ED72" s="1266"/>
      <c r="EE72" s="1267"/>
      <c r="EF72" s="1266"/>
      <c r="EG72" s="1267"/>
      <c r="EH72" s="1266"/>
      <c r="EI72" s="1267"/>
      <c r="EJ72" s="1266"/>
      <c r="EK72" s="1267"/>
      <c r="EL72" s="1266"/>
      <c r="EM72" s="1267"/>
      <c r="EN72" s="1266"/>
      <c r="EO72" s="1267"/>
      <c r="EP72" s="1266"/>
      <c r="EQ72" s="1267"/>
      <c r="ER72" s="1266"/>
      <c r="ES72" s="1267"/>
      <c r="ET72" s="1266"/>
      <c r="EU72" s="1267"/>
      <c r="EV72" s="1266"/>
      <c r="EW72" s="1267"/>
      <c r="EX72" s="1266"/>
      <c r="EY72" s="1267"/>
      <c r="EZ72" s="1266"/>
      <c r="FA72" s="1267"/>
      <c r="FB72" s="1266"/>
      <c r="FC72" s="1267"/>
      <c r="FD72" s="1266"/>
      <c r="FE72" s="1267"/>
      <c r="FF72" s="1266"/>
      <c r="FG72" s="1267"/>
      <c r="FH72" s="1266"/>
      <c r="FI72" s="1267"/>
      <c r="FJ72" s="1266"/>
      <c r="FK72" s="1267"/>
      <c r="FL72" s="1266"/>
      <c r="FM72" s="1267"/>
      <c r="FN72" s="1266"/>
      <c r="FO72" s="1267"/>
      <c r="FP72" s="1266"/>
      <c r="FQ72" s="1267"/>
      <c r="FR72" s="1266"/>
      <c r="FS72" s="1267"/>
      <c r="FT72" s="1266"/>
      <c r="FU72" s="1267"/>
      <c r="FV72" s="1266"/>
      <c r="FW72" s="1267"/>
      <c r="FX72" s="1266"/>
      <c r="FY72" s="1267"/>
      <c r="FZ72" s="1266"/>
      <c r="GA72" s="1267"/>
      <c r="GB72" s="1266"/>
      <c r="GC72" s="1267"/>
      <c r="GD72" s="1266"/>
      <c r="GE72" s="1267"/>
      <c r="GF72" s="1266"/>
      <c r="GG72" s="1267"/>
      <c r="GH72" s="1266"/>
      <c r="GI72" s="1267"/>
      <c r="GJ72" s="1266"/>
      <c r="GK72" s="1267"/>
      <c r="GL72" s="1266"/>
      <c r="GM72" s="1267"/>
      <c r="GN72" s="1266"/>
      <c r="GO72" s="1267"/>
      <c r="GP72" s="1266"/>
      <c r="GQ72" s="1267"/>
      <c r="GR72" s="1266"/>
      <c r="GS72" s="1267"/>
      <c r="GT72" s="1266"/>
      <c r="GU72" s="1267"/>
      <c r="GV72" s="1266"/>
      <c r="GW72" s="1267"/>
      <c r="GX72" s="1266"/>
      <c r="GY72" s="1267"/>
      <c r="GZ72" s="1266"/>
      <c r="HA72" s="1267"/>
      <c r="HB72" s="1266"/>
      <c r="HC72" s="1267"/>
      <c r="HD72" s="1266"/>
      <c r="HE72" s="1267"/>
      <c r="HF72" s="1266"/>
      <c r="HG72" s="1267"/>
      <c r="HH72" s="1266"/>
      <c r="HI72" s="1267"/>
      <c r="HJ72" s="1266"/>
      <c r="HK72" s="1267"/>
    </row>
    <row r="73" spans="1:219" s="20" customFormat="1">
      <c r="A73" s="1299"/>
      <c r="B73" s="1300"/>
      <c r="C73" s="1299"/>
      <c r="D73" s="1301"/>
      <c r="E73" s="1301"/>
      <c r="F73" s="1302"/>
      <c r="G73" s="1301"/>
      <c r="H73" s="790"/>
      <c r="I73" s="1303"/>
      <c r="J73" s="1304"/>
      <c r="K73" s="791" t="s">
        <v>296</v>
      </c>
      <c r="L73" s="1259">
        <f>L72</f>
        <v>0</v>
      </c>
      <c r="M73" s="1260"/>
      <c r="N73" s="1259">
        <f>N72+L73</f>
        <v>0</v>
      </c>
      <c r="O73" s="1260"/>
      <c r="P73" s="1259">
        <f>P72+N73</f>
        <v>0</v>
      </c>
      <c r="Q73" s="1260"/>
      <c r="R73" s="1259">
        <f>R72+P73</f>
        <v>0</v>
      </c>
      <c r="S73" s="1260"/>
      <c r="T73" s="1259">
        <f>T72+R73</f>
        <v>0</v>
      </c>
      <c r="U73" s="1260"/>
      <c r="V73" s="1259">
        <f>V72+T73</f>
        <v>0</v>
      </c>
      <c r="W73" s="1260"/>
      <c r="X73" s="1259">
        <f>X72+V73</f>
        <v>0</v>
      </c>
      <c r="Y73" s="1260"/>
      <c r="Z73" s="1259">
        <f>Z72+X73</f>
        <v>0</v>
      </c>
      <c r="AA73" s="1260"/>
      <c r="AB73" s="1259">
        <f>AB72+Z73</f>
        <v>0</v>
      </c>
      <c r="AC73" s="1260"/>
      <c r="AD73" s="1259">
        <f>AD72+AB73</f>
        <v>0</v>
      </c>
      <c r="AE73" s="1260"/>
      <c r="AF73" s="1259">
        <f>AF72+AD73</f>
        <v>0</v>
      </c>
      <c r="AG73" s="1260"/>
      <c r="AH73" s="1259">
        <f>AH72+AF73</f>
        <v>0</v>
      </c>
      <c r="AI73" s="1260"/>
      <c r="AJ73" s="1259">
        <f>AJ72+AH73</f>
        <v>0</v>
      </c>
      <c r="AK73" s="1260"/>
      <c r="AL73" s="1259">
        <f>AL72+AJ73</f>
        <v>0</v>
      </c>
      <c r="AM73" s="1260"/>
      <c r="AN73" s="1259">
        <f>AN72+AL73</f>
        <v>0</v>
      </c>
      <c r="AO73" s="1260"/>
      <c r="AP73" s="1259">
        <f>AP72+AN73</f>
        <v>0</v>
      </c>
      <c r="AQ73" s="1260"/>
      <c r="AR73" s="1259">
        <f>AR72+AP73</f>
        <v>0</v>
      </c>
      <c r="AS73" s="1260"/>
      <c r="AT73" s="1259">
        <f>AT72+AR73</f>
        <v>0</v>
      </c>
      <c r="AU73" s="1260"/>
      <c r="AV73" s="1259">
        <f>AV72+AT73</f>
        <v>0</v>
      </c>
      <c r="AW73" s="1260"/>
      <c r="AX73" s="1259">
        <f>AX72+AV73</f>
        <v>0</v>
      </c>
      <c r="AY73" s="1260"/>
      <c r="AZ73" s="1259">
        <f>AZ72+AX73</f>
        <v>0</v>
      </c>
      <c r="BA73" s="1260"/>
      <c r="BB73" s="1259">
        <f>BB72+AZ73</f>
        <v>0</v>
      </c>
      <c r="BC73" s="1260"/>
      <c r="BD73" s="1259">
        <f>BD72+BB73</f>
        <v>0</v>
      </c>
      <c r="BE73" s="1260"/>
      <c r="BF73" s="1259">
        <f>BF72+BD73</f>
        <v>0</v>
      </c>
      <c r="BG73" s="1260"/>
      <c r="BH73" s="1259">
        <f>BH72+BF73</f>
        <v>0</v>
      </c>
      <c r="BI73" s="1260"/>
      <c r="BJ73" s="1259">
        <f>BJ72+BH73</f>
        <v>0</v>
      </c>
      <c r="BK73" s="1260"/>
      <c r="BL73" s="1259">
        <f>BL72+BJ73</f>
        <v>0</v>
      </c>
      <c r="BM73" s="1260"/>
      <c r="BN73" s="1259">
        <f>BN72+BL73</f>
        <v>0</v>
      </c>
      <c r="BO73" s="1260"/>
      <c r="BP73" s="1259">
        <f>BP72+BN73</f>
        <v>0</v>
      </c>
      <c r="BQ73" s="1260"/>
      <c r="BR73" s="1259">
        <f>BR72+BP73</f>
        <v>0</v>
      </c>
      <c r="BS73" s="1260"/>
      <c r="BT73" s="1259">
        <f>BT72+BR73</f>
        <v>0</v>
      </c>
      <c r="BU73" s="1260"/>
      <c r="BV73" s="1259">
        <f>BV72+BT73</f>
        <v>0</v>
      </c>
      <c r="BW73" s="1260"/>
      <c r="BX73" s="1259">
        <f>BX72+BV73</f>
        <v>0</v>
      </c>
      <c r="BY73" s="1260"/>
      <c r="BZ73" s="1259">
        <f>BZ72+BX73</f>
        <v>0</v>
      </c>
      <c r="CA73" s="1260"/>
      <c r="CB73" s="1259">
        <f>CB72+BZ73</f>
        <v>0</v>
      </c>
      <c r="CC73" s="1260"/>
      <c r="CD73" s="1259">
        <f>CD72+CB73</f>
        <v>0</v>
      </c>
      <c r="CE73" s="1260"/>
      <c r="CF73" s="1259">
        <f>CF72+CD73</f>
        <v>0</v>
      </c>
      <c r="CG73" s="1260"/>
      <c r="CH73" s="1259">
        <f>CH72+CF73</f>
        <v>0</v>
      </c>
      <c r="CI73" s="1260"/>
      <c r="CJ73" s="1259">
        <f>CJ72+CH73</f>
        <v>0</v>
      </c>
      <c r="CK73" s="1260"/>
      <c r="CL73" s="1259">
        <f>CL72+CJ73</f>
        <v>0</v>
      </c>
      <c r="CM73" s="1260"/>
      <c r="CN73" s="1259">
        <f>CN72+CL73</f>
        <v>0</v>
      </c>
      <c r="CO73" s="1260"/>
      <c r="CP73" s="1259">
        <f>CP72+CN73</f>
        <v>0</v>
      </c>
      <c r="CQ73" s="1260"/>
      <c r="CR73" s="1259">
        <f>CR72+CP73</f>
        <v>0</v>
      </c>
      <c r="CS73" s="1260"/>
      <c r="CT73" s="1259">
        <f>CT72+CR73</f>
        <v>0</v>
      </c>
      <c r="CU73" s="1260"/>
      <c r="CV73" s="1259">
        <f>CV72+CT73</f>
        <v>0</v>
      </c>
      <c r="CW73" s="1260"/>
      <c r="CX73" s="1259">
        <f>CX72+CV73</f>
        <v>0</v>
      </c>
      <c r="CY73" s="1260"/>
      <c r="CZ73" s="1259">
        <f>CZ72+CX73</f>
        <v>0</v>
      </c>
      <c r="DA73" s="1260"/>
      <c r="DB73" s="1259">
        <f>DB72+CZ73</f>
        <v>0</v>
      </c>
      <c r="DC73" s="1260"/>
      <c r="DD73" s="1259">
        <f>DD72+DB73</f>
        <v>0</v>
      </c>
      <c r="DE73" s="1260"/>
      <c r="DF73" s="1259">
        <f>DF72+DD73</f>
        <v>0</v>
      </c>
      <c r="DG73" s="1260"/>
      <c r="DH73" s="1259">
        <f>DH72+DF73</f>
        <v>0</v>
      </c>
      <c r="DI73" s="1260"/>
      <c r="DJ73" s="1261">
        <f>DJ72+DH73</f>
        <v>0</v>
      </c>
      <c r="DK73" s="1262"/>
      <c r="DL73" s="1259">
        <f>DL72+DJ73</f>
        <v>0</v>
      </c>
      <c r="DM73" s="1260"/>
      <c r="DN73" s="1259">
        <f>DN72+DL73</f>
        <v>0</v>
      </c>
      <c r="DO73" s="1260"/>
      <c r="DP73" s="1259">
        <f>DP72+DN73</f>
        <v>0</v>
      </c>
      <c r="DQ73" s="1260"/>
      <c r="DR73" s="1259">
        <f>DR72+DP73</f>
        <v>0</v>
      </c>
      <c r="DS73" s="1260"/>
      <c r="DT73" s="1259">
        <f>DT72+DR73</f>
        <v>0</v>
      </c>
      <c r="DU73" s="1260"/>
      <c r="DV73" s="1259">
        <f>DV72+DT73</f>
        <v>0</v>
      </c>
      <c r="DW73" s="1260"/>
      <c r="DX73" s="1259">
        <f>DX72+DV73</f>
        <v>0</v>
      </c>
      <c r="DY73" s="1260"/>
      <c r="DZ73" s="1259">
        <f>DZ72+DX73</f>
        <v>0</v>
      </c>
      <c r="EA73" s="1260"/>
      <c r="EB73" s="1259">
        <f>EB72+DZ73</f>
        <v>0</v>
      </c>
      <c r="EC73" s="1260"/>
      <c r="ED73" s="1259">
        <f>ED72+EB73</f>
        <v>0</v>
      </c>
      <c r="EE73" s="1260"/>
      <c r="EF73" s="1259">
        <f>EF72+ED73</f>
        <v>0</v>
      </c>
      <c r="EG73" s="1260"/>
      <c r="EH73" s="1259">
        <f>EH72+EF73</f>
        <v>0</v>
      </c>
      <c r="EI73" s="1260"/>
      <c r="EJ73" s="1259">
        <f>EJ72+EH73</f>
        <v>0</v>
      </c>
      <c r="EK73" s="1260"/>
      <c r="EL73" s="1259">
        <f>EL72+EJ73</f>
        <v>0</v>
      </c>
      <c r="EM73" s="1260"/>
      <c r="EN73" s="1259">
        <f>EN72+EL73</f>
        <v>0</v>
      </c>
      <c r="EO73" s="1260"/>
      <c r="EP73" s="1259">
        <f>EP72+EN73</f>
        <v>0</v>
      </c>
      <c r="EQ73" s="1260"/>
      <c r="ER73" s="1259">
        <f>ER72+EP73</f>
        <v>0</v>
      </c>
      <c r="ES73" s="1260"/>
      <c r="ET73" s="1259">
        <f>ET72+ER73</f>
        <v>0</v>
      </c>
      <c r="EU73" s="1260"/>
      <c r="EV73" s="1259">
        <f>EV72+ET73</f>
        <v>0</v>
      </c>
      <c r="EW73" s="1260"/>
      <c r="EX73" s="1259">
        <f>EX72+EV73</f>
        <v>0</v>
      </c>
      <c r="EY73" s="1260"/>
      <c r="EZ73" s="1259">
        <f>EZ72+EX73</f>
        <v>0</v>
      </c>
      <c r="FA73" s="1260"/>
      <c r="FB73" s="1259">
        <f>FB72+EZ73</f>
        <v>0</v>
      </c>
      <c r="FC73" s="1260"/>
      <c r="FD73" s="1259">
        <f>FD72+FB73</f>
        <v>0</v>
      </c>
      <c r="FE73" s="1260"/>
      <c r="FF73" s="1259">
        <f>FF72+FD73</f>
        <v>0</v>
      </c>
      <c r="FG73" s="1260"/>
      <c r="FH73" s="1259">
        <f>FH72+FF73</f>
        <v>0</v>
      </c>
      <c r="FI73" s="1260"/>
      <c r="FJ73" s="1259">
        <f>FJ72+FH73</f>
        <v>0</v>
      </c>
      <c r="FK73" s="1260"/>
      <c r="FL73" s="1259">
        <f>FL72+FJ73</f>
        <v>0</v>
      </c>
      <c r="FM73" s="1260"/>
      <c r="FN73" s="1259">
        <f>FN72+FL73</f>
        <v>0</v>
      </c>
      <c r="FO73" s="1260"/>
      <c r="FP73" s="1259">
        <f>FP72+FN73</f>
        <v>0</v>
      </c>
      <c r="FQ73" s="1260"/>
      <c r="FR73" s="1259">
        <f>FR72+FP73</f>
        <v>0</v>
      </c>
      <c r="FS73" s="1260"/>
      <c r="FT73" s="1259">
        <f>FT72+FR73</f>
        <v>0</v>
      </c>
      <c r="FU73" s="1260"/>
      <c r="FV73" s="1259">
        <f>FV72+FT73</f>
        <v>0</v>
      </c>
      <c r="FW73" s="1260"/>
      <c r="FX73" s="1259">
        <f>FX72+FV73</f>
        <v>0</v>
      </c>
      <c r="FY73" s="1260"/>
      <c r="FZ73" s="1259">
        <f>FZ72+FX73</f>
        <v>0</v>
      </c>
      <c r="GA73" s="1260"/>
      <c r="GB73" s="1259">
        <f>GB72+FZ73</f>
        <v>0</v>
      </c>
      <c r="GC73" s="1260"/>
      <c r="GD73" s="1259">
        <f>GD72+GB73</f>
        <v>0</v>
      </c>
      <c r="GE73" s="1260"/>
      <c r="GF73" s="1259">
        <f>GF72+GD73</f>
        <v>0</v>
      </c>
      <c r="GG73" s="1260"/>
      <c r="GH73" s="1259">
        <f>GH72+GF73</f>
        <v>0</v>
      </c>
      <c r="GI73" s="1260"/>
      <c r="GJ73" s="1259">
        <f>GJ72+GH73</f>
        <v>0</v>
      </c>
      <c r="GK73" s="1260"/>
      <c r="GL73" s="1259">
        <f>GL72+GJ73</f>
        <v>0</v>
      </c>
      <c r="GM73" s="1260"/>
      <c r="GN73" s="1259">
        <f>GN72+GL73</f>
        <v>0</v>
      </c>
      <c r="GO73" s="1260"/>
      <c r="GP73" s="1259">
        <f>GP72+GN73</f>
        <v>0</v>
      </c>
      <c r="GQ73" s="1260"/>
      <c r="GR73" s="1259">
        <f>GR72+GP73</f>
        <v>0</v>
      </c>
      <c r="GS73" s="1260"/>
      <c r="GT73" s="1259">
        <f>GT72+GR73</f>
        <v>0</v>
      </c>
      <c r="GU73" s="1260"/>
      <c r="GV73" s="1259">
        <f>GV72+GT73</f>
        <v>0</v>
      </c>
      <c r="GW73" s="1260"/>
      <c r="GX73" s="1259">
        <f>GX72+GV73</f>
        <v>0</v>
      </c>
      <c r="GY73" s="1260"/>
      <c r="GZ73" s="1259">
        <f>GZ72+GX73</f>
        <v>0</v>
      </c>
      <c r="HA73" s="1260"/>
      <c r="HB73" s="1259">
        <f>HB72+GZ73</f>
        <v>0</v>
      </c>
      <c r="HC73" s="1260"/>
      <c r="HD73" s="1259">
        <f>HD72+HB73</f>
        <v>0</v>
      </c>
      <c r="HE73" s="1260"/>
      <c r="HF73" s="1259">
        <f>HF72+HD73</f>
        <v>0</v>
      </c>
      <c r="HG73" s="1260"/>
      <c r="HH73" s="1259">
        <f>HH72+HF73</f>
        <v>0</v>
      </c>
      <c r="HI73" s="1260"/>
      <c r="HJ73" s="1259">
        <f>HJ72+HH73</f>
        <v>0</v>
      </c>
      <c r="HK73" s="1260"/>
    </row>
    <row r="74" spans="1:219" s="21" customFormat="1">
      <c r="A74" s="1299"/>
      <c r="B74" s="1300"/>
      <c r="C74" s="1299"/>
      <c r="D74" s="1301"/>
      <c r="E74" s="1301"/>
      <c r="F74" s="1302"/>
      <c r="G74" s="1301"/>
      <c r="H74" s="792"/>
      <c r="I74" s="1303"/>
      <c r="J74" s="1304"/>
      <c r="K74" s="793" t="s">
        <v>297</v>
      </c>
      <c r="L74" s="1270">
        <f>IF($E68&gt;0,L71/$E68,"-")</f>
        <v>0</v>
      </c>
      <c r="M74" s="1271"/>
      <c r="N74" s="1270">
        <f>IF($E68&gt;0,N71/$E68,"-")</f>
        <v>0</v>
      </c>
      <c r="O74" s="1271"/>
      <c r="P74" s="1270">
        <f>IF($E68&gt;0,P71/$E68,"-")</f>
        <v>0</v>
      </c>
      <c r="Q74" s="1271"/>
      <c r="R74" s="1270">
        <f>IF($E68&gt;0,R71/$E68,"-")</f>
        <v>0</v>
      </c>
      <c r="S74" s="1271"/>
      <c r="T74" s="1270">
        <f>IF($E68&gt;0,T71/$E68,"-")</f>
        <v>0</v>
      </c>
      <c r="U74" s="1271"/>
      <c r="V74" s="1270">
        <f>IF($E68&gt;0,V71/$E68,"-")</f>
        <v>0</v>
      </c>
      <c r="W74" s="1271"/>
      <c r="X74" s="1270">
        <f>IF($E68&gt;0,X71/$E68,"-")</f>
        <v>0</v>
      </c>
      <c r="Y74" s="1271"/>
      <c r="Z74" s="1270">
        <f>IF($E68&gt;0,Z71/$E68,"-")</f>
        <v>0</v>
      </c>
      <c r="AA74" s="1271"/>
      <c r="AB74" s="1270">
        <f>IF($E68&gt;0,AB71/$E68,"-")</f>
        <v>0</v>
      </c>
      <c r="AC74" s="1271"/>
      <c r="AD74" s="1270">
        <f>IF($E68&gt;0,AD71/$E68,"-")</f>
        <v>0</v>
      </c>
      <c r="AE74" s="1271"/>
      <c r="AF74" s="1270">
        <f>IF($E68&gt;0,AF71/$E68,"-")</f>
        <v>0</v>
      </c>
      <c r="AG74" s="1271"/>
      <c r="AH74" s="1270">
        <f>IF($E68&gt;0,AH71/$E68,"-")</f>
        <v>0</v>
      </c>
      <c r="AI74" s="1271"/>
      <c r="AJ74" s="1270">
        <f>IF($E68&gt;0,AJ71/$E68,"-")</f>
        <v>0</v>
      </c>
      <c r="AK74" s="1271"/>
      <c r="AL74" s="1270">
        <f>IF($E68&gt;0,AL71/$E68,"-")</f>
        <v>0</v>
      </c>
      <c r="AM74" s="1271"/>
      <c r="AN74" s="1270">
        <f>IF($E68&gt;0,AN71/$E68,"-")</f>
        <v>0</v>
      </c>
      <c r="AO74" s="1271"/>
      <c r="AP74" s="1270">
        <f>IF($E68&gt;0,AP71/$E68,"-")</f>
        <v>0</v>
      </c>
      <c r="AQ74" s="1271"/>
      <c r="AR74" s="1270">
        <f>IF($E68&gt;0,AR71/$E68,"-")</f>
        <v>3000.0000000000005</v>
      </c>
      <c r="AS74" s="1271"/>
      <c r="AT74" s="1270">
        <f>IF($E68&gt;0,AT71/$E68,"-")</f>
        <v>3000.0000000000005</v>
      </c>
      <c r="AU74" s="1271"/>
      <c r="AV74" s="1270">
        <f>IF($E68&gt;0,AV71/$E68,"-")</f>
        <v>3000.0000000000005</v>
      </c>
      <c r="AW74" s="1271"/>
      <c r="AX74" s="1270">
        <f>IF($E68&gt;0,AX71/$E68,"-")</f>
        <v>3000.0000000000005</v>
      </c>
      <c r="AY74" s="1271"/>
      <c r="AZ74" s="1270">
        <f>IF($E68&gt;0,AZ71/$E68,"-")</f>
        <v>3000.0000000000005</v>
      </c>
      <c r="BA74" s="1271"/>
      <c r="BB74" s="1270">
        <f>IF($E68&gt;0,BB71/$E68,"-")</f>
        <v>3000.0000000000005</v>
      </c>
      <c r="BC74" s="1271"/>
      <c r="BD74" s="1270">
        <f>IF($E68&gt;0,BD71/$E68,"-")</f>
        <v>3000.0000000000005</v>
      </c>
      <c r="BE74" s="1271"/>
      <c r="BF74" s="1270">
        <f>IF($E68&gt;0,BF71/$E68,"-")</f>
        <v>3000.0000000000005</v>
      </c>
      <c r="BG74" s="1271"/>
      <c r="BH74" s="1270">
        <f>IF($E68&gt;0,BH71/$E68,"-")</f>
        <v>3000.0000000000005</v>
      </c>
      <c r="BI74" s="1271"/>
      <c r="BJ74" s="1270">
        <f>IF($E68&gt;0,BJ71/$E68,"-")</f>
        <v>3000.0000000000005</v>
      </c>
      <c r="BK74" s="1271"/>
      <c r="BL74" s="1270">
        <f>IF($E68&gt;0,BL71/$E68,"-")</f>
        <v>3000.0000000000005</v>
      </c>
      <c r="BM74" s="1271"/>
      <c r="BN74" s="1270">
        <f>IF($E68&gt;0,BN71/$E68,"-")</f>
        <v>3000.0000000000005</v>
      </c>
      <c r="BO74" s="1271"/>
      <c r="BP74" s="1270">
        <f>IF($E68&gt;0,BP71/$E68,"-")</f>
        <v>3000.0000000000005</v>
      </c>
      <c r="BQ74" s="1271"/>
      <c r="BR74" s="1270">
        <f>IF($E68&gt;0,BR71/$E68,"-")</f>
        <v>3000.0000000000005</v>
      </c>
      <c r="BS74" s="1271"/>
      <c r="BT74" s="1270">
        <f>IF($E68&gt;0,BT71/$E68,"-")</f>
        <v>3000.0000000000005</v>
      </c>
      <c r="BU74" s="1271"/>
      <c r="BV74" s="1270">
        <f>IF($E68&gt;0,BV71/$E68,"-")</f>
        <v>3000.0000000000005</v>
      </c>
      <c r="BW74" s="1271"/>
      <c r="BX74" s="1270">
        <f>IF($E68&gt;0,BX71/$E68,"-")</f>
        <v>3000.0000000000005</v>
      </c>
      <c r="BY74" s="1271"/>
      <c r="BZ74" s="1270">
        <f>IF($E68&gt;0,BZ71/$E68,"-")</f>
        <v>3000.0000000000005</v>
      </c>
      <c r="CA74" s="1271"/>
      <c r="CB74" s="1270">
        <f>IF($E68&gt;0,CB71/$E68,"-")</f>
        <v>3000.0000000000005</v>
      </c>
      <c r="CC74" s="1271"/>
      <c r="CD74" s="1270">
        <f>IF($E68&gt;0,CD71/$E68,"-")</f>
        <v>3000.0000000000005</v>
      </c>
      <c r="CE74" s="1271"/>
      <c r="CF74" s="1270">
        <f>IF($E68&gt;0,CF71/$E68,"-")</f>
        <v>3000.0000000000005</v>
      </c>
      <c r="CG74" s="1271"/>
      <c r="CH74" s="1270">
        <f>IF($E68&gt;0,CH71/$E68,"-")</f>
        <v>3000.0000000000005</v>
      </c>
      <c r="CI74" s="1271"/>
      <c r="CJ74" s="1270">
        <f>IF($E68&gt;0,CJ71/$E68,"-")</f>
        <v>3000.0000000000005</v>
      </c>
      <c r="CK74" s="1271"/>
      <c r="CL74" s="1270">
        <f>IF($E68&gt;0,CL71/$E68,"-")</f>
        <v>3000.0000000000005</v>
      </c>
      <c r="CM74" s="1271"/>
      <c r="CN74" s="1270">
        <f>IF($E68&gt;0,CN71/$E68,"-")</f>
        <v>3000.0000000000005</v>
      </c>
      <c r="CO74" s="1271"/>
      <c r="CP74" s="1270">
        <f>IF($E68&gt;0,CP71/$E68,"-")</f>
        <v>3000.0000000000005</v>
      </c>
      <c r="CQ74" s="1271"/>
      <c r="CR74" s="1270">
        <f>IF($E68&gt;0,CR71/$E68,"-")</f>
        <v>3000.0000000000005</v>
      </c>
      <c r="CS74" s="1271"/>
      <c r="CT74" s="1270">
        <f>IF($E68&gt;0,CT71/$E68,"-")</f>
        <v>3000.0000000000005</v>
      </c>
      <c r="CU74" s="1271"/>
      <c r="CV74" s="1270">
        <f>IF($E68&gt;0,CV71/$E68,"-")</f>
        <v>3000.0000000000005</v>
      </c>
      <c r="CW74" s="1271"/>
      <c r="CX74" s="1270">
        <f>IF($E68&gt;0,CX71/$E68,"-")</f>
        <v>3000.0000000000005</v>
      </c>
      <c r="CY74" s="1271"/>
      <c r="CZ74" s="1270">
        <f>IF($E68&gt;0,CZ71/$E68,"-")</f>
        <v>3000.0000000000005</v>
      </c>
      <c r="DA74" s="1271"/>
      <c r="DB74" s="1270">
        <f>IF($E68&gt;0,DB71/$E68,"-")</f>
        <v>3000.0000000000005</v>
      </c>
      <c r="DC74" s="1271"/>
      <c r="DD74" s="1270">
        <f>IF($E68&gt;0,DD71/$E68,"-")</f>
        <v>3000.0000000000005</v>
      </c>
      <c r="DE74" s="1271"/>
      <c r="DF74" s="1270">
        <f>IF($E68&gt;0,DF71/$E68,"-")</f>
        <v>3000.0000000000005</v>
      </c>
      <c r="DG74" s="1271"/>
      <c r="DH74" s="1270">
        <f>IF($E68&gt;0,DH71/$E68,"-")</f>
        <v>3000.0000000000005</v>
      </c>
      <c r="DI74" s="1271"/>
      <c r="DJ74" s="1325">
        <f>IF($E68&gt;0,DJ71/$E68,"-")</f>
        <v>3000.0000000000005</v>
      </c>
      <c r="DK74" s="1326"/>
      <c r="DL74" s="1270">
        <f>IF($E68&gt;0,DL71/$E68,"-")</f>
        <v>3000.0000000000005</v>
      </c>
      <c r="DM74" s="1271"/>
      <c r="DN74" s="1270">
        <f>IF($E68&gt;0,DN71/$E68,"-")</f>
        <v>3000.0000000000005</v>
      </c>
      <c r="DO74" s="1271"/>
      <c r="DP74" s="1270">
        <f>IF($E68&gt;0,DP71/$E68,"-")</f>
        <v>3000.0000000000005</v>
      </c>
      <c r="DQ74" s="1271"/>
      <c r="DR74" s="1270">
        <f>IF($E68&gt;0,DR71/$E68,"-")</f>
        <v>3000.0000000000005</v>
      </c>
      <c r="DS74" s="1271"/>
      <c r="DT74" s="1270">
        <f>IF($E68&gt;0,DT71/$E68,"-")</f>
        <v>3000.0000000000005</v>
      </c>
      <c r="DU74" s="1271"/>
      <c r="DV74" s="1270">
        <f>IF($E68&gt;0,DV71/$E68,"-")</f>
        <v>3000.0000000000005</v>
      </c>
      <c r="DW74" s="1271"/>
      <c r="DX74" s="1270">
        <f>IF($E68&gt;0,DX71/$E68,"-")</f>
        <v>3000.0000000000005</v>
      </c>
      <c r="DY74" s="1271"/>
      <c r="DZ74" s="1270">
        <f>IF($E68&gt;0,DZ71/$E68,"-")</f>
        <v>3000.0000000000005</v>
      </c>
      <c r="EA74" s="1271"/>
      <c r="EB74" s="1270">
        <f>IF($E68&gt;0,EB71/$E68,"-")</f>
        <v>3000.0000000000005</v>
      </c>
      <c r="EC74" s="1271"/>
      <c r="ED74" s="1270">
        <f>IF($E68&gt;0,ED71/$E68,"-")</f>
        <v>3000.0000000000005</v>
      </c>
      <c r="EE74" s="1271"/>
      <c r="EF74" s="1270">
        <f>IF($E68&gt;0,EF71/$E68,"-")</f>
        <v>3000.0000000000005</v>
      </c>
      <c r="EG74" s="1271"/>
      <c r="EH74" s="1270">
        <f>IF($E68&gt;0,EH71/$E68,"-")</f>
        <v>3000.0000000000005</v>
      </c>
      <c r="EI74" s="1271"/>
      <c r="EJ74" s="1270">
        <f>IF($E68&gt;0,EJ71/$E68,"-")</f>
        <v>3000.0000000000005</v>
      </c>
      <c r="EK74" s="1271"/>
      <c r="EL74" s="1270">
        <f>IF($E68&gt;0,EL71/$E68,"-")</f>
        <v>3000.0000000000005</v>
      </c>
      <c r="EM74" s="1271"/>
      <c r="EN74" s="1270">
        <f>IF($E68&gt;0,EN71/$E68,"-")</f>
        <v>3000.0000000000005</v>
      </c>
      <c r="EO74" s="1271"/>
      <c r="EP74" s="1270">
        <f>IF($E68&gt;0,EP71/$E68,"-")</f>
        <v>3000.0000000000005</v>
      </c>
      <c r="EQ74" s="1271"/>
      <c r="ER74" s="1270">
        <f>IF($E68&gt;0,ER71/$E68,"-")</f>
        <v>3000.0000000000005</v>
      </c>
      <c r="ES74" s="1271"/>
      <c r="ET74" s="1270">
        <f>IF($E68&gt;0,ET71/$E68,"-")</f>
        <v>3000.0000000000005</v>
      </c>
      <c r="EU74" s="1271"/>
      <c r="EV74" s="1270">
        <f>IF($E68&gt;0,EV71/$E68,"-")</f>
        <v>3000.0000000000005</v>
      </c>
      <c r="EW74" s="1271"/>
      <c r="EX74" s="1270">
        <f>IF($E68&gt;0,EX71/$E68,"-")</f>
        <v>3000.0000000000005</v>
      </c>
      <c r="EY74" s="1271"/>
      <c r="EZ74" s="1270">
        <f>IF($E68&gt;0,EZ71/$E68,"-")</f>
        <v>3000.0000000000005</v>
      </c>
      <c r="FA74" s="1271"/>
      <c r="FB74" s="1270">
        <f>IF($E68&gt;0,FB71/$E68,"-")</f>
        <v>3000.0000000000005</v>
      </c>
      <c r="FC74" s="1271"/>
      <c r="FD74" s="1270">
        <f>IF($E68&gt;0,FD71/$E68,"-")</f>
        <v>3000.0000000000005</v>
      </c>
      <c r="FE74" s="1271"/>
      <c r="FF74" s="1270">
        <f>IF($E68&gt;0,FF71/$E68,"-")</f>
        <v>3000.0000000000005</v>
      </c>
      <c r="FG74" s="1271"/>
      <c r="FH74" s="1270">
        <f>IF($E68&gt;0,FH71/$E68,"-")</f>
        <v>3000.0000000000005</v>
      </c>
      <c r="FI74" s="1271"/>
      <c r="FJ74" s="1270">
        <f>IF($E68&gt;0,FJ71/$E68,"-")</f>
        <v>3000.0000000000005</v>
      </c>
      <c r="FK74" s="1271"/>
      <c r="FL74" s="1270">
        <f>IF($E68&gt;0,FL71/$E68,"-")</f>
        <v>3000.0000000000005</v>
      </c>
      <c r="FM74" s="1271"/>
      <c r="FN74" s="1270">
        <f>IF($E68&gt;0,FN71/$E68,"-")</f>
        <v>3000.0000000000005</v>
      </c>
      <c r="FO74" s="1271"/>
      <c r="FP74" s="1270">
        <f>IF($E68&gt;0,FP71/$E68,"-")</f>
        <v>3000.0000000000005</v>
      </c>
      <c r="FQ74" s="1271"/>
      <c r="FR74" s="1270">
        <f>IF($E68&gt;0,FR71/$E68,"-")</f>
        <v>3000.0000000000005</v>
      </c>
      <c r="FS74" s="1271"/>
      <c r="FT74" s="1270">
        <f>IF($E68&gt;0,FT71/$E68,"-")</f>
        <v>3000.0000000000005</v>
      </c>
      <c r="FU74" s="1271"/>
      <c r="FV74" s="1270">
        <f>IF($E68&gt;0,FV71/$E68,"-")</f>
        <v>3000.0000000000005</v>
      </c>
      <c r="FW74" s="1271"/>
      <c r="FX74" s="1270">
        <f>IF($E68&gt;0,FX71/$E68,"-")</f>
        <v>3000.0000000000005</v>
      </c>
      <c r="FY74" s="1271"/>
      <c r="FZ74" s="1270">
        <f>IF($E68&gt;0,FZ71/$E68,"-")</f>
        <v>3000.0000000000005</v>
      </c>
      <c r="GA74" s="1271"/>
      <c r="GB74" s="1270">
        <f>IF($E68&gt;0,GB71/$E68,"-")</f>
        <v>3000.0000000000005</v>
      </c>
      <c r="GC74" s="1271"/>
      <c r="GD74" s="1270">
        <f>IF($E68&gt;0,GD71/$E68,"-")</f>
        <v>3000.0000000000005</v>
      </c>
      <c r="GE74" s="1271"/>
      <c r="GF74" s="1270">
        <f>IF($E68&gt;0,GF71/$E68,"-")</f>
        <v>3000.0000000000005</v>
      </c>
      <c r="GG74" s="1271"/>
      <c r="GH74" s="1270">
        <f>IF($E68&gt;0,GH71/$E68,"-")</f>
        <v>3000.0000000000005</v>
      </c>
      <c r="GI74" s="1271"/>
      <c r="GJ74" s="1270">
        <f>IF($E68&gt;0,GJ71/$E68,"-")</f>
        <v>3000.0000000000005</v>
      </c>
      <c r="GK74" s="1271"/>
      <c r="GL74" s="1270">
        <f>IF($E68&gt;0,GL71/$E68,"-")</f>
        <v>3000.0000000000005</v>
      </c>
      <c r="GM74" s="1271"/>
      <c r="GN74" s="1270">
        <f>IF($E68&gt;0,GN71/$E68,"-")</f>
        <v>3000.0000000000005</v>
      </c>
      <c r="GO74" s="1271"/>
      <c r="GP74" s="1270">
        <f>IF($E68&gt;0,GP71/$E68,"-")</f>
        <v>3000.0000000000005</v>
      </c>
      <c r="GQ74" s="1271"/>
      <c r="GR74" s="1270">
        <f>IF($E68&gt;0,GR71/$E68,"-")</f>
        <v>3000.0000000000005</v>
      </c>
      <c r="GS74" s="1271"/>
      <c r="GT74" s="1270">
        <f>IF($E68&gt;0,GT71/$E68,"-")</f>
        <v>3000.0000000000005</v>
      </c>
      <c r="GU74" s="1271"/>
      <c r="GV74" s="1270">
        <f>IF($E68&gt;0,GV71/$E68,"-")</f>
        <v>3000.0000000000005</v>
      </c>
      <c r="GW74" s="1271"/>
      <c r="GX74" s="1270">
        <f>IF($E68&gt;0,GX71/$E68,"-")</f>
        <v>3000.0000000000005</v>
      </c>
      <c r="GY74" s="1271"/>
      <c r="GZ74" s="1270">
        <f>IF($E68&gt;0,GZ71/$E68,"-")</f>
        <v>3000.0000000000005</v>
      </c>
      <c r="HA74" s="1271"/>
      <c r="HB74" s="1270">
        <f>IF($E68&gt;0,HB71/$E68,"-")</f>
        <v>3000.0000000000005</v>
      </c>
      <c r="HC74" s="1271"/>
      <c r="HD74" s="1270">
        <f>IF($E68&gt;0,HD71/$E68,"-")</f>
        <v>3000.0000000000005</v>
      </c>
      <c r="HE74" s="1271"/>
      <c r="HF74" s="1270">
        <f>IF($E68&gt;0,HF71/$E68,"-")</f>
        <v>3000.0000000000005</v>
      </c>
      <c r="HG74" s="1271"/>
      <c r="HH74" s="1270">
        <f>IF($E68&gt;0,HH71/$E68,"-")</f>
        <v>3000.0000000000005</v>
      </c>
      <c r="HI74" s="1271"/>
      <c r="HJ74" s="1270">
        <f>IF($E68&gt;0,HJ71/$E68,"-")</f>
        <v>3000.0000000000005</v>
      </c>
      <c r="HK74" s="1271"/>
    </row>
    <row r="75" spans="1:219">
      <c r="A75" s="1299"/>
      <c r="B75" s="1300"/>
      <c r="C75" s="1299"/>
      <c r="D75" s="1301"/>
      <c r="E75" s="1301"/>
      <c r="F75" s="1302"/>
      <c r="G75" s="1301"/>
      <c r="H75" s="726"/>
      <c r="I75" s="1303"/>
      <c r="J75" s="1304"/>
      <c r="K75" s="794" t="s">
        <v>298</v>
      </c>
      <c r="L75" s="1294">
        <f>IF($E68&gt;0,L73/$E68,"-")</f>
        <v>0</v>
      </c>
      <c r="M75" s="1295"/>
      <c r="N75" s="1294">
        <f>IF($E68&gt;0,N73/$E68,"-")</f>
        <v>0</v>
      </c>
      <c r="O75" s="1295"/>
      <c r="P75" s="1294">
        <f>IF($E68&gt;0,P73/$E68,"-")</f>
        <v>0</v>
      </c>
      <c r="Q75" s="1295"/>
      <c r="R75" s="1294">
        <f>IF($E68&gt;0,R73/$E68,"-")</f>
        <v>0</v>
      </c>
      <c r="S75" s="1295"/>
      <c r="T75" s="1294">
        <f>IF($E68&gt;0,T73/$E68,"-")</f>
        <v>0</v>
      </c>
      <c r="U75" s="1295"/>
      <c r="V75" s="1294">
        <f>IF($E68&gt;0,V73/$E68,"-")</f>
        <v>0</v>
      </c>
      <c r="W75" s="1295"/>
      <c r="X75" s="1294">
        <f>IF($E68&gt;0,X73/$E68,"-")</f>
        <v>0</v>
      </c>
      <c r="Y75" s="1295"/>
      <c r="Z75" s="1294">
        <f>IF($E68&gt;0,Z73/$E68,"-")</f>
        <v>0</v>
      </c>
      <c r="AA75" s="1295"/>
      <c r="AB75" s="1294">
        <f>IF($E68&gt;0,AB73/$E68,"-")</f>
        <v>0</v>
      </c>
      <c r="AC75" s="1295"/>
      <c r="AD75" s="1294">
        <f>IF($E68&gt;0,AD73/$E68,"-")</f>
        <v>0</v>
      </c>
      <c r="AE75" s="1295"/>
      <c r="AF75" s="1294">
        <f>IF($E68&gt;0,AF73/$E68,"-")</f>
        <v>0</v>
      </c>
      <c r="AG75" s="1295"/>
      <c r="AH75" s="1294">
        <f>IF($E68&gt;0,AH73/$E68,"-")</f>
        <v>0</v>
      </c>
      <c r="AI75" s="1295"/>
      <c r="AJ75" s="1294">
        <f>IF($E68&gt;0,AJ73/$E68,"-")</f>
        <v>0</v>
      </c>
      <c r="AK75" s="1295"/>
      <c r="AL75" s="1294">
        <f>IF($E68&gt;0,AL73/$E68,"-")</f>
        <v>0</v>
      </c>
      <c r="AM75" s="1295"/>
      <c r="AN75" s="1294">
        <f>IF($E68&gt;0,AN73/$E68,"-")</f>
        <v>0</v>
      </c>
      <c r="AO75" s="1295"/>
      <c r="AP75" s="1294">
        <f>IF($E68&gt;0,AP73/$E68,"-")</f>
        <v>0</v>
      </c>
      <c r="AQ75" s="1295"/>
      <c r="AR75" s="1294">
        <f>IF($E68&gt;0,AR73/$E68,"-")</f>
        <v>0</v>
      </c>
      <c r="AS75" s="1295"/>
      <c r="AT75" s="1294">
        <f>IF($E68&gt;0,AT73/$E68,"-")</f>
        <v>0</v>
      </c>
      <c r="AU75" s="1295"/>
      <c r="AV75" s="1294">
        <f>IF($E68&gt;0,AV73/$E68,"-")</f>
        <v>0</v>
      </c>
      <c r="AW75" s="1295"/>
      <c r="AX75" s="1294">
        <f>IF($E68&gt;0,AX73/$E68,"-")</f>
        <v>0</v>
      </c>
      <c r="AY75" s="1295"/>
      <c r="AZ75" s="1294">
        <f>IF($E68&gt;0,AZ73/$E68,"-")</f>
        <v>0</v>
      </c>
      <c r="BA75" s="1295"/>
      <c r="BB75" s="1294">
        <f>IF($E68&gt;0,BB73/$E68,"-")</f>
        <v>0</v>
      </c>
      <c r="BC75" s="1295"/>
      <c r="BD75" s="1294">
        <f>IF($E68&gt;0,BD73/$E68,"-")</f>
        <v>0</v>
      </c>
      <c r="BE75" s="1295"/>
      <c r="BF75" s="1294">
        <f>IF($E68&gt;0,BF73/$E68,"-")</f>
        <v>0</v>
      </c>
      <c r="BG75" s="1295"/>
      <c r="BH75" s="1294">
        <f>IF($E68&gt;0,BH73/$E68,"-")</f>
        <v>0</v>
      </c>
      <c r="BI75" s="1295"/>
      <c r="BJ75" s="1294">
        <f>IF($E68&gt;0,BJ73/$E68,"-")</f>
        <v>0</v>
      </c>
      <c r="BK75" s="1295"/>
      <c r="BL75" s="1294">
        <f>IF($E68&gt;0,BL73/$E68,"-")</f>
        <v>0</v>
      </c>
      <c r="BM75" s="1295"/>
      <c r="BN75" s="1294">
        <f>IF($E68&gt;0,BN73/$E68,"-")</f>
        <v>0</v>
      </c>
      <c r="BO75" s="1295"/>
      <c r="BP75" s="1294">
        <f>IF($E68&gt;0,BP73/$E68,"-")</f>
        <v>0</v>
      </c>
      <c r="BQ75" s="1295"/>
      <c r="BR75" s="1253">
        <f>IF($E68&gt;0,BR73/$E68,"-")</f>
        <v>0</v>
      </c>
      <c r="BS75" s="1253"/>
      <c r="BT75" s="1253">
        <f>IF($E68&gt;0,BT73/$E68,"-")</f>
        <v>0</v>
      </c>
      <c r="BU75" s="1253"/>
      <c r="BV75" s="1253">
        <f>IF($E68&gt;0,BV73/$E68,"-")</f>
        <v>0</v>
      </c>
      <c r="BW75" s="1253"/>
      <c r="BX75" s="1253">
        <f>IF($E68&gt;0,BX73/$E68,"-")</f>
        <v>0</v>
      </c>
      <c r="BY75" s="1253"/>
      <c r="BZ75" s="1253">
        <f>IF($E68&gt;0,BZ73/$E68,"-")</f>
        <v>0</v>
      </c>
      <c r="CA75" s="1253"/>
      <c r="CB75" s="1253">
        <f>IF($E68&gt;0,CB73/$E68,"-")</f>
        <v>0</v>
      </c>
      <c r="CC75" s="1253"/>
      <c r="CD75" s="1253">
        <f>IF($E68&gt;0,CD73/$E68,"-")</f>
        <v>0</v>
      </c>
      <c r="CE75" s="1253"/>
      <c r="CF75" s="1253">
        <f>IF($E68&gt;0,CF73/$E68,"-")</f>
        <v>0</v>
      </c>
      <c r="CG75" s="1253"/>
      <c r="CH75" s="1253">
        <f>IF($E68&gt;0,CH73/$E68,"-")</f>
        <v>0</v>
      </c>
      <c r="CI75" s="1253"/>
      <c r="CJ75" s="1253">
        <f>IF($E68&gt;0,CJ73/$E68,"-")</f>
        <v>0</v>
      </c>
      <c r="CK75" s="1253"/>
      <c r="CL75" s="1253">
        <f>IF($E68&gt;0,CL73/$E68,"-")</f>
        <v>0</v>
      </c>
      <c r="CM75" s="1253"/>
      <c r="CN75" s="1253">
        <f>IF($E68&gt;0,CN73/$E68,"-")</f>
        <v>0</v>
      </c>
      <c r="CO75" s="1253"/>
      <c r="CP75" s="1253">
        <f>IF($E68&gt;0,CP73/$E68,"-")</f>
        <v>0</v>
      </c>
      <c r="CQ75" s="1253"/>
      <c r="CR75" s="1253">
        <f>IF($E68&gt;0,CR73/$E68,"-")</f>
        <v>0</v>
      </c>
      <c r="CS75" s="1253"/>
      <c r="CT75" s="1253">
        <f>IF($E68&gt;0,CT73/$E68,"-")</f>
        <v>0</v>
      </c>
      <c r="CU75" s="1253"/>
      <c r="CV75" s="1253">
        <f>IF($E68&gt;0,CV73/$E68,"-")</f>
        <v>0</v>
      </c>
      <c r="CW75" s="1253"/>
      <c r="CX75" s="1253">
        <f>IF($E68&gt;0,CX73/$E68,"-")</f>
        <v>0</v>
      </c>
      <c r="CY75" s="1253"/>
      <c r="CZ75" s="1253">
        <f>IF($E68&gt;0,CZ73/$E68,"-")</f>
        <v>0</v>
      </c>
      <c r="DA75" s="1253"/>
      <c r="DB75" s="1253">
        <f>IF($E68&gt;0,DB73/$E68,"-")</f>
        <v>0</v>
      </c>
      <c r="DC75" s="1253"/>
      <c r="DD75" s="1253">
        <f>IF($E68&gt;0,DD73/$E68,"-")</f>
        <v>0</v>
      </c>
      <c r="DE75" s="1253"/>
      <c r="DF75" s="1253">
        <f>IF($E68&gt;0,DF73/$E68,"-")</f>
        <v>0</v>
      </c>
      <c r="DG75" s="1253"/>
      <c r="DH75" s="1253">
        <f>IF($E68&gt;0,DH73/$E68,"-")</f>
        <v>0</v>
      </c>
      <c r="DI75" s="1253"/>
      <c r="DJ75" s="1254">
        <f>IF($E68&gt;0,DJ73/$E68,"-")</f>
        <v>0</v>
      </c>
      <c r="DK75" s="1254"/>
      <c r="DL75" s="1253">
        <f>IF($E68&gt;0,DL73/$E68,"-")</f>
        <v>0</v>
      </c>
      <c r="DM75" s="1253"/>
      <c r="DN75" s="1253">
        <f>IF($E68&gt;0,DN73/$E68,"-")</f>
        <v>0</v>
      </c>
      <c r="DO75" s="1253"/>
      <c r="DP75" s="1253">
        <f>IF($E68&gt;0,DP73/$E68,"-")</f>
        <v>0</v>
      </c>
      <c r="DQ75" s="1253"/>
      <c r="DR75" s="1253">
        <f>IF($E68&gt;0,DR73/$E68,"-")</f>
        <v>0</v>
      </c>
      <c r="DS75" s="1253"/>
      <c r="DT75" s="1253">
        <f>IF($E68&gt;0,DT73/$E68,"-")</f>
        <v>0</v>
      </c>
      <c r="DU75" s="1253"/>
      <c r="DV75" s="1253">
        <f>IF($E68&gt;0,DV73/$E68,"-")</f>
        <v>0</v>
      </c>
      <c r="DW75" s="1253"/>
      <c r="DX75" s="1253">
        <f>IF($E68&gt;0,DX73/$E68,"-")</f>
        <v>0</v>
      </c>
      <c r="DY75" s="1253"/>
      <c r="DZ75" s="1253">
        <f>IF($E68&gt;0,DZ73/$E68,"-")</f>
        <v>0</v>
      </c>
      <c r="EA75" s="1253"/>
      <c r="EB75" s="1253">
        <f>IF($E68&gt;0,EB73/$E68,"-")</f>
        <v>0</v>
      </c>
      <c r="EC75" s="1253"/>
      <c r="ED75" s="1253">
        <f>IF($E68&gt;0,ED73/$E68,"-")</f>
        <v>0</v>
      </c>
      <c r="EE75" s="1253"/>
      <c r="EF75" s="1253">
        <f>IF($E68&gt;0,EF73/$E68,"-")</f>
        <v>0</v>
      </c>
      <c r="EG75" s="1253"/>
      <c r="EH75" s="1253">
        <f>IF($E68&gt;0,EH73/$E68,"-")</f>
        <v>0</v>
      </c>
      <c r="EI75" s="1253"/>
      <c r="EJ75" s="1253">
        <f>IF($E68&gt;0,EJ73/$E68,"-")</f>
        <v>0</v>
      </c>
      <c r="EK75" s="1253"/>
      <c r="EL75" s="1253">
        <f>IF($E68&gt;0,EL73/$E68,"-")</f>
        <v>0</v>
      </c>
      <c r="EM75" s="1253"/>
      <c r="EN75" s="1253">
        <f>IF($E68&gt;0,EN73/$E68,"-")</f>
        <v>0</v>
      </c>
      <c r="EO75" s="1253"/>
      <c r="EP75" s="1253">
        <f>IF($E68&gt;0,EP73/$E68,"-")</f>
        <v>0</v>
      </c>
      <c r="EQ75" s="1253"/>
      <c r="ER75" s="1253">
        <f>IF($E68&gt;0,ER73/$E68,"-")</f>
        <v>0</v>
      </c>
      <c r="ES75" s="1253"/>
      <c r="ET75" s="1253">
        <f>IF($E68&gt;0,ET73/$E68,"-")</f>
        <v>0</v>
      </c>
      <c r="EU75" s="1253"/>
      <c r="EV75" s="1253">
        <f>IF($E68&gt;0,EV73/$E68,"-")</f>
        <v>0</v>
      </c>
      <c r="EW75" s="1253"/>
      <c r="EX75" s="1253">
        <f>IF($E68&gt;0,EX73/$E68,"-")</f>
        <v>0</v>
      </c>
      <c r="EY75" s="1253"/>
      <c r="EZ75" s="1253">
        <f>IF($E68&gt;0,EZ73/$E68,"-")</f>
        <v>0</v>
      </c>
      <c r="FA75" s="1253"/>
      <c r="FB75" s="1253">
        <f>IF($E68&gt;0,FB73/$E68,"-")</f>
        <v>0</v>
      </c>
      <c r="FC75" s="1253"/>
      <c r="FD75" s="1253">
        <f>IF($E68&gt;0,FD73/$E68,"-")</f>
        <v>0</v>
      </c>
      <c r="FE75" s="1253"/>
      <c r="FF75" s="1253">
        <f>IF($E68&gt;0,FF73/$E68,"-")</f>
        <v>0</v>
      </c>
      <c r="FG75" s="1253"/>
      <c r="FH75" s="1253">
        <f>IF($E68&gt;0,FH73/$E68,"-")</f>
        <v>0</v>
      </c>
      <c r="FI75" s="1253"/>
      <c r="FJ75" s="1253">
        <f>IF($E68&gt;0,FJ73/$E68,"-")</f>
        <v>0</v>
      </c>
      <c r="FK75" s="1253"/>
      <c r="FL75" s="1253">
        <f>IF($E68&gt;0,FL73/$E68,"-")</f>
        <v>0</v>
      </c>
      <c r="FM75" s="1253"/>
      <c r="FN75" s="1253">
        <f>IF($E68&gt;0,FN73/$E68,"-")</f>
        <v>0</v>
      </c>
      <c r="FO75" s="1253"/>
      <c r="FP75" s="1253">
        <f>IF($E68&gt;0,FP73/$E68,"-")</f>
        <v>0</v>
      </c>
      <c r="FQ75" s="1253"/>
      <c r="FR75" s="1253">
        <f>IF($E68&gt;0,FR73/$E68,"-")</f>
        <v>0</v>
      </c>
      <c r="FS75" s="1253"/>
      <c r="FT75" s="1253">
        <f>IF($E68&gt;0,FT73/$E68,"-")</f>
        <v>0</v>
      </c>
      <c r="FU75" s="1253"/>
      <c r="FV75" s="1253">
        <f>IF($E68&gt;0,FV73/$E68,"-")</f>
        <v>0</v>
      </c>
      <c r="FW75" s="1253"/>
      <c r="FX75" s="1253">
        <f>IF($E68&gt;0,FX73/$E68,"-")</f>
        <v>0</v>
      </c>
      <c r="FY75" s="1253"/>
      <c r="FZ75" s="1253">
        <f>IF($E68&gt;0,FZ73/$E68,"-")</f>
        <v>0</v>
      </c>
      <c r="GA75" s="1253"/>
      <c r="GB75" s="1253">
        <f>IF($E68&gt;0,GB73/$E68,"-")</f>
        <v>0</v>
      </c>
      <c r="GC75" s="1253"/>
      <c r="GD75" s="1253">
        <f>IF($E68&gt;0,GD73/$E68,"-")</f>
        <v>0</v>
      </c>
      <c r="GE75" s="1253"/>
      <c r="GF75" s="1253">
        <f>IF($E68&gt;0,GF73/$E68,"-")</f>
        <v>0</v>
      </c>
      <c r="GG75" s="1253"/>
      <c r="GH75" s="1253">
        <f>IF($E68&gt;0,GH73/$E68,"-")</f>
        <v>0</v>
      </c>
      <c r="GI75" s="1253"/>
      <c r="GJ75" s="1253">
        <f>IF($E68&gt;0,GJ73/$E68,"-")</f>
        <v>0</v>
      </c>
      <c r="GK75" s="1253"/>
      <c r="GL75" s="1253">
        <f>IF($E68&gt;0,GL73/$E68,"-")</f>
        <v>0</v>
      </c>
      <c r="GM75" s="1253"/>
      <c r="GN75" s="1253">
        <f>IF($E68&gt;0,GN73/$E68,"-")</f>
        <v>0</v>
      </c>
      <c r="GO75" s="1253"/>
      <c r="GP75" s="1253">
        <f>IF($E68&gt;0,GP73/$E68,"-")</f>
        <v>0</v>
      </c>
      <c r="GQ75" s="1253"/>
      <c r="GR75" s="1253">
        <f>IF($E68&gt;0,GR73/$E68,"-")</f>
        <v>0</v>
      </c>
      <c r="GS75" s="1253"/>
      <c r="GT75" s="1253">
        <f>IF($E68&gt;0,GT73/$E68,"-")</f>
        <v>0</v>
      </c>
      <c r="GU75" s="1253"/>
      <c r="GV75" s="1253">
        <f>IF($E68&gt;0,GV73/$E68,"-")</f>
        <v>0</v>
      </c>
      <c r="GW75" s="1253"/>
      <c r="GX75" s="1253">
        <f>IF($E68&gt;0,GX73/$E68,"-")</f>
        <v>0</v>
      </c>
      <c r="GY75" s="1253"/>
      <c r="GZ75" s="1253">
        <f>IF($E68&gt;0,GZ73/$E68,"-")</f>
        <v>0</v>
      </c>
      <c r="HA75" s="1253"/>
      <c r="HB75" s="1253">
        <f>IF($E68&gt;0,HB73/$E68,"-")</f>
        <v>0</v>
      </c>
      <c r="HC75" s="1253"/>
      <c r="HD75" s="1253">
        <f>IF($E68&gt;0,HD73/$E68,"-")</f>
        <v>0</v>
      </c>
      <c r="HE75" s="1253"/>
      <c r="HF75" s="1253">
        <f>IF($E68&gt;0,HF73/$E68,"-")</f>
        <v>0</v>
      </c>
      <c r="HG75" s="1253"/>
      <c r="HH75" s="1253">
        <f>IF($E68&gt;0,HH73/$E68,"-")</f>
        <v>0</v>
      </c>
      <c r="HI75" s="1253"/>
      <c r="HJ75" s="1253">
        <f>IF($E68&gt;0,HJ73/$E68,"-")</f>
        <v>0</v>
      </c>
      <c r="HK75" s="1253"/>
    </row>
    <row r="76" spans="1:219" s="5" customFormat="1" ht="14.4">
      <c r="A76" s="690"/>
      <c r="B76" s="691"/>
      <c r="C76" s="691"/>
      <c r="D76" s="692"/>
      <c r="E76" s="692"/>
      <c r="F76" s="691"/>
      <c r="G76" s="797"/>
      <c r="H76" s="691"/>
      <c r="I76" s="691"/>
      <c r="J76" s="691"/>
      <c r="K76" s="691"/>
      <c r="L76" s="1274"/>
      <c r="M76" s="1274"/>
      <c r="N76" s="1274"/>
      <c r="O76" s="1274"/>
      <c r="P76" s="1274"/>
      <c r="Q76" s="1274"/>
      <c r="R76" s="1274"/>
      <c r="S76" s="1362"/>
      <c r="T76" s="1276"/>
      <c r="U76" s="1274"/>
      <c r="V76" s="1274"/>
      <c r="W76" s="1274"/>
      <c r="X76" s="1274"/>
      <c r="Y76" s="1274"/>
      <c r="Z76" s="1274"/>
      <c r="AA76" s="1362"/>
      <c r="AB76" s="1276"/>
      <c r="AC76" s="1274"/>
      <c r="AD76" s="1274"/>
      <c r="AE76" s="1274"/>
      <c r="AF76" s="1274"/>
      <c r="AG76" s="1274"/>
      <c r="AH76" s="1274"/>
      <c r="AI76" s="1362"/>
      <c r="AJ76" s="1276"/>
      <c r="AK76" s="1274"/>
      <c r="AL76" s="1274"/>
      <c r="AM76" s="1274"/>
      <c r="AN76" s="1274"/>
      <c r="AO76" s="1274"/>
      <c r="AP76" s="1274"/>
      <c r="AQ76" s="1362"/>
      <c r="AR76" s="1276"/>
      <c r="AS76" s="1274"/>
      <c r="AT76" s="777"/>
      <c r="AU76" s="777"/>
      <c r="AV76" s="777"/>
      <c r="AW76" s="777"/>
      <c r="AX76" s="777"/>
      <c r="AY76" s="778"/>
      <c r="AZ76" s="779"/>
      <c r="BA76" s="777"/>
      <c r="BB76" s="777"/>
      <c r="BC76" s="777"/>
      <c r="BD76" s="777"/>
      <c r="BE76" s="777"/>
      <c r="BF76" s="777"/>
      <c r="BG76" s="778"/>
      <c r="BH76" s="779"/>
      <c r="BI76" s="777"/>
      <c r="BJ76" s="777"/>
      <c r="BK76" s="777"/>
      <c r="BL76" s="777"/>
      <c r="BM76" s="777"/>
      <c r="BN76" s="777"/>
      <c r="BO76" s="778"/>
      <c r="BP76" s="779"/>
      <c r="BQ76" s="777"/>
      <c r="BR76" s="777"/>
      <c r="BS76" s="777"/>
      <c r="BT76" s="777"/>
      <c r="BU76" s="777"/>
      <c r="BV76" s="777"/>
      <c r="BW76" s="778"/>
      <c r="BX76" s="779"/>
      <c r="BY76" s="777"/>
      <c r="BZ76" s="777"/>
      <c r="CA76" s="777"/>
      <c r="CB76" s="777"/>
      <c r="CC76" s="777"/>
      <c r="CD76" s="1274"/>
      <c r="CE76" s="1275"/>
      <c r="CF76" s="1276"/>
      <c r="CG76" s="1277"/>
      <c r="CH76" s="1274"/>
      <c r="CI76" s="1277"/>
      <c r="CJ76" s="1274"/>
      <c r="CK76" s="1277"/>
      <c r="CL76" s="1274"/>
      <c r="CM76" s="1275"/>
      <c r="CN76" s="1276"/>
      <c r="CO76" s="1277"/>
      <c r="CP76" s="1296"/>
      <c r="CQ76" s="1297"/>
      <c r="CR76" s="1296"/>
      <c r="CS76" s="1297"/>
      <c r="CT76" s="780"/>
      <c r="CU76" s="781"/>
      <c r="CV76" s="782"/>
      <c r="CW76" s="780"/>
      <c r="CX76" s="780"/>
      <c r="CY76" s="780"/>
      <c r="CZ76" s="780"/>
      <c r="DA76" s="780"/>
      <c r="DB76" s="780"/>
      <c r="DC76" s="781"/>
      <c r="DD76" s="782"/>
      <c r="DE76" s="780"/>
      <c r="DF76" s="780"/>
      <c r="DG76" s="780"/>
      <c r="DH76" s="780"/>
      <c r="DI76" s="780"/>
      <c r="DJ76" s="783"/>
      <c r="DK76" s="784"/>
      <c r="DL76" s="782"/>
      <c r="DM76" s="780"/>
      <c r="DN76" s="780"/>
      <c r="DO76" s="780"/>
      <c r="DP76" s="780"/>
      <c r="DQ76" s="780"/>
      <c r="DR76" s="780"/>
      <c r="DS76" s="781"/>
      <c r="DT76" s="782"/>
      <c r="DU76" s="780"/>
      <c r="DV76" s="780"/>
      <c r="DW76" s="780"/>
      <c r="DX76" s="780"/>
      <c r="DY76" s="780"/>
      <c r="DZ76" s="780"/>
      <c r="EA76" s="781"/>
      <c r="EB76" s="782"/>
      <c r="EC76" s="780"/>
      <c r="ED76" s="780"/>
      <c r="EE76" s="780"/>
      <c r="EF76" s="780"/>
      <c r="EG76" s="780"/>
      <c r="EH76" s="780"/>
      <c r="EI76" s="781"/>
      <c r="EJ76" s="782"/>
      <c r="EK76" s="780"/>
      <c r="EL76" s="780"/>
      <c r="EM76" s="780"/>
      <c r="EN76" s="780"/>
      <c r="EO76" s="780"/>
      <c r="EP76" s="780"/>
      <c r="EQ76" s="781"/>
      <c r="ER76" s="782"/>
      <c r="ES76" s="780"/>
      <c r="ET76" s="780"/>
      <c r="EU76" s="780"/>
      <c r="EV76" s="780"/>
      <c r="EW76" s="780"/>
      <c r="EX76" s="780"/>
      <c r="EY76" s="781"/>
      <c r="EZ76" s="782"/>
      <c r="FA76" s="780"/>
      <c r="FB76" s="780"/>
      <c r="FC76" s="780"/>
      <c r="FD76" s="780"/>
      <c r="FE76" s="780"/>
      <c r="FF76" s="780"/>
      <c r="FG76" s="781"/>
      <c r="FH76" s="782"/>
      <c r="FI76" s="780"/>
      <c r="FJ76" s="780"/>
      <c r="FK76" s="780"/>
      <c r="FL76" s="780"/>
      <c r="FM76" s="780"/>
      <c r="FN76" s="780"/>
      <c r="FO76" s="781"/>
      <c r="FP76" s="782"/>
      <c r="FQ76" s="780"/>
      <c r="FR76" s="780"/>
      <c r="FS76" s="780"/>
      <c r="FT76" s="780"/>
      <c r="FU76" s="780"/>
      <c r="FV76" s="780"/>
      <c r="FW76" s="781"/>
      <c r="FX76" s="782"/>
      <c r="FY76" s="780"/>
      <c r="FZ76" s="780"/>
      <c r="GA76" s="780"/>
      <c r="GB76" s="780"/>
      <c r="GC76" s="780"/>
      <c r="GD76" s="780"/>
      <c r="GE76" s="781"/>
      <c r="GF76" s="782"/>
      <c r="GG76" s="780"/>
      <c r="GH76" s="780"/>
      <c r="GI76" s="780"/>
      <c r="GJ76" s="780"/>
      <c r="GK76" s="780"/>
      <c r="GL76" s="780"/>
      <c r="GM76" s="781"/>
      <c r="GN76" s="782"/>
      <c r="GO76" s="780"/>
      <c r="GP76" s="780"/>
      <c r="GQ76" s="780"/>
      <c r="GR76" s="780"/>
      <c r="GS76" s="780"/>
      <c r="GT76" s="780"/>
      <c r="GU76" s="781"/>
      <c r="GV76" s="780"/>
      <c r="GW76" s="781"/>
      <c r="GX76" s="780"/>
      <c r="GY76" s="781"/>
      <c r="GZ76" s="780"/>
      <c r="HA76" s="781"/>
      <c r="HB76" s="780"/>
      <c r="HC76" s="781"/>
      <c r="HD76" s="780"/>
      <c r="HE76" s="781"/>
      <c r="HF76" s="780"/>
      <c r="HG76" s="781"/>
      <c r="HH76" s="780"/>
      <c r="HI76" s="781"/>
      <c r="HJ76" s="780"/>
      <c r="HK76" s="781"/>
    </row>
    <row r="77" spans="1:219" s="947" customFormat="1" ht="14.4">
      <c r="A77" s="937">
        <v>4</v>
      </c>
      <c r="B77" s="938" t="str">
        <f>PLANEJAMENTO!C34</f>
        <v>ESCAVAÇÃO, CARGA, TRANSPORTE E ESPALHAMENTO</v>
      </c>
      <c r="C77" s="939"/>
      <c r="D77" s="940"/>
      <c r="E77" s="940"/>
      <c r="F77" s="939"/>
      <c r="G77" s="939"/>
      <c r="H77" s="939"/>
      <c r="I77" s="939"/>
      <c r="J77" s="939"/>
      <c r="K77" s="939"/>
      <c r="L77" s="1278"/>
      <c r="M77" s="1278"/>
      <c r="N77" s="1278"/>
      <c r="O77" s="1278"/>
      <c r="P77" s="1278"/>
      <c r="Q77" s="1278"/>
      <c r="R77" s="1278"/>
      <c r="S77" s="1279"/>
      <c r="T77" s="1280"/>
      <c r="U77" s="1278"/>
      <c r="V77" s="1278"/>
      <c r="W77" s="1278"/>
      <c r="X77" s="1278"/>
      <c r="Y77" s="1278"/>
      <c r="Z77" s="1278"/>
      <c r="AA77" s="1279"/>
      <c r="AB77" s="1280"/>
      <c r="AC77" s="1278"/>
      <c r="AD77" s="1278"/>
      <c r="AE77" s="1278"/>
      <c r="AF77" s="1278"/>
      <c r="AG77" s="1278"/>
      <c r="AH77" s="1278"/>
      <c r="AI77" s="1279"/>
      <c r="AJ77" s="1280"/>
      <c r="AK77" s="1278"/>
      <c r="AL77" s="1278"/>
      <c r="AM77" s="1278"/>
      <c r="AN77" s="1278"/>
      <c r="AO77" s="1278"/>
      <c r="AP77" s="1278"/>
      <c r="AQ77" s="1279"/>
      <c r="AR77" s="1280"/>
      <c r="AS77" s="1278"/>
      <c r="AT77" s="941"/>
      <c r="AU77" s="941"/>
      <c r="AV77" s="941"/>
      <c r="AW77" s="941"/>
      <c r="AX77" s="941"/>
      <c r="AY77" s="942"/>
      <c r="AZ77" s="943"/>
      <c r="BA77" s="941"/>
      <c r="BB77" s="941"/>
      <c r="BC77" s="941"/>
      <c r="BD77" s="941"/>
      <c r="BE77" s="941"/>
      <c r="BF77" s="941"/>
      <c r="BG77" s="942"/>
      <c r="BH77" s="943"/>
      <c r="BI77" s="941"/>
      <c r="BJ77" s="941"/>
      <c r="BK77" s="941"/>
      <c r="BL77" s="941"/>
      <c r="BM77" s="941"/>
      <c r="BN77" s="941"/>
      <c r="BO77" s="942"/>
      <c r="BP77" s="943"/>
      <c r="BQ77" s="941"/>
      <c r="BR77" s="941"/>
      <c r="BS77" s="941"/>
      <c r="BT77" s="941"/>
      <c r="BU77" s="941"/>
      <c r="BV77" s="941"/>
      <c r="BW77" s="942"/>
      <c r="BX77" s="943"/>
      <c r="BY77" s="941"/>
      <c r="BZ77" s="941"/>
      <c r="CA77" s="941"/>
      <c r="CB77" s="941"/>
      <c r="CC77" s="941"/>
      <c r="CD77" s="1278"/>
      <c r="CE77" s="1281"/>
      <c r="CF77" s="1280"/>
      <c r="CG77" s="1282"/>
      <c r="CH77" s="1278"/>
      <c r="CI77" s="1282"/>
      <c r="CJ77" s="1278"/>
      <c r="CK77" s="1282"/>
      <c r="CL77" s="1278"/>
      <c r="CM77" s="1281"/>
      <c r="CN77" s="1280"/>
      <c r="CO77" s="1282"/>
      <c r="CP77" s="1342"/>
      <c r="CQ77" s="1343"/>
      <c r="CR77" s="1342"/>
      <c r="CS77" s="1343"/>
      <c r="CT77" s="944"/>
      <c r="CU77" s="945"/>
      <c r="CV77" s="946"/>
      <c r="CW77" s="944"/>
      <c r="CX77" s="944"/>
      <c r="CY77" s="944"/>
      <c r="CZ77" s="944"/>
      <c r="DA77" s="944"/>
      <c r="DB77" s="944"/>
      <c r="DC77" s="945"/>
      <c r="DD77" s="946"/>
      <c r="DE77" s="944"/>
      <c r="DF77" s="944"/>
      <c r="DG77" s="944"/>
      <c r="DH77" s="944"/>
      <c r="DI77" s="944"/>
      <c r="DJ77" s="944"/>
      <c r="DK77" s="945"/>
      <c r="DL77" s="946"/>
      <c r="DM77" s="944"/>
      <c r="DN77" s="944"/>
      <c r="DO77" s="944"/>
      <c r="DP77" s="944"/>
      <c r="DQ77" s="944"/>
      <c r="DR77" s="944"/>
      <c r="DS77" s="945"/>
      <c r="DT77" s="946"/>
      <c r="DU77" s="944"/>
      <c r="DV77" s="944"/>
      <c r="DW77" s="944"/>
      <c r="DX77" s="944"/>
      <c r="DY77" s="944"/>
      <c r="DZ77" s="944"/>
      <c r="EA77" s="945"/>
      <c r="EB77" s="946"/>
      <c r="EC77" s="944"/>
      <c r="ED77" s="944"/>
      <c r="EE77" s="944"/>
      <c r="EF77" s="944"/>
      <c r="EG77" s="944"/>
      <c r="EH77" s="944"/>
      <c r="EI77" s="945"/>
      <c r="EJ77" s="946"/>
      <c r="EK77" s="944"/>
      <c r="EL77" s="944"/>
      <c r="EM77" s="944"/>
      <c r="EN77" s="944"/>
      <c r="EO77" s="944"/>
      <c r="EP77" s="944"/>
      <c r="EQ77" s="945"/>
      <c r="ER77" s="946"/>
      <c r="ES77" s="944"/>
      <c r="ET77" s="944"/>
      <c r="EU77" s="944"/>
      <c r="EV77" s="944"/>
      <c r="EW77" s="944"/>
      <c r="EX77" s="944"/>
      <c r="EY77" s="945"/>
      <c r="EZ77" s="946"/>
      <c r="FA77" s="944"/>
      <c r="FB77" s="944"/>
      <c r="FC77" s="944"/>
      <c r="FD77" s="944"/>
      <c r="FE77" s="944"/>
      <c r="FF77" s="944"/>
      <c r="FG77" s="945"/>
      <c r="FH77" s="946"/>
      <c r="FI77" s="944"/>
      <c r="FJ77" s="944"/>
      <c r="FK77" s="944"/>
      <c r="FL77" s="944"/>
      <c r="FM77" s="944"/>
      <c r="FN77" s="944"/>
      <c r="FO77" s="945"/>
      <c r="FP77" s="946"/>
      <c r="FQ77" s="944"/>
      <c r="FR77" s="944"/>
      <c r="FS77" s="944"/>
      <c r="FT77" s="944"/>
      <c r="FU77" s="944"/>
      <c r="FV77" s="944"/>
      <c r="FW77" s="945"/>
      <c r="FX77" s="946"/>
      <c r="FY77" s="944"/>
      <c r="FZ77" s="944"/>
      <c r="GA77" s="944"/>
      <c r="GB77" s="944"/>
      <c r="GC77" s="944"/>
      <c r="GD77" s="944"/>
      <c r="GE77" s="945"/>
      <c r="GF77" s="946"/>
      <c r="GG77" s="944"/>
      <c r="GH77" s="944"/>
      <c r="GI77" s="944"/>
      <c r="GJ77" s="944"/>
      <c r="GK77" s="944"/>
      <c r="GL77" s="944"/>
      <c r="GM77" s="945"/>
      <c r="GN77" s="946"/>
      <c r="GO77" s="944"/>
      <c r="GP77" s="944"/>
      <c r="GQ77" s="944"/>
      <c r="GR77" s="944"/>
      <c r="GS77" s="944"/>
      <c r="GT77" s="944"/>
      <c r="GU77" s="945"/>
      <c r="GV77" s="944"/>
      <c r="GW77" s="945"/>
      <c r="GX77" s="944"/>
      <c r="GY77" s="945"/>
      <c r="GZ77" s="944"/>
      <c r="HA77" s="945"/>
      <c r="HB77" s="944"/>
      <c r="HC77" s="945"/>
      <c r="HD77" s="944"/>
      <c r="HE77" s="945"/>
      <c r="HF77" s="944"/>
      <c r="HG77" s="945"/>
      <c r="HH77" s="944"/>
      <c r="HI77" s="945"/>
      <c r="HJ77" s="944"/>
      <c r="HK77" s="945"/>
    </row>
    <row r="78" spans="1:219">
      <c r="A78" s="1299" t="s">
        <v>129</v>
      </c>
      <c r="B78" s="1300" t="str">
        <f>VLOOKUP(A78,PLANEJAMENTO!$B$10:$C$70,2,FALSE)</f>
        <v>Escavação, Carga, Transporte e Espalhamento - material de 1° categoria - DMT 0 até 500m</v>
      </c>
      <c r="C78" s="1299" t="str">
        <f>VLOOKUP(A78,PLANEJAMENTO!$B$10:$D$70,3,FALSE)</f>
        <v>m³</v>
      </c>
      <c r="D78" s="1301">
        <f>VLOOKUP(A78,PLANEJAMENTO!$B$10:$E$70,4,FALSE)</f>
        <v>32000</v>
      </c>
      <c r="E78" s="1301">
        <f>D78</f>
        <v>32000</v>
      </c>
      <c r="F78" s="1302">
        <f>PRODUÇÕES!D15</f>
        <v>160</v>
      </c>
      <c r="G78" s="1301">
        <f>F78*8</f>
        <v>1280</v>
      </c>
      <c r="H78" s="726"/>
      <c r="I78" s="1303"/>
      <c r="J78" s="1304"/>
      <c r="K78" s="727" t="s">
        <v>291</v>
      </c>
      <c r="L78" s="1285"/>
      <c r="M78" s="1286"/>
      <c r="N78" s="1285"/>
      <c r="O78" s="1286"/>
      <c r="P78" s="1285"/>
      <c r="Q78" s="1286"/>
      <c r="R78" s="1285"/>
      <c r="S78" s="1286"/>
      <c r="T78" s="1285"/>
      <c r="U78" s="1286"/>
      <c r="V78" s="1285"/>
      <c r="W78" s="1286"/>
      <c r="X78" s="1285"/>
      <c r="Y78" s="1286"/>
      <c r="Z78" s="1285"/>
      <c r="AA78" s="1286"/>
      <c r="AB78" s="1309"/>
      <c r="AC78" s="1310"/>
      <c r="AD78" s="1285"/>
      <c r="AE78" s="1286"/>
      <c r="AF78" s="1285"/>
      <c r="AG78" s="1286"/>
      <c r="AH78" s="1285"/>
      <c r="AI78" s="1286"/>
      <c r="AJ78" s="1285"/>
      <c r="AK78" s="1286"/>
      <c r="AL78" s="1285"/>
      <c r="AM78" s="1286"/>
      <c r="AN78" s="1309"/>
      <c r="AO78" s="1310"/>
      <c r="AP78" s="1309"/>
      <c r="AQ78" s="1310"/>
      <c r="AR78" s="1309"/>
      <c r="AS78" s="1310"/>
      <c r="AT78" s="1375">
        <v>2.6838888888888901</v>
      </c>
      <c r="AU78" s="1376"/>
      <c r="AV78" s="1287">
        <v>6</v>
      </c>
      <c r="AW78" s="1288"/>
      <c r="AX78" s="1289">
        <v>6</v>
      </c>
      <c r="AY78" s="1290"/>
      <c r="AZ78" s="1285">
        <v>6</v>
      </c>
      <c r="BA78" s="1286"/>
      <c r="BB78" s="1347">
        <v>5</v>
      </c>
      <c r="BC78" s="1348"/>
      <c r="BD78" s="1285"/>
      <c r="BE78" s="1286"/>
      <c r="BF78" s="1311"/>
      <c r="BG78" s="1312"/>
      <c r="BH78" s="1285"/>
      <c r="BI78" s="1286"/>
      <c r="BJ78" s="1285"/>
      <c r="BK78" s="1286"/>
      <c r="BL78" s="1285"/>
      <c r="BM78" s="1286"/>
      <c r="BN78" s="1285"/>
      <c r="BO78" s="1286"/>
      <c r="BP78" s="1285"/>
      <c r="BQ78" s="1286"/>
      <c r="BR78" s="1285"/>
      <c r="BS78" s="1286"/>
      <c r="BT78" s="1285"/>
      <c r="BU78" s="1286"/>
      <c r="BV78" s="1285"/>
      <c r="BW78" s="1286"/>
      <c r="BX78" s="1285"/>
      <c r="BY78" s="1286"/>
      <c r="BZ78" s="1285"/>
      <c r="CA78" s="1286"/>
      <c r="CB78" s="1285"/>
      <c r="CC78" s="1286"/>
      <c r="CD78" s="1285"/>
      <c r="CE78" s="1286"/>
      <c r="CF78" s="1285"/>
      <c r="CG78" s="1286"/>
      <c r="CH78" s="1285"/>
      <c r="CI78" s="1286"/>
      <c r="CJ78" s="1289"/>
      <c r="CK78" s="1290"/>
      <c r="CL78" s="1289"/>
      <c r="CM78" s="1290"/>
      <c r="CN78" s="1289"/>
      <c r="CO78" s="1290"/>
      <c r="CP78" s="1289"/>
      <c r="CQ78" s="1290"/>
      <c r="CR78" s="1289"/>
      <c r="CS78" s="1290"/>
      <c r="CT78" s="1285"/>
      <c r="CU78" s="1286"/>
      <c r="CV78" s="1285"/>
      <c r="CW78" s="1286"/>
      <c r="CX78" s="1285"/>
      <c r="CY78" s="1286"/>
      <c r="CZ78" s="1285"/>
      <c r="DA78" s="1286"/>
      <c r="DB78" s="1285"/>
      <c r="DC78" s="1286"/>
      <c r="DD78" s="1285"/>
      <c r="DE78" s="1286"/>
      <c r="DF78" s="1285"/>
      <c r="DG78" s="1286"/>
      <c r="DH78" s="1285"/>
      <c r="DI78" s="1286"/>
      <c r="DJ78" s="1327"/>
      <c r="DK78" s="1327"/>
      <c r="DL78" s="1263"/>
      <c r="DM78" s="1263"/>
      <c r="DN78" s="1263"/>
      <c r="DO78" s="1263"/>
      <c r="DP78" s="1263"/>
      <c r="DQ78" s="1263"/>
      <c r="DR78" s="1263"/>
      <c r="DS78" s="1263"/>
      <c r="DT78" s="1263"/>
      <c r="DU78" s="1263"/>
      <c r="DV78" s="1263"/>
      <c r="DW78" s="1263"/>
      <c r="DX78" s="1263"/>
      <c r="DY78" s="1263"/>
      <c r="DZ78" s="1263"/>
      <c r="EA78" s="1263"/>
      <c r="EB78" s="1263"/>
      <c r="EC78" s="1263"/>
      <c r="ED78" s="1263"/>
      <c r="EE78" s="1263"/>
      <c r="EF78" s="1263"/>
      <c r="EG78" s="1263"/>
      <c r="EH78" s="1263"/>
      <c r="EI78" s="1263"/>
      <c r="EJ78" s="1263"/>
      <c r="EK78" s="1263"/>
      <c r="EL78" s="1263"/>
      <c r="EM78" s="1263"/>
      <c r="EN78" s="1263"/>
      <c r="EO78" s="1263"/>
      <c r="EP78" s="1263"/>
      <c r="EQ78" s="1263"/>
      <c r="ER78" s="1263"/>
      <c r="ES78" s="1263"/>
      <c r="ET78" s="1263"/>
      <c r="EU78" s="1263"/>
      <c r="EV78" s="1263"/>
      <c r="EW78" s="1263"/>
      <c r="EX78" s="1263"/>
      <c r="EY78" s="1263"/>
      <c r="EZ78" s="1263"/>
      <c r="FA78" s="1263"/>
      <c r="FB78" s="1263"/>
      <c r="FC78" s="1263"/>
      <c r="FD78" s="1263"/>
      <c r="FE78" s="1263"/>
      <c r="FF78" s="1263"/>
      <c r="FG78" s="1263"/>
      <c r="FH78" s="1263"/>
      <c r="FI78" s="1263"/>
      <c r="FJ78" s="1263"/>
      <c r="FK78" s="1263"/>
      <c r="FL78" s="1263"/>
      <c r="FM78" s="1263"/>
      <c r="FN78" s="1263"/>
      <c r="FO78" s="1263"/>
      <c r="FP78" s="1263"/>
      <c r="FQ78" s="1263"/>
      <c r="FR78" s="1263"/>
      <c r="FS78" s="1263"/>
      <c r="FT78" s="1263"/>
      <c r="FU78" s="1263"/>
      <c r="FV78" s="1263"/>
      <c r="FW78" s="1263"/>
      <c r="FX78" s="1263"/>
      <c r="FY78" s="1263"/>
      <c r="FZ78" s="1263"/>
      <c r="GA78" s="1263"/>
      <c r="GB78" s="1263"/>
      <c r="GC78" s="1263"/>
      <c r="GD78" s="1263"/>
      <c r="GE78" s="1263"/>
      <c r="GF78" s="1263"/>
      <c r="GG78" s="1263"/>
      <c r="GH78" s="1263"/>
      <c r="GI78" s="1263"/>
      <c r="GJ78" s="1263"/>
      <c r="GK78" s="1263"/>
      <c r="GL78" s="1263"/>
      <c r="GM78" s="1263"/>
      <c r="GN78" s="1263"/>
      <c r="GO78" s="1263"/>
      <c r="GP78" s="1263"/>
      <c r="GQ78" s="1263"/>
      <c r="GR78" s="1263"/>
      <c r="GS78" s="1263"/>
      <c r="GT78" s="1263"/>
      <c r="GU78" s="1263"/>
      <c r="GV78" s="1263"/>
      <c r="GW78" s="1263"/>
      <c r="GX78" s="1263"/>
      <c r="GY78" s="1263"/>
      <c r="GZ78" s="1263"/>
      <c r="HA78" s="1263"/>
      <c r="HB78" s="1263"/>
      <c r="HC78" s="1263"/>
      <c r="HD78" s="1263"/>
      <c r="HE78" s="1263"/>
      <c r="HF78" s="1263"/>
      <c r="HG78" s="1263"/>
      <c r="HH78" s="1263"/>
      <c r="HI78" s="1263"/>
      <c r="HJ78" s="1263"/>
      <c r="HK78" s="1263"/>
    </row>
    <row r="79" spans="1:219">
      <c r="A79" s="1299"/>
      <c r="B79" s="1300"/>
      <c r="C79" s="1299"/>
      <c r="D79" s="1301"/>
      <c r="E79" s="1301"/>
      <c r="F79" s="1302"/>
      <c r="G79" s="1301"/>
      <c r="H79" s="726"/>
      <c r="I79" s="1303"/>
      <c r="J79" s="1304"/>
      <c r="K79" s="785" t="s">
        <v>292</v>
      </c>
      <c r="L79" s="1283"/>
      <c r="M79" s="1284"/>
      <c r="N79" s="1283"/>
      <c r="O79" s="1284"/>
      <c r="P79" s="1283"/>
      <c r="Q79" s="1284"/>
      <c r="R79" s="1283"/>
      <c r="S79" s="1284"/>
      <c r="T79" s="1283"/>
      <c r="U79" s="1284"/>
      <c r="V79" s="1283"/>
      <c r="W79" s="1284"/>
      <c r="X79" s="1283"/>
      <c r="Y79" s="1284"/>
      <c r="Z79" s="1283"/>
      <c r="AA79" s="1284"/>
      <c r="AB79" s="1283"/>
      <c r="AC79" s="1284"/>
      <c r="AD79" s="1283"/>
      <c r="AE79" s="1284"/>
      <c r="AF79" s="1283"/>
      <c r="AG79" s="1284"/>
      <c r="AH79" s="1283"/>
      <c r="AI79" s="1284"/>
      <c r="AJ79" s="1283"/>
      <c r="AK79" s="1284"/>
      <c r="AL79" s="1283"/>
      <c r="AM79" s="1284"/>
      <c r="AN79" s="1283"/>
      <c r="AO79" s="1284"/>
      <c r="AP79" s="1283"/>
      <c r="AQ79" s="1284"/>
      <c r="AR79" s="1283"/>
      <c r="AS79" s="1284"/>
      <c r="AT79" s="1283">
        <v>1</v>
      </c>
      <c r="AU79" s="1284"/>
      <c r="AV79" s="1283">
        <v>1</v>
      </c>
      <c r="AW79" s="1284"/>
      <c r="AX79" s="1283">
        <v>1</v>
      </c>
      <c r="AY79" s="1284"/>
      <c r="AZ79" s="1283">
        <v>1</v>
      </c>
      <c r="BA79" s="1284"/>
      <c r="BB79" s="1283">
        <v>1</v>
      </c>
      <c r="BC79" s="1284"/>
      <c r="BD79" s="1283"/>
      <c r="BE79" s="1284"/>
      <c r="BF79" s="1283"/>
      <c r="BG79" s="1284"/>
      <c r="BH79" s="1283"/>
      <c r="BI79" s="1284"/>
      <c r="BJ79" s="1283"/>
      <c r="BK79" s="1284"/>
      <c r="BL79" s="1283"/>
      <c r="BM79" s="1284"/>
      <c r="BN79" s="1283"/>
      <c r="BO79" s="1284"/>
      <c r="BP79" s="1283"/>
      <c r="BQ79" s="1284"/>
      <c r="BR79" s="1283"/>
      <c r="BS79" s="1284"/>
      <c r="BT79" s="1283"/>
      <c r="BU79" s="1284"/>
      <c r="BV79" s="1283"/>
      <c r="BW79" s="1284"/>
      <c r="BX79" s="1283"/>
      <c r="BY79" s="1284"/>
      <c r="BZ79" s="1283"/>
      <c r="CA79" s="1284"/>
      <c r="CB79" s="1283"/>
      <c r="CC79" s="1284"/>
      <c r="CD79" s="1283"/>
      <c r="CE79" s="1284"/>
      <c r="CF79" s="1283"/>
      <c r="CG79" s="1284"/>
      <c r="CH79" s="1283"/>
      <c r="CI79" s="1284"/>
      <c r="CJ79" s="1283"/>
      <c r="CK79" s="1284"/>
      <c r="CL79" s="1283"/>
      <c r="CM79" s="1284"/>
      <c r="CN79" s="1283"/>
      <c r="CO79" s="1284"/>
      <c r="CP79" s="1283"/>
      <c r="CQ79" s="1284"/>
      <c r="CR79" s="1283"/>
      <c r="CS79" s="1284"/>
      <c r="CT79" s="1283"/>
      <c r="CU79" s="1284"/>
      <c r="CV79" s="1283"/>
      <c r="CW79" s="1284"/>
      <c r="CX79" s="1283"/>
      <c r="CY79" s="1284"/>
      <c r="CZ79" s="1283"/>
      <c r="DA79" s="1284"/>
      <c r="DB79" s="1283"/>
      <c r="DC79" s="1284"/>
      <c r="DD79" s="1283"/>
      <c r="DE79" s="1284"/>
      <c r="DF79" s="1283"/>
      <c r="DG79" s="1284"/>
      <c r="DH79" s="1283"/>
      <c r="DI79" s="1284"/>
      <c r="DJ79" s="1265"/>
      <c r="DK79" s="1265"/>
      <c r="DL79" s="1264"/>
      <c r="DM79" s="1264"/>
      <c r="DN79" s="1264"/>
      <c r="DO79" s="1264"/>
      <c r="DP79" s="1264"/>
      <c r="DQ79" s="1264"/>
      <c r="DR79" s="1264"/>
      <c r="DS79" s="1264"/>
      <c r="DT79" s="1264"/>
      <c r="DU79" s="1264"/>
      <c r="DV79" s="1264"/>
      <c r="DW79" s="1264"/>
      <c r="DX79" s="1264"/>
      <c r="DY79" s="1264"/>
      <c r="DZ79" s="1264"/>
      <c r="EA79" s="1264"/>
      <c r="EB79" s="1264"/>
      <c r="EC79" s="1264"/>
      <c r="ED79" s="1264"/>
      <c r="EE79" s="1264"/>
      <c r="EF79" s="1264"/>
      <c r="EG79" s="1264"/>
      <c r="EH79" s="1264"/>
      <c r="EI79" s="1264"/>
      <c r="EJ79" s="1264"/>
      <c r="EK79" s="1264"/>
      <c r="EL79" s="1264"/>
      <c r="EM79" s="1264"/>
      <c r="EN79" s="1264"/>
      <c r="EO79" s="1264"/>
      <c r="EP79" s="1264"/>
      <c r="EQ79" s="1264"/>
      <c r="ER79" s="1264"/>
      <c r="ES79" s="1264"/>
      <c r="ET79" s="1264"/>
      <c r="EU79" s="1264"/>
      <c r="EV79" s="1264"/>
      <c r="EW79" s="1264"/>
      <c r="EX79" s="1264"/>
      <c r="EY79" s="1264"/>
      <c r="EZ79" s="1264"/>
      <c r="FA79" s="1264"/>
      <c r="FB79" s="1264"/>
      <c r="FC79" s="1264"/>
      <c r="FD79" s="1264"/>
      <c r="FE79" s="1264"/>
      <c r="FF79" s="1264"/>
      <c r="FG79" s="1264"/>
      <c r="FH79" s="1264"/>
      <c r="FI79" s="1264"/>
      <c r="FJ79" s="1264"/>
      <c r="FK79" s="1264"/>
      <c r="FL79" s="1264"/>
      <c r="FM79" s="1264"/>
      <c r="FN79" s="1264"/>
      <c r="FO79" s="1264"/>
      <c r="FP79" s="1264"/>
      <c r="FQ79" s="1264"/>
      <c r="FR79" s="1264"/>
      <c r="FS79" s="1264"/>
      <c r="FT79" s="1264"/>
      <c r="FU79" s="1264"/>
      <c r="FV79" s="1264"/>
      <c r="FW79" s="1264"/>
      <c r="FX79" s="1264"/>
      <c r="FY79" s="1264"/>
      <c r="FZ79" s="1264"/>
      <c r="GA79" s="1264"/>
      <c r="GB79" s="1264"/>
      <c r="GC79" s="1264"/>
      <c r="GD79" s="1264"/>
      <c r="GE79" s="1264"/>
      <c r="GF79" s="1264"/>
      <c r="GG79" s="1264"/>
      <c r="GH79" s="1264"/>
      <c r="GI79" s="1264"/>
      <c r="GJ79" s="1264"/>
      <c r="GK79" s="1264"/>
      <c r="GL79" s="1264"/>
      <c r="GM79" s="1264"/>
      <c r="GN79" s="1264"/>
      <c r="GO79" s="1264"/>
      <c r="GP79" s="1264"/>
      <c r="GQ79" s="1264"/>
      <c r="GR79" s="1264"/>
      <c r="GS79" s="1264"/>
      <c r="GT79" s="1264"/>
      <c r="GU79" s="1264"/>
      <c r="GV79" s="1264"/>
      <c r="GW79" s="1264"/>
      <c r="GX79" s="1264"/>
      <c r="GY79" s="1264"/>
      <c r="GZ79" s="1264"/>
      <c r="HA79" s="1264"/>
      <c r="HB79" s="1264"/>
      <c r="HC79" s="1264"/>
      <c r="HD79" s="1264"/>
      <c r="HE79" s="1264"/>
      <c r="HF79" s="1264"/>
      <c r="HG79" s="1264"/>
      <c r="HH79" s="1264"/>
      <c r="HI79" s="1264"/>
      <c r="HJ79" s="1264"/>
      <c r="HK79" s="1264"/>
    </row>
    <row r="80" spans="1:219">
      <c r="A80" s="1299"/>
      <c r="B80" s="1300"/>
      <c r="C80" s="1299"/>
      <c r="D80" s="1301"/>
      <c r="E80" s="1301"/>
      <c r="F80" s="1302"/>
      <c r="G80" s="1301"/>
      <c r="H80" s="726"/>
      <c r="I80" s="1303"/>
      <c r="J80" s="1304"/>
      <c r="K80" s="786" t="s">
        <v>293</v>
      </c>
      <c r="L80" s="1255">
        <f>(L78*L79*$G78)*$L$8</f>
        <v>0</v>
      </c>
      <c r="M80" s="1256"/>
      <c r="N80" s="1255">
        <f>(N78*N79*$G78)*$L$8</f>
        <v>0</v>
      </c>
      <c r="O80" s="1256"/>
      <c r="P80" s="1255">
        <f>(P78*P79*$G78)*$L$8</f>
        <v>0</v>
      </c>
      <c r="Q80" s="1256"/>
      <c r="R80" s="1255">
        <f>(R78*R79*$G78)*$L$8</f>
        <v>0</v>
      </c>
      <c r="S80" s="1256"/>
      <c r="T80" s="1255">
        <f>(T78*T79*$G78)*$T$8</f>
        <v>0</v>
      </c>
      <c r="U80" s="1256"/>
      <c r="V80" s="1255">
        <f>(V78*V79*$G78)*$T$8</f>
        <v>0</v>
      </c>
      <c r="W80" s="1256"/>
      <c r="X80" s="1255">
        <f>(X78*X79*$G78)*$T$8</f>
        <v>0</v>
      </c>
      <c r="Y80" s="1256"/>
      <c r="Z80" s="1255">
        <f>(Z78*Z79*$G78)*$T$8</f>
        <v>0</v>
      </c>
      <c r="AA80" s="1256"/>
      <c r="AB80" s="1255">
        <f>(AB78*AB79*$G78)*$AB$8</f>
        <v>0</v>
      </c>
      <c r="AC80" s="1256"/>
      <c r="AD80" s="1255">
        <f>(AD78*AD79*$G78)*$AB$8</f>
        <v>0</v>
      </c>
      <c r="AE80" s="1256"/>
      <c r="AF80" s="1255">
        <f>(AF78*AF79*$G78)*$AB$8</f>
        <v>0</v>
      </c>
      <c r="AG80" s="1256"/>
      <c r="AH80" s="1255">
        <f>(AH78*AH79*$G78)*$AB$8</f>
        <v>0</v>
      </c>
      <c r="AI80" s="1256"/>
      <c r="AJ80" s="1255">
        <f>(AJ78*AJ79*$G78)*$AJ$8</f>
        <v>0</v>
      </c>
      <c r="AK80" s="1256"/>
      <c r="AL80" s="1255">
        <f>(AL78*AL79*$G78)*$AJ$8</f>
        <v>0</v>
      </c>
      <c r="AM80" s="1256"/>
      <c r="AN80" s="1255">
        <f>(AN78*AN79*$G78)*$AJ$8</f>
        <v>0</v>
      </c>
      <c r="AO80" s="1256"/>
      <c r="AP80" s="1255">
        <f>(AP78*AP79*$G78)*$AJ$8</f>
        <v>0</v>
      </c>
      <c r="AQ80" s="1256"/>
      <c r="AR80" s="1255">
        <f>(AR78*AR79*$G78)*$AJ$8</f>
        <v>0</v>
      </c>
      <c r="AS80" s="1256"/>
      <c r="AT80" s="1255">
        <f>(AT78*AT79*$G78)*$AT$8</f>
        <v>3324.559139784948</v>
      </c>
      <c r="AU80" s="1256"/>
      <c r="AV80" s="1255">
        <f>(AV78*AV79*$G78)*$AT$8</f>
        <v>7432.2580645161288</v>
      </c>
      <c r="AW80" s="1256"/>
      <c r="AX80" s="1255">
        <f>(AX78*AX79*$G78)*$AT$8</f>
        <v>7432.2580645161288</v>
      </c>
      <c r="AY80" s="1256"/>
      <c r="AZ80" s="1255">
        <f>(AZ78*AZ79*$G78)*$AT$8</f>
        <v>7432.2580645161288</v>
      </c>
      <c r="BA80" s="1256"/>
      <c r="BB80" s="1255">
        <f>(BB78*BB79*$G78)*$BB$8</f>
        <v>6378.6666666666661</v>
      </c>
      <c r="BC80" s="1256"/>
      <c r="BD80" s="1255">
        <f>(BD78*BD79*$G78)*$BB$8</f>
        <v>0</v>
      </c>
      <c r="BE80" s="1256"/>
      <c r="BF80" s="1255">
        <f>(BF78*BF79*$G78)*$BB$8</f>
        <v>0</v>
      </c>
      <c r="BG80" s="1256"/>
      <c r="BH80" s="1255">
        <f>(BH78*BH79*$G78)*$BB$8</f>
        <v>0</v>
      </c>
      <c r="BI80" s="1256"/>
      <c r="BJ80" s="1255">
        <f>(BJ78*BJ79*$G78)*$BJ$8</f>
        <v>0</v>
      </c>
      <c r="BK80" s="1256"/>
      <c r="BL80" s="1255">
        <f>(BL78*BL79*$G78)*$BJ$8</f>
        <v>0</v>
      </c>
      <c r="BM80" s="1256"/>
      <c r="BN80" s="1255">
        <f>(BN78*BN79*$G78)*$BJ$8</f>
        <v>0</v>
      </c>
      <c r="BO80" s="1256"/>
      <c r="BP80" s="1255">
        <f>(BP78*BP79*$G78)*$BJ$8</f>
        <v>0</v>
      </c>
      <c r="BQ80" s="1256"/>
      <c r="BR80" s="1255">
        <f>(BR78*BR79*$G78)*$BJ$8</f>
        <v>0</v>
      </c>
      <c r="BS80" s="1256"/>
      <c r="BT80" s="1255">
        <f>(BT78*BT79*$G78)*$BT$8</f>
        <v>0</v>
      </c>
      <c r="BU80" s="1256"/>
      <c r="BV80" s="1255">
        <f>(BV78*BV79*$G78)*$BT$8</f>
        <v>0</v>
      </c>
      <c r="BW80" s="1256"/>
      <c r="BX80" s="1255">
        <f>(BX78*BX79*$G78)*$BT$8</f>
        <v>0</v>
      </c>
      <c r="BY80" s="1256"/>
      <c r="BZ80" s="1255">
        <f>(BZ78*BZ79*$G78)*$BT$8</f>
        <v>0</v>
      </c>
      <c r="CA80" s="1256"/>
      <c r="CB80" s="1255">
        <f>(CB78*CB79*$G78)*$CB$8</f>
        <v>0</v>
      </c>
      <c r="CC80" s="1256"/>
      <c r="CD80" s="1255">
        <f>(CD78*CD79*$G78)*$CB$8</f>
        <v>0</v>
      </c>
      <c r="CE80" s="1256"/>
      <c r="CF80" s="1255">
        <f>(CF78*CF79*$G78)*$CB$8</f>
        <v>0</v>
      </c>
      <c r="CG80" s="1256"/>
      <c r="CH80" s="1255">
        <f>(CH78*CH79*$G78)*$CB$8</f>
        <v>0</v>
      </c>
      <c r="CI80" s="1256"/>
      <c r="CJ80" s="1255">
        <f>(CJ78*CJ79*$G78)*$CJ$8</f>
        <v>0</v>
      </c>
      <c r="CK80" s="1256"/>
      <c r="CL80" s="1255">
        <f>(CL78*CL79*$G78)*$CJ$8</f>
        <v>0</v>
      </c>
      <c r="CM80" s="1256"/>
      <c r="CN80" s="1255">
        <f>(CN78*CN79*$G78)*$CJ$8</f>
        <v>0</v>
      </c>
      <c r="CO80" s="1256"/>
      <c r="CP80" s="1255">
        <f>(CP78*CP79*$G78)*$CJ$8</f>
        <v>0</v>
      </c>
      <c r="CQ80" s="1256"/>
      <c r="CR80" s="1255">
        <f>(CR78*CR79*$G78)*$CJ$8</f>
        <v>0</v>
      </c>
      <c r="CS80" s="1256"/>
      <c r="CT80" s="1255">
        <f>(CT78*CT79*$G78)*$CT$8</f>
        <v>0</v>
      </c>
      <c r="CU80" s="1256"/>
      <c r="CV80" s="1255">
        <f>(CV78*CV79*$G78)*$CT$8</f>
        <v>0</v>
      </c>
      <c r="CW80" s="1256"/>
      <c r="CX80" s="1255">
        <f>(CX78*CX79*$G78)*$CT$8</f>
        <v>0</v>
      </c>
      <c r="CY80" s="1256"/>
      <c r="CZ80" s="1255">
        <f>(CZ78*CZ79*$G78)*$CT$8</f>
        <v>0</v>
      </c>
      <c r="DA80" s="1256"/>
      <c r="DB80" s="1255">
        <f>(DB78*DB79*$G78)*$DB$8</f>
        <v>0</v>
      </c>
      <c r="DC80" s="1256"/>
      <c r="DD80" s="1255">
        <f>(DD78*DD79*$G78)*$DB$8</f>
        <v>0</v>
      </c>
      <c r="DE80" s="1256"/>
      <c r="DF80" s="1255">
        <f>(DF78*DF79*$G78)*$DB$8</f>
        <v>0</v>
      </c>
      <c r="DG80" s="1256"/>
      <c r="DH80" s="1255">
        <f>(DH78*DH79*$G78)*$DB$8</f>
        <v>0</v>
      </c>
      <c r="DI80" s="1256"/>
      <c r="DJ80" s="1257">
        <f>(DJ78*DJ79*$G78)*$DL$8</f>
        <v>0</v>
      </c>
      <c r="DK80" s="1258"/>
      <c r="DL80" s="1255">
        <f>(DL78*DL79*$G78)*$DL$8</f>
        <v>0</v>
      </c>
      <c r="DM80" s="1256"/>
      <c r="DN80" s="1255">
        <f>(DN78*DN79*$G78)*$DL$8</f>
        <v>0</v>
      </c>
      <c r="DO80" s="1256"/>
      <c r="DP80" s="1255">
        <f>(DP78*DP79*$G78)*$DL$8</f>
        <v>0</v>
      </c>
      <c r="DQ80" s="1256"/>
      <c r="DR80" s="1255">
        <f>(DR78*DR79*$G78)*$DL$8</f>
        <v>0</v>
      </c>
      <c r="DS80" s="1256"/>
      <c r="DT80" s="1255">
        <f>(DT78*DT79*$G78)*$DT$8</f>
        <v>0</v>
      </c>
      <c r="DU80" s="1256"/>
      <c r="DV80" s="1255">
        <f>(DV78*DV79*$G78)*$DT$8</f>
        <v>0</v>
      </c>
      <c r="DW80" s="1256"/>
      <c r="DX80" s="1255">
        <f>(DX78*DX79*$G78)*$DT$8</f>
        <v>0</v>
      </c>
      <c r="DY80" s="1256"/>
      <c r="DZ80" s="1255">
        <f>(DZ78*DZ79*$G78)*$DT$8</f>
        <v>0</v>
      </c>
      <c r="EA80" s="1256"/>
      <c r="EB80" s="1255">
        <f>(EB78*EB79*$G78)*$EB$8</f>
        <v>0</v>
      </c>
      <c r="EC80" s="1256"/>
      <c r="ED80" s="1255">
        <f>(ED78*ED79*$G78)*$EB$8</f>
        <v>0</v>
      </c>
      <c r="EE80" s="1256"/>
      <c r="EF80" s="1255">
        <f>(EF78*EF79*$G78)*$EB$8</f>
        <v>0</v>
      </c>
      <c r="EG80" s="1256"/>
      <c r="EH80" s="1255">
        <f>(EH78*EH79*$G78)*$EB$8</f>
        <v>0</v>
      </c>
      <c r="EI80" s="1256"/>
      <c r="EJ80" s="1255">
        <f>(EJ78*EJ79*$G78)*$EJ$8</f>
        <v>0</v>
      </c>
      <c r="EK80" s="1256"/>
      <c r="EL80" s="1255">
        <f>(EL78*EL79*$G78)*$EJ$8</f>
        <v>0</v>
      </c>
      <c r="EM80" s="1256"/>
      <c r="EN80" s="1255">
        <f>(EN78*EN79*$G78)*$EJ$8</f>
        <v>0</v>
      </c>
      <c r="EO80" s="1256"/>
      <c r="EP80" s="1255">
        <f>(EP78*EP79*$G78)*$ET$8</f>
        <v>0</v>
      </c>
      <c r="EQ80" s="1256"/>
      <c r="ER80" s="1255">
        <f>(ER78*ER79*$G78)*$DB$8</f>
        <v>0</v>
      </c>
      <c r="ES80" s="1256"/>
      <c r="ET80" s="1255">
        <f>(ET78*ET79*$G78)*$DB$8</f>
        <v>0</v>
      </c>
      <c r="EU80" s="1256"/>
      <c r="EV80" s="1255">
        <f>(EV78*EV79*$G78)*$DB$8</f>
        <v>0</v>
      </c>
      <c r="EW80" s="1256"/>
      <c r="EX80" s="1255">
        <f>(EX78*EX79*$G78)*$DB$8</f>
        <v>0</v>
      </c>
      <c r="EY80" s="1256"/>
      <c r="EZ80" s="1255">
        <f>(EZ78*EZ79*$G78)*$DB$8</f>
        <v>0</v>
      </c>
      <c r="FA80" s="1256"/>
      <c r="FB80" s="1255">
        <f>(FB78*FB79*$G78)*$DB$8</f>
        <v>0</v>
      </c>
      <c r="FC80" s="1256"/>
      <c r="FD80" s="1255">
        <f>(FD78*FD79*$G78)*$DB$8</f>
        <v>0</v>
      </c>
      <c r="FE80" s="1256"/>
      <c r="FF80" s="1255">
        <f>(FF78*FF79*$G78)*$DB$8</f>
        <v>0</v>
      </c>
      <c r="FG80" s="1256"/>
      <c r="FH80" s="1255">
        <f>(FH78*FH79*$G78)*$DB$8</f>
        <v>0</v>
      </c>
      <c r="FI80" s="1256"/>
      <c r="FJ80" s="1255">
        <f>(FJ78*FJ79*$G78)*$DB$8</f>
        <v>0</v>
      </c>
      <c r="FK80" s="1256"/>
      <c r="FL80" s="1255">
        <f>(FL78*FL79*$G78)*$DB$8</f>
        <v>0</v>
      </c>
      <c r="FM80" s="1256"/>
      <c r="FN80" s="1255">
        <f>(FN78*FN79*$G78)*$DB$8</f>
        <v>0</v>
      </c>
      <c r="FO80" s="1256"/>
      <c r="FP80" s="1255">
        <f>(FP78*FP79*$G78)*$DB$8</f>
        <v>0</v>
      </c>
      <c r="FQ80" s="1256"/>
      <c r="FR80" s="1255">
        <f>(FR78*FR79*$G78)*$DB$8</f>
        <v>0</v>
      </c>
      <c r="FS80" s="1256"/>
      <c r="FT80" s="1255">
        <f>(FT78*FT79*$G78)*$DB$8</f>
        <v>0</v>
      </c>
      <c r="FU80" s="1256"/>
      <c r="FV80" s="1255">
        <f>(FV78*FV79*$G78)*$FT$8</f>
        <v>0</v>
      </c>
      <c r="FW80" s="1256"/>
      <c r="FX80" s="1255">
        <f>(FX78*FX79*$G78)*$FT$8</f>
        <v>0</v>
      </c>
      <c r="FY80" s="1256"/>
      <c r="FZ80" s="1255">
        <f>(FZ78*FZ79*$G78)*$FT$8</f>
        <v>0</v>
      </c>
      <c r="GA80" s="1256"/>
      <c r="GB80" s="1255">
        <f>(GB78*GB79*$G78)*$FT$8</f>
        <v>0</v>
      </c>
      <c r="GC80" s="1256"/>
      <c r="GD80" s="1255">
        <f>(GD78*GD79*$G78)*$FT$8</f>
        <v>0</v>
      </c>
      <c r="GE80" s="1256"/>
      <c r="GF80" s="1255">
        <f>(GF78*GF79*$G78)*$FT$8</f>
        <v>0</v>
      </c>
      <c r="GG80" s="1256"/>
      <c r="GH80" s="1255">
        <f>(GH78*GH79*$G78)*$FT$8</f>
        <v>0</v>
      </c>
      <c r="GI80" s="1256"/>
      <c r="GJ80" s="1255">
        <f>(GJ78*GJ79*$G78)*$DB$8</f>
        <v>0</v>
      </c>
      <c r="GK80" s="1256"/>
      <c r="GL80" s="1255">
        <f>(GL78*GL79*$G78)*$DB$8</f>
        <v>0</v>
      </c>
      <c r="GM80" s="1256"/>
      <c r="GN80" s="1255">
        <f>(GN78*GN79*$G78)*$DB$8</f>
        <v>0</v>
      </c>
      <c r="GO80" s="1256"/>
      <c r="GP80" s="1255">
        <f>(GP78*GP79*$G78)*$DB$8</f>
        <v>0</v>
      </c>
      <c r="GQ80" s="1256"/>
      <c r="GR80" s="1255">
        <f>(GR78*GR79*$G78)*$DB$8</f>
        <v>0</v>
      </c>
      <c r="GS80" s="1256"/>
      <c r="GT80" s="1255">
        <f>(GT78*GT79*$G78)*$DB$8</f>
        <v>0</v>
      </c>
      <c r="GU80" s="1256"/>
      <c r="GV80" s="1255">
        <f>(GV78*GV79*$G78)*$DB$8</f>
        <v>0</v>
      </c>
      <c r="GW80" s="1256"/>
      <c r="GX80" s="1255">
        <f>(GX78*GX79*$G78)*$DB$8</f>
        <v>0</v>
      </c>
      <c r="GY80" s="1256"/>
      <c r="GZ80" s="1255">
        <f>(GZ78*GZ79*$G78)*$DB$8</f>
        <v>0</v>
      </c>
      <c r="HA80" s="1256"/>
      <c r="HB80" s="1255">
        <f>(HB78*HB79*$G78)*$DB$8</f>
        <v>0</v>
      </c>
      <c r="HC80" s="1256"/>
      <c r="HD80" s="1255">
        <f>(HD78*HD79*$G78)*$DB$8</f>
        <v>0</v>
      </c>
      <c r="HE80" s="1256"/>
      <c r="HF80" s="1255">
        <f>(HF78*HF79*$G78)*$DB$8</f>
        <v>0</v>
      </c>
      <c r="HG80" s="1256"/>
      <c r="HH80" s="1255">
        <f>(HH78*HH79*$G78)*$DB$8</f>
        <v>0</v>
      </c>
      <c r="HI80" s="1256"/>
      <c r="HJ80" s="1255">
        <f>(HJ78*HJ79*$G78)*$DB$8</f>
        <v>0</v>
      </c>
      <c r="HK80" s="1256"/>
    </row>
    <row r="81" spans="1:219">
      <c r="A81" s="1299"/>
      <c r="B81" s="1300"/>
      <c r="C81" s="1299"/>
      <c r="D81" s="1301"/>
      <c r="E81" s="1301"/>
      <c r="F81" s="1302"/>
      <c r="G81" s="1301"/>
      <c r="H81" s="726"/>
      <c r="I81" s="1303"/>
      <c r="J81" s="1304"/>
      <c r="K81" s="787" t="s">
        <v>294</v>
      </c>
      <c r="L81" s="1272">
        <f>L80</f>
        <v>0</v>
      </c>
      <c r="M81" s="1273"/>
      <c r="N81" s="1272">
        <f>L81+N80</f>
        <v>0</v>
      </c>
      <c r="O81" s="1273"/>
      <c r="P81" s="1272">
        <f>N81+P80</f>
        <v>0</v>
      </c>
      <c r="Q81" s="1273"/>
      <c r="R81" s="1272">
        <f>P81+R80</f>
        <v>0</v>
      </c>
      <c r="S81" s="1273"/>
      <c r="T81" s="1272">
        <f>R81+T80</f>
        <v>0</v>
      </c>
      <c r="U81" s="1273"/>
      <c r="V81" s="1272">
        <f>T81+V80</f>
        <v>0</v>
      </c>
      <c r="W81" s="1273"/>
      <c r="X81" s="1272">
        <f>V81+X80</f>
        <v>0</v>
      </c>
      <c r="Y81" s="1273"/>
      <c r="Z81" s="1272">
        <f>X81+Z80</f>
        <v>0</v>
      </c>
      <c r="AA81" s="1273"/>
      <c r="AB81" s="1272">
        <f>Z81+AB80</f>
        <v>0</v>
      </c>
      <c r="AC81" s="1273"/>
      <c r="AD81" s="1272">
        <f>AB81+AD80</f>
        <v>0</v>
      </c>
      <c r="AE81" s="1273"/>
      <c r="AF81" s="1272">
        <f>AD81+AF80</f>
        <v>0</v>
      </c>
      <c r="AG81" s="1273"/>
      <c r="AH81" s="1272">
        <f>AF81+AH80</f>
        <v>0</v>
      </c>
      <c r="AI81" s="1273"/>
      <c r="AJ81" s="1272">
        <f>AH81+AJ80</f>
        <v>0</v>
      </c>
      <c r="AK81" s="1273"/>
      <c r="AL81" s="1272">
        <f>AJ81+AL80</f>
        <v>0</v>
      </c>
      <c r="AM81" s="1273"/>
      <c r="AN81" s="1272">
        <f>AL81+AN80</f>
        <v>0</v>
      </c>
      <c r="AO81" s="1273"/>
      <c r="AP81" s="1272">
        <f>AN81+AP80</f>
        <v>0</v>
      </c>
      <c r="AQ81" s="1273"/>
      <c r="AR81" s="1272">
        <f>AP81+AR80</f>
        <v>0</v>
      </c>
      <c r="AS81" s="1273"/>
      <c r="AT81" s="1272">
        <f>AR81+AT80</f>
        <v>3324.559139784948</v>
      </c>
      <c r="AU81" s="1273"/>
      <c r="AV81" s="1272">
        <f>AT81+AV80</f>
        <v>10756.817204301076</v>
      </c>
      <c r="AW81" s="1273"/>
      <c r="AX81" s="1272">
        <f>AV81+AX80</f>
        <v>18189.075268817207</v>
      </c>
      <c r="AY81" s="1273"/>
      <c r="AZ81" s="1272">
        <f>AX81+AZ80</f>
        <v>25621.333333333336</v>
      </c>
      <c r="BA81" s="1273"/>
      <c r="BB81" s="1272">
        <f>AZ81+BB80</f>
        <v>32000</v>
      </c>
      <c r="BC81" s="1273"/>
      <c r="BD81" s="1272">
        <f>BB81+BD80</f>
        <v>32000</v>
      </c>
      <c r="BE81" s="1273"/>
      <c r="BF81" s="1272">
        <f>BD81+BF80</f>
        <v>32000</v>
      </c>
      <c r="BG81" s="1273"/>
      <c r="BH81" s="1272">
        <f>BF81+BH80</f>
        <v>32000</v>
      </c>
      <c r="BI81" s="1273"/>
      <c r="BJ81" s="1272">
        <f>BH81+BJ80</f>
        <v>32000</v>
      </c>
      <c r="BK81" s="1273"/>
      <c r="BL81" s="1272">
        <f>BJ81+BL80</f>
        <v>32000</v>
      </c>
      <c r="BM81" s="1273"/>
      <c r="BN81" s="1272">
        <f>BL81+BN80</f>
        <v>32000</v>
      </c>
      <c r="BO81" s="1273"/>
      <c r="BP81" s="1272">
        <f>BN81+BP80</f>
        <v>32000</v>
      </c>
      <c r="BQ81" s="1273"/>
      <c r="BR81" s="1272">
        <f>BP81+BR80</f>
        <v>32000</v>
      </c>
      <c r="BS81" s="1273"/>
      <c r="BT81" s="1272">
        <f>BR81+BT80</f>
        <v>32000</v>
      </c>
      <c r="BU81" s="1273"/>
      <c r="BV81" s="1272">
        <f>BT81+BV80</f>
        <v>32000</v>
      </c>
      <c r="BW81" s="1273"/>
      <c r="BX81" s="1272">
        <f>BV81+BX80</f>
        <v>32000</v>
      </c>
      <c r="BY81" s="1273"/>
      <c r="BZ81" s="1272">
        <f>BX81+BZ80</f>
        <v>32000</v>
      </c>
      <c r="CA81" s="1273"/>
      <c r="CB81" s="1272">
        <f>BZ81+CB80</f>
        <v>32000</v>
      </c>
      <c r="CC81" s="1273"/>
      <c r="CD81" s="1272">
        <f>CB81+CD80</f>
        <v>32000</v>
      </c>
      <c r="CE81" s="1273"/>
      <c r="CF81" s="1272">
        <f>CD81+CF80</f>
        <v>32000</v>
      </c>
      <c r="CG81" s="1273"/>
      <c r="CH81" s="1272">
        <f>CF81+CH80</f>
        <v>32000</v>
      </c>
      <c r="CI81" s="1273"/>
      <c r="CJ81" s="1272">
        <f>CH81+CJ80</f>
        <v>32000</v>
      </c>
      <c r="CK81" s="1273"/>
      <c r="CL81" s="1272">
        <f>CJ81+CL80</f>
        <v>32000</v>
      </c>
      <c r="CM81" s="1273"/>
      <c r="CN81" s="1272">
        <f>CL81+CN80</f>
        <v>32000</v>
      </c>
      <c r="CO81" s="1273"/>
      <c r="CP81" s="1272">
        <f>CN81+CP80</f>
        <v>32000</v>
      </c>
      <c r="CQ81" s="1273"/>
      <c r="CR81" s="1272">
        <f>CP81+CR80</f>
        <v>32000</v>
      </c>
      <c r="CS81" s="1273"/>
      <c r="CT81" s="1272">
        <f>CR81+CT80</f>
        <v>32000</v>
      </c>
      <c r="CU81" s="1273"/>
      <c r="CV81" s="1272">
        <f>CT81+CV80</f>
        <v>32000</v>
      </c>
      <c r="CW81" s="1273"/>
      <c r="CX81" s="1272">
        <f>CV81+CX80</f>
        <v>32000</v>
      </c>
      <c r="CY81" s="1273"/>
      <c r="CZ81" s="1272">
        <f>CX81+CZ80</f>
        <v>32000</v>
      </c>
      <c r="DA81" s="1273"/>
      <c r="DB81" s="1272">
        <f>CZ81+DB80</f>
        <v>32000</v>
      </c>
      <c r="DC81" s="1273"/>
      <c r="DD81" s="1272">
        <f>DB81+DD80</f>
        <v>32000</v>
      </c>
      <c r="DE81" s="1273"/>
      <c r="DF81" s="1272">
        <f>DD81+DF80</f>
        <v>32000</v>
      </c>
      <c r="DG81" s="1273"/>
      <c r="DH81" s="1272">
        <f>DF81+DH80</f>
        <v>32000</v>
      </c>
      <c r="DI81" s="1273"/>
      <c r="DJ81" s="1323">
        <f>DH81+DJ80</f>
        <v>32000</v>
      </c>
      <c r="DK81" s="1324"/>
      <c r="DL81" s="1272">
        <f>DJ81+DL80</f>
        <v>32000</v>
      </c>
      <c r="DM81" s="1273"/>
      <c r="DN81" s="1272">
        <f>DL81+DN80</f>
        <v>32000</v>
      </c>
      <c r="DO81" s="1273"/>
      <c r="DP81" s="1272">
        <f>DN81+DP80</f>
        <v>32000</v>
      </c>
      <c r="DQ81" s="1273"/>
      <c r="DR81" s="1272">
        <f>DP81+DR80</f>
        <v>32000</v>
      </c>
      <c r="DS81" s="1273"/>
      <c r="DT81" s="1272">
        <f>DR81+DT80</f>
        <v>32000</v>
      </c>
      <c r="DU81" s="1273"/>
      <c r="DV81" s="1272">
        <f>DT81+DV80</f>
        <v>32000</v>
      </c>
      <c r="DW81" s="1273"/>
      <c r="DX81" s="1272">
        <f>DV81+DX80</f>
        <v>32000</v>
      </c>
      <c r="DY81" s="1273"/>
      <c r="DZ81" s="1272">
        <f>DX81+DZ80</f>
        <v>32000</v>
      </c>
      <c r="EA81" s="1273"/>
      <c r="EB81" s="1272">
        <f>DZ81+EB80</f>
        <v>32000</v>
      </c>
      <c r="EC81" s="1273"/>
      <c r="ED81" s="1272">
        <f>EB81+ED80</f>
        <v>32000</v>
      </c>
      <c r="EE81" s="1273"/>
      <c r="EF81" s="1272">
        <f>ED81+EF80</f>
        <v>32000</v>
      </c>
      <c r="EG81" s="1273"/>
      <c r="EH81" s="1272">
        <f>EF81+EH80</f>
        <v>32000</v>
      </c>
      <c r="EI81" s="1273"/>
      <c r="EJ81" s="1272">
        <f>EH81+EJ80</f>
        <v>32000</v>
      </c>
      <c r="EK81" s="1273"/>
      <c r="EL81" s="1272">
        <f>EJ81+EL80</f>
        <v>32000</v>
      </c>
      <c r="EM81" s="1273"/>
      <c r="EN81" s="1272">
        <f>EL81+EN80</f>
        <v>32000</v>
      </c>
      <c r="EO81" s="1273"/>
      <c r="EP81" s="1272">
        <f>EN81+EP80</f>
        <v>32000</v>
      </c>
      <c r="EQ81" s="1273"/>
      <c r="ER81" s="1272">
        <f>EP81+ER80</f>
        <v>32000</v>
      </c>
      <c r="ES81" s="1273"/>
      <c r="ET81" s="1272">
        <f>ER81+ET80</f>
        <v>32000</v>
      </c>
      <c r="EU81" s="1273"/>
      <c r="EV81" s="1272">
        <f>ET81+EV80</f>
        <v>32000</v>
      </c>
      <c r="EW81" s="1273"/>
      <c r="EX81" s="1272">
        <f>EV81+EX80</f>
        <v>32000</v>
      </c>
      <c r="EY81" s="1273"/>
      <c r="EZ81" s="1272">
        <f>EX81+EZ80</f>
        <v>32000</v>
      </c>
      <c r="FA81" s="1273"/>
      <c r="FB81" s="1272">
        <f>EZ81+FB80</f>
        <v>32000</v>
      </c>
      <c r="FC81" s="1273"/>
      <c r="FD81" s="1272">
        <f>FB81+FD80</f>
        <v>32000</v>
      </c>
      <c r="FE81" s="1273"/>
      <c r="FF81" s="1272">
        <f>FD81+FF80</f>
        <v>32000</v>
      </c>
      <c r="FG81" s="1273"/>
      <c r="FH81" s="1272">
        <f>FF81+FH80</f>
        <v>32000</v>
      </c>
      <c r="FI81" s="1273"/>
      <c r="FJ81" s="1272">
        <f>FH81+FJ80</f>
        <v>32000</v>
      </c>
      <c r="FK81" s="1273"/>
      <c r="FL81" s="1272">
        <f>FJ81+FL80</f>
        <v>32000</v>
      </c>
      <c r="FM81" s="1273"/>
      <c r="FN81" s="1272">
        <f>FL81+FN80</f>
        <v>32000</v>
      </c>
      <c r="FO81" s="1273"/>
      <c r="FP81" s="1272">
        <f>FN81+FP80</f>
        <v>32000</v>
      </c>
      <c r="FQ81" s="1273"/>
      <c r="FR81" s="1272">
        <f>FP81+FR80</f>
        <v>32000</v>
      </c>
      <c r="FS81" s="1273"/>
      <c r="FT81" s="1272">
        <f>FR81+FT80</f>
        <v>32000</v>
      </c>
      <c r="FU81" s="1273"/>
      <c r="FV81" s="1272">
        <f>FT81+FV80</f>
        <v>32000</v>
      </c>
      <c r="FW81" s="1273"/>
      <c r="FX81" s="1272">
        <f>FV81+FX80</f>
        <v>32000</v>
      </c>
      <c r="FY81" s="1273"/>
      <c r="FZ81" s="1272">
        <f>FX81+FZ80</f>
        <v>32000</v>
      </c>
      <c r="GA81" s="1273"/>
      <c r="GB81" s="1272">
        <f>FZ81+GB80</f>
        <v>32000</v>
      </c>
      <c r="GC81" s="1273"/>
      <c r="GD81" s="1272">
        <f>GB81+GD80</f>
        <v>32000</v>
      </c>
      <c r="GE81" s="1273"/>
      <c r="GF81" s="1272">
        <f>GD81+GF80</f>
        <v>32000</v>
      </c>
      <c r="GG81" s="1273"/>
      <c r="GH81" s="1272">
        <f>GF81+GH80</f>
        <v>32000</v>
      </c>
      <c r="GI81" s="1273"/>
      <c r="GJ81" s="1272">
        <f>GH81+GJ80</f>
        <v>32000</v>
      </c>
      <c r="GK81" s="1273"/>
      <c r="GL81" s="1272">
        <f>GJ81+GL80</f>
        <v>32000</v>
      </c>
      <c r="GM81" s="1273"/>
      <c r="GN81" s="1272">
        <f>GL81+GN80</f>
        <v>32000</v>
      </c>
      <c r="GO81" s="1273"/>
      <c r="GP81" s="1272">
        <f>GN81+GP80</f>
        <v>32000</v>
      </c>
      <c r="GQ81" s="1273"/>
      <c r="GR81" s="1272">
        <f>GP81+GR80</f>
        <v>32000</v>
      </c>
      <c r="GS81" s="1273"/>
      <c r="GT81" s="1272">
        <f>GR81+GT80</f>
        <v>32000</v>
      </c>
      <c r="GU81" s="1273"/>
      <c r="GV81" s="1272">
        <f>GT81+GV80</f>
        <v>32000</v>
      </c>
      <c r="GW81" s="1273"/>
      <c r="GX81" s="1272">
        <f>GV81+GX80</f>
        <v>32000</v>
      </c>
      <c r="GY81" s="1273"/>
      <c r="GZ81" s="1272">
        <f>GX81+GZ80</f>
        <v>32000</v>
      </c>
      <c r="HA81" s="1273"/>
      <c r="HB81" s="1272">
        <f>GZ81+HB80</f>
        <v>32000</v>
      </c>
      <c r="HC81" s="1273"/>
      <c r="HD81" s="1272">
        <f>HB81+HD80</f>
        <v>32000</v>
      </c>
      <c r="HE81" s="1273"/>
      <c r="HF81" s="1272">
        <f>HD81+HF80</f>
        <v>32000</v>
      </c>
      <c r="HG81" s="1273"/>
      <c r="HH81" s="1272">
        <f>HF81+HH80</f>
        <v>32000</v>
      </c>
      <c r="HI81" s="1273"/>
      <c r="HJ81" s="1272">
        <f>HH81+HJ80</f>
        <v>32000</v>
      </c>
      <c r="HK81" s="1273"/>
    </row>
    <row r="82" spans="1:219" s="19" customFormat="1">
      <c r="A82" s="1299"/>
      <c r="B82" s="1300"/>
      <c r="C82" s="1299"/>
      <c r="D82" s="1301"/>
      <c r="E82" s="1301"/>
      <c r="F82" s="1302"/>
      <c r="G82" s="1301"/>
      <c r="H82" s="788"/>
      <c r="I82" s="1303"/>
      <c r="J82" s="1304"/>
      <c r="K82" s="789" t="s">
        <v>295</v>
      </c>
      <c r="L82" s="1266"/>
      <c r="M82" s="1267"/>
      <c r="N82" s="1266"/>
      <c r="O82" s="1267"/>
      <c r="P82" s="1266"/>
      <c r="Q82" s="1267"/>
      <c r="R82" s="1266"/>
      <c r="S82" s="1267"/>
      <c r="T82" s="1266"/>
      <c r="U82" s="1267"/>
      <c r="V82" s="1266"/>
      <c r="W82" s="1267"/>
      <c r="X82" s="1266"/>
      <c r="Y82" s="1267"/>
      <c r="Z82" s="1266"/>
      <c r="AA82" s="1267"/>
      <c r="AB82" s="1266"/>
      <c r="AC82" s="1267"/>
      <c r="AD82" s="1266"/>
      <c r="AE82" s="1267"/>
      <c r="AF82" s="1266"/>
      <c r="AG82" s="1267"/>
      <c r="AH82" s="1266"/>
      <c r="AI82" s="1267"/>
      <c r="AJ82" s="1266"/>
      <c r="AK82" s="1267"/>
      <c r="AL82" s="1266"/>
      <c r="AM82" s="1267"/>
      <c r="AN82" s="1266"/>
      <c r="AO82" s="1267"/>
      <c r="AP82" s="1266"/>
      <c r="AQ82" s="1267"/>
      <c r="AR82" s="1266"/>
      <c r="AS82" s="1267"/>
      <c r="AT82" s="1266"/>
      <c r="AU82" s="1267"/>
      <c r="AV82" s="1266"/>
      <c r="AW82" s="1267"/>
      <c r="AX82" s="1266"/>
      <c r="AY82" s="1267"/>
      <c r="AZ82" s="1266"/>
      <c r="BA82" s="1267"/>
      <c r="BB82" s="1266"/>
      <c r="BC82" s="1267"/>
      <c r="BD82" s="1266"/>
      <c r="BE82" s="1267"/>
      <c r="BF82" s="1266"/>
      <c r="BG82" s="1267"/>
      <c r="BH82" s="1266"/>
      <c r="BI82" s="1267"/>
      <c r="BJ82" s="1266"/>
      <c r="BK82" s="1267"/>
      <c r="BL82" s="1266"/>
      <c r="BM82" s="1267"/>
      <c r="BN82" s="1266"/>
      <c r="BO82" s="1267"/>
      <c r="BP82" s="1266"/>
      <c r="BQ82" s="1267"/>
      <c r="BR82" s="1266"/>
      <c r="BS82" s="1267"/>
      <c r="BT82" s="1266"/>
      <c r="BU82" s="1267"/>
      <c r="BV82" s="1266"/>
      <c r="BW82" s="1267"/>
      <c r="BX82" s="1266"/>
      <c r="BY82" s="1267"/>
      <c r="BZ82" s="1266"/>
      <c r="CA82" s="1267"/>
      <c r="CB82" s="1266"/>
      <c r="CC82" s="1267"/>
      <c r="CD82" s="1266"/>
      <c r="CE82" s="1267"/>
      <c r="CF82" s="1266"/>
      <c r="CG82" s="1267"/>
      <c r="CH82" s="1266"/>
      <c r="CI82" s="1267"/>
      <c r="CJ82" s="1266"/>
      <c r="CK82" s="1267"/>
      <c r="CL82" s="1266"/>
      <c r="CM82" s="1267"/>
      <c r="CN82" s="1266"/>
      <c r="CO82" s="1267"/>
      <c r="CP82" s="1266"/>
      <c r="CQ82" s="1267"/>
      <c r="CR82" s="1266"/>
      <c r="CS82" s="1267"/>
      <c r="CT82" s="1266"/>
      <c r="CU82" s="1267"/>
      <c r="CV82" s="1266"/>
      <c r="CW82" s="1267"/>
      <c r="CX82" s="1266"/>
      <c r="CY82" s="1267"/>
      <c r="CZ82" s="1266"/>
      <c r="DA82" s="1267"/>
      <c r="DB82" s="1266"/>
      <c r="DC82" s="1267"/>
      <c r="DD82" s="1266"/>
      <c r="DE82" s="1267"/>
      <c r="DF82" s="1266"/>
      <c r="DG82" s="1267"/>
      <c r="DH82" s="1266"/>
      <c r="DI82" s="1267"/>
      <c r="DJ82" s="1268"/>
      <c r="DK82" s="1269"/>
      <c r="DL82" s="1266"/>
      <c r="DM82" s="1267"/>
      <c r="DN82" s="1266"/>
      <c r="DO82" s="1267"/>
      <c r="DP82" s="1266"/>
      <c r="DQ82" s="1267"/>
      <c r="DR82" s="1266"/>
      <c r="DS82" s="1267"/>
      <c r="DT82" s="1266"/>
      <c r="DU82" s="1267"/>
      <c r="DV82" s="1266"/>
      <c r="DW82" s="1267"/>
      <c r="DX82" s="1266"/>
      <c r="DY82" s="1267"/>
      <c r="DZ82" s="1266"/>
      <c r="EA82" s="1267"/>
      <c r="EB82" s="1266"/>
      <c r="EC82" s="1267"/>
      <c r="ED82" s="1266"/>
      <c r="EE82" s="1267"/>
      <c r="EF82" s="1266"/>
      <c r="EG82" s="1267"/>
      <c r="EH82" s="1266"/>
      <c r="EI82" s="1267"/>
      <c r="EJ82" s="1266"/>
      <c r="EK82" s="1267"/>
      <c r="EL82" s="1266"/>
      <c r="EM82" s="1267"/>
      <c r="EN82" s="1266"/>
      <c r="EO82" s="1267"/>
      <c r="EP82" s="1266"/>
      <c r="EQ82" s="1267"/>
      <c r="ER82" s="1266"/>
      <c r="ES82" s="1267"/>
      <c r="ET82" s="1266"/>
      <c r="EU82" s="1267"/>
      <c r="EV82" s="1266"/>
      <c r="EW82" s="1267"/>
      <c r="EX82" s="1266"/>
      <c r="EY82" s="1267"/>
      <c r="EZ82" s="1266"/>
      <c r="FA82" s="1267"/>
      <c r="FB82" s="1266"/>
      <c r="FC82" s="1267"/>
      <c r="FD82" s="1266"/>
      <c r="FE82" s="1267"/>
      <c r="FF82" s="1266"/>
      <c r="FG82" s="1267"/>
      <c r="FH82" s="1266"/>
      <c r="FI82" s="1267"/>
      <c r="FJ82" s="1266"/>
      <c r="FK82" s="1267"/>
      <c r="FL82" s="1266"/>
      <c r="FM82" s="1267"/>
      <c r="FN82" s="1266"/>
      <c r="FO82" s="1267"/>
      <c r="FP82" s="1266"/>
      <c r="FQ82" s="1267"/>
      <c r="FR82" s="1266"/>
      <c r="FS82" s="1267"/>
      <c r="FT82" s="1266"/>
      <c r="FU82" s="1267"/>
      <c r="FV82" s="1266"/>
      <c r="FW82" s="1267"/>
      <c r="FX82" s="1266"/>
      <c r="FY82" s="1267"/>
      <c r="FZ82" s="1266"/>
      <c r="GA82" s="1267"/>
      <c r="GB82" s="1266"/>
      <c r="GC82" s="1267"/>
      <c r="GD82" s="1266"/>
      <c r="GE82" s="1267"/>
      <c r="GF82" s="1266"/>
      <c r="GG82" s="1267"/>
      <c r="GH82" s="1266"/>
      <c r="GI82" s="1267"/>
      <c r="GJ82" s="1266"/>
      <c r="GK82" s="1267"/>
      <c r="GL82" s="1266"/>
      <c r="GM82" s="1267"/>
      <c r="GN82" s="1266"/>
      <c r="GO82" s="1267"/>
      <c r="GP82" s="1266"/>
      <c r="GQ82" s="1267"/>
      <c r="GR82" s="1266"/>
      <c r="GS82" s="1267"/>
      <c r="GT82" s="1266"/>
      <c r="GU82" s="1267"/>
      <c r="GV82" s="1266"/>
      <c r="GW82" s="1267"/>
      <c r="GX82" s="1266"/>
      <c r="GY82" s="1267"/>
      <c r="GZ82" s="1266"/>
      <c r="HA82" s="1267"/>
      <c r="HB82" s="1266"/>
      <c r="HC82" s="1267"/>
      <c r="HD82" s="1266"/>
      <c r="HE82" s="1267"/>
      <c r="HF82" s="1266"/>
      <c r="HG82" s="1267"/>
      <c r="HH82" s="1266"/>
      <c r="HI82" s="1267"/>
      <c r="HJ82" s="1266"/>
      <c r="HK82" s="1267"/>
    </row>
    <row r="83" spans="1:219" s="20" customFormat="1">
      <c r="A83" s="1299"/>
      <c r="B83" s="1300"/>
      <c r="C83" s="1299"/>
      <c r="D83" s="1301"/>
      <c r="E83" s="1301"/>
      <c r="F83" s="1302"/>
      <c r="G83" s="1301"/>
      <c r="H83" s="790"/>
      <c r="I83" s="1303"/>
      <c r="J83" s="1304"/>
      <c r="K83" s="791" t="s">
        <v>296</v>
      </c>
      <c r="L83" s="1259">
        <f>L82</f>
        <v>0</v>
      </c>
      <c r="M83" s="1260"/>
      <c r="N83" s="1259">
        <f>N82+L83</f>
        <v>0</v>
      </c>
      <c r="O83" s="1260"/>
      <c r="P83" s="1259">
        <f>P82+N83</f>
        <v>0</v>
      </c>
      <c r="Q83" s="1260"/>
      <c r="R83" s="1259">
        <f>R82+P83</f>
        <v>0</v>
      </c>
      <c r="S83" s="1260"/>
      <c r="T83" s="1259">
        <f>T82+R83</f>
        <v>0</v>
      </c>
      <c r="U83" s="1260"/>
      <c r="V83" s="1259">
        <f>V82+T83</f>
        <v>0</v>
      </c>
      <c r="W83" s="1260"/>
      <c r="X83" s="1259">
        <f>X82+V83</f>
        <v>0</v>
      </c>
      <c r="Y83" s="1260"/>
      <c r="Z83" s="1259">
        <f>Z82+X83</f>
        <v>0</v>
      </c>
      <c r="AA83" s="1260"/>
      <c r="AB83" s="1259">
        <f>AB82+Z83</f>
        <v>0</v>
      </c>
      <c r="AC83" s="1260"/>
      <c r="AD83" s="1259">
        <f>AD82+AB83</f>
        <v>0</v>
      </c>
      <c r="AE83" s="1260"/>
      <c r="AF83" s="1259">
        <f>AF82+AD83</f>
        <v>0</v>
      </c>
      <c r="AG83" s="1260"/>
      <c r="AH83" s="1259">
        <f>AH82+AF83</f>
        <v>0</v>
      </c>
      <c r="AI83" s="1260"/>
      <c r="AJ83" s="1259">
        <f>AJ82+AH83</f>
        <v>0</v>
      </c>
      <c r="AK83" s="1260"/>
      <c r="AL83" s="1259">
        <f>AL82+AJ83</f>
        <v>0</v>
      </c>
      <c r="AM83" s="1260"/>
      <c r="AN83" s="1259">
        <f>AN82+AL83</f>
        <v>0</v>
      </c>
      <c r="AO83" s="1260"/>
      <c r="AP83" s="1259">
        <f>AP82+AN83</f>
        <v>0</v>
      </c>
      <c r="AQ83" s="1260"/>
      <c r="AR83" s="1259">
        <f>AR82+AP83</f>
        <v>0</v>
      </c>
      <c r="AS83" s="1260"/>
      <c r="AT83" s="1259">
        <f>AT82+AR83</f>
        <v>0</v>
      </c>
      <c r="AU83" s="1260"/>
      <c r="AV83" s="1259">
        <f>AV82+AT83</f>
        <v>0</v>
      </c>
      <c r="AW83" s="1260"/>
      <c r="AX83" s="1259">
        <f>AX82+AV83</f>
        <v>0</v>
      </c>
      <c r="AY83" s="1260"/>
      <c r="AZ83" s="1259">
        <f>AZ82+AX83</f>
        <v>0</v>
      </c>
      <c r="BA83" s="1260"/>
      <c r="BB83" s="1259">
        <f>BB82+AZ83</f>
        <v>0</v>
      </c>
      <c r="BC83" s="1260"/>
      <c r="BD83" s="1259">
        <f>BD82+BB83</f>
        <v>0</v>
      </c>
      <c r="BE83" s="1260"/>
      <c r="BF83" s="1259">
        <f>BF82+BD83</f>
        <v>0</v>
      </c>
      <c r="BG83" s="1260"/>
      <c r="BH83" s="1259">
        <f>BH82+BF83</f>
        <v>0</v>
      </c>
      <c r="BI83" s="1260"/>
      <c r="BJ83" s="1259">
        <f>BJ82+BH83</f>
        <v>0</v>
      </c>
      <c r="BK83" s="1260"/>
      <c r="BL83" s="1259">
        <f>BL82+BJ83</f>
        <v>0</v>
      </c>
      <c r="BM83" s="1260"/>
      <c r="BN83" s="1259">
        <f>BN82+BL83</f>
        <v>0</v>
      </c>
      <c r="BO83" s="1260"/>
      <c r="BP83" s="1259">
        <f>BP82+BN83</f>
        <v>0</v>
      </c>
      <c r="BQ83" s="1260"/>
      <c r="BR83" s="1259">
        <f>BR82+BP83</f>
        <v>0</v>
      </c>
      <c r="BS83" s="1260"/>
      <c r="BT83" s="1259">
        <f>BT82+BR83</f>
        <v>0</v>
      </c>
      <c r="BU83" s="1260"/>
      <c r="BV83" s="1259">
        <f>BV82+BT83</f>
        <v>0</v>
      </c>
      <c r="BW83" s="1260"/>
      <c r="BX83" s="1259">
        <f>BX82+BV83</f>
        <v>0</v>
      </c>
      <c r="BY83" s="1260"/>
      <c r="BZ83" s="1259">
        <f>BZ82+BX83</f>
        <v>0</v>
      </c>
      <c r="CA83" s="1260"/>
      <c r="CB83" s="1259">
        <f>CB82+BZ83</f>
        <v>0</v>
      </c>
      <c r="CC83" s="1260"/>
      <c r="CD83" s="1259">
        <f>CD82+CB83</f>
        <v>0</v>
      </c>
      <c r="CE83" s="1260"/>
      <c r="CF83" s="1259">
        <f>CF82+CD83</f>
        <v>0</v>
      </c>
      <c r="CG83" s="1260"/>
      <c r="CH83" s="1259">
        <f>CH82+CF83</f>
        <v>0</v>
      </c>
      <c r="CI83" s="1260"/>
      <c r="CJ83" s="1259">
        <f>CJ82+CH83</f>
        <v>0</v>
      </c>
      <c r="CK83" s="1260"/>
      <c r="CL83" s="1259">
        <f>CL82+CJ83</f>
        <v>0</v>
      </c>
      <c r="CM83" s="1260"/>
      <c r="CN83" s="1259">
        <f>CN82+CL83</f>
        <v>0</v>
      </c>
      <c r="CO83" s="1260"/>
      <c r="CP83" s="1259">
        <f>CP82+CN83</f>
        <v>0</v>
      </c>
      <c r="CQ83" s="1260"/>
      <c r="CR83" s="1259">
        <f>CR82+CP83</f>
        <v>0</v>
      </c>
      <c r="CS83" s="1260"/>
      <c r="CT83" s="1259">
        <f>CT82+CR83</f>
        <v>0</v>
      </c>
      <c r="CU83" s="1260"/>
      <c r="CV83" s="1259">
        <f>CV82+CT83</f>
        <v>0</v>
      </c>
      <c r="CW83" s="1260"/>
      <c r="CX83" s="1259">
        <f>CX82+CV83</f>
        <v>0</v>
      </c>
      <c r="CY83" s="1260"/>
      <c r="CZ83" s="1259">
        <f>CZ82+CX83</f>
        <v>0</v>
      </c>
      <c r="DA83" s="1260"/>
      <c r="DB83" s="1259">
        <f>DB82+CZ83</f>
        <v>0</v>
      </c>
      <c r="DC83" s="1260"/>
      <c r="DD83" s="1259">
        <f>DD82+DB83</f>
        <v>0</v>
      </c>
      <c r="DE83" s="1260"/>
      <c r="DF83" s="1259">
        <f>DF82+DD83</f>
        <v>0</v>
      </c>
      <c r="DG83" s="1260"/>
      <c r="DH83" s="1259">
        <f>DH82+DF83</f>
        <v>0</v>
      </c>
      <c r="DI83" s="1260"/>
      <c r="DJ83" s="1261">
        <f>DJ82+DH83</f>
        <v>0</v>
      </c>
      <c r="DK83" s="1262"/>
      <c r="DL83" s="1259">
        <f>DL82+DJ83</f>
        <v>0</v>
      </c>
      <c r="DM83" s="1260"/>
      <c r="DN83" s="1259">
        <f>DN82+DL83</f>
        <v>0</v>
      </c>
      <c r="DO83" s="1260"/>
      <c r="DP83" s="1259">
        <f>DP82+DN83</f>
        <v>0</v>
      </c>
      <c r="DQ83" s="1260"/>
      <c r="DR83" s="1259">
        <f>DR82+DP83</f>
        <v>0</v>
      </c>
      <c r="DS83" s="1260"/>
      <c r="DT83" s="1259">
        <f>DT82+DR83</f>
        <v>0</v>
      </c>
      <c r="DU83" s="1260"/>
      <c r="DV83" s="1259">
        <f>DV82+DT83</f>
        <v>0</v>
      </c>
      <c r="DW83" s="1260"/>
      <c r="DX83" s="1259">
        <f>DX82+DV83</f>
        <v>0</v>
      </c>
      <c r="DY83" s="1260"/>
      <c r="DZ83" s="1259">
        <f>DZ82+DX83</f>
        <v>0</v>
      </c>
      <c r="EA83" s="1260"/>
      <c r="EB83" s="1259">
        <f>EB82+DZ83</f>
        <v>0</v>
      </c>
      <c r="EC83" s="1260"/>
      <c r="ED83" s="1259">
        <f>ED82+EB83</f>
        <v>0</v>
      </c>
      <c r="EE83" s="1260"/>
      <c r="EF83" s="1259">
        <f>EF82+ED83</f>
        <v>0</v>
      </c>
      <c r="EG83" s="1260"/>
      <c r="EH83" s="1259">
        <f>EH82+EF83</f>
        <v>0</v>
      </c>
      <c r="EI83" s="1260"/>
      <c r="EJ83" s="1259">
        <f>EJ82+EH83</f>
        <v>0</v>
      </c>
      <c r="EK83" s="1260"/>
      <c r="EL83" s="1259">
        <f>EL82+EJ83</f>
        <v>0</v>
      </c>
      <c r="EM83" s="1260"/>
      <c r="EN83" s="1259">
        <f>EN82+EL83</f>
        <v>0</v>
      </c>
      <c r="EO83" s="1260"/>
      <c r="EP83" s="1259">
        <f>EP82+EN83</f>
        <v>0</v>
      </c>
      <c r="EQ83" s="1260"/>
      <c r="ER83" s="1259">
        <f>ER82+EP83</f>
        <v>0</v>
      </c>
      <c r="ES83" s="1260"/>
      <c r="ET83" s="1259">
        <f>ET82+ER83</f>
        <v>0</v>
      </c>
      <c r="EU83" s="1260"/>
      <c r="EV83" s="1259">
        <f>EV82+ET83</f>
        <v>0</v>
      </c>
      <c r="EW83" s="1260"/>
      <c r="EX83" s="1259">
        <f>EX82+EV83</f>
        <v>0</v>
      </c>
      <c r="EY83" s="1260"/>
      <c r="EZ83" s="1259">
        <f>EZ82+EX83</f>
        <v>0</v>
      </c>
      <c r="FA83" s="1260"/>
      <c r="FB83" s="1259">
        <f>FB82+EZ83</f>
        <v>0</v>
      </c>
      <c r="FC83" s="1260"/>
      <c r="FD83" s="1259">
        <f>FD82+FB83</f>
        <v>0</v>
      </c>
      <c r="FE83" s="1260"/>
      <c r="FF83" s="1259">
        <f>FF82+FD83</f>
        <v>0</v>
      </c>
      <c r="FG83" s="1260"/>
      <c r="FH83" s="1259">
        <f>FH82+FF83</f>
        <v>0</v>
      </c>
      <c r="FI83" s="1260"/>
      <c r="FJ83" s="1259">
        <f>FJ82+FH83</f>
        <v>0</v>
      </c>
      <c r="FK83" s="1260"/>
      <c r="FL83" s="1259">
        <f>FL82+FJ83</f>
        <v>0</v>
      </c>
      <c r="FM83" s="1260"/>
      <c r="FN83" s="1259">
        <f>FN82+FL83</f>
        <v>0</v>
      </c>
      <c r="FO83" s="1260"/>
      <c r="FP83" s="1259">
        <f>FP82+FN83</f>
        <v>0</v>
      </c>
      <c r="FQ83" s="1260"/>
      <c r="FR83" s="1259">
        <f>FR82+FP83</f>
        <v>0</v>
      </c>
      <c r="FS83" s="1260"/>
      <c r="FT83" s="1259">
        <f>FT82+FR83</f>
        <v>0</v>
      </c>
      <c r="FU83" s="1260"/>
      <c r="FV83" s="1259">
        <f>FV82+FT83</f>
        <v>0</v>
      </c>
      <c r="FW83" s="1260"/>
      <c r="FX83" s="1259">
        <f>FX82+FV83</f>
        <v>0</v>
      </c>
      <c r="FY83" s="1260"/>
      <c r="FZ83" s="1259">
        <f>FZ82+FX83</f>
        <v>0</v>
      </c>
      <c r="GA83" s="1260"/>
      <c r="GB83" s="1259">
        <f>GB82+FZ83</f>
        <v>0</v>
      </c>
      <c r="GC83" s="1260"/>
      <c r="GD83" s="1259">
        <f>GD82+GB83</f>
        <v>0</v>
      </c>
      <c r="GE83" s="1260"/>
      <c r="GF83" s="1259">
        <f>GF82+GD83</f>
        <v>0</v>
      </c>
      <c r="GG83" s="1260"/>
      <c r="GH83" s="1259">
        <f>GH82+GF83</f>
        <v>0</v>
      </c>
      <c r="GI83" s="1260"/>
      <c r="GJ83" s="1259">
        <f>GJ82+GH83</f>
        <v>0</v>
      </c>
      <c r="GK83" s="1260"/>
      <c r="GL83" s="1259">
        <f>GL82+GJ83</f>
        <v>0</v>
      </c>
      <c r="GM83" s="1260"/>
      <c r="GN83" s="1259">
        <f>GN82+GL83</f>
        <v>0</v>
      </c>
      <c r="GO83" s="1260"/>
      <c r="GP83" s="1259">
        <f>GP82+GN83</f>
        <v>0</v>
      </c>
      <c r="GQ83" s="1260"/>
      <c r="GR83" s="1259">
        <f>GR82+GP83</f>
        <v>0</v>
      </c>
      <c r="GS83" s="1260"/>
      <c r="GT83" s="1259">
        <f>GT82+GR83</f>
        <v>0</v>
      </c>
      <c r="GU83" s="1260"/>
      <c r="GV83" s="1259">
        <f>GV82+GT83</f>
        <v>0</v>
      </c>
      <c r="GW83" s="1260"/>
      <c r="GX83" s="1259">
        <f>GX82+GV83</f>
        <v>0</v>
      </c>
      <c r="GY83" s="1260"/>
      <c r="GZ83" s="1259">
        <f>GZ82+GX83</f>
        <v>0</v>
      </c>
      <c r="HA83" s="1260"/>
      <c r="HB83" s="1259">
        <f>HB82+GZ83</f>
        <v>0</v>
      </c>
      <c r="HC83" s="1260"/>
      <c r="HD83" s="1259">
        <f>HD82+HB83</f>
        <v>0</v>
      </c>
      <c r="HE83" s="1260"/>
      <c r="HF83" s="1259">
        <f>HF82+HD83</f>
        <v>0</v>
      </c>
      <c r="HG83" s="1260"/>
      <c r="HH83" s="1259">
        <f>HH82+HF83</f>
        <v>0</v>
      </c>
      <c r="HI83" s="1260"/>
      <c r="HJ83" s="1259">
        <f>HJ82+HH83</f>
        <v>0</v>
      </c>
      <c r="HK83" s="1260"/>
    </row>
    <row r="84" spans="1:219" s="21" customFormat="1">
      <c r="A84" s="1299"/>
      <c r="B84" s="1300"/>
      <c r="C84" s="1299"/>
      <c r="D84" s="1301"/>
      <c r="E84" s="1301"/>
      <c r="F84" s="1302"/>
      <c r="G84" s="1301"/>
      <c r="H84" s="792"/>
      <c r="I84" s="1303"/>
      <c r="J84" s="1304"/>
      <c r="K84" s="793" t="s">
        <v>297</v>
      </c>
      <c r="L84" s="1270">
        <f>IF($E78&gt;0,L81/$E78,"-")</f>
        <v>0</v>
      </c>
      <c r="M84" s="1271"/>
      <c r="N84" s="1270">
        <f>IF($E78&gt;0,N81/$E78,"-")</f>
        <v>0</v>
      </c>
      <c r="O84" s="1271"/>
      <c r="P84" s="1270">
        <f>IF($E78&gt;0,P81/$E78,"-")</f>
        <v>0</v>
      </c>
      <c r="Q84" s="1271"/>
      <c r="R84" s="1270">
        <f>IF($E78&gt;0,R81/$E78,"-")</f>
        <v>0</v>
      </c>
      <c r="S84" s="1271"/>
      <c r="T84" s="1270">
        <f>IF($E78&gt;0,T81/$E78,"-")</f>
        <v>0</v>
      </c>
      <c r="U84" s="1271"/>
      <c r="V84" s="1270">
        <f>IF($E78&gt;0,V81/$E78,"-")</f>
        <v>0</v>
      </c>
      <c r="W84" s="1271"/>
      <c r="X84" s="1270">
        <f>IF($E78&gt;0,X81/$E78,"-")</f>
        <v>0</v>
      </c>
      <c r="Y84" s="1271"/>
      <c r="Z84" s="1270">
        <f>IF($E78&gt;0,Z81/$E78,"-")</f>
        <v>0</v>
      </c>
      <c r="AA84" s="1271"/>
      <c r="AB84" s="1270">
        <f>IF($E78&gt;0,AB81/$E78,"-")</f>
        <v>0</v>
      </c>
      <c r="AC84" s="1271"/>
      <c r="AD84" s="1270">
        <f>IF($E78&gt;0,AD81/$E78,"-")</f>
        <v>0</v>
      </c>
      <c r="AE84" s="1271"/>
      <c r="AF84" s="1270">
        <f>IF($E78&gt;0,AF81/$E78,"-")</f>
        <v>0</v>
      </c>
      <c r="AG84" s="1271"/>
      <c r="AH84" s="1270">
        <f>IF($E78&gt;0,AH81/$E78,"-")</f>
        <v>0</v>
      </c>
      <c r="AI84" s="1271"/>
      <c r="AJ84" s="1270">
        <f>IF($E78&gt;0,AJ81/$E78,"-")</f>
        <v>0</v>
      </c>
      <c r="AK84" s="1271"/>
      <c r="AL84" s="1270">
        <f>IF($E78&gt;0,AL81/$E78,"-")</f>
        <v>0</v>
      </c>
      <c r="AM84" s="1271"/>
      <c r="AN84" s="1270">
        <f>IF($E78&gt;0,AN81/$E78,"-")</f>
        <v>0</v>
      </c>
      <c r="AO84" s="1271"/>
      <c r="AP84" s="1270">
        <f>IF($E78&gt;0,AP81/$E78,"-")</f>
        <v>0</v>
      </c>
      <c r="AQ84" s="1271"/>
      <c r="AR84" s="1270">
        <f>IF($E78&gt;0,AR81/$E78,"-")</f>
        <v>0</v>
      </c>
      <c r="AS84" s="1271"/>
      <c r="AT84" s="1270">
        <f>IF($E78&gt;0,AT81/$E78,"-")</f>
        <v>0.10389247311827962</v>
      </c>
      <c r="AU84" s="1271"/>
      <c r="AV84" s="1270">
        <f>IF($E78&gt;0,AV81/$E78,"-")</f>
        <v>0.33615053763440861</v>
      </c>
      <c r="AW84" s="1271"/>
      <c r="AX84" s="1270">
        <f>IF($E78&gt;0,AX81/$E78,"-")</f>
        <v>0.56840860215053768</v>
      </c>
      <c r="AY84" s="1271"/>
      <c r="AZ84" s="1270">
        <f>IF($E78&gt;0,AZ81/$E78,"-")</f>
        <v>0.80066666666666675</v>
      </c>
      <c r="BA84" s="1271"/>
      <c r="BB84" s="1270">
        <f>IF($E78&gt;0,BB81/$E78,"-")</f>
        <v>1</v>
      </c>
      <c r="BC84" s="1271"/>
      <c r="BD84" s="1270">
        <f>IF($E78&gt;0,BD81/$E78,"-")</f>
        <v>1</v>
      </c>
      <c r="BE84" s="1271"/>
      <c r="BF84" s="1270">
        <f>IF($E78&gt;0,BF81/$E78,"-")</f>
        <v>1</v>
      </c>
      <c r="BG84" s="1271"/>
      <c r="BH84" s="1270">
        <f>IF($E78&gt;0,BH81/$E78,"-")</f>
        <v>1</v>
      </c>
      <c r="BI84" s="1271"/>
      <c r="BJ84" s="1270">
        <f>IF($E78&gt;0,BJ81/$E78,"-")</f>
        <v>1</v>
      </c>
      <c r="BK84" s="1271"/>
      <c r="BL84" s="1270">
        <f>IF($E78&gt;0,BL81/$E78,"-")</f>
        <v>1</v>
      </c>
      <c r="BM84" s="1271"/>
      <c r="BN84" s="1270">
        <f>IF($E78&gt;0,BN81/$E78,"-")</f>
        <v>1</v>
      </c>
      <c r="BO84" s="1271"/>
      <c r="BP84" s="1270">
        <f>IF($E78&gt;0,BP81/$E78,"-")</f>
        <v>1</v>
      </c>
      <c r="BQ84" s="1271"/>
      <c r="BR84" s="1270">
        <f>IF($E78&gt;0,BR81/$E78,"-")</f>
        <v>1</v>
      </c>
      <c r="BS84" s="1271"/>
      <c r="BT84" s="1270">
        <f>IF($E78&gt;0,BT81/$E78,"-")</f>
        <v>1</v>
      </c>
      <c r="BU84" s="1271"/>
      <c r="BV84" s="1270">
        <f>IF($E78&gt;0,BV81/$E78,"-")</f>
        <v>1</v>
      </c>
      <c r="BW84" s="1271"/>
      <c r="BX84" s="1270">
        <f>IF($E78&gt;0,BX81/$E78,"-")</f>
        <v>1</v>
      </c>
      <c r="BY84" s="1271"/>
      <c r="BZ84" s="1270">
        <f>IF($E78&gt;0,BZ81/$E78,"-")</f>
        <v>1</v>
      </c>
      <c r="CA84" s="1271"/>
      <c r="CB84" s="1270">
        <f>IF($E78&gt;0,CB81/$E78,"-")</f>
        <v>1</v>
      </c>
      <c r="CC84" s="1271"/>
      <c r="CD84" s="1270">
        <f>IF($E78&gt;0,CD81/$E78,"-")</f>
        <v>1</v>
      </c>
      <c r="CE84" s="1271"/>
      <c r="CF84" s="1270">
        <f>IF($E78&gt;0,CF81/$E78,"-")</f>
        <v>1</v>
      </c>
      <c r="CG84" s="1271"/>
      <c r="CH84" s="1270">
        <f>IF($E78&gt;0,CH81/$E78,"-")</f>
        <v>1</v>
      </c>
      <c r="CI84" s="1271"/>
      <c r="CJ84" s="1270">
        <f>IF($E78&gt;0,CJ81/$E78,"-")</f>
        <v>1</v>
      </c>
      <c r="CK84" s="1271"/>
      <c r="CL84" s="1270">
        <f>IF($E78&gt;0,CL81/$E78,"-")</f>
        <v>1</v>
      </c>
      <c r="CM84" s="1271"/>
      <c r="CN84" s="1270">
        <f>IF($E78&gt;0,CN81/$E78,"-")</f>
        <v>1</v>
      </c>
      <c r="CO84" s="1271"/>
      <c r="CP84" s="1270">
        <f>IF($E78&gt;0,CP81/$E78,"-")</f>
        <v>1</v>
      </c>
      <c r="CQ84" s="1271"/>
      <c r="CR84" s="1270">
        <f>IF($E78&gt;0,CR81/$E78,"-")</f>
        <v>1</v>
      </c>
      <c r="CS84" s="1271"/>
      <c r="CT84" s="1270">
        <f>IF($E78&gt;0,CT81/$E78,"-")</f>
        <v>1</v>
      </c>
      <c r="CU84" s="1271"/>
      <c r="CV84" s="1270">
        <f>IF($E78&gt;0,CV81/$E78,"-")</f>
        <v>1</v>
      </c>
      <c r="CW84" s="1271"/>
      <c r="CX84" s="1270">
        <f>IF($E78&gt;0,CX81/$E78,"-")</f>
        <v>1</v>
      </c>
      <c r="CY84" s="1271"/>
      <c r="CZ84" s="1270">
        <f>IF($E78&gt;0,CZ81/$E78,"-")</f>
        <v>1</v>
      </c>
      <c r="DA84" s="1271"/>
      <c r="DB84" s="1270">
        <f>IF($E78&gt;0,DB81/$E78,"-")</f>
        <v>1</v>
      </c>
      <c r="DC84" s="1271"/>
      <c r="DD84" s="1270">
        <f>IF($E78&gt;0,DD81/$E78,"-")</f>
        <v>1</v>
      </c>
      <c r="DE84" s="1271"/>
      <c r="DF84" s="1270">
        <f>IF($E78&gt;0,DF81/$E78,"-")</f>
        <v>1</v>
      </c>
      <c r="DG84" s="1271"/>
      <c r="DH84" s="1270">
        <f>IF($E78&gt;0,DH81/$E78,"-")</f>
        <v>1</v>
      </c>
      <c r="DI84" s="1271"/>
      <c r="DJ84" s="1325">
        <f>IF($E78&gt;0,DJ81/$E78,"-")</f>
        <v>1</v>
      </c>
      <c r="DK84" s="1326"/>
      <c r="DL84" s="1270">
        <f>IF($E78&gt;0,DL81/$E78,"-")</f>
        <v>1</v>
      </c>
      <c r="DM84" s="1271"/>
      <c r="DN84" s="1270">
        <f>IF($E78&gt;0,DN81/$E78,"-")</f>
        <v>1</v>
      </c>
      <c r="DO84" s="1271"/>
      <c r="DP84" s="1270">
        <f>IF($E78&gt;0,DP81/$E78,"-")</f>
        <v>1</v>
      </c>
      <c r="DQ84" s="1271"/>
      <c r="DR84" s="1270">
        <f>IF($E78&gt;0,DR81/$E78,"-")</f>
        <v>1</v>
      </c>
      <c r="DS84" s="1271"/>
      <c r="DT84" s="1270">
        <f>IF($E78&gt;0,DT81/$E78,"-")</f>
        <v>1</v>
      </c>
      <c r="DU84" s="1271"/>
      <c r="DV84" s="1270">
        <f>IF($E78&gt;0,DV81/$E78,"-")</f>
        <v>1</v>
      </c>
      <c r="DW84" s="1271"/>
      <c r="DX84" s="1270">
        <f>IF($E78&gt;0,DX81/$E78,"-")</f>
        <v>1</v>
      </c>
      <c r="DY84" s="1271"/>
      <c r="DZ84" s="1270">
        <f>IF($E78&gt;0,DZ81/$E78,"-")</f>
        <v>1</v>
      </c>
      <c r="EA84" s="1271"/>
      <c r="EB84" s="1270">
        <f>IF($E78&gt;0,EB81/$E78,"-")</f>
        <v>1</v>
      </c>
      <c r="EC84" s="1271"/>
      <c r="ED84" s="1270">
        <f>IF($E78&gt;0,ED81/$E78,"-")</f>
        <v>1</v>
      </c>
      <c r="EE84" s="1271"/>
      <c r="EF84" s="1270">
        <f>IF($E78&gt;0,EF81/$E78,"-")</f>
        <v>1</v>
      </c>
      <c r="EG84" s="1271"/>
      <c r="EH84" s="1270">
        <f>IF($E78&gt;0,EH81/$E78,"-")</f>
        <v>1</v>
      </c>
      <c r="EI84" s="1271"/>
      <c r="EJ84" s="1270">
        <f>IF($E78&gt;0,EJ81/$E78,"-")</f>
        <v>1</v>
      </c>
      <c r="EK84" s="1271"/>
      <c r="EL84" s="1270">
        <f>IF($E78&gt;0,EL81/$E78,"-")</f>
        <v>1</v>
      </c>
      <c r="EM84" s="1271"/>
      <c r="EN84" s="1270">
        <f>IF($E78&gt;0,EN81/$E78,"-")</f>
        <v>1</v>
      </c>
      <c r="EO84" s="1271"/>
      <c r="EP84" s="1270">
        <f>IF($E78&gt;0,EP81/$E78,"-")</f>
        <v>1</v>
      </c>
      <c r="EQ84" s="1271"/>
      <c r="ER84" s="1270">
        <f>IF($E78&gt;0,ER81/$E78,"-")</f>
        <v>1</v>
      </c>
      <c r="ES84" s="1271"/>
      <c r="ET84" s="1270">
        <f>IF($E78&gt;0,ET81/$E78,"-")</f>
        <v>1</v>
      </c>
      <c r="EU84" s="1271"/>
      <c r="EV84" s="1270">
        <f>IF($E78&gt;0,EV81/$E78,"-")</f>
        <v>1</v>
      </c>
      <c r="EW84" s="1271"/>
      <c r="EX84" s="1270">
        <f>IF($E78&gt;0,EX81/$E78,"-")</f>
        <v>1</v>
      </c>
      <c r="EY84" s="1271"/>
      <c r="EZ84" s="1270">
        <f>IF($E78&gt;0,EZ81/$E78,"-")</f>
        <v>1</v>
      </c>
      <c r="FA84" s="1271"/>
      <c r="FB84" s="1270">
        <f>IF($E78&gt;0,FB81/$E78,"-")</f>
        <v>1</v>
      </c>
      <c r="FC84" s="1271"/>
      <c r="FD84" s="1270">
        <f>IF($E78&gt;0,FD81/$E78,"-")</f>
        <v>1</v>
      </c>
      <c r="FE84" s="1271"/>
      <c r="FF84" s="1270">
        <f>IF($E78&gt;0,FF81/$E78,"-")</f>
        <v>1</v>
      </c>
      <c r="FG84" s="1271"/>
      <c r="FH84" s="1270">
        <f>IF($E78&gt;0,FH81/$E78,"-")</f>
        <v>1</v>
      </c>
      <c r="FI84" s="1271"/>
      <c r="FJ84" s="1270">
        <f>IF($E78&gt;0,FJ81/$E78,"-")</f>
        <v>1</v>
      </c>
      <c r="FK84" s="1271"/>
      <c r="FL84" s="1270">
        <f>IF($E78&gt;0,FL81/$E78,"-")</f>
        <v>1</v>
      </c>
      <c r="FM84" s="1271"/>
      <c r="FN84" s="1270">
        <f>IF($E78&gt;0,FN81/$E78,"-")</f>
        <v>1</v>
      </c>
      <c r="FO84" s="1271"/>
      <c r="FP84" s="1270">
        <f>IF($E78&gt;0,FP81/$E78,"-")</f>
        <v>1</v>
      </c>
      <c r="FQ84" s="1271"/>
      <c r="FR84" s="1270">
        <f>IF($E78&gt;0,FR81/$E78,"-")</f>
        <v>1</v>
      </c>
      <c r="FS84" s="1271"/>
      <c r="FT84" s="1270">
        <f>IF($E78&gt;0,FT81/$E78,"-")</f>
        <v>1</v>
      </c>
      <c r="FU84" s="1271"/>
      <c r="FV84" s="1270">
        <f>IF($E78&gt;0,FV81/$E78,"-")</f>
        <v>1</v>
      </c>
      <c r="FW84" s="1271"/>
      <c r="FX84" s="1270">
        <f>IF($E78&gt;0,FX81/$E78,"-")</f>
        <v>1</v>
      </c>
      <c r="FY84" s="1271"/>
      <c r="FZ84" s="1270">
        <f>IF($E78&gt;0,FZ81/$E78,"-")</f>
        <v>1</v>
      </c>
      <c r="GA84" s="1271"/>
      <c r="GB84" s="1270">
        <f>IF($E78&gt;0,GB81/$E78,"-")</f>
        <v>1</v>
      </c>
      <c r="GC84" s="1271"/>
      <c r="GD84" s="1270">
        <f>IF($E78&gt;0,GD81/$E78,"-")</f>
        <v>1</v>
      </c>
      <c r="GE84" s="1271"/>
      <c r="GF84" s="1270">
        <f>IF($E78&gt;0,GF81/$E78,"-")</f>
        <v>1</v>
      </c>
      <c r="GG84" s="1271"/>
      <c r="GH84" s="1270">
        <f>IF($E78&gt;0,GH81/$E78,"-")</f>
        <v>1</v>
      </c>
      <c r="GI84" s="1271"/>
      <c r="GJ84" s="1270">
        <f>IF($E78&gt;0,GJ81/$E78,"-")</f>
        <v>1</v>
      </c>
      <c r="GK84" s="1271"/>
      <c r="GL84" s="1270">
        <f>IF($E78&gt;0,GL81/$E78,"-")</f>
        <v>1</v>
      </c>
      <c r="GM84" s="1271"/>
      <c r="GN84" s="1270">
        <f>IF($E78&gt;0,GN81/$E78,"-")</f>
        <v>1</v>
      </c>
      <c r="GO84" s="1271"/>
      <c r="GP84" s="1270">
        <f>IF($E78&gt;0,GP81/$E78,"-")</f>
        <v>1</v>
      </c>
      <c r="GQ84" s="1271"/>
      <c r="GR84" s="1270">
        <f>IF($E78&gt;0,GR81/$E78,"-")</f>
        <v>1</v>
      </c>
      <c r="GS84" s="1271"/>
      <c r="GT84" s="1270">
        <f>IF($E78&gt;0,GT81/$E78,"-")</f>
        <v>1</v>
      </c>
      <c r="GU84" s="1271"/>
      <c r="GV84" s="1270">
        <f>IF($E78&gt;0,GV81/$E78,"-")</f>
        <v>1</v>
      </c>
      <c r="GW84" s="1271"/>
      <c r="GX84" s="1270">
        <f>IF($E78&gt;0,GX81/$E78,"-")</f>
        <v>1</v>
      </c>
      <c r="GY84" s="1271"/>
      <c r="GZ84" s="1270">
        <f>IF($E78&gt;0,GZ81/$E78,"-")</f>
        <v>1</v>
      </c>
      <c r="HA84" s="1271"/>
      <c r="HB84" s="1270">
        <f>IF($E78&gt;0,HB81/$E78,"-")</f>
        <v>1</v>
      </c>
      <c r="HC84" s="1271"/>
      <c r="HD84" s="1270">
        <f>IF($E78&gt;0,HD81/$E78,"-")</f>
        <v>1</v>
      </c>
      <c r="HE84" s="1271"/>
      <c r="HF84" s="1270">
        <f>IF($E78&gt;0,HF81/$E78,"-")</f>
        <v>1</v>
      </c>
      <c r="HG84" s="1271"/>
      <c r="HH84" s="1270">
        <f>IF($E78&gt;0,HH81/$E78,"-")</f>
        <v>1</v>
      </c>
      <c r="HI84" s="1271"/>
      <c r="HJ84" s="1270">
        <f>IF($E78&gt;0,HJ81/$E78,"-")</f>
        <v>1</v>
      </c>
      <c r="HK84" s="1271"/>
    </row>
    <row r="85" spans="1:219">
      <c r="A85" s="1299"/>
      <c r="B85" s="1300"/>
      <c r="C85" s="1299"/>
      <c r="D85" s="1301"/>
      <c r="E85" s="1301"/>
      <c r="F85" s="1302"/>
      <c r="G85" s="1301"/>
      <c r="H85" s="726"/>
      <c r="I85" s="1303"/>
      <c r="J85" s="1304"/>
      <c r="K85" s="794" t="s">
        <v>298</v>
      </c>
      <c r="L85" s="1294">
        <f>IF($E78&gt;0,L83/$E78,"-")</f>
        <v>0</v>
      </c>
      <c r="M85" s="1295"/>
      <c r="N85" s="1294">
        <f>IF($E78&gt;0,N83/$E78,"-")</f>
        <v>0</v>
      </c>
      <c r="O85" s="1295"/>
      <c r="P85" s="1294">
        <f>IF($E78&gt;0,P83/$E78,"-")</f>
        <v>0</v>
      </c>
      <c r="Q85" s="1295"/>
      <c r="R85" s="1294">
        <f>IF($E78&gt;0,R83/$E78,"-")</f>
        <v>0</v>
      </c>
      <c r="S85" s="1295"/>
      <c r="T85" s="1294">
        <f>IF($E78&gt;0,T83/$E78,"-")</f>
        <v>0</v>
      </c>
      <c r="U85" s="1295"/>
      <c r="V85" s="1294">
        <f>IF($E78&gt;0,V83/$E78,"-")</f>
        <v>0</v>
      </c>
      <c r="W85" s="1295"/>
      <c r="X85" s="1294">
        <f>IF($E78&gt;0,X83/$E78,"-")</f>
        <v>0</v>
      </c>
      <c r="Y85" s="1295"/>
      <c r="Z85" s="1294">
        <f>IF($E78&gt;0,Z83/$E78,"-")</f>
        <v>0</v>
      </c>
      <c r="AA85" s="1295"/>
      <c r="AB85" s="1294">
        <f>IF($E78&gt;0,AB83/$E78,"-")</f>
        <v>0</v>
      </c>
      <c r="AC85" s="1295"/>
      <c r="AD85" s="1294">
        <f>IF($E78&gt;0,AD83/$E78,"-")</f>
        <v>0</v>
      </c>
      <c r="AE85" s="1295"/>
      <c r="AF85" s="1294">
        <f>IF($E78&gt;0,AF83/$E78,"-")</f>
        <v>0</v>
      </c>
      <c r="AG85" s="1295"/>
      <c r="AH85" s="1294">
        <f>IF($E78&gt;0,AH83/$E78,"-")</f>
        <v>0</v>
      </c>
      <c r="AI85" s="1295"/>
      <c r="AJ85" s="1294">
        <f>IF($E78&gt;0,AJ83/$E78,"-")</f>
        <v>0</v>
      </c>
      <c r="AK85" s="1295"/>
      <c r="AL85" s="1294">
        <f>IF($E78&gt;0,AL83/$E78,"-")</f>
        <v>0</v>
      </c>
      <c r="AM85" s="1295"/>
      <c r="AN85" s="1294">
        <f>IF($E78&gt;0,AN83/$E78,"-")</f>
        <v>0</v>
      </c>
      <c r="AO85" s="1295"/>
      <c r="AP85" s="1294">
        <f>IF($E78&gt;0,AP83/$E78,"-")</f>
        <v>0</v>
      </c>
      <c r="AQ85" s="1295"/>
      <c r="AR85" s="1294">
        <f>IF($E78&gt;0,AR83/$E78,"-")</f>
        <v>0</v>
      </c>
      <c r="AS85" s="1295"/>
      <c r="AT85" s="1294">
        <f>IF($E78&gt;0,AT83/$E78,"-")</f>
        <v>0</v>
      </c>
      <c r="AU85" s="1295"/>
      <c r="AV85" s="1294">
        <f>IF($E78&gt;0,AV83/$E78,"-")</f>
        <v>0</v>
      </c>
      <c r="AW85" s="1295"/>
      <c r="AX85" s="1294">
        <f>IF($E78&gt;0,AX83/$E78,"-")</f>
        <v>0</v>
      </c>
      <c r="AY85" s="1295"/>
      <c r="AZ85" s="1294">
        <f>IF($E78&gt;0,AZ83/$E78,"-")</f>
        <v>0</v>
      </c>
      <c r="BA85" s="1295"/>
      <c r="BB85" s="1294">
        <f>IF($E78&gt;0,BB83/$E78,"-")</f>
        <v>0</v>
      </c>
      <c r="BC85" s="1295"/>
      <c r="BD85" s="1294">
        <f>IF($E78&gt;0,BD83/$E78,"-")</f>
        <v>0</v>
      </c>
      <c r="BE85" s="1295"/>
      <c r="BF85" s="1294">
        <f>IF($E78&gt;0,BF83/$E78,"-")</f>
        <v>0</v>
      </c>
      <c r="BG85" s="1295"/>
      <c r="BH85" s="1294">
        <f>IF($E78&gt;0,BH83/$E78,"-")</f>
        <v>0</v>
      </c>
      <c r="BI85" s="1295"/>
      <c r="BJ85" s="1294">
        <f>IF($E78&gt;0,BJ83/$E78,"-")</f>
        <v>0</v>
      </c>
      <c r="BK85" s="1295"/>
      <c r="BL85" s="1294">
        <f>IF($E78&gt;0,BL83/$E78,"-")</f>
        <v>0</v>
      </c>
      <c r="BM85" s="1295"/>
      <c r="BN85" s="1294">
        <f>IF($E78&gt;0,BN83/$E78,"-")</f>
        <v>0</v>
      </c>
      <c r="BO85" s="1295"/>
      <c r="BP85" s="1294">
        <f>IF($E78&gt;0,BP83/$E78,"-")</f>
        <v>0</v>
      </c>
      <c r="BQ85" s="1295"/>
      <c r="BR85" s="1253">
        <f>IF($E78&gt;0,BR83/$E78,"-")</f>
        <v>0</v>
      </c>
      <c r="BS85" s="1253"/>
      <c r="BT85" s="1253">
        <f>IF($E78&gt;0,BT83/$E78,"-")</f>
        <v>0</v>
      </c>
      <c r="BU85" s="1253"/>
      <c r="BV85" s="1253">
        <f>IF($E78&gt;0,BV83/$E78,"-")</f>
        <v>0</v>
      </c>
      <c r="BW85" s="1253"/>
      <c r="BX85" s="1253">
        <f>IF($E78&gt;0,BX83/$E78,"-")</f>
        <v>0</v>
      </c>
      <c r="BY85" s="1253"/>
      <c r="BZ85" s="1253">
        <f>IF($E78&gt;0,BZ83/$E78,"-")</f>
        <v>0</v>
      </c>
      <c r="CA85" s="1253"/>
      <c r="CB85" s="1253">
        <f>IF($E78&gt;0,CB83/$E78,"-")</f>
        <v>0</v>
      </c>
      <c r="CC85" s="1253"/>
      <c r="CD85" s="1253">
        <f>IF($E78&gt;0,CD83/$E78,"-")</f>
        <v>0</v>
      </c>
      <c r="CE85" s="1253"/>
      <c r="CF85" s="1253">
        <f>IF($E78&gt;0,CF83/$E78,"-")</f>
        <v>0</v>
      </c>
      <c r="CG85" s="1253"/>
      <c r="CH85" s="1253">
        <f>IF($E78&gt;0,CH83/$E78,"-")</f>
        <v>0</v>
      </c>
      <c r="CI85" s="1253"/>
      <c r="CJ85" s="1253">
        <f>IF($E78&gt;0,CJ83/$E78,"-")</f>
        <v>0</v>
      </c>
      <c r="CK85" s="1253"/>
      <c r="CL85" s="1253">
        <f>IF($E78&gt;0,CL83/$E78,"-")</f>
        <v>0</v>
      </c>
      <c r="CM85" s="1253"/>
      <c r="CN85" s="1253">
        <f>IF($E78&gt;0,CN83/$E78,"-")</f>
        <v>0</v>
      </c>
      <c r="CO85" s="1253"/>
      <c r="CP85" s="1253">
        <f>IF($E78&gt;0,CP83/$E78,"-")</f>
        <v>0</v>
      </c>
      <c r="CQ85" s="1253"/>
      <c r="CR85" s="1253">
        <f>IF($E78&gt;0,CR83/$E78,"-")</f>
        <v>0</v>
      </c>
      <c r="CS85" s="1253"/>
      <c r="CT85" s="1253">
        <f>IF($E78&gt;0,CT83/$E78,"-")</f>
        <v>0</v>
      </c>
      <c r="CU85" s="1253"/>
      <c r="CV85" s="1253">
        <f>IF($E78&gt;0,CV83/$E78,"-")</f>
        <v>0</v>
      </c>
      <c r="CW85" s="1253"/>
      <c r="CX85" s="1253">
        <f>IF($E78&gt;0,CX83/$E78,"-")</f>
        <v>0</v>
      </c>
      <c r="CY85" s="1253"/>
      <c r="CZ85" s="1253">
        <f>IF($E78&gt;0,CZ83/$E78,"-")</f>
        <v>0</v>
      </c>
      <c r="DA85" s="1253"/>
      <c r="DB85" s="1253">
        <f>IF($E78&gt;0,DB83/$E78,"-")</f>
        <v>0</v>
      </c>
      <c r="DC85" s="1253"/>
      <c r="DD85" s="1253">
        <f>IF($E78&gt;0,DD83/$E78,"-")</f>
        <v>0</v>
      </c>
      <c r="DE85" s="1253"/>
      <c r="DF85" s="1253">
        <f>IF($E78&gt;0,DF83/$E78,"-")</f>
        <v>0</v>
      </c>
      <c r="DG85" s="1253"/>
      <c r="DH85" s="1253">
        <f>IF($E78&gt;0,DH83/$E78,"-")</f>
        <v>0</v>
      </c>
      <c r="DI85" s="1253"/>
      <c r="DJ85" s="1254">
        <f>IF($E78&gt;0,DJ83/$E78,"-")</f>
        <v>0</v>
      </c>
      <c r="DK85" s="1254"/>
      <c r="DL85" s="1253">
        <f>IF($E78&gt;0,DL83/$E78,"-")</f>
        <v>0</v>
      </c>
      <c r="DM85" s="1253"/>
      <c r="DN85" s="1253">
        <f>IF($E78&gt;0,DN83/$E78,"-")</f>
        <v>0</v>
      </c>
      <c r="DO85" s="1253"/>
      <c r="DP85" s="1253">
        <f>IF($E78&gt;0,DP83/$E78,"-")</f>
        <v>0</v>
      </c>
      <c r="DQ85" s="1253"/>
      <c r="DR85" s="1253">
        <f>IF($E78&gt;0,DR83/$E78,"-")</f>
        <v>0</v>
      </c>
      <c r="DS85" s="1253"/>
      <c r="DT85" s="1253">
        <f>IF($E78&gt;0,DT83/$E78,"-")</f>
        <v>0</v>
      </c>
      <c r="DU85" s="1253"/>
      <c r="DV85" s="1253">
        <f>IF($E78&gt;0,DV83/$E78,"-")</f>
        <v>0</v>
      </c>
      <c r="DW85" s="1253"/>
      <c r="DX85" s="1253">
        <f>IF($E78&gt;0,DX83/$E78,"-")</f>
        <v>0</v>
      </c>
      <c r="DY85" s="1253"/>
      <c r="DZ85" s="1253">
        <f>IF($E78&gt;0,DZ83/$E78,"-")</f>
        <v>0</v>
      </c>
      <c r="EA85" s="1253"/>
      <c r="EB85" s="1253">
        <f>IF($E78&gt;0,EB83/$E78,"-")</f>
        <v>0</v>
      </c>
      <c r="EC85" s="1253"/>
      <c r="ED85" s="1253">
        <f>IF($E78&gt;0,ED83/$E78,"-")</f>
        <v>0</v>
      </c>
      <c r="EE85" s="1253"/>
      <c r="EF85" s="1253">
        <f>IF($E78&gt;0,EF83/$E78,"-")</f>
        <v>0</v>
      </c>
      <c r="EG85" s="1253"/>
      <c r="EH85" s="1253">
        <f>IF($E78&gt;0,EH83/$E78,"-")</f>
        <v>0</v>
      </c>
      <c r="EI85" s="1253"/>
      <c r="EJ85" s="1253">
        <f>IF($E78&gt;0,EJ83/$E78,"-")</f>
        <v>0</v>
      </c>
      <c r="EK85" s="1253"/>
      <c r="EL85" s="1253">
        <f>IF($E78&gt;0,EL83/$E78,"-")</f>
        <v>0</v>
      </c>
      <c r="EM85" s="1253"/>
      <c r="EN85" s="1253">
        <f>IF($E78&gt;0,EN83/$E78,"-")</f>
        <v>0</v>
      </c>
      <c r="EO85" s="1253"/>
      <c r="EP85" s="1253">
        <f>IF($E78&gt;0,EP83/$E78,"-")</f>
        <v>0</v>
      </c>
      <c r="EQ85" s="1253"/>
      <c r="ER85" s="1253">
        <f>IF($E78&gt;0,ER83/$E78,"-")</f>
        <v>0</v>
      </c>
      <c r="ES85" s="1253"/>
      <c r="ET85" s="1253">
        <f>IF($E78&gt;0,ET83/$E78,"-")</f>
        <v>0</v>
      </c>
      <c r="EU85" s="1253"/>
      <c r="EV85" s="1253">
        <f>IF($E78&gt;0,EV83/$E78,"-")</f>
        <v>0</v>
      </c>
      <c r="EW85" s="1253"/>
      <c r="EX85" s="1253">
        <f>IF($E78&gt;0,EX83/$E78,"-")</f>
        <v>0</v>
      </c>
      <c r="EY85" s="1253"/>
      <c r="EZ85" s="1253">
        <f>IF($E78&gt;0,EZ83/$E78,"-")</f>
        <v>0</v>
      </c>
      <c r="FA85" s="1253"/>
      <c r="FB85" s="1253">
        <f>IF($E78&gt;0,FB83/$E78,"-")</f>
        <v>0</v>
      </c>
      <c r="FC85" s="1253"/>
      <c r="FD85" s="1253">
        <f>IF($E78&gt;0,FD83/$E78,"-")</f>
        <v>0</v>
      </c>
      <c r="FE85" s="1253"/>
      <c r="FF85" s="1253">
        <f>IF($E78&gt;0,FF83/$E78,"-")</f>
        <v>0</v>
      </c>
      <c r="FG85" s="1253"/>
      <c r="FH85" s="1253">
        <f>IF($E78&gt;0,FH83/$E78,"-")</f>
        <v>0</v>
      </c>
      <c r="FI85" s="1253"/>
      <c r="FJ85" s="1253">
        <f>IF($E78&gt;0,FJ83/$E78,"-")</f>
        <v>0</v>
      </c>
      <c r="FK85" s="1253"/>
      <c r="FL85" s="1253">
        <f>IF($E78&gt;0,FL83/$E78,"-")</f>
        <v>0</v>
      </c>
      <c r="FM85" s="1253"/>
      <c r="FN85" s="1253">
        <f>IF($E78&gt;0,FN83/$E78,"-")</f>
        <v>0</v>
      </c>
      <c r="FO85" s="1253"/>
      <c r="FP85" s="1253">
        <f>IF($E78&gt;0,FP83/$E78,"-")</f>
        <v>0</v>
      </c>
      <c r="FQ85" s="1253"/>
      <c r="FR85" s="1253">
        <f>IF($E78&gt;0,FR83/$E78,"-")</f>
        <v>0</v>
      </c>
      <c r="FS85" s="1253"/>
      <c r="FT85" s="1253">
        <f>IF($E78&gt;0,FT83/$E78,"-")</f>
        <v>0</v>
      </c>
      <c r="FU85" s="1253"/>
      <c r="FV85" s="1253">
        <f>IF($E78&gt;0,FV83/$E78,"-")</f>
        <v>0</v>
      </c>
      <c r="FW85" s="1253"/>
      <c r="FX85" s="1253">
        <f>IF($E78&gt;0,FX83/$E78,"-")</f>
        <v>0</v>
      </c>
      <c r="FY85" s="1253"/>
      <c r="FZ85" s="1253">
        <f>IF($E78&gt;0,FZ83/$E78,"-")</f>
        <v>0</v>
      </c>
      <c r="GA85" s="1253"/>
      <c r="GB85" s="1253">
        <f>IF($E78&gt;0,GB83/$E78,"-")</f>
        <v>0</v>
      </c>
      <c r="GC85" s="1253"/>
      <c r="GD85" s="1253">
        <f>IF($E78&gt;0,GD83/$E78,"-")</f>
        <v>0</v>
      </c>
      <c r="GE85" s="1253"/>
      <c r="GF85" s="1253">
        <f>IF($E78&gt;0,GF83/$E78,"-")</f>
        <v>0</v>
      </c>
      <c r="GG85" s="1253"/>
      <c r="GH85" s="1253">
        <f>IF($E78&gt;0,GH83/$E78,"-")</f>
        <v>0</v>
      </c>
      <c r="GI85" s="1253"/>
      <c r="GJ85" s="1253">
        <f>IF($E78&gt;0,GJ83/$E78,"-")</f>
        <v>0</v>
      </c>
      <c r="GK85" s="1253"/>
      <c r="GL85" s="1253">
        <f>IF($E78&gt;0,GL83/$E78,"-")</f>
        <v>0</v>
      </c>
      <c r="GM85" s="1253"/>
      <c r="GN85" s="1253">
        <f>IF($E78&gt;0,GN83/$E78,"-")</f>
        <v>0</v>
      </c>
      <c r="GO85" s="1253"/>
      <c r="GP85" s="1253">
        <f>IF($E78&gt;0,GP83/$E78,"-")</f>
        <v>0</v>
      </c>
      <c r="GQ85" s="1253"/>
      <c r="GR85" s="1253">
        <f>IF($E78&gt;0,GR83/$E78,"-")</f>
        <v>0</v>
      </c>
      <c r="GS85" s="1253"/>
      <c r="GT85" s="1253">
        <f>IF($E78&gt;0,GT83/$E78,"-")</f>
        <v>0</v>
      </c>
      <c r="GU85" s="1253"/>
      <c r="GV85" s="1253">
        <f>IF($E78&gt;0,GV83/$E78,"-")</f>
        <v>0</v>
      </c>
      <c r="GW85" s="1253"/>
      <c r="GX85" s="1253">
        <f>IF($E78&gt;0,GX83/$E78,"-")</f>
        <v>0</v>
      </c>
      <c r="GY85" s="1253"/>
      <c r="GZ85" s="1253">
        <f>IF($E78&gt;0,GZ83/$E78,"-")</f>
        <v>0</v>
      </c>
      <c r="HA85" s="1253"/>
      <c r="HB85" s="1253">
        <f>IF($E78&gt;0,HB83/$E78,"-")</f>
        <v>0</v>
      </c>
      <c r="HC85" s="1253"/>
      <c r="HD85" s="1253">
        <f>IF($E78&gt;0,HD83/$E78,"-")</f>
        <v>0</v>
      </c>
      <c r="HE85" s="1253"/>
      <c r="HF85" s="1253">
        <f>IF($E78&gt;0,HF83/$E78,"-")</f>
        <v>0</v>
      </c>
      <c r="HG85" s="1253"/>
      <c r="HH85" s="1253">
        <f>IF($E78&gt;0,HH83/$E78,"-")</f>
        <v>0</v>
      </c>
      <c r="HI85" s="1253"/>
      <c r="HJ85" s="1253">
        <f>IF($E78&gt;0,HJ83/$E78,"-")</f>
        <v>0</v>
      </c>
      <c r="HK85" s="1253"/>
    </row>
    <row r="86" spans="1:219" s="5" customFormat="1" ht="14.4">
      <c r="A86" s="690"/>
      <c r="B86" s="691"/>
      <c r="C86" s="691"/>
      <c r="D86" s="692"/>
      <c r="E86" s="692"/>
      <c r="F86" s="691"/>
      <c r="G86" s="691"/>
      <c r="H86" s="691"/>
      <c r="I86" s="691"/>
      <c r="J86" s="691"/>
      <c r="K86" s="691"/>
      <c r="L86" s="1274"/>
      <c r="M86" s="1274"/>
      <c r="N86" s="1274"/>
      <c r="O86" s="1274"/>
      <c r="P86" s="1274"/>
      <c r="Q86" s="1274"/>
      <c r="R86" s="1274"/>
      <c r="S86" s="1362"/>
      <c r="T86" s="1276"/>
      <c r="U86" s="1274"/>
      <c r="V86" s="1274"/>
      <c r="W86" s="1274"/>
      <c r="X86" s="1274"/>
      <c r="Y86" s="1274"/>
      <c r="Z86" s="1274"/>
      <c r="AA86" s="1362"/>
      <c r="AB86" s="1276"/>
      <c r="AC86" s="1274"/>
      <c r="AD86" s="1274"/>
      <c r="AE86" s="1274"/>
      <c r="AF86" s="1274"/>
      <c r="AG86" s="1274"/>
      <c r="AH86" s="1274"/>
      <c r="AI86" s="1362"/>
      <c r="AJ86" s="1276"/>
      <c r="AK86" s="1274"/>
      <c r="AL86" s="1274"/>
      <c r="AM86" s="1274"/>
      <c r="AN86" s="1274"/>
      <c r="AO86" s="1274"/>
      <c r="AP86" s="1274"/>
      <c r="AQ86" s="1362"/>
      <c r="AR86" s="1276"/>
      <c r="AS86" s="1274"/>
      <c r="AT86" s="777"/>
      <c r="AU86" s="777"/>
      <c r="AV86" s="777"/>
      <c r="AW86" s="777"/>
      <c r="AX86" s="777"/>
      <c r="AY86" s="778"/>
      <c r="AZ86" s="779"/>
      <c r="BA86" s="777"/>
      <c r="BB86" s="777"/>
      <c r="BC86" s="777"/>
      <c r="BD86" s="777"/>
      <c r="BE86" s="777"/>
      <c r="BF86" s="777"/>
      <c r="BG86" s="778"/>
      <c r="BH86" s="779"/>
      <c r="BI86" s="777"/>
      <c r="BJ86" s="777"/>
      <c r="BK86" s="777"/>
      <c r="BL86" s="777"/>
      <c r="BM86" s="777"/>
      <c r="BN86" s="777"/>
      <c r="BO86" s="778"/>
      <c r="BP86" s="779"/>
      <c r="BQ86" s="777"/>
      <c r="BR86" s="777"/>
      <c r="BS86" s="777"/>
      <c r="BT86" s="777"/>
      <c r="BU86" s="777"/>
      <c r="BV86" s="777"/>
      <c r="BW86" s="778"/>
      <c r="BX86" s="779"/>
      <c r="BY86" s="777"/>
      <c r="BZ86" s="777"/>
      <c r="CA86" s="777"/>
      <c r="CB86" s="777"/>
      <c r="CC86" s="777"/>
      <c r="CD86" s="1274"/>
      <c r="CE86" s="1275"/>
      <c r="CF86" s="1276"/>
      <c r="CG86" s="1277"/>
      <c r="CH86" s="1274"/>
      <c r="CI86" s="1277"/>
      <c r="CJ86" s="1274"/>
      <c r="CK86" s="1277"/>
      <c r="CL86" s="1274"/>
      <c r="CM86" s="1275"/>
      <c r="CN86" s="1276"/>
      <c r="CO86" s="1277"/>
      <c r="CP86" s="1296"/>
      <c r="CQ86" s="1297"/>
      <c r="CR86" s="1296"/>
      <c r="CS86" s="1297"/>
      <c r="CT86" s="780"/>
      <c r="CU86" s="781"/>
      <c r="CV86" s="782"/>
      <c r="CW86" s="780"/>
      <c r="CX86" s="780"/>
      <c r="CY86" s="780"/>
      <c r="CZ86" s="780"/>
      <c r="DA86" s="780"/>
      <c r="DB86" s="780"/>
      <c r="DC86" s="781"/>
      <c r="DD86" s="782"/>
      <c r="DE86" s="780"/>
      <c r="DF86" s="780"/>
      <c r="DG86" s="780"/>
      <c r="DH86" s="780"/>
      <c r="DI86" s="780"/>
      <c r="DJ86" s="783"/>
      <c r="DK86" s="784"/>
      <c r="DL86" s="782"/>
      <c r="DM86" s="780"/>
      <c r="DN86" s="780"/>
      <c r="DO86" s="780"/>
      <c r="DP86" s="780"/>
      <c r="DQ86" s="780"/>
      <c r="DR86" s="780"/>
      <c r="DS86" s="781"/>
      <c r="DT86" s="782"/>
      <c r="DU86" s="780"/>
      <c r="DV86" s="780"/>
      <c r="DW86" s="780"/>
      <c r="DX86" s="780"/>
      <c r="DY86" s="780"/>
      <c r="DZ86" s="780"/>
      <c r="EA86" s="781"/>
      <c r="EB86" s="782"/>
      <c r="EC86" s="780"/>
      <c r="ED86" s="780"/>
      <c r="EE86" s="780"/>
      <c r="EF86" s="780"/>
      <c r="EG86" s="780"/>
      <c r="EH86" s="780"/>
      <c r="EI86" s="781"/>
      <c r="EJ86" s="782"/>
      <c r="EK86" s="780"/>
      <c r="EL86" s="780"/>
      <c r="EM86" s="780"/>
      <c r="EN86" s="780"/>
      <c r="EO86" s="780"/>
      <c r="EP86" s="780"/>
      <c r="EQ86" s="781"/>
      <c r="ER86" s="782"/>
      <c r="ES86" s="780"/>
      <c r="ET86" s="780"/>
      <c r="EU86" s="780"/>
      <c r="EV86" s="780"/>
      <c r="EW86" s="780"/>
      <c r="EX86" s="780"/>
      <c r="EY86" s="781"/>
      <c r="EZ86" s="782"/>
      <c r="FA86" s="780"/>
      <c r="FB86" s="780"/>
      <c r="FC86" s="780"/>
      <c r="FD86" s="780"/>
      <c r="FE86" s="780"/>
      <c r="FF86" s="780"/>
      <c r="FG86" s="781"/>
      <c r="FH86" s="782"/>
      <c r="FI86" s="780"/>
      <c r="FJ86" s="780"/>
      <c r="FK86" s="780"/>
      <c r="FL86" s="780"/>
      <c r="FM86" s="780"/>
      <c r="FN86" s="780"/>
      <c r="FO86" s="781"/>
      <c r="FP86" s="782"/>
      <c r="FQ86" s="780"/>
      <c r="FR86" s="780"/>
      <c r="FS86" s="780"/>
      <c r="FT86" s="780"/>
      <c r="FU86" s="780"/>
      <c r="FV86" s="780"/>
      <c r="FW86" s="781"/>
      <c r="FX86" s="782"/>
      <c r="FY86" s="780"/>
      <c r="FZ86" s="780"/>
      <c r="GA86" s="780"/>
      <c r="GB86" s="780"/>
      <c r="GC86" s="780"/>
      <c r="GD86" s="780"/>
      <c r="GE86" s="781"/>
      <c r="GF86" s="782"/>
      <c r="GG86" s="780"/>
      <c r="GH86" s="780"/>
      <c r="GI86" s="780"/>
      <c r="GJ86" s="780"/>
      <c r="GK86" s="780"/>
      <c r="GL86" s="780"/>
      <c r="GM86" s="781"/>
      <c r="GN86" s="782"/>
      <c r="GO86" s="780"/>
      <c r="GP86" s="780"/>
      <c r="GQ86" s="780"/>
      <c r="GR86" s="780"/>
      <c r="GS86" s="780"/>
      <c r="GT86" s="780"/>
      <c r="GU86" s="781"/>
      <c r="GV86" s="780"/>
      <c r="GW86" s="781"/>
      <c r="GX86" s="780"/>
      <c r="GY86" s="781"/>
      <c r="GZ86" s="780"/>
      <c r="HA86" s="781"/>
      <c r="HB86" s="780"/>
      <c r="HC86" s="781"/>
      <c r="HD86" s="780"/>
      <c r="HE86" s="781"/>
      <c r="HF86" s="780"/>
      <c r="HG86" s="781"/>
      <c r="HH86" s="780"/>
      <c r="HI86" s="781"/>
      <c r="HJ86" s="780"/>
      <c r="HK86" s="781"/>
    </row>
    <row r="87" spans="1:219">
      <c r="A87" s="1299" t="s">
        <v>130</v>
      </c>
      <c r="B87" s="1300" t="str">
        <f>VLOOKUP(A87,PLANEJAMENTO!$B$10:$C$70,2,FALSE)</f>
        <v>Escavação, Carga, Transporte e Espalhamento - material de 1° categoria - DMT 501 até 1000m</v>
      </c>
      <c r="C87" s="1299" t="str">
        <f>VLOOKUP(A87,PLANEJAMENTO!$B$10:$D$70,3,FALSE)</f>
        <v>m³</v>
      </c>
      <c r="D87" s="1301">
        <f>VLOOKUP(A87,PLANEJAMENTO!$B$10:$E$70,4,FALSE)</f>
        <v>32000</v>
      </c>
      <c r="E87" s="1301">
        <f>D87</f>
        <v>32000</v>
      </c>
      <c r="F87" s="1302">
        <f>PRODUÇÕES!D15</f>
        <v>160</v>
      </c>
      <c r="G87" s="1301">
        <f>F87*8</f>
        <v>1280</v>
      </c>
      <c r="H87" s="726"/>
      <c r="I87" s="1303"/>
      <c r="J87" s="1304"/>
      <c r="K87" s="727" t="s">
        <v>291</v>
      </c>
      <c r="L87" s="1285"/>
      <c r="M87" s="1286"/>
      <c r="N87" s="1285"/>
      <c r="O87" s="1286"/>
      <c r="P87" s="1285"/>
      <c r="Q87" s="1286"/>
      <c r="R87" s="1285"/>
      <c r="S87" s="1286"/>
      <c r="T87" s="1285"/>
      <c r="U87" s="1286"/>
      <c r="V87" s="1285"/>
      <c r="W87" s="1286"/>
      <c r="X87" s="1285"/>
      <c r="Y87" s="1286"/>
      <c r="Z87" s="1285"/>
      <c r="AA87" s="1286"/>
      <c r="AB87" s="1285"/>
      <c r="AC87" s="1286"/>
      <c r="AD87" s="1285"/>
      <c r="AE87" s="1286"/>
      <c r="AF87" s="1285"/>
      <c r="AG87" s="1286"/>
      <c r="AH87" s="1285"/>
      <c r="AI87" s="1286"/>
      <c r="AJ87" s="1285"/>
      <c r="AK87" s="1286"/>
      <c r="AL87" s="1285"/>
      <c r="AM87" s="1286"/>
      <c r="AN87" s="1285"/>
      <c r="AO87" s="1286"/>
      <c r="AP87" s="1285"/>
      <c r="AQ87" s="1286"/>
      <c r="AR87" s="1285"/>
      <c r="AS87" s="1286"/>
      <c r="AT87" s="1285"/>
      <c r="AU87" s="1286"/>
      <c r="AV87" s="1287"/>
      <c r="AW87" s="1288"/>
      <c r="AX87" s="1289"/>
      <c r="AY87" s="1290"/>
      <c r="AZ87" s="1285"/>
      <c r="BA87" s="1286"/>
      <c r="BB87" s="1347"/>
      <c r="BC87" s="1348"/>
      <c r="BD87" s="1285">
        <v>6</v>
      </c>
      <c r="BE87" s="1286"/>
      <c r="BF87" s="1285">
        <v>6</v>
      </c>
      <c r="BG87" s="1286"/>
      <c r="BH87" s="1285">
        <v>6</v>
      </c>
      <c r="BI87" s="1286"/>
      <c r="BJ87" s="1287">
        <v>6</v>
      </c>
      <c r="BK87" s="1288"/>
      <c r="BL87" s="1356">
        <f>(D87-BJ90)/BJ89*6</f>
        <v>1.0600000000000023</v>
      </c>
      <c r="BM87" s="1357"/>
      <c r="BN87" s="1285"/>
      <c r="BO87" s="1286"/>
      <c r="BP87" s="1347"/>
      <c r="BQ87" s="1348"/>
      <c r="BR87" s="1285"/>
      <c r="BS87" s="1286"/>
      <c r="BT87" s="1311"/>
      <c r="BU87" s="1312"/>
      <c r="BV87" s="1263"/>
      <c r="BW87" s="1263"/>
      <c r="BX87" s="1263"/>
      <c r="BY87" s="1263"/>
      <c r="BZ87" s="1315"/>
      <c r="CA87" s="1263"/>
      <c r="CB87" s="1315"/>
      <c r="CC87" s="1263"/>
      <c r="CD87" s="1315"/>
      <c r="CE87" s="1263"/>
      <c r="CF87" s="1315"/>
      <c r="CG87" s="1263"/>
      <c r="CH87" s="1315"/>
      <c r="CI87" s="1263"/>
      <c r="CJ87" s="1315"/>
      <c r="CK87" s="1263"/>
      <c r="CL87" s="1315"/>
      <c r="CM87" s="1263"/>
      <c r="CN87" s="1315"/>
      <c r="CO87" s="1263"/>
      <c r="CP87" s="1263"/>
      <c r="CQ87" s="1263"/>
      <c r="CR87" s="1263"/>
      <c r="CS87" s="1263"/>
      <c r="CT87" s="1263"/>
      <c r="CU87" s="1263"/>
      <c r="CV87" s="1263"/>
      <c r="CW87" s="1263"/>
      <c r="CX87" s="1263"/>
      <c r="CY87" s="1263"/>
      <c r="CZ87" s="1263"/>
      <c r="DA87" s="1263"/>
      <c r="DB87" s="1263"/>
      <c r="DC87" s="1263"/>
      <c r="DD87" s="1263"/>
      <c r="DE87" s="1263"/>
      <c r="DF87" s="1263"/>
      <c r="DG87" s="1263"/>
      <c r="DH87" s="1263"/>
      <c r="DI87" s="1263"/>
      <c r="DJ87" s="1327"/>
      <c r="DK87" s="1327"/>
      <c r="DL87" s="1315"/>
      <c r="DM87" s="1315"/>
      <c r="DN87" s="1315"/>
      <c r="DO87" s="1315"/>
      <c r="DP87" s="1315"/>
      <c r="DQ87" s="1315"/>
      <c r="DR87" s="1315"/>
      <c r="DS87" s="1315"/>
      <c r="DT87" s="1315"/>
      <c r="DU87" s="1315"/>
      <c r="DV87" s="1315"/>
      <c r="DW87" s="1315"/>
      <c r="DX87" s="1315"/>
      <c r="DY87" s="1315"/>
      <c r="DZ87" s="1315"/>
      <c r="EA87" s="1315"/>
      <c r="EB87" s="1263"/>
      <c r="EC87" s="1263"/>
      <c r="ED87" s="1263"/>
      <c r="EE87" s="1263"/>
      <c r="EF87" s="1263"/>
      <c r="EG87" s="1263"/>
      <c r="EH87" s="1263"/>
      <c r="EI87" s="1263"/>
      <c r="EJ87" s="1263"/>
      <c r="EK87" s="1263"/>
      <c r="EL87" s="1263"/>
      <c r="EM87" s="1263"/>
      <c r="EN87" s="1263"/>
      <c r="EO87" s="1263"/>
      <c r="EP87" s="1263"/>
      <c r="EQ87" s="1263"/>
      <c r="ER87" s="1263"/>
      <c r="ES87" s="1263"/>
      <c r="ET87" s="1263"/>
      <c r="EU87" s="1263"/>
      <c r="EV87" s="1263"/>
      <c r="EW87" s="1263"/>
      <c r="EX87" s="1263"/>
      <c r="EY87" s="1263"/>
      <c r="EZ87" s="1315"/>
      <c r="FA87" s="1315"/>
      <c r="FB87" s="1263"/>
      <c r="FC87" s="1263"/>
      <c r="FD87" s="1315"/>
      <c r="FE87" s="1315"/>
      <c r="FF87" s="1315"/>
      <c r="FG87" s="1315"/>
      <c r="FH87" s="1263"/>
      <c r="FI87" s="1263"/>
      <c r="FJ87" s="1263"/>
      <c r="FK87" s="1263"/>
      <c r="FL87" s="1263"/>
      <c r="FM87" s="1263"/>
      <c r="FN87" s="1263"/>
      <c r="FO87" s="1263"/>
      <c r="FP87" s="1263"/>
      <c r="FQ87" s="1263"/>
      <c r="FR87" s="1263"/>
      <c r="FS87" s="1263"/>
      <c r="FT87" s="1263"/>
      <c r="FU87" s="1263"/>
      <c r="FV87" s="1263"/>
      <c r="FW87" s="1263"/>
      <c r="FX87" s="1263"/>
      <c r="FY87" s="1263"/>
      <c r="FZ87" s="1263"/>
      <c r="GA87" s="1263"/>
      <c r="GB87" s="1263"/>
      <c r="GC87" s="1263"/>
      <c r="GD87" s="1263"/>
      <c r="GE87" s="1263"/>
      <c r="GF87" s="1263"/>
      <c r="GG87" s="1263"/>
      <c r="GH87" s="1263"/>
      <c r="GI87" s="1263"/>
      <c r="GJ87" s="1263"/>
      <c r="GK87" s="1263"/>
      <c r="GL87" s="1263"/>
      <c r="GM87" s="1263"/>
      <c r="GN87" s="1263"/>
      <c r="GO87" s="1263"/>
      <c r="GP87" s="1263"/>
      <c r="GQ87" s="1263"/>
      <c r="GR87" s="1263"/>
      <c r="GS87" s="1263"/>
      <c r="GT87" s="1263"/>
      <c r="GU87" s="1263"/>
      <c r="GV87" s="1263"/>
      <c r="GW87" s="1263"/>
      <c r="GX87" s="1263"/>
      <c r="GY87" s="1263"/>
      <c r="GZ87" s="1263"/>
      <c r="HA87" s="1263"/>
      <c r="HB87" s="1263"/>
      <c r="HC87" s="1263"/>
      <c r="HD87" s="1263"/>
      <c r="HE87" s="1263"/>
      <c r="HF87" s="1263"/>
      <c r="HG87" s="1263"/>
      <c r="HH87" s="1263"/>
      <c r="HI87" s="1263"/>
      <c r="HJ87" s="1263"/>
      <c r="HK87" s="1263"/>
    </row>
    <row r="88" spans="1:219">
      <c r="A88" s="1299"/>
      <c r="B88" s="1300"/>
      <c r="C88" s="1299"/>
      <c r="D88" s="1301"/>
      <c r="E88" s="1301"/>
      <c r="F88" s="1302"/>
      <c r="G88" s="1301"/>
      <c r="H88" s="726"/>
      <c r="I88" s="1303"/>
      <c r="J88" s="1304"/>
      <c r="K88" s="785" t="s">
        <v>292</v>
      </c>
      <c r="L88" s="1283"/>
      <c r="M88" s="1284"/>
      <c r="N88" s="1283"/>
      <c r="O88" s="1284"/>
      <c r="P88" s="1283"/>
      <c r="Q88" s="1284"/>
      <c r="R88" s="1283"/>
      <c r="S88" s="1284"/>
      <c r="T88" s="1283"/>
      <c r="U88" s="1284"/>
      <c r="V88" s="1283"/>
      <c r="W88" s="1284"/>
      <c r="X88" s="1283"/>
      <c r="Y88" s="1284"/>
      <c r="Z88" s="1283"/>
      <c r="AA88" s="1284"/>
      <c r="AB88" s="1283"/>
      <c r="AC88" s="1284"/>
      <c r="AD88" s="1283"/>
      <c r="AE88" s="1284"/>
      <c r="AF88" s="1283"/>
      <c r="AG88" s="1284"/>
      <c r="AH88" s="1283"/>
      <c r="AI88" s="1284"/>
      <c r="AJ88" s="1283"/>
      <c r="AK88" s="1284"/>
      <c r="AL88" s="1283"/>
      <c r="AM88" s="1284"/>
      <c r="AN88" s="1283"/>
      <c r="AO88" s="1284"/>
      <c r="AP88" s="1283"/>
      <c r="AQ88" s="1284"/>
      <c r="AR88" s="1283"/>
      <c r="AS88" s="1284"/>
      <c r="AT88" s="1283"/>
      <c r="AU88" s="1284"/>
      <c r="AV88" s="1283"/>
      <c r="AW88" s="1284"/>
      <c r="AX88" s="1283"/>
      <c r="AY88" s="1284"/>
      <c r="AZ88" s="1283"/>
      <c r="BA88" s="1284"/>
      <c r="BB88" s="1283"/>
      <c r="BC88" s="1284"/>
      <c r="BD88" s="1283">
        <v>1</v>
      </c>
      <c r="BE88" s="1284"/>
      <c r="BF88" s="1283">
        <v>1</v>
      </c>
      <c r="BG88" s="1284"/>
      <c r="BH88" s="1283">
        <v>1</v>
      </c>
      <c r="BI88" s="1284"/>
      <c r="BJ88" s="1283">
        <v>1</v>
      </c>
      <c r="BK88" s="1284"/>
      <c r="BL88" s="1283">
        <v>1</v>
      </c>
      <c r="BM88" s="1284"/>
      <c r="BN88" s="1283"/>
      <c r="BO88" s="1284"/>
      <c r="BP88" s="1283"/>
      <c r="BQ88" s="1284"/>
      <c r="BR88" s="1283"/>
      <c r="BS88" s="1284"/>
      <c r="BT88" s="1283"/>
      <c r="BU88" s="1284"/>
      <c r="BV88" s="1264"/>
      <c r="BW88" s="1264"/>
      <c r="BX88" s="1264"/>
      <c r="BY88" s="1264"/>
      <c r="BZ88" s="1264"/>
      <c r="CA88" s="1264"/>
      <c r="CB88" s="1264"/>
      <c r="CC88" s="1264"/>
      <c r="CD88" s="1264"/>
      <c r="CE88" s="1264"/>
      <c r="CF88" s="1264"/>
      <c r="CG88" s="1264"/>
      <c r="CH88" s="1264"/>
      <c r="CI88" s="1264"/>
      <c r="CJ88" s="1264"/>
      <c r="CK88" s="1264"/>
      <c r="CL88" s="1264"/>
      <c r="CM88" s="1264"/>
      <c r="CN88" s="1264"/>
      <c r="CO88" s="1264"/>
      <c r="CP88" s="1264"/>
      <c r="CQ88" s="1264"/>
      <c r="CR88" s="1264"/>
      <c r="CS88" s="1264"/>
      <c r="CT88" s="1264"/>
      <c r="CU88" s="1264"/>
      <c r="CV88" s="1264"/>
      <c r="CW88" s="1264"/>
      <c r="CX88" s="1264"/>
      <c r="CY88" s="1264"/>
      <c r="CZ88" s="1264"/>
      <c r="DA88" s="1264"/>
      <c r="DB88" s="1264"/>
      <c r="DC88" s="1264"/>
      <c r="DD88" s="1264"/>
      <c r="DE88" s="1264"/>
      <c r="DF88" s="1264"/>
      <c r="DG88" s="1264"/>
      <c r="DH88" s="1264"/>
      <c r="DI88" s="1264"/>
      <c r="DJ88" s="1265"/>
      <c r="DK88" s="1265"/>
      <c r="DL88" s="1264"/>
      <c r="DM88" s="1264"/>
      <c r="DN88" s="1264"/>
      <c r="DO88" s="1264"/>
      <c r="DP88" s="1264"/>
      <c r="DQ88" s="1264"/>
      <c r="DR88" s="1264"/>
      <c r="DS88" s="1264"/>
      <c r="DT88" s="1264"/>
      <c r="DU88" s="1264"/>
      <c r="DV88" s="1264"/>
      <c r="DW88" s="1264"/>
      <c r="DX88" s="1264"/>
      <c r="DY88" s="1264"/>
      <c r="DZ88" s="1264"/>
      <c r="EA88" s="1264"/>
      <c r="EB88" s="1264"/>
      <c r="EC88" s="1264"/>
      <c r="ED88" s="1264"/>
      <c r="EE88" s="1264"/>
      <c r="EF88" s="1264"/>
      <c r="EG88" s="1264"/>
      <c r="EH88" s="1264"/>
      <c r="EI88" s="1264"/>
      <c r="EJ88" s="1264"/>
      <c r="EK88" s="1264"/>
      <c r="EL88" s="1264"/>
      <c r="EM88" s="1264"/>
      <c r="EN88" s="1264"/>
      <c r="EO88" s="1264"/>
      <c r="EP88" s="1264"/>
      <c r="EQ88" s="1264"/>
      <c r="ER88" s="1264"/>
      <c r="ES88" s="1264"/>
      <c r="ET88" s="1264"/>
      <c r="EU88" s="1264"/>
      <c r="EV88" s="1264"/>
      <c r="EW88" s="1264"/>
      <c r="EX88" s="1264"/>
      <c r="EY88" s="1264"/>
      <c r="EZ88" s="1264"/>
      <c r="FA88" s="1264"/>
      <c r="FB88" s="1264"/>
      <c r="FC88" s="1264"/>
      <c r="FD88" s="1264"/>
      <c r="FE88" s="1264"/>
      <c r="FF88" s="1264"/>
      <c r="FG88" s="1264"/>
      <c r="FH88" s="1264"/>
      <c r="FI88" s="1264"/>
      <c r="FJ88" s="1264"/>
      <c r="FK88" s="1264"/>
      <c r="FL88" s="1264"/>
      <c r="FM88" s="1264"/>
      <c r="FN88" s="1264"/>
      <c r="FO88" s="1264"/>
      <c r="FP88" s="1264"/>
      <c r="FQ88" s="1264"/>
      <c r="FR88" s="1264"/>
      <c r="FS88" s="1264"/>
      <c r="FT88" s="1264"/>
      <c r="FU88" s="1264"/>
      <c r="FV88" s="1264"/>
      <c r="FW88" s="1264"/>
      <c r="FX88" s="1264"/>
      <c r="FY88" s="1264"/>
      <c r="FZ88" s="1264"/>
      <c r="GA88" s="1264"/>
      <c r="GB88" s="1264"/>
      <c r="GC88" s="1264"/>
      <c r="GD88" s="1264"/>
      <c r="GE88" s="1264"/>
      <c r="GF88" s="1264"/>
      <c r="GG88" s="1264"/>
      <c r="GH88" s="1264"/>
      <c r="GI88" s="1264"/>
      <c r="GJ88" s="1264"/>
      <c r="GK88" s="1264"/>
      <c r="GL88" s="1264"/>
      <c r="GM88" s="1264"/>
      <c r="GN88" s="1264"/>
      <c r="GO88" s="1264"/>
      <c r="GP88" s="1264"/>
      <c r="GQ88" s="1264"/>
      <c r="GR88" s="1264"/>
      <c r="GS88" s="1264"/>
      <c r="GT88" s="1264"/>
      <c r="GU88" s="1264"/>
      <c r="GV88" s="1264"/>
      <c r="GW88" s="1264"/>
      <c r="GX88" s="1264"/>
      <c r="GY88" s="1264"/>
      <c r="GZ88" s="1264"/>
      <c r="HA88" s="1264"/>
      <c r="HB88" s="1264"/>
      <c r="HC88" s="1264"/>
      <c r="HD88" s="1264"/>
      <c r="HE88" s="1264"/>
      <c r="HF88" s="1264"/>
      <c r="HG88" s="1264"/>
      <c r="HH88" s="1264"/>
      <c r="HI88" s="1264"/>
      <c r="HJ88" s="1264"/>
      <c r="HK88" s="1264"/>
    </row>
    <row r="89" spans="1:219">
      <c r="A89" s="1299"/>
      <c r="B89" s="1300"/>
      <c r="C89" s="1299"/>
      <c r="D89" s="1301"/>
      <c r="E89" s="1301"/>
      <c r="F89" s="1302"/>
      <c r="G89" s="1301"/>
      <c r="H89" s="726"/>
      <c r="I89" s="1303"/>
      <c r="J89" s="1304"/>
      <c r="K89" s="786" t="s">
        <v>293</v>
      </c>
      <c r="L89" s="1255">
        <f>(L87*L88*$G87)*$L$8</f>
        <v>0</v>
      </c>
      <c r="M89" s="1256"/>
      <c r="N89" s="1255">
        <f>(N87*N88*$G87)*$L$8</f>
        <v>0</v>
      </c>
      <c r="O89" s="1256"/>
      <c r="P89" s="1255">
        <f>(P87*P88*$G87)*$L$8</f>
        <v>0</v>
      </c>
      <c r="Q89" s="1256"/>
      <c r="R89" s="1255">
        <f>(R87*R88*$G87)*$L$8</f>
        <v>0</v>
      </c>
      <c r="S89" s="1256"/>
      <c r="T89" s="1255">
        <f>(T87*T88*$G87)*$T$8</f>
        <v>0</v>
      </c>
      <c r="U89" s="1256"/>
      <c r="V89" s="1255">
        <f>(V87*V88*$G87)*$T$8</f>
        <v>0</v>
      </c>
      <c r="W89" s="1256"/>
      <c r="X89" s="1255">
        <f>(X87*X88*$G87)*$T$8</f>
        <v>0</v>
      </c>
      <c r="Y89" s="1256"/>
      <c r="Z89" s="1255">
        <f>(Z87*Z88*$G87)*$T$8</f>
        <v>0</v>
      </c>
      <c r="AA89" s="1256"/>
      <c r="AB89" s="1255">
        <f>(AB87*AB88*$G87)*$AB$8</f>
        <v>0</v>
      </c>
      <c r="AC89" s="1256"/>
      <c r="AD89" s="1255">
        <f>(AD87*AD88*$G87)*$AB$8</f>
        <v>0</v>
      </c>
      <c r="AE89" s="1256"/>
      <c r="AF89" s="1255">
        <f>(AF87*AF88*$G87)*$AB$8</f>
        <v>0</v>
      </c>
      <c r="AG89" s="1256"/>
      <c r="AH89" s="1255">
        <f>(AH87*AH88*$G87)*$AB$8</f>
        <v>0</v>
      </c>
      <c r="AI89" s="1256"/>
      <c r="AJ89" s="1255">
        <f>(AJ87*AJ88*$G87)*$AJ$8</f>
        <v>0</v>
      </c>
      <c r="AK89" s="1256"/>
      <c r="AL89" s="1255">
        <f>(AL87*AL88*$G87)*$AJ$8</f>
        <v>0</v>
      </c>
      <c r="AM89" s="1256"/>
      <c r="AN89" s="1255">
        <f>(AN87*AN88*$G87)*$AJ$8</f>
        <v>0</v>
      </c>
      <c r="AO89" s="1256"/>
      <c r="AP89" s="1255">
        <f>(AP87*AP88*$G87)*$AJ$8</f>
        <v>0</v>
      </c>
      <c r="AQ89" s="1256"/>
      <c r="AR89" s="1255">
        <f>(AR87*AR88*$G87)*$AT$8</f>
        <v>0</v>
      </c>
      <c r="AS89" s="1256"/>
      <c r="AT89" s="1255">
        <f t="shared" ref="AT89:AZ89" si="12">(AT87*AT88*$G87)*$AT$8</f>
        <v>0</v>
      </c>
      <c r="AU89" s="1256"/>
      <c r="AV89" s="1255">
        <f t="shared" si="12"/>
        <v>0</v>
      </c>
      <c r="AW89" s="1256"/>
      <c r="AX89" s="1255">
        <f t="shared" si="12"/>
        <v>0</v>
      </c>
      <c r="AY89" s="1256"/>
      <c r="AZ89" s="1255">
        <f t="shared" si="12"/>
        <v>0</v>
      </c>
      <c r="BA89" s="1256"/>
      <c r="BB89" s="1255">
        <f t="shared" ref="BB89" si="13">(BB87*BB88*$G87)*$BB$8</f>
        <v>0</v>
      </c>
      <c r="BC89" s="1256"/>
      <c r="BD89" s="1255">
        <f t="shared" ref="BD89" si="14">(BD87*BD88*$G87)*$BB$8</f>
        <v>7654.4</v>
      </c>
      <c r="BE89" s="1256"/>
      <c r="BF89" s="1255">
        <f t="shared" ref="BF89" si="15">(BF87*BF88*$G87)*$BB$8</f>
        <v>7654.4</v>
      </c>
      <c r="BG89" s="1256"/>
      <c r="BH89" s="1255">
        <f t="shared" ref="BH89" si="16">(BH87*BH88*$G87)*$BB$8</f>
        <v>7654.4</v>
      </c>
      <c r="BI89" s="1256"/>
      <c r="BJ89" s="1255">
        <f t="shared" ref="BJ89:BR89" si="17">(BJ87*BJ88*$G87)*$BJ$8</f>
        <v>7680</v>
      </c>
      <c r="BK89" s="1256"/>
      <c r="BL89" s="1255">
        <f t="shared" si="17"/>
        <v>1356.8000000000029</v>
      </c>
      <c r="BM89" s="1256"/>
      <c r="BN89" s="1255">
        <f t="shared" si="17"/>
        <v>0</v>
      </c>
      <c r="BO89" s="1256"/>
      <c r="BP89" s="1255">
        <f t="shared" si="17"/>
        <v>0</v>
      </c>
      <c r="BQ89" s="1256"/>
      <c r="BR89" s="1255">
        <f t="shared" si="17"/>
        <v>0</v>
      </c>
      <c r="BS89" s="1256"/>
      <c r="BT89" s="1255">
        <f>(BT87*BT88*$G87)*$BT$8</f>
        <v>0</v>
      </c>
      <c r="BU89" s="1256"/>
      <c r="BV89" s="1255">
        <f>(BV87*BV88*$G87)*$BT$8</f>
        <v>0</v>
      </c>
      <c r="BW89" s="1256"/>
      <c r="BX89" s="1255">
        <f>(BX87*BX88*$G87)*$BT$8</f>
        <v>0</v>
      </c>
      <c r="BY89" s="1256"/>
      <c r="BZ89" s="1255">
        <f>(BZ87*BZ88*$G87)*$BT$8</f>
        <v>0</v>
      </c>
      <c r="CA89" s="1256"/>
      <c r="CB89" s="1255">
        <f>(CB87*CB88*$G87)*$CB$8</f>
        <v>0</v>
      </c>
      <c r="CC89" s="1256"/>
      <c r="CD89" s="1255">
        <f>(CD87*CD88*$G87)*$CB$8</f>
        <v>0</v>
      </c>
      <c r="CE89" s="1256"/>
      <c r="CF89" s="1255">
        <f>(CF87*CF88*$G87)*$CB$8</f>
        <v>0</v>
      </c>
      <c r="CG89" s="1256"/>
      <c r="CH89" s="1255">
        <f>(CH87*CH88*$G87)*$CB$8</f>
        <v>0</v>
      </c>
      <c r="CI89" s="1256"/>
      <c r="CJ89" s="1255">
        <f>(CJ87*CJ88*$G87)*$CB$8</f>
        <v>0</v>
      </c>
      <c r="CK89" s="1256"/>
      <c r="CL89" s="1255">
        <f>(CL87*CL88*$G87)*$CJ$8</f>
        <v>0</v>
      </c>
      <c r="CM89" s="1256"/>
      <c r="CN89" s="1255">
        <f>(CN87*CN88*$G87)*$CJ$8</f>
        <v>0</v>
      </c>
      <c r="CO89" s="1256"/>
      <c r="CP89" s="1255">
        <f>(CP87*CP88*$G87)*$CJ$8</f>
        <v>0</v>
      </c>
      <c r="CQ89" s="1256"/>
      <c r="CR89" s="1255">
        <f>(CR87*CR88*$G87)*$CJ$8</f>
        <v>0</v>
      </c>
      <c r="CS89" s="1256"/>
      <c r="CT89" s="1255">
        <f>(CT87*CT88*$G87)*$CT$8</f>
        <v>0</v>
      </c>
      <c r="CU89" s="1256"/>
      <c r="CV89" s="1255">
        <f>(CV87*CV88*$G87)*$CT$8</f>
        <v>0</v>
      </c>
      <c r="CW89" s="1256"/>
      <c r="CX89" s="1255">
        <f>(CX87*CX88*$G87)*$CT$8</f>
        <v>0</v>
      </c>
      <c r="CY89" s="1256"/>
      <c r="CZ89" s="1255">
        <f>(CZ87*CZ88*$G87)*$CT$8</f>
        <v>0</v>
      </c>
      <c r="DA89" s="1256"/>
      <c r="DB89" s="1255">
        <f>(DB87*DB88*$G87)*$DB$8</f>
        <v>0</v>
      </c>
      <c r="DC89" s="1256"/>
      <c r="DD89" s="1255">
        <f>(DD87*DD88*$G87)*$DB$8</f>
        <v>0</v>
      </c>
      <c r="DE89" s="1256"/>
      <c r="DF89" s="1255">
        <f>(DF87*DF88*$G87)*$DB$8</f>
        <v>0</v>
      </c>
      <c r="DG89" s="1256"/>
      <c r="DH89" s="1255">
        <f>(DH87*DH88*$G87)*$DB$8</f>
        <v>0</v>
      </c>
      <c r="DI89" s="1256"/>
      <c r="DJ89" s="1257">
        <f>(DJ87*DJ88*$G87)*$DB$8</f>
        <v>0</v>
      </c>
      <c r="DK89" s="1258"/>
      <c r="DL89" s="1313">
        <f>(DL87*DL88*$G87)*$DL$8</f>
        <v>0</v>
      </c>
      <c r="DM89" s="1314"/>
      <c r="DN89" s="1313">
        <f>(DN87*DN88*$G87)*$DL$8</f>
        <v>0</v>
      </c>
      <c r="DO89" s="1314"/>
      <c r="DP89" s="1313">
        <f>(DP87*DP88*$G87)*$DL$8</f>
        <v>0</v>
      </c>
      <c r="DQ89" s="1314"/>
      <c r="DR89" s="1313">
        <f>(DR87*DR88*$G87)*$DL$8</f>
        <v>0</v>
      </c>
      <c r="DS89" s="1314"/>
      <c r="DT89" s="1313">
        <f>(DT87*DT88*$G87)*$DT$8</f>
        <v>0</v>
      </c>
      <c r="DU89" s="1314"/>
      <c r="DV89" s="1313">
        <f>(DV87*DV88*$G87)*$DT$8</f>
        <v>0</v>
      </c>
      <c r="DW89" s="1314"/>
      <c r="DX89" s="1313">
        <f>(DX87*DX88*$G87)*$DT$8</f>
        <v>0</v>
      </c>
      <c r="DY89" s="1314"/>
      <c r="DZ89" s="1313">
        <f>(DZ87*DZ88*$G87)*$DT$8</f>
        <v>0</v>
      </c>
      <c r="EA89" s="1314"/>
      <c r="EB89" s="1313">
        <f>(EB87*EB88*$G87)*$EB$8</f>
        <v>0</v>
      </c>
      <c r="EC89" s="1314"/>
      <c r="ED89" s="1255">
        <f>(ED87*ED88*$G87)*$DB$8</f>
        <v>0</v>
      </c>
      <c r="EE89" s="1256"/>
      <c r="EF89" s="1255">
        <f>(EF87*EF88*$G87)*$DB$8</f>
        <v>0</v>
      </c>
      <c r="EG89" s="1256"/>
      <c r="EH89" s="1255">
        <f>(EH87*EH88*$G87)*$DB$8</f>
        <v>0</v>
      </c>
      <c r="EI89" s="1256"/>
      <c r="EJ89" s="1255">
        <f>(EJ87*EJ88*$G87)*$DB$8</f>
        <v>0</v>
      </c>
      <c r="EK89" s="1256"/>
      <c r="EL89" s="1255">
        <f>(EL87*EL88*$G87)*$DB$8</f>
        <v>0</v>
      </c>
      <c r="EM89" s="1256"/>
      <c r="EN89" s="1255">
        <f>(EN87*EN88*$G87)*$EJ$8</f>
        <v>0</v>
      </c>
      <c r="EO89" s="1256"/>
      <c r="EP89" s="1255">
        <f>(EP87*EP88*$G87)*$EJ$8</f>
        <v>0</v>
      </c>
      <c r="EQ89" s="1256"/>
      <c r="ER89" s="1255">
        <f>(ER87*ER88*$G87)*$EJ$8</f>
        <v>0</v>
      </c>
      <c r="ES89" s="1256"/>
      <c r="ET89" s="1255">
        <f>(ET87*ET88*$G87)*$ET$8</f>
        <v>0</v>
      </c>
      <c r="EU89" s="1256"/>
      <c r="EV89" s="1255">
        <f>(EV87*EV88*$G87)*$ET$8</f>
        <v>0</v>
      </c>
      <c r="EW89" s="1256"/>
      <c r="EX89" s="1255">
        <f>(EX87*EX88*$G87)*$ET$8</f>
        <v>0</v>
      </c>
      <c r="EY89" s="1256"/>
      <c r="EZ89" s="1255">
        <f>(EZ87*EZ88*$G87)*$ET$8</f>
        <v>0</v>
      </c>
      <c r="FA89" s="1256"/>
      <c r="FB89" s="1255">
        <f>(FB87*FB88*$G87)*$FB$8</f>
        <v>0</v>
      </c>
      <c r="FC89" s="1256"/>
      <c r="FD89" s="1255">
        <f>(FD87*FD88*$G87)*$FB$8</f>
        <v>0</v>
      </c>
      <c r="FE89" s="1256"/>
      <c r="FF89" s="1255">
        <f>(FF87*FF88*$G87)*$FB$8</f>
        <v>0</v>
      </c>
      <c r="FG89" s="1256"/>
      <c r="FH89" s="1255">
        <f>(FH87*FH88*$G87)*$FB$8</f>
        <v>0</v>
      </c>
      <c r="FI89" s="1256"/>
      <c r="FJ89" s="1255">
        <f>(FJ87*FJ88*$G87)*$FB$8</f>
        <v>0</v>
      </c>
      <c r="FK89" s="1256"/>
      <c r="FL89" s="1255">
        <f>(FL87*FL88*$G87)*$DB$8</f>
        <v>0</v>
      </c>
      <c r="FM89" s="1256"/>
      <c r="FN89" s="1255">
        <f>(FN87*FN88*$G87)*$DB$8</f>
        <v>0</v>
      </c>
      <c r="FO89" s="1256"/>
      <c r="FP89" s="1255">
        <f>(FP87*FP88*$G87)*$DB$8</f>
        <v>0</v>
      </c>
      <c r="FQ89" s="1256"/>
      <c r="FR89" s="1255">
        <f>(FR87*FR88*$G87)*$DB$8</f>
        <v>0</v>
      </c>
      <c r="FS89" s="1256"/>
      <c r="FT89" s="1255">
        <f>(FT87*FT88*$G87)*$FT$8</f>
        <v>0</v>
      </c>
      <c r="FU89" s="1256"/>
      <c r="FV89" s="1255">
        <f>(FV87*FV88*$G87)*$FT$8</f>
        <v>0</v>
      </c>
      <c r="FW89" s="1256"/>
      <c r="FX89" s="1255">
        <f>(FX87*FX88*$G87)*$FT$8</f>
        <v>0</v>
      </c>
      <c r="FY89" s="1256"/>
      <c r="FZ89" s="1255">
        <f>(FZ87*FZ88*$G87)*$FT$8</f>
        <v>0</v>
      </c>
      <c r="GA89" s="1256"/>
      <c r="GB89" s="1255">
        <f>(GB87*GB88*$G87)*$FT$8</f>
        <v>0</v>
      </c>
      <c r="GC89" s="1256"/>
      <c r="GD89" s="1255">
        <f>(GD87*GD88*$G87)*$GD$8</f>
        <v>0</v>
      </c>
      <c r="GE89" s="1256"/>
      <c r="GF89" s="1255">
        <f>(GF87*GF88*$G87)*$GD$8</f>
        <v>0</v>
      </c>
      <c r="GG89" s="1256"/>
      <c r="GH89" s="1255">
        <f>(GH87*GH88*$G87)*$GD$8</f>
        <v>0</v>
      </c>
      <c r="GI89" s="1256"/>
      <c r="GJ89" s="1255">
        <f>(GJ87*GJ88*$G87)*$DB$8</f>
        <v>0</v>
      </c>
      <c r="GK89" s="1256"/>
      <c r="GL89" s="1255">
        <f>(GL87*GL88*$G87)*$DB$8</f>
        <v>0</v>
      </c>
      <c r="GM89" s="1256"/>
      <c r="GN89" s="1255">
        <f>(GN87*GN88*$G87)*$DB$8</f>
        <v>0</v>
      </c>
      <c r="GO89" s="1256"/>
      <c r="GP89" s="1255">
        <f>(GP87*GP88*$G87)*$DB$8</f>
        <v>0</v>
      </c>
      <c r="GQ89" s="1256"/>
      <c r="GR89" s="1255">
        <f>(GR87*GR88*$G87)*$DB$8</f>
        <v>0</v>
      </c>
      <c r="GS89" s="1256"/>
      <c r="GT89" s="1255">
        <f>(GT87*GT88*$G87)*$DB$8</f>
        <v>0</v>
      </c>
      <c r="GU89" s="1256"/>
      <c r="GV89" s="1255">
        <f>(GV87*GV88*$G87)*$DB$8</f>
        <v>0</v>
      </c>
      <c r="GW89" s="1256"/>
      <c r="GX89" s="1255">
        <f>(GX87*GX88*$G87)*$DB$8</f>
        <v>0</v>
      </c>
      <c r="GY89" s="1256"/>
      <c r="GZ89" s="1255">
        <f>(GZ87*GZ88*$G87)*$DB$8</f>
        <v>0</v>
      </c>
      <c r="HA89" s="1256"/>
      <c r="HB89" s="1255">
        <f>(HB87*HB88*$G87)*$DB$8</f>
        <v>0</v>
      </c>
      <c r="HC89" s="1256"/>
      <c r="HD89" s="1255">
        <f>(HD87*HD88*$G87)*$DB$8</f>
        <v>0</v>
      </c>
      <c r="HE89" s="1256"/>
      <c r="HF89" s="1255">
        <f>(HF87*HF88*$G87)*$DB$8</f>
        <v>0</v>
      </c>
      <c r="HG89" s="1256"/>
      <c r="HH89" s="1255">
        <f>(HH87*HH88*$G87)*$DB$8</f>
        <v>0</v>
      </c>
      <c r="HI89" s="1256"/>
      <c r="HJ89" s="1255">
        <f>(HJ87*HJ88*$G87)*$DB$8</f>
        <v>0</v>
      </c>
      <c r="HK89" s="1256"/>
    </row>
    <row r="90" spans="1:219">
      <c r="A90" s="1299"/>
      <c r="B90" s="1300"/>
      <c r="C90" s="1299"/>
      <c r="D90" s="1301"/>
      <c r="E90" s="1301"/>
      <c r="F90" s="1302"/>
      <c r="G90" s="1301"/>
      <c r="H90" s="726"/>
      <c r="I90" s="1303"/>
      <c r="J90" s="1304"/>
      <c r="K90" s="787" t="s">
        <v>294</v>
      </c>
      <c r="L90" s="1272">
        <f>L89</f>
        <v>0</v>
      </c>
      <c r="M90" s="1273"/>
      <c r="N90" s="1272">
        <f>L90+N89</f>
        <v>0</v>
      </c>
      <c r="O90" s="1273"/>
      <c r="P90" s="1272">
        <f>N90+P89</f>
        <v>0</v>
      </c>
      <c r="Q90" s="1273"/>
      <c r="R90" s="1272">
        <f>P90+R89</f>
        <v>0</v>
      </c>
      <c r="S90" s="1273"/>
      <c r="T90" s="1272">
        <f>R90+T89</f>
        <v>0</v>
      </c>
      <c r="U90" s="1273"/>
      <c r="V90" s="1272">
        <f>T90+V89</f>
        <v>0</v>
      </c>
      <c r="W90" s="1273"/>
      <c r="X90" s="1272">
        <f>V90+X89</f>
        <v>0</v>
      </c>
      <c r="Y90" s="1273"/>
      <c r="Z90" s="1272">
        <f>X90+Z89</f>
        <v>0</v>
      </c>
      <c r="AA90" s="1273"/>
      <c r="AB90" s="1272">
        <f>Z90+AB89</f>
        <v>0</v>
      </c>
      <c r="AC90" s="1273"/>
      <c r="AD90" s="1272">
        <f>AB90+AD89</f>
        <v>0</v>
      </c>
      <c r="AE90" s="1273"/>
      <c r="AF90" s="1272">
        <f>AD90+AF89</f>
        <v>0</v>
      </c>
      <c r="AG90" s="1273"/>
      <c r="AH90" s="1272">
        <f>AF90+AH89</f>
        <v>0</v>
      </c>
      <c r="AI90" s="1273"/>
      <c r="AJ90" s="1272">
        <f>AH90+AJ89</f>
        <v>0</v>
      </c>
      <c r="AK90" s="1273"/>
      <c r="AL90" s="1272">
        <f>AJ90+AL89</f>
        <v>0</v>
      </c>
      <c r="AM90" s="1273"/>
      <c r="AN90" s="1272">
        <f>AL90+AN89</f>
        <v>0</v>
      </c>
      <c r="AO90" s="1273"/>
      <c r="AP90" s="1272">
        <f>AN90+AP89</f>
        <v>0</v>
      </c>
      <c r="AQ90" s="1273"/>
      <c r="AR90" s="1272">
        <f>AP90+AR89</f>
        <v>0</v>
      </c>
      <c r="AS90" s="1273"/>
      <c r="AT90" s="1272">
        <f>AR90+AT89</f>
        <v>0</v>
      </c>
      <c r="AU90" s="1273"/>
      <c r="AV90" s="1272">
        <f>AT90+AV89</f>
        <v>0</v>
      </c>
      <c r="AW90" s="1273"/>
      <c r="AX90" s="1272">
        <f>AV90+AX89</f>
        <v>0</v>
      </c>
      <c r="AY90" s="1273"/>
      <c r="AZ90" s="1272">
        <f t="shared" ref="AZ90" si="18">AX90+AZ89</f>
        <v>0</v>
      </c>
      <c r="BA90" s="1273"/>
      <c r="BB90" s="1272">
        <f t="shared" ref="BB90" si="19">AZ90+BB89</f>
        <v>0</v>
      </c>
      <c r="BC90" s="1273"/>
      <c r="BD90" s="1272">
        <f t="shared" ref="BD90" si="20">BB90+BD89</f>
        <v>7654.4</v>
      </c>
      <c r="BE90" s="1273"/>
      <c r="BF90" s="1272">
        <f t="shared" ref="BF90" si="21">BD90+BF89</f>
        <v>15308.8</v>
      </c>
      <c r="BG90" s="1273"/>
      <c r="BH90" s="1272">
        <f>BF90+BH89</f>
        <v>22963.199999999997</v>
      </c>
      <c r="BI90" s="1273"/>
      <c r="BJ90" s="1272">
        <f>BH90+BJ89</f>
        <v>30643.199999999997</v>
      </c>
      <c r="BK90" s="1273"/>
      <c r="BL90" s="1272">
        <f>BJ90+BL89</f>
        <v>32000</v>
      </c>
      <c r="BM90" s="1273"/>
      <c r="BN90" s="1272">
        <f>BL90+BN89</f>
        <v>32000</v>
      </c>
      <c r="BO90" s="1273"/>
      <c r="BP90" s="1272">
        <f>BN90+BP89</f>
        <v>32000</v>
      </c>
      <c r="BQ90" s="1273"/>
      <c r="BR90" s="1272">
        <f>BP90+BR89</f>
        <v>32000</v>
      </c>
      <c r="BS90" s="1273"/>
      <c r="BT90" s="1272">
        <f>BR90+BT89</f>
        <v>32000</v>
      </c>
      <c r="BU90" s="1273"/>
      <c r="BV90" s="1272">
        <f>BT90+BV89</f>
        <v>32000</v>
      </c>
      <c r="BW90" s="1273"/>
      <c r="BX90" s="1272">
        <f>BV90+BX89</f>
        <v>32000</v>
      </c>
      <c r="BY90" s="1273"/>
      <c r="BZ90" s="1272">
        <f>BX90+BZ89</f>
        <v>32000</v>
      </c>
      <c r="CA90" s="1273"/>
      <c r="CB90" s="1272">
        <f>BZ90+CB89</f>
        <v>32000</v>
      </c>
      <c r="CC90" s="1273"/>
      <c r="CD90" s="1272">
        <f>CB90+CD89</f>
        <v>32000</v>
      </c>
      <c r="CE90" s="1273"/>
      <c r="CF90" s="1272">
        <f>CD90+CF89</f>
        <v>32000</v>
      </c>
      <c r="CG90" s="1273"/>
      <c r="CH90" s="1272">
        <f>CF90+CH89</f>
        <v>32000</v>
      </c>
      <c r="CI90" s="1273"/>
      <c r="CJ90" s="1272">
        <f>CH90+CJ89</f>
        <v>32000</v>
      </c>
      <c r="CK90" s="1273"/>
      <c r="CL90" s="1272">
        <f>CJ90+CL89</f>
        <v>32000</v>
      </c>
      <c r="CM90" s="1273"/>
      <c r="CN90" s="1272">
        <f>CL90+CN89</f>
        <v>32000</v>
      </c>
      <c r="CO90" s="1273"/>
      <c r="CP90" s="1272">
        <f>CN90+CP89</f>
        <v>32000</v>
      </c>
      <c r="CQ90" s="1273"/>
      <c r="CR90" s="1272">
        <f>CP90+CR89</f>
        <v>32000</v>
      </c>
      <c r="CS90" s="1273"/>
      <c r="CT90" s="1272">
        <f>CR90+CT89</f>
        <v>32000</v>
      </c>
      <c r="CU90" s="1273"/>
      <c r="CV90" s="1272">
        <f>CT90+CV89</f>
        <v>32000</v>
      </c>
      <c r="CW90" s="1273"/>
      <c r="CX90" s="1272">
        <f>CV90+CX89</f>
        <v>32000</v>
      </c>
      <c r="CY90" s="1273"/>
      <c r="CZ90" s="1272">
        <f>CX90+CZ89</f>
        <v>32000</v>
      </c>
      <c r="DA90" s="1273"/>
      <c r="DB90" s="1272">
        <f>CZ90+DB89</f>
        <v>32000</v>
      </c>
      <c r="DC90" s="1273"/>
      <c r="DD90" s="1272">
        <f>DB90+DD89</f>
        <v>32000</v>
      </c>
      <c r="DE90" s="1273"/>
      <c r="DF90" s="1272">
        <f>DD90+DF89</f>
        <v>32000</v>
      </c>
      <c r="DG90" s="1273"/>
      <c r="DH90" s="1272">
        <f>DF90+DH89</f>
        <v>32000</v>
      </c>
      <c r="DI90" s="1273"/>
      <c r="DJ90" s="1323">
        <f>DH90+DJ89</f>
        <v>32000</v>
      </c>
      <c r="DK90" s="1324"/>
      <c r="DL90" s="1272">
        <f>DJ90+DL89</f>
        <v>32000</v>
      </c>
      <c r="DM90" s="1273"/>
      <c r="DN90" s="1272">
        <f>DL90+DN89</f>
        <v>32000</v>
      </c>
      <c r="DO90" s="1273"/>
      <c r="DP90" s="1272">
        <f>DN90+DP89</f>
        <v>32000</v>
      </c>
      <c r="DQ90" s="1273"/>
      <c r="DR90" s="1272">
        <f>DP90+DR89</f>
        <v>32000</v>
      </c>
      <c r="DS90" s="1273"/>
      <c r="DT90" s="1272">
        <f>DR90+DT89</f>
        <v>32000</v>
      </c>
      <c r="DU90" s="1273"/>
      <c r="DV90" s="1272">
        <f>DT90+DV89</f>
        <v>32000</v>
      </c>
      <c r="DW90" s="1273"/>
      <c r="DX90" s="1272">
        <f>DV90+DX89</f>
        <v>32000</v>
      </c>
      <c r="DY90" s="1273"/>
      <c r="DZ90" s="1272">
        <f>DX90+DZ89</f>
        <v>32000</v>
      </c>
      <c r="EA90" s="1273"/>
      <c r="EB90" s="1272">
        <f>DZ90+EB89</f>
        <v>32000</v>
      </c>
      <c r="EC90" s="1273"/>
      <c r="ED90" s="1272">
        <f>EB90+ED89</f>
        <v>32000</v>
      </c>
      <c r="EE90" s="1273"/>
      <c r="EF90" s="1272">
        <f>ED90+EF89</f>
        <v>32000</v>
      </c>
      <c r="EG90" s="1273"/>
      <c r="EH90" s="1272">
        <f>EF90+EH89</f>
        <v>32000</v>
      </c>
      <c r="EI90" s="1273"/>
      <c r="EJ90" s="1272">
        <f>EH90+EJ89</f>
        <v>32000</v>
      </c>
      <c r="EK90" s="1273"/>
      <c r="EL90" s="1272">
        <f>EJ90+EL89</f>
        <v>32000</v>
      </c>
      <c r="EM90" s="1273"/>
      <c r="EN90" s="1272">
        <f>EL90+EN89</f>
        <v>32000</v>
      </c>
      <c r="EO90" s="1273"/>
      <c r="EP90" s="1272">
        <f>EN90+EP89</f>
        <v>32000</v>
      </c>
      <c r="EQ90" s="1273"/>
      <c r="ER90" s="1272">
        <f>EP90+ER89</f>
        <v>32000</v>
      </c>
      <c r="ES90" s="1273"/>
      <c r="ET90" s="1272">
        <f>ER90+ET89</f>
        <v>32000</v>
      </c>
      <c r="EU90" s="1273"/>
      <c r="EV90" s="1272">
        <f>ET90+EV89</f>
        <v>32000</v>
      </c>
      <c r="EW90" s="1273"/>
      <c r="EX90" s="1272">
        <f>EV90+EX89</f>
        <v>32000</v>
      </c>
      <c r="EY90" s="1273"/>
      <c r="EZ90" s="1272">
        <f>EX90+EZ89</f>
        <v>32000</v>
      </c>
      <c r="FA90" s="1273"/>
      <c r="FB90" s="1272">
        <f>EZ90+FB89</f>
        <v>32000</v>
      </c>
      <c r="FC90" s="1273"/>
      <c r="FD90" s="1272">
        <f>FB90+FD89</f>
        <v>32000</v>
      </c>
      <c r="FE90" s="1273"/>
      <c r="FF90" s="1272">
        <f>FD90+FF89</f>
        <v>32000</v>
      </c>
      <c r="FG90" s="1273"/>
      <c r="FH90" s="1272">
        <f>FF90+FH89</f>
        <v>32000</v>
      </c>
      <c r="FI90" s="1273"/>
      <c r="FJ90" s="1272">
        <f>FH90+FJ89</f>
        <v>32000</v>
      </c>
      <c r="FK90" s="1273"/>
      <c r="FL90" s="1272">
        <f>FJ90+FL89</f>
        <v>32000</v>
      </c>
      <c r="FM90" s="1273"/>
      <c r="FN90" s="1272">
        <f>FL90+FN89</f>
        <v>32000</v>
      </c>
      <c r="FO90" s="1273"/>
      <c r="FP90" s="1272">
        <f>FN90+FP89</f>
        <v>32000</v>
      </c>
      <c r="FQ90" s="1273"/>
      <c r="FR90" s="1272">
        <f>FP90+FR89</f>
        <v>32000</v>
      </c>
      <c r="FS90" s="1273"/>
      <c r="FT90" s="1272">
        <f>FR90+FT89</f>
        <v>32000</v>
      </c>
      <c r="FU90" s="1273"/>
      <c r="FV90" s="1272">
        <f>FT90+FV89</f>
        <v>32000</v>
      </c>
      <c r="FW90" s="1273"/>
      <c r="FX90" s="1272">
        <f>FV90+FX89</f>
        <v>32000</v>
      </c>
      <c r="FY90" s="1273"/>
      <c r="FZ90" s="1272">
        <f>FX90+FZ89</f>
        <v>32000</v>
      </c>
      <c r="GA90" s="1273"/>
      <c r="GB90" s="1272">
        <f>FZ90+GB89</f>
        <v>32000</v>
      </c>
      <c r="GC90" s="1273"/>
      <c r="GD90" s="1272">
        <f>GB90+GD89</f>
        <v>32000</v>
      </c>
      <c r="GE90" s="1273"/>
      <c r="GF90" s="1272">
        <f>GD90+GF89</f>
        <v>32000</v>
      </c>
      <c r="GG90" s="1273"/>
      <c r="GH90" s="1272">
        <f>GF90+GH89</f>
        <v>32000</v>
      </c>
      <c r="GI90" s="1273"/>
      <c r="GJ90" s="1272">
        <f>GH90+GJ89</f>
        <v>32000</v>
      </c>
      <c r="GK90" s="1273"/>
      <c r="GL90" s="1272">
        <f>GJ90+GL89</f>
        <v>32000</v>
      </c>
      <c r="GM90" s="1273"/>
      <c r="GN90" s="1272">
        <f>GL90+GN89</f>
        <v>32000</v>
      </c>
      <c r="GO90" s="1273"/>
      <c r="GP90" s="1272">
        <f>GN90+GP89</f>
        <v>32000</v>
      </c>
      <c r="GQ90" s="1273"/>
      <c r="GR90" s="1272">
        <f>GP90+GR89</f>
        <v>32000</v>
      </c>
      <c r="GS90" s="1273"/>
      <c r="GT90" s="1272">
        <f>GR90+GT89</f>
        <v>32000</v>
      </c>
      <c r="GU90" s="1273"/>
      <c r="GV90" s="1272">
        <f>GT90+GV89</f>
        <v>32000</v>
      </c>
      <c r="GW90" s="1273"/>
      <c r="GX90" s="1272">
        <f>GV90+GX89</f>
        <v>32000</v>
      </c>
      <c r="GY90" s="1273"/>
      <c r="GZ90" s="1272">
        <f>GX90+GZ89</f>
        <v>32000</v>
      </c>
      <c r="HA90" s="1273"/>
      <c r="HB90" s="1272">
        <f>GZ90+HB89</f>
        <v>32000</v>
      </c>
      <c r="HC90" s="1273"/>
      <c r="HD90" s="1272">
        <f>HB90+HD89</f>
        <v>32000</v>
      </c>
      <c r="HE90" s="1273"/>
      <c r="HF90" s="1272">
        <f>HD90+HF89</f>
        <v>32000</v>
      </c>
      <c r="HG90" s="1273"/>
      <c r="HH90" s="1272">
        <f>HF90+HH89</f>
        <v>32000</v>
      </c>
      <c r="HI90" s="1273"/>
      <c r="HJ90" s="1272">
        <f>HH90+HJ89</f>
        <v>32000</v>
      </c>
      <c r="HK90" s="1273"/>
    </row>
    <row r="91" spans="1:219" s="19" customFormat="1">
      <c r="A91" s="1299"/>
      <c r="B91" s="1300"/>
      <c r="C91" s="1299"/>
      <c r="D91" s="1301"/>
      <c r="E91" s="1301"/>
      <c r="F91" s="1302"/>
      <c r="G91" s="1301"/>
      <c r="H91" s="788"/>
      <c r="I91" s="1303"/>
      <c r="J91" s="1304"/>
      <c r="K91" s="789" t="s">
        <v>295</v>
      </c>
      <c r="L91" s="1266"/>
      <c r="M91" s="1267"/>
      <c r="N91" s="1266"/>
      <c r="O91" s="1267"/>
      <c r="P91" s="1266"/>
      <c r="Q91" s="1267"/>
      <c r="R91" s="1266"/>
      <c r="S91" s="1267"/>
      <c r="T91" s="1266"/>
      <c r="U91" s="1267"/>
      <c r="V91" s="1266"/>
      <c r="W91" s="1267"/>
      <c r="X91" s="1266"/>
      <c r="Y91" s="1267"/>
      <c r="Z91" s="1266"/>
      <c r="AA91" s="1267"/>
      <c r="AB91" s="1266"/>
      <c r="AC91" s="1267"/>
      <c r="AD91" s="1266"/>
      <c r="AE91" s="1267"/>
      <c r="AF91" s="1266"/>
      <c r="AG91" s="1267"/>
      <c r="AH91" s="1266"/>
      <c r="AI91" s="1267"/>
      <c r="AJ91" s="1266"/>
      <c r="AK91" s="1267"/>
      <c r="AL91" s="1266"/>
      <c r="AM91" s="1267"/>
      <c r="AN91" s="1266"/>
      <c r="AO91" s="1267"/>
      <c r="AP91" s="1266"/>
      <c r="AQ91" s="1267"/>
      <c r="AR91" s="1266"/>
      <c r="AS91" s="1267"/>
      <c r="AT91" s="1266"/>
      <c r="AU91" s="1267"/>
      <c r="AV91" s="1266"/>
      <c r="AW91" s="1267"/>
      <c r="AX91" s="1266"/>
      <c r="AY91" s="1267"/>
      <c r="AZ91" s="1266"/>
      <c r="BA91" s="1267"/>
      <c r="BB91" s="1266"/>
      <c r="BC91" s="1267"/>
      <c r="BD91" s="1266"/>
      <c r="BE91" s="1267"/>
      <c r="BF91" s="1266"/>
      <c r="BG91" s="1267"/>
      <c r="BH91" s="1266"/>
      <c r="BI91" s="1267"/>
      <c r="BJ91" s="1266"/>
      <c r="BK91" s="1267"/>
      <c r="BL91" s="1266"/>
      <c r="BM91" s="1267"/>
      <c r="BN91" s="1266"/>
      <c r="BO91" s="1267"/>
      <c r="BP91" s="1266"/>
      <c r="BQ91" s="1267"/>
      <c r="BR91" s="1266"/>
      <c r="BS91" s="1267"/>
      <c r="BT91" s="1266"/>
      <c r="BU91" s="1267"/>
      <c r="BV91" s="1266"/>
      <c r="BW91" s="1267"/>
      <c r="BX91" s="1266"/>
      <c r="BY91" s="1267"/>
      <c r="BZ91" s="1266"/>
      <c r="CA91" s="1267"/>
      <c r="CB91" s="1266"/>
      <c r="CC91" s="1267"/>
      <c r="CD91" s="1266"/>
      <c r="CE91" s="1267"/>
      <c r="CF91" s="1266"/>
      <c r="CG91" s="1267"/>
      <c r="CH91" s="1266"/>
      <c r="CI91" s="1267"/>
      <c r="CJ91" s="1266"/>
      <c r="CK91" s="1267"/>
      <c r="CL91" s="1266"/>
      <c r="CM91" s="1267"/>
      <c r="CN91" s="1266"/>
      <c r="CO91" s="1267"/>
      <c r="CP91" s="1266"/>
      <c r="CQ91" s="1267"/>
      <c r="CR91" s="1266"/>
      <c r="CS91" s="1267"/>
      <c r="CT91" s="1266"/>
      <c r="CU91" s="1267"/>
      <c r="CV91" s="1266"/>
      <c r="CW91" s="1267"/>
      <c r="CX91" s="1266"/>
      <c r="CY91" s="1267"/>
      <c r="CZ91" s="1266"/>
      <c r="DA91" s="1267"/>
      <c r="DB91" s="1266"/>
      <c r="DC91" s="1267"/>
      <c r="DD91" s="1266"/>
      <c r="DE91" s="1267"/>
      <c r="DF91" s="1266"/>
      <c r="DG91" s="1267"/>
      <c r="DH91" s="1266"/>
      <c r="DI91" s="1267"/>
      <c r="DJ91" s="1268"/>
      <c r="DK91" s="1269"/>
      <c r="DL91" s="1266"/>
      <c r="DM91" s="1267"/>
      <c r="DN91" s="1266"/>
      <c r="DO91" s="1267"/>
      <c r="DP91" s="1266"/>
      <c r="DQ91" s="1267"/>
      <c r="DR91" s="1266"/>
      <c r="DS91" s="1267"/>
      <c r="DT91" s="1266"/>
      <c r="DU91" s="1267"/>
      <c r="DV91" s="1266"/>
      <c r="DW91" s="1267"/>
      <c r="DX91" s="1266"/>
      <c r="DY91" s="1267"/>
      <c r="DZ91" s="1266"/>
      <c r="EA91" s="1267"/>
      <c r="EB91" s="1266"/>
      <c r="EC91" s="1267"/>
      <c r="ED91" s="1266"/>
      <c r="EE91" s="1267"/>
      <c r="EF91" s="1266"/>
      <c r="EG91" s="1267"/>
      <c r="EH91" s="1266"/>
      <c r="EI91" s="1267"/>
      <c r="EJ91" s="1266"/>
      <c r="EK91" s="1267"/>
      <c r="EL91" s="1266"/>
      <c r="EM91" s="1267"/>
      <c r="EN91" s="1266"/>
      <c r="EO91" s="1267"/>
      <c r="EP91" s="1266"/>
      <c r="EQ91" s="1267"/>
      <c r="ER91" s="1266"/>
      <c r="ES91" s="1267"/>
      <c r="ET91" s="1266"/>
      <c r="EU91" s="1267"/>
      <c r="EV91" s="1266"/>
      <c r="EW91" s="1267"/>
      <c r="EX91" s="1266"/>
      <c r="EY91" s="1267"/>
      <c r="EZ91" s="1266"/>
      <c r="FA91" s="1267"/>
      <c r="FB91" s="1266"/>
      <c r="FC91" s="1267"/>
      <c r="FD91" s="1266"/>
      <c r="FE91" s="1267"/>
      <c r="FF91" s="1266"/>
      <c r="FG91" s="1267"/>
      <c r="FH91" s="1266"/>
      <c r="FI91" s="1267"/>
      <c r="FJ91" s="1266"/>
      <c r="FK91" s="1267"/>
      <c r="FL91" s="1266"/>
      <c r="FM91" s="1267"/>
      <c r="FN91" s="1266"/>
      <c r="FO91" s="1267"/>
      <c r="FP91" s="1266"/>
      <c r="FQ91" s="1267"/>
      <c r="FR91" s="1266"/>
      <c r="FS91" s="1267"/>
      <c r="FT91" s="1266"/>
      <c r="FU91" s="1267"/>
      <c r="FV91" s="1266"/>
      <c r="FW91" s="1267"/>
      <c r="FX91" s="1266"/>
      <c r="FY91" s="1267"/>
      <c r="FZ91" s="1266"/>
      <c r="GA91" s="1267"/>
      <c r="GB91" s="1266"/>
      <c r="GC91" s="1267"/>
      <c r="GD91" s="1266"/>
      <c r="GE91" s="1267"/>
      <c r="GF91" s="1266"/>
      <c r="GG91" s="1267"/>
      <c r="GH91" s="1266"/>
      <c r="GI91" s="1267"/>
      <c r="GJ91" s="1266"/>
      <c r="GK91" s="1267"/>
      <c r="GL91" s="1266"/>
      <c r="GM91" s="1267"/>
      <c r="GN91" s="1266"/>
      <c r="GO91" s="1267"/>
      <c r="GP91" s="1266"/>
      <c r="GQ91" s="1267"/>
      <c r="GR91" s="1266"/>
      <c r="GS91" s="1267"/>
      <c r="GT91" s="1266"/>
      <c r="GU91" s="1267"/>
      <c r="GV91" s="1266"/>
      <c r="GW91" s="1267"/>
      <c r="GX91" s="1266"/>
      <c r="GY91" s="1267"/>
      <c r="GZ91" s="1266"/>
      <c r="HA91" s="1267"/>
      <c r="HB91" s="1266"/>
      <c r="HC91" s="1267"/>
      <c r="HD91" s="1266"/>
      <c r="HE91" s="1267"/>
      <c r="HF91" s="1266"/>
      <c r="HG91" s="1267"/>
      <c r="HH91" s="1266"/>
      <c r="HI91" s="1267"/>
      <c r="HJ91" s="1266"/>
      <c r="HK91" s="1267"/>
    </row>
    <row r="92" spans="1:219" s="20" customFormat="1">
      <c r="A92" s="1299"/>
      <c r="B92" s="1300"/>
      <c r="C92" s="1299"/>
      <c r="D92" s="1301"/>
      <c r="E92" s="1301"/>
      <c r="F92" s="1302"/>
      <c r="G92" s="1301"/>
      <c r="H92" s="790"/>
      <c r="I92" s="1303"/>
      <c r="J92" s="1304"/>
      <c r="K92" s="791" t="s">
        <v>296</v>
      </c>
      <c r="L92" s="1259">
        <f>L91</f>
        <v>0</v>
      </c>
      <c r="M92" s="1260"/>
      <c r="N92" s="1259">
        <f>N91+L92</f>
        <v>0</v>
      </c>
      <c r="O92" s="1260"/>
      <c r="P92" s="1259">
        <f>P91+N92</f>
        <v>0</v>
      </c>
      <c r="Q92" s="1260"/>
      <c r="R92" s="1259">
        <f>R91+P92</f>
        <v>0</v>
      </c>
      <c r="S92" s="1260"/>
      <c r="T92" s="1259">
        <f>T91+R92</f>
        <v>0</v>
      </c>
      <c r="U92" s="1260"/>
      <c r="V92" s="1259">
        <f>V91+T92</f>
        <v>0</v>
      </c>
      <c r="W92" s="1260"/>
      <c r="X92" s="1259">
        <f>X91+V92</f>
        <v>0</v>
      </c>
      <c r="Y92" s="1260"/>
      <c r="Z92" s="1259">
        <f>Z91+X92</f>
        <v>0</v>
      </c>
      <c r="AA92" s="1260"/>
      <c r="AB92" s="1259">
        <f>AB91+Z92</f>
        <v>0</v>
      </c>
      <c r="AC92" s="1260"/>
      <c r="AD92" s="1259">
        <f>AD91+AB92</f>
        <v>0</v>
      </c>
      <c r="AE92" s="1260"/>
      <c r="AF92" s="1259">
        <f>AF91+AD92</f>
        <v>0</v>
      </c>
      <c r="AG92" s="1260"/>
      <c r="AH92" s="1259">
        <f>AH91+AF92</f>
        <v>0</v>
      </c>
      <c r="AI92" s="1260"/>
      <c r="AJ92" s="1259">
        <f>AJ91+AH92</f>
        <v>0</v>
      </c>
      <c r="AK92" s="1260"/>
      <c r="AL92" s="1259">
        <f>AL91+AJ92</f>
        <v>0</v>
      </c>
      <c r="AM92" s="1260"/>
      <c r="AN92" s="1259">
        <f>AN91+AL92</f>
        <v>0</v>
      </c>
      <c r="AO92" s="1260"/>
      <c r="AP92" s="1259">
        <f>AP91+AN92</f>
        <v>0</v>
      </c>
      <c r="AQ92" s="1260"/>
      <c r="AR92" s="1259">
        <f>AR91+AP92</f>
        <v>0</v>
      </c>
      <c r="AS92" s="1260"/>
      <c r="AT92" s="1259">
        <f>AT91+AR92</f>
        <v>0</v>
      </c>
      <c r="AU92" s="1260"/>
      <c r="AV92" s="1259">
        <f>AV91+AT92</f>
        <v>0</v>
      </c>
      <c r="AW92" s="1260"/>
      <c r="AX92" s="1259">
        <f>AX91+AV92</f>
        <v>0</v>
      </c>
      <c r="AY92" s="1260"/>
      <c r="AZ92" s="1259">
        <f>AZ91+AX92</f>
        <v>0</v>
      </c>
      <c r="BA92" s="1260"/>
      <c r="BB92" s="1259">
        <f>BB91+AZ92</f>
        <v>0</v>
      </c>
      <c r="BC92" s="1260"/>
      <c r="BD92" s="1259">
        <f>BD91+BB92</f>
        <v>0</v>
      </c>
      <c r="BE92" s="1260"/>
      <c r="BF92" s="1259">
        <f>BF91+BD92</f>
        <v>0</v>
      </c>
      <c r="BG92" s="1260"/>
      <c r="BH92" s="1259">
        <f>BH91+BF92</f>
        <v>0</v>
      </c>
      <c r="BI92" s="1260"/>
      <c r="BJ92" s="1259">
        <f>BJ91+BH92</f>
        <v>0</v>
      </c>
      <c r="BK92" s="1260"/>
      <c r="BL92" s="1259">
        <f>BL91+BJ92</f>
        <v>0</v>
      </c>
      <c r="BM92" s="1260"/>
      <c r="BN92" s="1259">
        <f>BN91+BL92</f>
        <v>0</v>
      </c>
      <c r="BO92" s="1260"/>
      <c r="BP92" s="1259">
        <f>BP91+BN92</f>
        <v>0</v>
      </c>
      <c r="BQ92" s="1260"/>
      <c r="BR92" s="1259">
        <f>BR91+BP92</f>
        <v>0</v>
      </c>
      <c r="BS92" s="1260"/>
      <c r="BT92" s="1259">
        <f>BT91+BR92</f>
        <v>0</v>
      </c>
      <c r="BU92" s="1260"/>
      <c r="BV92" s="1259">
        <f>BV91+BT92</f>
        <v>0</v>
      </c>
      <c r="BW92" s="1260"/>
      <c r="BX92" s="1259">
        <f>BX91+BV92</f>
        <v>0</v>
      </c>
      <c r="BY92" s="1260"/>
      <c r="BZ92" s="1259">
        <f>BZ91+BX92</f>
        <v>0</v>
      </c>
      <c r="CA92" s="1260"/>
      <c r="CB92" s="1259">
        <f>CB91+BZ92</f>
        <v>0</v>
      </c>
      <c r="CC92" s="1260"/>
      <c r="CD92" s="1259">
        <f>CD91+CB92</f>
        <v>0</v>
      </c>
      <c r="CE92" s="1260"/>
      <c r="CF92" s="1259">
        <f>CF91+CD92</f>
        <v>0</v>
      </c>
      <c r="CG92" s="1260"/>
      <c r="CH92" s="1259">
        <f>CH91+CF92</f>
        <v>0</v>
      </c>
      <c r="CI92" s="1260"/>
      <c r="CJ92" s="1259">
        <f>CJ91+CH92</f>
        <v>0</v>
      </c>
      <c r="CK92" s="1260"/>
      <c r="CL92" s="1259">
        <f>CL91+CJ92</f>
        <v>0</v>
      </c>
      <c r="CM92" s="1260"/>
      <c r="CN92" s="1259">
        <f>CN91+CL92</f>
        <v>0</v>
      </c>
      <c r="CO92" s="1260"/>
      <c r="CP92" s="1259">
        <f>CP91+CN92</f>
        <v>0</v>
      </c>
      <c r="CQ92" s="1260"/>
      <c r="CR92" s="1259">
        <f>CR91+CP92</f>
        <v>0</v>
      </c>
      <c r="CS92" s="1260"/>
      <c r="CT92" s="1259">
        <f>CT91+CR92</f>
        <v>0</v>
      </c>
      <c r="CU92" s="1260"/>
      <c r="CV92" s="1259">
        <f>CV91+CT92</f>
        <v>0</v>
      </c>
      <c r="CW92" s="1260"/>
      <c r="CX92" s="1259">
        <f>CX91+CV92</f>
        <v>0</v>
      </c>
      <c r="CY92" s="1260"/>
      <c r="CZ92" s="1259">
        <f>CZ91+CX92</f>
        <v>0</v>
      </c>
      <c r="DA92" s="1260"/>
      <c r="DB92" s="1259">
        <f>DB91+CZ92</f>
        <v>0</v>
      </c>
      <c r="DC92" s="1260"/>
      <c r="DD92" s="1259">
        <f>DD91+DB92</f>
        <v>0</v>
      </c>
      <c r="DE92" s="1260"/>
      <c r="DF92" s="1259">
        <f>DF91+DD92</f>
        <v>0</v>
      </c>
      <c r="DG92" s="1260"/>
      <c r="DH92" s="1259">
        <f>DH91+DF92</f>
        <v>0</v>
      </c>
      <c r="DI92" s="1260"/>
      <c r="DJ92" s="1261">
        <f>DJ91+DH92</f>
        <v>0</v>
      </c>
      <c r="DK92" s="1262"/>
      <c r="DL92" s="1259">
        <f>DL91+DJ92</f>
        <v>0</v>
      </c>
      <c r="DM92" s="1260"/>
      <c r="DN92" s="1259">
        <f>DN91+DL92</f>
        <v>0</v>
      </c>
      <c r="DO92" s="1260"/>
      <c r="DP92" s="1259">
        <f>DP91+DN92</f>
        <v>0</v>
      </c>
      <c r="DQ92" s="1260"/>
      <c r="DR92" s="1259">
        <f>DR91+DP92</f>
        <v>0</v>
      </c>
      <c r="DS92" s="1260"/>
      <c r="DT92" s="1259">
        <f>DT91+DR92</f>
        <v>0</v>
      </c>
      <c r="DU92" s="1260"/>
      <c r="DV92" s="1259">
        <f>DV91+DT92</f>
        <v>0</v>
      </c>
      <c r="DW92" s="1260"/>
      <c r="DX92" s="1259">
        <f>DX91+DV92</f>
        <v>0</v>
      </c>
      <c r="DY92" s="1260"/>
      <c r="DZ92" s="1259">
        <f>DZ91+DX92</f>
        <v>0</v>
      </c>
      <c r="EA92" s="1260"/>
      <c r="EB92" s="1259">
        <f>EB91+DZ92</f>
        <v>0</v>
      </c>
      <c r="EC92" s="1260"/>
      <c r="ED92" s="1259">
        <f>ED91+EB92</f>
        <v>0</v>
      </c>
      <c r="EE92" s="1260"/>
      <c r="EF92" s="1259">
        <f>EF91+ED92</f>
        <v>0</v>
      </c>
      <c r="EG92" s="1260"/>
      <c r="EH92" s="1259">
        <f>EH91+EF92</f>
        <v>0</v>
      </c>
      <c r="EI92" s="1260"/>
      <c r="EJ92" s="1259">
        <f>EJ91+EH92</f>
        <v>0</v>
      </c>
      <c r="EK92" s="1260"/>
      <c r="EL92" s="1259">
        <f>EL91+EJ92</f>
        <v>0</v>
      </c>
      <c r="EM92" s="1260"/>
      <c r="EN92" s="1259">
        <f>EN91+EL92</f>
        <v>0</v>
      </c>
      <c r="EO92" s="1260"/>
      <c r="EP92" s="1259">
        <f>EP91+EN92</f>
        <v>0</v>
      </c>
      <c r="EQ92" s="1260"/>
      <c r="ER92" s="1259">
        <f>ER91+EP92</f>
        <v>0</v>
      </c>
      <c r="ES92" s="1260"/>
      <c r="ET92" s="1259">
        <f>ET91+ER92</f>
        <v>0</v>
      </c>
      <c r="EU92" s="1260"/>
      <c r="EV92" s="1259">
        <f>EV91+ET92</f>
        <v>0</v>
      </c>
      <c r="EW92" s="1260"/>
      <c r="EX92" s="1259">
        <f>EX91+EV92</f>
        <v>0</v>
      </c>
      <c r="EY92" s="1260"/>
      <c r="EZ92" s="1259">
        <f>EZ91+EX92</f>
        <v>0</v>
      </c>
      <c r="FA92" s="1260"/>
      <c r="FB92" s="1259">
        <f>FB91+EZ92</f>
        <v>0</v>
      </c>
      <c r="FC92" s="1260"/>
      <c r="FD92" s="1259">
        <f>FD91+FB92</f>
        <v>0</v>
      </c>
      <c r="FE92" s="1260"/>
      <c r="FF92" s="1259">
        <f>FF91+FD92</f>
        <v>0</v>
      </c>
      <c r="FG92" s="1260"/>
      <c r="FH92" s="1259">
        <f>FH91+FF92</f>
        <v>0</v>
      </c>
      <c r="FI92" s="1260"/>
      <c r="FJ92" s="1259">
        <f>FJ91+FH92</f>
        <v>0</v>
      </c>
      <c r="FK92" s="1260"/>
      <c r="FL92" s="1259">
        <f>FL91+FJ92</f>
        <v>0</v>
      </c>
      <c r="FM92" s="1260"/>
      <c r="FN92" s="1259">
        <f>FN91+FL92</f>
        <v>0</v>
      </c>
      <c r="FO92" s="1260"/>
      <c r="FP92" s="1259">
        <f>FP91+FN92</f>
        <v>0</v>
      </c>
      <c r="FQ92" s="1260"/>
      <c r="FR92" s="1259">
        <f>FR91+FP92</f>
        <v>0</v>
      </c>
      <c r="FS92" s="1260"/>
      <c r="FT92" s="1259">
        <f>FT91+FR92</f>
        <v>0</v>
      </c>
      <c r="FU92" s="1260"/>
      <c r="FV92" s="1259">
        <f>FV91+FT92</f>
        <v>0</v>
      </c>
      <c r="FW92" s="1260"/>
      <c r="FX92" s="1259">
        <f>FX91+FV92</f>
        <v>0</v>
      </c>
      <c r="FY92" s="1260"/>
      <c r="FZ92" s="1259">
        <f>FZ91+FX92</f>
        <v>0</v>
      </c>
      <c r="GA92" s="1260"/>
      <c r="GB92" s="1259">
        <f>GB91+FZ92</f>
        <v>0</v>
      </c>
      <c r="GC92" s="1260"/>
      <c r="GD92" s="1259">
        <f>GD91+GB92</f>
        <v>0</v>
      </c>
      <c r="GE92" s="1260"/>
      <c r="GF92" s="1259">
        <f>GF91+GD92</f>
        <v>0</v>
      </c>
      <c r="GG92" s="1260"/>
      <c r="GH92" s="1259">
        <f>GH91+GF92</f>
        <v>0</v>
      </c>
      <c r="GI92" s="1260"/>
      <c r="GJ92" s="1259">
        <f>GJ91+GH92</f>
        <v>0</v>
      </c>
      <c r="GK92" s="1260"/>
      <c r="GL92" s="1259">
        <f>GL91+GJ92</f>
        <v>0</v>
      </c>
      <c r="GM92" s="1260"/>
      <c r="GN92" s="1259">
        <f>GN91+GL92</f>
        <v>0</v>
      </c>
      <c r="GO92" s="1260"/>
      <c r="GP92" s="1259">
        <f>GP91+GN92</f>
        <v>0</v>
      </c>
      <c r="GQ92" s="1260"/>
      <c r="GR92" s="1259">
        <f>GR91+GP92</f>
        <v>0</v>
      </c>
      <c r="GS92" s="1260"/>
      <c r="GT92" s="1259">
        <f>GT91+GR92</f>
        <v>0</v>
      </c>
      <c r="GU92" s="1260"/>
      <c r="GV92" s="1259">
        <f>GV91+GT92</f>
        <v>0</v>
      </c>
      <c r="GW92" s="1260"/>
      <c r="GX92" s="1259">
        <f>GX91+GV92</f>
        <v>0</v>
      </c>
      <c r="GY92" s="1260"/>
      <c r="GZ92" s="1259">
        <f>GZ91+GX92</f>
        <v>0</v>
      </c>
      <c r="HA92" s="1260"/>
      <c r="HB92" s="1259">
        <f>HB91+GZ92</f>
        <v>0</v>
      </c>
      <c r="HC92" s="1260"/>
      <c r="HD92" s="1259">
        <f>HD91+HB92</f>
        <v>0</v>
      </c>
      <c r="HE92" s="1260"/>
      <c r="HF92" s="1259">
        <f>HF91+HD92</f>
        <v>0</v>
      </c>
      <c r="HG92" s="1260"/>
      <c r="HH92" s="1259">
        <f>HH91+HF92</f>
        <v>0</v>
      </c>
      <c r="HI92" s="1260"/>
      <c r="HJ92" s="1259">
        <f>HJ91+HH92</f>
        <v>0</v>
      </c>
      <c r="HK92" s="1260"/>
    </row>
    <row r="93" spans="1:219" s="21" customFormat="1">
      <c r="A93" s="1299"/>
      <c r="B93" s="1300"/>
      <c r="C93" s="1299"/>
      <c r="D93" s="1301"/>
      <c r="E93" s="1301"/>
      <c r="F93" s="1302"/>
      <c r="G93" s="1301"/>
      <c r="H93" s="792"/>
      <c r="I93" s="1303"/>
      <c r="J93" s="1304"/>
      <c r="K93" s="793" t="s">
        <v>297</v>
      </c>
      <c r="L93" s="1270">
        <f>IF($E87&gt;0,L90/$E87,"-")</f>
        <v>0</v>
      </c>
      <c r="M93" s="1271"/>
      <c r="N93" s="1270">
        <f>IF($E87&gt;0,N90/$E87,"-")</f>
        <v>0</v>
      </c>
      <c r="O93" s="1271"/>
      <c r="P93" s="1270">
        <f>IF($E87&gt;0,P90/$E87,"-")</f>
        <v>0</v>
      </c>
      <c r="Q93" s="1271"/>
      <c r="R93" s="1270">
        <f>IF($E87&gt;0,R90/$E87,"-")</f>
        <v>0</v>
      </c>
      <c r="S93" s="1271"/>
      <c r="T93" s="1270">
        <f>IF($E87&gt;0,T90/$E87,"-")</f>
        <v>0</v>
      </c>
      <c r="U93" s="1271"/>
      <c r="V93" s="1270">
        <f>IF($E87&gt;0,V90/$E87,"-")</f>
        <v>0</v>
      </c>
      <c r="W93" s="1271"/>
      <c r="X93" s="1270">
        <f>IF($E87&gt;0,X90/$E87,"-")</f>
        <v>0</v>
      </c>
      <c r="Y93" s="1271"/>
      <c r="Z93" s="1270">
        <f>IF($E87&gt;0,Z90/$E87,"-")</f>
        <v>0</v>
      </c>
      <c r="AA93" s="1271"/>
      <c r="AB93" s="1270">
        <f>IF($E87&gt;0,AB90/$E87,"-")</f>
        <v>0</v>
      </c>
      <c r="AC93" s="1271"/>
      <c r="AD93" s="1270">
        <f>IF($E87&gt;0,AD90/$E87,"-")</f>
        <v>0</v>
      </c>
      <c r="AE93" s="1271"/>
      <c r="AF93" s="1270">
        <f>IF($E87&gt;0,AF90/$E87,"-")</f>
        <v>0</v>
      </c>
      <c r="AG93" s="1271"/>
      <c r="AH93" s="1270">
        <f>IF($E87&gt;0,AH90/$E87,"-")</f>
        <v>0</v>
      </c>
      <c r="AI93" s="1271"/>
      <c r="AJ93" s="1270">
        <f>IF($E87&gt;0,AJ90/$E87,"-")</f>
        <v>0</v>
      </c>
      <c r="AK93" s="1271"/>
      <c r="AL93" s="1270">
        <f>IF($E87&gt;0,AL90/$E87,"-")</f>
        <v>0</v>
      </c>
      <c r="AM93" s="1271"/>
      <c r="AN93" s="1270">
        <f>IF($E87&gt;0,AN90/$E87,"-")</f>
        <v>0</v>
      </c>
      <c r="AO93" s="1271"/>
      <c r="AP93" s="1270">
        <f>IF($E87&gt;0,AP90/$E87,"-")</f>
        <v>0</v>
      </c>
      <c r="AQ93" s="1271"/>
      <c r="AR93" s="1270">
        <f>IF($E87&gt;0,AR90/$E87,"-")</f>
        <v>0</v>
      </c>
      <c r="AS93" s="1271"/>
      <c r="AT93" s="1270">
        <f>IF($E87&gt;0,AT90/$E87,"-")</f>
        <v>0</v>
      </c>
      <c r="AU93" s="1271"/>
      <c r="AV93" s="1270">
        <f>IF($E87&gt;0,AV90/$E87,"-")</f>
        <v>0</v>
      </c>
      <c r="AW93" s="1271"/>
      <c r="AX93" s="1270">
        <f>IF($E87&gt;0,AX90/$E87,"-")</f>
        <v>0</v>
      </c>
      <c r="AY93" s="1271"/>
      <c r="AZ93" s="1270">
        <f>IF($E87&gt;0,AZ90/$E87,"-")</f>
        <v>0</v>
      </c>
      <c r="BA93" s="1271"/>
      <c r="BB93" s="1270">
        <f>IF($E87&gt;0,BB90/$E87,"-")</f>
        <v>0</v>
      </c>
      <c r="BC93" s="1271"/>
      <c r="BD93" s="1270">
        <f>IF($E87&gt;0,BD90/$E87,"-")</f>
        <v>0.2392</v>
      </c>
      <c r="BE93" s="1271"/>
      <c r="BF93" s="1270">
        <f>IF($E87&gt;0,BF90/$E87,"-")</f>
        <v>0.47839999999999999</v>
      </c>
      <c r="BG93" s="1271"/>
      <c r="BH93" s="1270">
        <f>IF($E87&gt;0,BH90/$E87,"-")</f>
        <v>0.7175999999999999</v>
      </c>
      <c r="BI93" s="1271"/>
      <c r="BJ93" s="1270">
        <f>IF($E87&gt;0,BJ90/$E87,"-")</f>
        <v>0.9575999999999999</v>
      </c>
      <c r="BK93" s="1271"/>
      <c r="BL93" s="1270">
        <f>IF($E87&gt;0,BL90/$E87,"-")</f>
        <v>1</v>
      </c>
      <c r="BM93" s="1271"/>
      <c r="BN93" s="1270">
        <f>IF($E87&gt;0,BN90/$E87,"-")</f>
        <v>1</v>
      </c>
      <c r="BO93" s="1271"/>
      <c r="BP93" s="1270">
        <f>IF($E87&gt;0,BP90/$E87,"-")</f>
        <v>1</v>
      </c>
      <c r="BQ93" s="1271"/>
      <c r="BR93" s="1270">
        <f>IF($E87&gt;0,BR90/$E87,"-")</f>
        <v>1</v>
      </c>
      <c r="BS93" s="1271"/>
      <c r="BT93" s="1270">
        <f>IF($E87&gt;0,BT90/$E87,"-")</f>
        <v>1</v>
      </c>
      <c r="BU93" s="1271"/>
      <c r="BV93" s="1270">
        <f>IF($E87&gt;0,BV90/$E87,"-")</f>
        <v>1</v>
      </c>
      <c r="BW93" s="1271"/>
      <c r="BX93" s="1270">
        <f>IF($E87&gt;0,BX90/$E87,"-")</f>
        <v>1</v>
      </c>
      <c r="BY93" s="1271"/>
      <c r="BZ93" s="1270">
        <f>IF($E87&gt;0,BZ90/$E87,"-")</f>
        <v>1</v>
      </c>
      <c r="CA93" s="1271"/>
      <c r="CB93" s="1270">
        <f>IF($E87&gt;0,CB90/$E87,"-")</f>
        <v>1</v>
      </c>
      <c r="CC93" s="1271"/>
      <c r="CD93" s="1270">
        <f>IF($E87&gt;0,CD90/$E87,"-")</f>
        <v>1</v>
      </c>
      <c r="CE93" s="1271"/>
      <c r="CF93" s="1270">
        <f>IF($E87&gt;0,CF90/$E87,"-")</f>
        <v>1</v>
      </c>
      <c r="CG93" s="1271"/>
      <c r="CH93" s="1270">
        <f>IF($E87&gt;0,CH90/$E87,"-")</f>
        <v>1</v>
      </c>
      <c r="CI93" s="1271"/>
      <c r="CJ93" s="1270">
        <f>IF($E87&gt;0,CJ90/$E87,"-")</f>
        <v>1</v>
      </c>
      <c r="CK93" s="1271"/>
      <c r="CL93" s="1270">
        <f>IF($E87&gt;0,CL90/$E87,"-")</f>
        <v>1</v>
      </c>
      <c r="CM93" s="1271"/>
      <c r="CN93" s="1270">
        <f>IF($E87&gt;0,CN90/$E87,"-")</f>
        <v>1</v>
      </c>
      <c r="CO93" s="1271"/>
      <c r="CP93" s="1270">
        <f>IF($E87&gt;0,CP90/$E87,"-")</f>
        <v>1</v>
      </c>
      <c r="CQ93" s="1271"/>
      <c r="CR93" s="1270">
        <f>IF($E87&gt;0,CR90/$E87,"-")</f>
        <v>1</v>
      </c>
      <c r="CS93" s="1271"/>
      <c r="CT93" s="1270">
        <f>IF($E87&gt;0,CT90/$E87,"-")</f>
        <v>1</v>
      </c>
      <c r="CU93" s="1271"/>
      <c r="CV93" s="1270">
        <f>IF($E87&gt;0,CV90/$E87,"-")</f>
        <v>1</v>
      </c>
      <c r="CW93" s="1271"/>
      <c r="CX93" s="1270">
        <f>IF($E87&gt;0,CX90/$E87,"-")</f>
        <v>1</v>
      </c>
      <c r="CY93" s="1271"/>
      <c r="CZ93" s="1270">
        <f>IF($E87&gt;0,CZ90/$E87,"-")</f>
        <v>1</v>
      </c>
      <c r="DA93" s="1271"/>
      <c r="DB93" s="1270">
        <f>IF($E87&gt;0,DB90/$E87,"-")</f>
        <v>1</v>
      </c>
      <c r="DC93" s="1271"/>
      <c r="DD93" s="1270">
        <f>IF($E87&gt;0,DD90/$E87,"-")</f>
        <v>1</v>
      </c>
      <c r="DE93" s="1271"/>
      <c r="DF93" s="1270">
        <f>IF($E87&gt;0,DF90/$E87,"-")</f>
        <v>1</v>
      </c>
      <c r="DG93" s="1271"/>
      <c r="DH93" s="1270">
        <f>IF($E87&gt;0,DH90/$E87,"-")</f>
        <v>1</v>
      </c>
      <c r="DI93" s="1271"/>
      <c r="DJ93" s="1325">
        <f>IF($E87&gt;0,DJ90/$E87,"-")</f>
        <v>1</v>
      </c>
      <c r="DK93" s="1326"/>
      <c r="DL93" s="1270">
        <f>IF($E87&gt;0,DL90/$E87,"-")</f>
        <v>1</v>
      </c>
      <c r="DM93" s="1271"/>
      <c r="DN93" s="1270">
        <f>IF($E87&gt;0,DN90/$E87,"-")</f>
        <v>1</v>
      </c>
      <c r="DO93" s="1271"/>
      <c r="DP93" s="1270">
        <f>IF($E87&gt;0,DP90/$E87,"-")</f>
        <v>1</v>
      </c>
      <c r="DQ93" s="1271"/>
      <c r="DR93" s="1270">
        <f>IF($E87&gt;0,DR90/$E87,"-")</f>
        <v>1</v>
      </c>
      <c r="DS93" s="1271"/>
      <c r="DT93" s="1270">
        <f>IF($E87&gt;0,DT90/$E87,"-")</f>
        <v>1</v>
      </c>
      <c r="DU93" s="1271"/>
      <c r="DV93" s="1270">
        <f>IF($E87&gt;0,DV90/$E87,"-")</f>
        <v>1</v>
      </c>
      <c r="DW93" s="1271"/>
      <c r="DX93" s="1270">
        <f>IF($E87&gt;0,DX90/$E87,"-")</f>
        <v>1</v>
      </c>
      <c r="DY93" s="1271"/>
      <c r="DZ93" s="1270">
        <f>IF($E87&gt;0,DZ90/$E87,"-")</f>
        <v>1</v>
      </c>
      <c r="EA93" s="1271"/>
      <c r="EB93" s="1270">
        <f>IF($E87&gt;0,EB90/$E87,"-")</f>
        <v>1</v>
      </c>
      <c r="EC93" s="1271"/>
      <c r="ED93" s="1270">
        <f>IF($E87&gt;0,ED90/$E87,"-")</f>
        <v>1</v>
      </c>
      <c r="EE93" s="1271"/>
      <c r="EF93" s="1270">
        <f>IF($E87&gt;0,EF90/$E87,"-")</f>
        <v>1</v>
      </c>
      <c r="EG93" s="1271"/>
      <c r="EH93" s="1270">
        <f>IF($E87&gt;0,EH90/$E87,"-")</f>
        <v>1</v>
      </c>
      <c r="EI93" s="1271"/>
      <c r="EJ93" s="1270">
        <f>IF($E87&gt;0,EJ90/$E87,"-")</f>
        <v>1</v>
      </c>
      <c r="EK93" s="1271"/>
      <c r="EL93" s="1270">
        <f>IF($E87&gt;0,EL90/$E87,"-")</f>
        <v>1</v>
      </c>
      <c r="EM93" s="1271"/>
      <c r="EN93" s="1270">
        <f>IF($E87&gt;0,EN90/$E87,"-")</f>
        <v>1</v>
      </c>
      <c r="EO93" s="1271"/>
      <c r="EP93" s="1270">
        <f>IF($E87&gt;0,EP90/$E87,"-")</f>
        <v>1</v>
      </c>
      <c r="EQ93" s="1271"/>
      <c r="ER93" s="1270">
        <f>IF($E87&gt;0,ER90/$E87,"-")</f>
        <v>1</v>
      </c>
      <c r="ES93" s="1271"/>
      <c r="ET93" s="1270">
        <f>IF($E87&gt;0,ET90/$E87,"-")</f>
        <v>1</v>
      </c>
      <c r="EU93" s="1271"/>
      <c r="EV93" s="1270">
        <f>IF($E87&gt;0,EV90/$E87,"-")</f>
        <v>1</v>
      </c>
      <c r="EW93" s="1271"/>
      <c r="EX93" s="1270">
        <f>IF($E87&gt;0,EX90/$E87,"-")</f>
        <v>1</v>
      </c>
      <c r="EY93" s="1271"/>
      <c r="EZ93" s="1270">
        <f>IF($E87&gt;0,EZ90/$E87,"-")</f>
        <v>1</v>
      </c>
      <c r="FA93" s="1271"/>
      <c r="FB93" s="1270">
        <f>IF($E87&gt;0,FB90/$E87,"-")</f>
        <v>1</v>
      </c>
      <c r="FC93" s="1271"/>
      <c r="FD93" s="1270">
        <f>IF($E87&gt;0,FD90/$E87,"-")</f>
        <v>1</v>
      </c>
      <c r="FE93" s="1271"/>
      <c r="FF93" s="1270">
        <f>IF($E87&gt;0,FF90/$E87,"-")</f>
        <v>1</v>
      </c>
      <c r="FG93" s="1271"/>
      <c r="FH93" s="1270">
        <f>IF($E87&gt;0,FH90/$E87,"-")</f>
        <v>1</v>
      </c>
      <c r="FI93" s="1271"/>
      <c r="FJ93" s="1270">
        <f>IF($E87&gt;0,FJ90/$E87,"-")</f>
        <v>1</v>
      </c>
      <c r="FK93" s="1271"/>
      <c r="FL93" s="1270">
        <f>IF($E87&gt;0,FL90/$E87,"-")</f>
        <v>1</v>
      </c>
      <c r="FM93" s="1271"/>
      <c r="FN93" s="1270">
        <f>IF($E87&gt;0,FN90/$E87,"-")</f>
        <v>1</v>
      </c>
      <c r="FO93" s="1271"/>
      <c r="FP93" s="1270">
        <f>IF($E87&gt;0,FP90/$E87,"-")</f>
        <v>1</v>
      </c>
      <c r="FQ93" s="1271"/>
      <c r="FR93" s="1270">
        <f>IF($E87&gt;0,FR90/$E87,"-")</f>
        <v>1</v>
      </c>
      <c r="FS93" s="1271"/>
      <c r="FT93" s="1270">
        <f>IF($E87&gt;0,FT90/$E87,"-")</f>
        <v>1</v>
      </c>
      <c r="FU93" s="1271"/>
      <c r="FV93" s="1270">
        <f>IF($E87&gt;0,FV90/$E87,"-")</f>
        <v>1</v>
      </c>
      <c r="FW93" s="1271"/>
      <c r="FX93" s="1270">
        <f>IF($E87&gt;0,FX90/$E87,"-")</f>
        <v>1</v>
      </c>
      <c r="FY93" s="1271"/>
      <c r="FZ93" s="1270">
        <f>IF($E87&gt;0,FZ90/$E87,"-")</f>
        <v>1</v>
      </c>
      <c r="GA93" s="1271"/>
      <c r="GB93" s="1270">
        <f>IF($E87&gt;0,GB90/$E87,"-")</f>
        <v>1</v>
      </c>
      <c r="GC93" s="1271"/>
      <c r="GD93" s="1270">
        <f>IF($E87&gt;0,GD90/$E87,"-")</f>
        <v>1</v>
      </c>
      <c r="GE93" s="1271"/>
      <c r="GF93" s="1270">
        <f>IF($E87&gt;0,GF90/$E87,"-")</f>
        <v>1</v>
      </c>
      <c r="GG93" s="1271"/>
      <c r="GH93" s="1270">
        <f>IF($E87&gt;0,GH90/$E87,"-")</f>
        <v>1</v>
      </c>
      <c r="GI93" s="1271"/>
      <c r="GJ93" s="1270">
        <f>IF($E87&gt;0,GJ90/$E87,"-")</f>
        <v>1</v>
      </c>
      <c r="GK93" s="1271"/>
      <c r="GL93" s="1270">
        <f>IF($E87&gt;0,GL90/$E87,"-")</f>
        <v>1</v>
      </c>
      <c r="GM93" s="1271"/>
      <c r="GN93" s="1270">
        <f>IF($E87&gt;0,GN90/$E87,"-")</f>
        <v>1</v>
      </c>
      <c r="GO93" s="1271"/>
      <c r="GP93" s="1270">
        <f>IF($E87&gt;0,GP90/$E87,"-")</f>
        <v>1</v>
      </c>
      <c r="GQ93" s="1271"/>
      <c r="GR93" s="1270">
        <f>IF($E87&gt;0,GR90/$E87,"-")</f>
        <v>1</v>
      </c>
      <c r="GS93" s="1271"/>
      <c r="GT93" s="1270">
        <f>IF($E87&gt;0,GT90/$E87,"-")</f>
        <v>1</v>
      </c>
      <c r="GU93" s="1271"/>
      <c r="GV93" s="1270">
        <f>IF($E87&gt;0,GV90/$E87,"-")</f>
        <v>1</v>
      </c>
      <c r="GW93" s="1271"/>
      <c r="GX93" s="1270">
        <f>IF($E87&gt;0,GX90/$E87,"-")</f>
        <v>1</v>
      </c>
      <c r="GY93" s="1271"/>
      <c r="GZ93" s="1270">
        <f>IF($E87&gt;0,GZ90/$E87,"-")</f>
        <v>1</v>
      </c>
      <c r="HA93" s="1271"/>
      <c r="HB93" s="1270">
        <f>IF($E87&gt;0,HB90/$E87,"-")</f>
        <v>1</v>
      </c>
      <c r="HC93" s="1271"/>
      <c r="HD93" s="1270">
        <f>IF($E87&gt;0,HD90/$E87,"-")</f>
        <v>1</v>
      </c>
      <c r="HE93" s="1271"/>
      <c r="HF93" s="1270">
        <f>IF($E87&gt;0,HF90/$E87,"-")</f>
        <v>1</v>
      </c>
      <c r="HG93" s="1271"/>
      <c r="HH93" s="1270">
        <f>IF($E87&gt;0,HH90/$E87,"-")</f>
        <v>1</v>
      </c>
      <c r="HI93" s="1271"/>
      <c r="HJ93" s="1270">
        <f>IF($E87&gt;0,HJ90/$E87,"-")</f>
        <v>1</v>
      </c>
      <c r="HK93" s="1271"/>
    </row>
    <row r="94" spans="1:219">
      <c r="A94" s="1299"/>
      <c r="B94" s="1300"/>
      <c r="C94" s="1299"/>
      <c r="D94" s="1301"/>
      <c r="E94" s="1301"/>
      <c r="F94" s="1302"/>
      <c r="G94" s="1301"/>
      <c r="H94" s="726"/>
      <c r="I94" s="1303"/>
      <c r="J94" s="1304"/>
      <c r="K94" s="794" t="s">
        <v>298</v>
      </c>
      <c r="L94" s="1294">
        <f>IF($E87&gt;0,L92/$E87,"-")</f>
        <v>0</v>
      </c>
      <c r="M94" s="1295"/>
      <c r="N94" s="1294">
        <f>IF($E87&gt;0,N92/$E87,"-")</f>
        <v>0</v>
      </c>
      <c r="O94" s="1295"/>
      <c r="P94" s="1294">
        <f>IF($E87&gt;0,P92/$E87,"-")</f>
        <v>0</v>
      </c>
      <c r="Q94" s="1295"/>
      <c r="R94" s="1294">
        <f>IF($E87&gt;0,R92/$E87,"-")</f>
        <v>0</v>
      </c>
      <c r="S94" s="1295"/>
      <c r="T94" s="1294">
        <f>IF($E87&gt;0,T92/$E87,"-")</f>
        <v>0</v>
      </c>
      <c r="U94" s="1295"/>
      <c r="V94" s="1294">
        <f>IF($E87&gt;0,V92/$E87,"-")</f>
        <v>0</v>
      </c>
      <c r="W94" s="1295"/>
      <c r="X94" s="1294">
        <f>IF($E87&gt;0,X92/$E87,"-")</f>
        <v>0</v>
      </c>
      <c r="Y94" s="1295"/>
      <c r="Z94" s="1294">
        <f>IF($E87&gt;0,Z92/$E87,"-")</f>
        <v>0</v>
      </c>
      <c r="AA94" s="1295"/>
      <c r="AB94" s="1294">
        <f>IF($E87&gt;0,AB92/$E87,"-")</f>
        <v>0</v>
      </c>
      <c r="AC94" s="1295"/>
      <c r="AD94" s="1294">
        <f>IF($E87&gt;0,AD92/$E87,"-")</f>
        <v>0</v>
      </c>
      <c r="AE94" s="1295"/>
      <c r="AF94" s="1294">
        <f>IF($E87&gt;0,AF92/$E87,"-")</f>
        <v>0</v>
      </c>
      <c r="AG94" s="1295"/>
      <c r="AH94" s="1294">
        <f>IF($E87&gt;0,AH92/$E87,"-")</f>
        <v>0</v>
      </c>
      <c r="AI94" s="1295"/>
      <c r="AJ94" s="1294">
        <f>IF($E87&gt;0,AJ92/$E87,"-")</f>
        <v>0</v>
      </c>
      <c r="AK94" s="1295"/>
      <c r="AL94" s="1294">
        <f>IF($E87&gt;0,AL92/$E87,"-")</f>
        <v>0</v>
      </c>
      <c r="AM94" s="1295"/>
      <c r="AN94" s="1294">
        <f>IF($E87&gt;0,AN92/$E87,"-")</f>
        <v>0</v>
      </c>
      <c r="AO94" s="1295"/>
      <c r="AP94" s="1294">
        <f>IF($E87&gt;0,AP92/$E87,"-")</f>
        <v>0</v>
      </c>
      <c r="AQ94" s="1295"/>
      <c r="AR94" s="1294">
        <f>IF($E87&gt;0,AR92/$E87,"-")</f>
        <v>0</v>
      </c>
      <c r="AS94" s="1295"/>
      <c r="AT94" s="1294">
        <f>IF($E87&gt;0,AT92/$E87,"-")</f>
        <v>0</v>
      </c>
      <c r="AU94" s="1295"/>
      <c r="AV94" s="1294">
        <f>IF($E87&gt;0,AV92/$E87,"-")</f>
        <v>0</v>
      </c>
      <c r="AW94" s="1295"/>
      <c r="AX94" s="1294">
        <f>IF($E87&gt;0,AX92/$E87,"-")</f>
        <v>0</v>
      </c>
      <c r="AY94" s="1295"/>
      <c r="AZ94" s="1294">
        <f>IF($E87&gt;0,AZ92/$E87,"-")</f>
        <v>0</v>
      </c>
      <c r="BA94" s="1295"/>
      <c r="BB94" s="1294">
        <f>IF($E87&gt;0,BB92/$E87,"-")</f>
        <v>0</v>
      </c>
      <c r="BC94" s="1295"/>
      <c r="BD94" s="1294">
        <f>IF($E87&gt;0,BD92/$E87,"-")</f>
        <v>0</v>
      </c>
      <c r="BE94" s="1295"/>
      <c r="BF94" s="1294">
        <f>IF($E87&gt;0,BF92/$E87,"-")</f>
        <v>0</v>
      </c>
      <c r="BG94" s="1295"/>
      <c r="BH94" s="1294">
        <f>IF($E87&gt;0,BH92/$E87,"-")</f>
        <v>0</v>
      </c>
      <c r="BI94" s="1295"/>
      <c r="BJ94" s="1294">
        <f>IF($E87&gt;0,BJ92/$E87,"-")</f>
        <v>0</v>
      </c>
      <c r="BK94" s="1295"/>
      <c r="BL94" s="1294">
        <f>IF($E87&gt;0,BL92/$E87,"-")</f>
        <v>0</v>
      </c>
      <c r="BM94" s="1295"/>
      <c r="BN94" s="1294">
        <f>IF($E87&gt;0,BN92/$E87,"-")</f>
        <v>0</v>
      </c>
      <c r="BO94" s="1295"/>
      <c r="BP94" s="1294">
        <f>IF($E87&gt;0,BP92/$E87,"-")</f>
        <v>0</v>
      </c>
      <c r="BQ94" s="1295"/>
      <c r="BR94" s="1253">
        <f>IF($E87&gt;0,BR92/$E87,"-")</f>
        <v>0</v>
      </c>
      <c r="BS94" s="1253"/>
      <c r="BT94" s="1253">
        <f>IF($E87&gt;0,BT92/$E87,"-")</f>
        <v>0</v>
      </c>
      <c r="BU94" s="1253"/>
      <c r="BV94" s="1253">
        <f>IF($E87&gt;0,BV92/$E87,"-")</f>
        <v>0</v>
      </c>
      <c r="BW94" s="1253"/>
      <c r="BX94" s="1253">
        <f>IF($E87&gt;0,BX92/$E87,"-")</f>
        <v>0</v>
      </c>
      <c r="BY94" s="1253"/>
      <c r="BZ94" s="1253">
        <f>IF($E87&gt;0,BZ92/$E87,"-")</f>
        <v>0</v>
      </c>
      <c r="CA94" s="1253"/>
      <c r="CB94" s="1253">
        <f>IF($E87&gt;0,CB92/$E87,"-")</f>
        <v>0</v>
      </c>
      <c r="CC94" s="1253"/>
      <c r="CD94" s="1253">
        <f>IF($E87&gt;0,CD92/$E87,"-")</f>
        <v>0</v>
      </c>
      <c r="CE94" s="1253"/>
      <c r="CF94" s="1253">
        <f>IF($E87&gt;0,CF92/$E87,"-")</f>
        <v>0</v>
      </c>
      <c r="CG94" s="1253"/>
      <c r="CH94" s="1253">
        <f>IF($E87&gt;0,CH92/$E87,"-")</f>
        <v>0</v>
      </c>
      <c r="CI94" s="1253"/>
      <c r="CJ94" s="1253">
        <f>IF($E87&gt;0,CJ92/$E87,"-")</f>
        <v>0</v>
      </c>
      <c r="CK94" s="1253"/>
      <c r="CL94" s="1253">
        <f>IF($E87&gt;0,CL92/$E87,"-")</f>
        <v>0</v>
      </c>
      <c r="CM94" s="1253"/>
      <c r="CN94" s="1253">
        <f>IF($E87&gt;0,CN92/$E87,"-")</f>
        <v>0</v>
      </c>
      <c r="CO94" s="1253"/>
      <c r="CP94" s="1253">
        <f>IF($E87&gt;0,CP92/$E87,"-")</f>
        <v>0</v>
      </c>
      <c r="CQ94" s="1253"/>
      <c r="CR94" s="1253">
        <f>IF($E87&gt;0,CR92/$E87,"-")</f>
        <v>0</v>
      </c>
      <c r="CS94" s="1253"/>
      <c r="CT94" s="1253">
        <f>IF($E87&gt;0,CT92/$E87,"-")</f>
        <v>0</v>
      </c>
      <c r="CU94" s="1253"/>
      <c r="CV94" s="1253">
        <f>IF($E87&gt;0,CV92/$E87,"-")</f>
        <v>0</v>
      </c>
      <c r="CW94" s="1253"/>
      <c r="CX94" s="1253">
        <f>IF($E87&gt;0,CX92/$E87,"-")</f>
        <v>0</v>
      </c>
      <c r="CY94" s="1253"/>
      <c r="CZ94" s="1253">
        <f>IF($E87&gt;0,CZ92/$E87,"-")</f>
        <v>0</v>
      </c>
      <c r="DA94" s="1253"/>
      <c r="DB94" s="1253">
        <f>IF($E87&gt;0,DB92/$E87,"-")</f>
        <v>0</v>
      </c>
      <c r="DC94" s="1253"/>
      <c r="DD94" s="1253">
        <f>IF($E87&gt;0,DD92/$E87,"-")</f>
        <v>0</v>
      </c>
      <c r="DE94" s="1253"/>
      <c r="DF94" s="1253">
        <f>IF($E87&gt;0,DF92/$E87,"-")</f>
        <v>0</v>
      </c>
      <c r="DG94" s="1253"/>
      <c r="DH94" s="1253">
        <f>IF($E87&gt;0,DH92/$E87,"-")</f>
        <v>0</v>
      </c>
      <c r="DI94" s="1253"/>
      <c r="DJ94" s="1254">
        <f>IF($E87&gt;0,DJ92/$E87,"-")</f>
        <v>0</v>
      </c>
      <c r="DK94" s="1254"/>
      <c r="DL94" s="1253">
        <f>IF($E87&gt;0,DL92/$E87,"-")</f>
        <v>0</v>
      </c>
      <c r="DM94" s="1253"/>
      <c r="DN94" s="1253">
        <f>IF($E87&gt;0,DN92/$E87,"-")</f>
        <v>0</v>
      </c>
      <c r="DO94" s="1253"/>
      <c r="DP94" s="1253">
        <f>IF($E87&gt;0,DP92/$E87,"-")</f>
        <v>0</v>
      </c>
      <c r="DQ94" s="1253"/>
      <c r="DR94" s="1253">
        <f>IF($E87&gt;0,DR92/$E87,"-")</f>
        <v>0</v>
      </c>
      <c r="DS94" s="1253"/>
      <c r="DT94" s="1253">
        <f>IF($E87&gt;0,DT92/$E87,"-")</f>
        <v>0</v>
      </c>
      <c r="DU94" s="1253"/>
      <c r="DV94" s="1253">
        <f>IF($E87&gt;0,DV92/$E87,"-")</f>
        <v>0</v>
      </c>
      <c r="DW94" s="1253"/>
      <c r="DX94" s="1253">
        <f>IF($E87&gt;0,DX92/$E87,"-")</f>
        <v>0</v>
      </c>
      <c r="DY94" s="1253"/>
      <c r="DZ94" s="1253">
        <f>IF($E87&gt;0,DZ92/$E87,"-")</f>
        <v>0</v>
      </c>
      <c r="EA94" s="1253"/>
      <c r="EB94" s="1253">
        <f>IF($E87&gt;0,EB92/$E87,"-")</f>
        <v>0</v>
      </c>
      <c r="EC94" s="1253"/>
      <c r="ED94" s="1253">
        <f>IF($E87&gt;0,ED92/$E87,"-")</f>
        <v>0</v>
      </c>
      <c r="EE94" s="1253"/>
      <c r="EF94" s="1253">
        <f>IF($E87&gt;0,EF92/$E87,"-")</f>
        <v>0</v>
      </c>
      <c r="EG94" s="1253"/>
      <c r="EH94" s="1253">
        <f>IF($E87&gt;0,EH92/$E87,"-")</f>
        <v>0</v>
      </c>
      <c r="EI94" s="1253"/>
      <c r="EJ94" s="1253">
        <f>IF($E87&gt;0,EJ92/$E87,"-")</f>
        <v>0</v>
      </c>
      <c r="EK94" s="1253"/>
      <c r="EL94" s="1253">
        <f>IF($E87&gt;0,EL92/$E87,"-")</f>
        <v>0</v>
      </c>
      <c r="EM94" s="1253"/>
      <c r="EN94" s="1253">
        <f>IF($E87&gt;0,EN92/$E87,"-")</f>
        <v>0</v>
      </c>
      <c r="EO94" s="1253"/>
      <c r="EP94" s="1253">
        <f>IF($E87&gt;0,EP92/$E87,"-")</f>
        <v>0</v>
      </c>
      <c r="EQ94" s="1253"/>
      <c r="ER94" s="1253">
        <f>IF($E87&gt;0,ER92/$E87,"-")</f>
        <v>0</v>
      </c>
      <c r="ES94" s="1253"/>
      <c r="ET94" s="1253">
        <f>IF($E87&gt;0,ET92/$E87,"-")</f>
        <v>0</v>
      </c>
      <c r="EU94" s="1253"/>
      <c r="EV94" s="1253">
        <f>IF($E87&gt;0,EV92/$E87,"-")</f>
        <v>0</v>
      </c>
      <c r="EW94" s="1253"/>
      <c r="EX94" s="1253">
        <f>IF($E87&gt;0,EX92/$E87,"-")</f>
        <v>0</v>
      </c>
      <c r="EY94" s="1253"/>
      <c r="EZ94" s="1253">
        <f>IF($E87&gt;0,EZ92/$E87,"-")</f>
        <v>0</v>
      </c>
      <c r="FA94" s="1253"/>
      <c r="FB94" s="1253">
        <f>IF($E87&gt;0,FB92/$E87,"-")</f>
        <v>0</v>
      </c>
      <c r="FC94" s="1253"/>
      <c r="FD94" s="1253">
        <f>IF($E87&gt;0,FD92/$E87,"-")</f>
        <v>0</v>
      </c>
      <c r="FE94" s="1253"/>
      <c r="FF94" s="1253">
        <f>IF($E87&gt;0,FF92/$E87,"-")</f>
        <v>0</v>
      </c>
      <c r="FG94" s="1253"/>
      <c r="FH94" s="1253">
        <f>IF($E87&gt;0,FH92/$E87,"-")</f>
        <v>0</v>
      </c>
      <c r="FI94" s="1253"/>
      <c r="FJ94" s="1253">
        <f>IF($E87&gt;0,FJ92/$E87,"-")</f>
        <v>0</v>
      </c>
      <c r="FK94" s="1253"/>
      <c r="FL94" s="1253">
        <f>IF($E87&gt;0,FL92/$E87,"-")</f>
        <v>0</v>
      </c>
      <c r="FM94" s="1253"/>
      <c r="FN94" s="1253">
        <f>IF($E87&gt;0,FN92/$E87,"-")</f>
        <v>0</v>
      </c>
      <c r="FO94" s="1253"/>
      <c r="FP94" s="1253">
        <f>IF($E87&gt;0,FP92/$E87,"-")</f>
        <v>0</v>
      </c>
      <c r="FQ94" s="1253"/>
      <c r="FR94" s="1253">
        <f>IF($E87&gt;0,FR92/$E87,"-")</f>
        <v>0</v>
      </c>
      <c r="FS94" s="1253"/>
      <c r="FT94" s="1253">
        <f>IF($E87&gt;0,FT92/$E87,"-")</f>
        <v>0</v>
      </c>
      <c r="FU94" s="1253"/>
      <c r="FV94" s="1253">
        <f>IF($E87&gt;0,FV92/$E87,"-")</f>
        <v>0</v>
      </c>
      <c r="FW94" s="1253"/>
      <c r="FX94" s="1253">
        <f>IF($E87&gt;0,FX92/$E87,"-")</f>
        <v>0</v>
      </c>
      <c r="FY94" s="1253"/>
      <c r="FZ94" s="1253">
        <f>IF($E87&gt;0,FZ92/$E87,"-")</f>
        <v>0</v>
      </c>
      <c r="GA94" s="1253"/>
      <c r="GB94" s="1253">
        <f>IF($E87&gt;0,GB92/$E87,"-")</f>
        <v>0</v>
      </c>
      <c r="GC94" s="1253"/>
      <c r="GD94" s="1253">
        <f>IF($E87&gt;0,GD92/$E87,"-")</f>
        <v>0</v>
      </c>
      <c r="GE94" s="1253"/>
      <c r="GF94" s="1253">
        <f>IF($E87&gt;0,GF92/$E87,"-")</f>
        <v>0</v>
      </c>
      <c r="GG94" s="1253"/>
      <c r="GH94" s="1253">
        <f>IF($E87&gt;0,GH92/$E87,"-")</f>
        <v>0</v>
      </c>
      <c r="GI94" s="1253"/>
      <c r="GJ94" s="1253">
        <f>IF($E87&gt;0,GJ92/$E87,"-")</f>
        <v>0</v>
      </c>
      <c r="GK94" s="1253"/>
      <c r="GL94" s="1253">
        <f>IF($E87&gt;0,GL92/$E87,"-")</f>
        <v>0</v>
      </c>
      <c r="GM94" s="1253"/>
      <c r="GN94" s="1253">
        <f>IF($E87&gt;0,GN92/$E87,"-")</f>
        <v>0</v>
      </c>
      <c r="GO94" s="1253"/>
      <c r="GP94" s="1253">
        <f>IF($E87&gt;0,GP92/$E87,"-")</f>
        <v>0</v>
      </c>
      <c r="GQ94" s="1253"/>
      <c r="GR94" s="1253">
        <f>IF($E87&gt;0,GR92/$E87,"-")</f>
        <v>0</v>
      </c>
      <c r="GS94" s="1253"/>
      <c r="GT94" s="1253">
        <f>IF($E87&gt;0,GT92/$E87,"-")</f>
        <v>0</v>
      </c>
      <c r="GU94" s="1253"/>
      <c r="GV94" s="1253">
        <f>IF($E87&gt;0,GV92/$E87,"-")</f>
        <v>0</v>
      </c>
      <c r="GW94" s="1253"/>
      <c r="GX94" s="1253">
        <f>IF($E87&gt;0,GX92/$E87,"-")</f>
        <v>0</v>
      </c>
      <c r="GY94" s="1253"/>
      <c r="GZ94" s="1253">
        <f>IF($E87&gt;0,GZ92/$E87,"-")</f>
        <v>0</v>
      </c>
      <c r="HA94" s="1253"/>
      <c r="HB94" s="1253">
        <f>IF($E87&gt;0,HB92/$E87,"-")</f>
        <v>0</v>
      </c>
      <c r="HC94" s="1253"/>
      <c r="HD94" s="1253">
        <f>IF($E87&gt;0,HD92/$E87,"-")</f>
        <v>0</v>
      </c>
      <c r="HE94" s="1253"/>
      <c r="HF94" s="1253">
        <f>IF($E87&gt;0,HF92/$E87,"-")</f>
        <v>0</v>
      </c>
      <c r="HG94" s="1253"/>
      <c r="HH94" s="1253">
        <f>IF($E87&gt;0,HH92/$E87,"-")</f>
        <v>0</v>
      </c>
      <c r="HI94" s="1253"/>
      <c r="HJ94" s="1253">
        <f>IF($E87&gt;0,HJ92/$E87,"-")</f>
        <v>0</v>
      </c>
      <c r="HK94" s="1253"/>
    </row>
    <row r="95" spans="1:219" s="5" customFormat="1" ht="14.4">
      <c r="A95" s="690"/>
      <c r="B95" s="691"/>
      <c r="C95" s="691"/>
      <c r="D95" s="692"/>
      <c r="E95" s="692"/>
      <c r="F95" s="691"/>
      <c r="G95" s="691"/>
      <c r="H95" s="691"/>
      <c r="I95" s="691"/>
      <c r="J95" s="691"/>
      <c r="K95" s="691"/>
      <c r="L95" s="1274"/>
      <c r="M95" s="1274"/>
      <c r="N95" s="1274"/>
      <c r="O95" s="1274"/>
      <c r="P95" s="1274"/>
      <c r="Q95" s="1274"/>
      <c r="R95" s="1274"/>
      <c r="S95" s="1362"/>
      <c r="T95" s="1276"/>
      <c r="U95" s="1274"/>
      <c r="V95" s="1274"/>
      <c r="W95" s="1274"/>
      <c r="X95" s="1274"/>
      <c r="Y95" s="1274"/>
      <c r="Z95" s="1274"/>
      <c r="AA95" s="1362"/>
      <c r="AB95" s="1276"/>
      <c r="AC95" s="1274"/>
      <c r="AD95" s="1274"/>
      <c r="AE95" s="1274"/>
      <c r="AF95" s="1274"/>
      <c r="AG95" s="1274"/>
      <c r="AH95" s="1274"/>
      <c r="AI95" s="1362"/>
      <c r="AJ95" s="1276"/>
      <c r="AK95" s="1274"/>
      <c r="AL95" s="1274"/>
      <c r="AM95" s="1274"/>
      <c r="AN95" s="1274"/>
      <c r="AO95" s="1274"/>
      <c r="AP95" s="1274"/>
      <c r="AQ95" s="1362"/>
      <c r="AR95" s="1276"/>
      <c r="AS95" s="1274"/>
      <c r="AT95" s="777"/>
      <c r="AU95" s="777"/>
      <c r="AV95" s="777"/>
      <c r="AW95" s="777"/>
      <c r="AX95" s="777"/>
      <c r="AY95" s="778"/>
      <c r="AZ95" s="779"/>
      <c r="BA95" s="777"/>
      <c r="BB95" s="777"/>
      <c r="BC95" s="777"/>
      <c r="BD95" s="777"/>
      <c r="BE95" s="777"/>
      <c r="BF95" s="777"/>
      <c r="BG95" s="778"/>
      <c r="BH95" s="779"/>
      <c r="BI95" s="777"/>
      <c r="BJ95" s="777"/>
      <c r="BK95" s="777"/>
      <c r="BL95" s="777"/>
      <c r="BM95" s="777"/>
      <c r="BN95" s="777"/>
      <c r="BO95" s="778"/>
      <c r="BP95" s="779"/>
      <c r="BQ95" s="777"/>
      <c r="BR95" s="777"/>
      <c r="BS95" s="777"/>
      <c r="BT95" s="777"/>
      <c r="BU95" s="777"/>
      <c r="BV95" s="777"/>
      <c r="BW95" s="778"/>
      <c r="BX95" s="779"/>
      <c r="BY95" s="777"/>
      <c r="BZ95" s="777"/>
      <c r="CA95" s="777"/>
      <c r="CB95" s="777"/>
      <c r="CC95" s="777"/>
      <c r="CD95" s="1274"/>
      <c r="CE95" s="1275"/>
      <c r="CF95" s="1276"/>
      <c r="CG95" s="1277"/>
      <c r="CH95" s="1274"/>
      <c r="CI95" s="1277"/>
      <c r="CJ95" s="1274"/>
      <c r="CK95" s="1277"/>
      <c r="CL95" s="1274"/>
      <c r="CM95" s="1275"/>
      <c r="CN95" s="1276"/>
      <c r="CO95" s="1277"/>
      <c r="CP95" s="1296"/>
      <c r="CQ95" s="1297"/>
      <c r="CR95" s="1296"/>
      <c r="CS95" s="1297"/>
      <c r="CT95" s="780"/>
      <c r="CU95" s="781"/>
      <c r="CV95" s="782"/>
      <c r="CW95" s="780"/>
      <c r="CX95" s="780"/>
      <c r="CY95" s="780"/>
      <c r="CZ95" s="780"/>
      <c r="DA95" s="780"/>
      <c r="DB95" s="780"/>
      <c r="DC95" s="781"/>
      <c r="DD95" s="782"/>
      <c r="DE95" s="780"/>
      <c r="DF95" s="780"/>
      <c r="DG95" s="780"/>
      <c r="DH95" s="780"/>
      <c r="DI95" s="780"/>
      <c r="DJ95" s="783"/>
      <c r="DK95" s="784"/>
      <c r="DL95" s="782"/>
      <c r="DM95" s="780"/>
      <c r="DN95" s="780"/>
      <c r="DO95" s="780"/>
      <c r="DP95" s="780"/>
      <c r="DQ95" s="780"/>
      <c r="DR95" s="780"/>
      <c r="DS95" s="781"/>
      <c r="DT95" s="782"/>
      <c r="DU95" s="780"/>
      <c r="DV95" s="780"/>
      <c r="DW95" s="780"/>
      <c r="DX95" s="780"/>
      <c r="DY95" s="780"/>
      <c r="DZ95" s="780"/>
      <c r="EA95" s="781"/>
      <c r="EB95" s="782"/>
      <c r="EC95" s="780"/>
      <c r="ED95" s="780"/>
      <c r="EE95" s="780"/>
      <c r="EF95" s="780"/>
      <c r="EG95" s="780"/>
      <c r="EH95" s="780"/>
      <c r="EI95" s="781"/>
      <c r="EJ95" s="782"/>
      <c r="EK95" s="780"/>
      <c r="EL95" s="780"/>
      <c r="EM95" s="780"/>
      <c r="EN95" s="780"/>
      <c r="EO95" s="780"/>
      <c r="EP95" s="780"/>
      <c r="EQ95" s="781"/>
      <c r="ER95" s="782"/>
      <c r="ES95" s="780"/>
      <c r="ET95" s="780"/>
      <c r="EU95" s="780"/>
      <c r="EV95" s="780"/>
      <c r="EW95" s="780"/>
      <c r="EX95" s="780"/>
      <c r="EY95" s="781"/>
      <c r="EZ95" s="782"/>
      <c r="FA95" s="780"/>
      <c r="FB95" s="780"/>
      <c r="FC95" s="780"/>
      <c r="FD95" s="780"/>
      <c r="FE95" s="780"/>
      <c r="FF95" s="780"/>
      <c r="FG95" s="781"/>
      <c r="FH95" s="782"/>
      <c r="FI95" s="780"/>
      <c r="FJ95" s="780"/>
      <c r="FK95" s="780"/>
      <c r="FL95" s="780"/>
      <c r="FM95" s="780"/>
      <c r="FN95" s="780"/>
      <c r="FO95" s="781"/>
      <c r="FP95" s="782"/>
      <c r="FQ95" s="780"/>
      <c r="FR95" s="780"/>
      <c r="FS95" s="780"/>
      <c r="FT95" s="780"/>
      <c r="FU95" s="780"/>
      <c r="FV95" s="780"/>
      <c r="FW95" s="781"/>
      <c r="FX95" s="782"/>
      <c r="FY95" s="780"/>
      <c r="FZ95" s="780"/>
      <c r="GA95" s="780"/>
      <c r="GB95" s="780"/>
      <c r="GC95" s="780"/>
      <c r="GD95" s="780"/>
      <c r="GE95" s="781"/>
      <c r="GF95" s="782"/>
      <c r="GG95" s="780"/>
      <c r="GH95" s="780"/>
      <c r="GI95" s="780"/>
      <c r="GJ95" s="780"/>
      <c r="GK95" s="780"/>
      <c r="GL95" s="780"/>
      <c r="GM95" s="781"/>
      <c r="GN95" s="782"/>
      <c r="GO95" s="780"/>
      <c r="GP95" s="780"/>
      <c r="GQ95" s="780"/>
      <c r="GR95" s="780"/>
      <c r="GS95" s="780"/>
      <c r="GT95" s="780"/>
      <c r="GU95" s="781"/>
      <c r="GV95" s="780"/>
      <c r="GW95" s="781"/>
      <c r="GX95" s="780"/>
      <c r="GY95" s="781"/>
      <c r="GZ95" s="780"/>
      <c r="HA95" s="781"/>
      <c r="HB95" s="780"/>
      <c r="HC95" s="781"/>
      <c r="HD95" s="780"/>
      <c r="HE95" s="781"/>
      <c r="HF95" s="780"/>
      <c r="HG95" s="781"/>
      <c r="HH95" s="780"/>
      <c r="HI95" s="781"/>
      <c r="HJ95" s="780"/>
      <c r="HK95" s="781"/>
    </row>
    <row r="96" spans="1:219">
      <c r="A96" s="1299" t="s">
        <v>131</v>
      </c>
      <c r="B96" s="1300" t="str">
        <f>VLOOKUP(A96,PLANEJAMENTO!$B$10:$C$70,2,FALSE)</f>
        <v>Escavação, Carga, Transporte e Espalhamento - material de 1° categoria - DMT 1001 até 1500m</v>
      </c>
      <c r="C96" s="1299" t="str">
        <f>VLOOKUP(A96,PLANEJAMENTO!$B$10:$D$70,3,FALSE)</f>
        <v>m³</v>
      </c>
      <c r="D96" s="1301">
        <f>VLOOKUP(A96,PLANEJAMENTO!$B$10:$E$70,4,FALSE)</f>
        <v>32000</v>
      </c>
      <c r="E96" s="1301">
        <f>D96</f>
        <v>32000</v>
      </c>
      <c r="F96" s="1302">
        <f>PRODUÇÕES!D15</f>
        <v>160</v>
      </c>
      <c r="G96" s="1301">
        <f>F96*8</f>
        <v>1280</v>
      </c>
      <c r="H96" s="726"/>
      <c r="I96" s="1303"/>
      <c r="J96" s="1304"/>
      <c r="K96" s="727" t="s">
        <v>291</v>
      </c>
      <c r="L96" s="1285"/>
      <c r="M96" s="1286"/>
      <c r="N96" s="1285"/>
      <c r="O96" s="1286"/>
      <c r="P96" s="1285"/>
      <c r="Q96" s="1286"/>
      <c r="R96" s="1285"/>
      <c r="S96" s="1286"/>
      <c r="T96" s="1285"/>
      <c r="U96" s="1286"/>
      <c r="V96" s="1285"/>
      <c r="W96" s="1286"/>
      <c r="X96" s="1285"/>
      <c r="Y96" s="1286"/>
      <c r="Z96" s="1285"/>
      <c r="AA96" s="1286"/>
      <c r="AB96" s="1285"/>
      <c r="AC96" s="1286"/>
      <c r="AD96" s="1285"/>
      <c r="AE96" s="1286"/>
      <c r="AF96" s="1285"/>
      <c r="AG96" s="1286"/>
      <c r="AH96" s="1285"/>
      <c r="AI96" s="1286"/>
      <c r="AJ96" s="1285"/>
      <c r="AK96" s="1286"/>
      <c r="AL96" s="1285"/>
      <c r="AM96" s="1286"/>
      <c r="AN96" s="1285"/>
      <c r="AO96" s="1286"/>
      <c r="AP96" s="1285"/>
      <c r="AQ96" s="1286"/>
      <c r="AR96" s="1285"/>
      <c r="AS96" s="1286"/>
      <c r="AT96" s="1285"/>
      <c r="AU96" s="1286"/>
      <c r="AV96" s="1287"/>
      <c r="AW96" s="1288"/>
      <c r="AX96" s="1289"/>
      <c r="AY96" s="1290"/>
      <c r="AZ96" s="1285"/>
      <c r="BA96" s="1286"/>
      <c r="BB96" s="1347"/>
      <c r="BC96" s="1348"/>
      <c r="BD96" s="1285"/>
      <c r="BE96" s="1286"/>
      <c r="BF96" s="1311"/>
      <c r="BG96" s="1312"/>
      <c r="BH96" s="1285"/>
      <c r="BI96" s="1286"/>
      <c r="BJ96" s="1285"/>
      <c r="BK96" s="1286"/>
      <c r="BL96" s="1285">
        <v>5</v>
      </c>
      <c r="BM96" s="1286"/>
      <c r="BN96" s="1285">
        <v>6</v>
      </c>
      <c r="BO96" s="1286"/>
      <c r="BP96" s="1285">
        <v>6</v>
      </c>
      <c r="BQ96" s="1286"/>
      <c r="BR96" s="1285">
        <v>6</v>
      </c>
      <c r="BS96" s="1286"/>
      <c r="BT96" s="1356">
        <v>2.0064724919093853</v>
      </c>
      <c r="BU96" s="1357"/>
      <c r="BV96" s="1285"/>
      <c r="BW96" s="1286"/>
      <c r="BX96" s="1285"/>
      <c r="BY96" s="1286"/>
      <c r="BZ96" s="1285"/>
      <c r="CA96" s="1286"/>
      <c r="CB96" s="1285"/>
      <c r="CC96" s="1286"/>
      <c r="CD96" s="1315"/>
      <c r="CE96" s="1315"/>
      <c r="CF96" s="1315"/>
      <c r="CG96" s="1315"/>
      <c r="CH96" s="1315"/>
      <c r="CI96" s="1315"/>
      <c r="CJ96" s="1315"/>
      <c r="CK96" s="1315"/>
      <c r="CL96" s="1315"/>
      <c r="CM96" s="1315"/>
      <c r="CN96" s="1315"/>
      <c r="CO96" s="1315"/>
      <c r="CP96" s="1315"/>
      <c r="CQ96" s="1315"/>
      <c r="CR96" s="1315"/>
      <c r="CS96" s="1315"/>
      <c r="CT96" s="1263"/>
      <c r="CU96" s="1263"/>
      <c r="CV96" s="1263"/>
      <c r="CW96" s="1263"/>
      <c r="CX96" s="1263"/>
      <c r="CY96" s="1263"/>
      <c r="CZ96" s="1263"/>
      <c r="DA96" s="1263"/>
      <c r="DB96" s="1315"/>
      <c r="DC96" s="1315"/>
      <c r="DD96" s="1315"/>
      <c r="DE96" s="1315"/>
      <c r="DF96" s="1263"/>
      <c r="DG96" s="1263"/>
      <c r="DH96" s="1263"/>
      <c r="DI96" s="1263"/>
      <c r="DJ96" s="1327"/>
      <c r="DK96" s="1327"/>
      <c r="DL96" s="1263"/>
      <c r="DM96" s="1263"/>
      <c r="DN96" s="1263"/>
      <c r="DO96" s="1263"/>
      <c r="DP96" s="1315"/>
      <c r="DQ96" s="1315"/>
      <c r="DR96" s="1315"/>
      <c r="DS96" s="1315"/>
      <c r="DT96" s="1315"/>
      <c r="DU96" s="1315"/>
      <c r="DV96" s="1315"/>
      <c r="DW96" s="1315"/>
      <c r="DX96" s="1315"/>
      <c r="DY96" s="1315"/>
      <c r="DZ96" s="1263"/>
      <c r="EA96" s="1263"/>
      <c r="EB96" s="1263"/>
      <c r="EC96" s="1263"/>
      <c r="ED96" s="1263"/>
      <c r="EE96" s="1263"/>
      <c r="EF96" s="1263"/>
      <c r="EG96" s="1263"/>
      <c r="EH96" s="1263"/>
      <c r="EI96" s="1263"/>
      <c r="EJ96" s="1263"/>
      <c r="EK96" s="1263"/>
      <c r="EL96" s="1263"/>
      <c r="EM96" s="1263"/>
      <c r="EN96" s="1263"/>
      <c r="EO96" s="1263"/>
      <c r="EP96" s="1263"/>
      <c r="EQ96" s="1263"/>
      <c r="ER96" s="1263"/>
      <c r="ES96" s="1263"/>
      <c r="ET96" s="1263"/>
      <c r="EU96" s="1263"/>
      <c r="EV96" s="1263"/>
      <c r="EW96" s="1263"/>
      <c r="EX96" s="1263"/>
      <c r="EY96" s="1263"/>
      <c r="EZ96" s="1263"/>
      <c r="FA96" s="1263"/>
      <c r="FB96" s="1263"/>
      <c r="FC96" s="1263"/>
      <c r="FD96" s="1263"/>
      <c r="FE96" s="1263"/>
      <c r="FF96" s="1263"/>
      <c r="FG96" s="1263"/>
      <c r="FH96" s="1263"/>
      <c r="FI96" s="1263"/>
      <c r="FJ96" s="1263"/>
      <c r="FK96" s="1263"/>
      <c r="FL96" s="1263"/>
      <c r="FM96" s="1263"/>
      <c r="FN96" s="1263"/>
      <c r="FO96" s="1263"/>
      <c r="FP96" s="1263"/>
      <c r="FQ96" s="1263"/>
      <c r="FR96" s="1263"/>
      <c r="FS96" s="1263"/>
      <c r="FT96" s="1263"/>
      <c r="FU96" s="1263"/>
      <c r="FV96" s="1263"/>
      <c r="FW96" s="1263"/>
      <c r="FX96" s="1263"/>
      <c r="FY96" s="1263"/>
      <c r="FZ96" s="1263"/>
      <c r="GA96" s="1263"/>
      <c r="GB96" s="1263"/>
      <c r="GC96" s="1263"/>
      <c r="GD96" s="1263"/>
      <c r="GE96" s="1263"/>
      <c r="GF96" s="1263"/>
      <c r="GG96" s="1263"/>
      <c r="GH96" s="1263"/>
      <c r="GI96" s="1263"/>
      <c r="GJ96" s="1263"/>
      <c r="GK96" s="1263"/>
      <c r="GL96" s="1263"/>
      <c r="GM96" s="1263"/>
      <c r="GN96" s="1263"/>
      <c r="GO96" s="1263"/>
      <c r="GP96" s="1263"/>
      <c r="GQ96" s="1263"/>
      <c r="GR96" s="1263"/>
      <c r="GS96" s="1263"/>
      <c r="GT96" s="1263"/>
      <c r="GU96" s="1263"/>
      <c r="GV96" s="1263"/>
      <c r="GW96" s="1263"/>
      <c r="GX96" s="1263"/>
      <c r="GY96" s="1263"/>
      <c r="GZ96" s="1263"/>
      <c r="HA96" s="1263"/>
      <c r="HB96" s="1263"/>
      <c r="HC96" s="1263"/>
      <c r="HD96" s="1263"/>
      <c r="HE96" s="1263"/>
      <c r="HF96" s="1263"/>
      <c r="HG96" s="1263"/>
      <c r="HH96" s="1263"/>
      <c r="HI96" s="1263"/>
      <c r="HJ96" s="1263"/>
      <c r="HK96" s="1263"/>
    </row>
    <row r="97" spans="1:219">
      <c r="A97" s="1299"/>
      <c r="B97" s="1300"/>
      <c r="C97" s="1299"/>
      <c r="D97" s="1301"/>
      <c r="E97" s="1301"/>
      <c r="F97" s="1302"/>
      <c r="G97" s="1301"/>
      <c r="H97" s="726"/>
      <c r="I97" s="1303"/>
      <c r="J97" s="1304"/>
      <c r="K97" s="785" t="s">
        <v>292</v>
      </c>
      <c r="L97" s="1283"/>
      <c r="M97" s="1284"/>
      <c r="N97" s="1283"/>
      <c r="O97" s="1284"/>
      <c r="P97" s="1283"/>
      <c r="Q97" s="1284"/>
      <c r="R97" s="1283"/>
      <c r="S97" s="1284"/>
      <c r="T97" s="1283"/>
      <c r="U97" s="1284"/>
      <c r="V97" s="1283"/>
      <c r="W97" s="1284"/>
      <c r="X97" s="1283"/>
      <c r="Y97" s="1284"/>
      <c r="Z97" s="1283"/>
      <c r="AA97" s="1284"/>
      <c r="AB97" s="1283"/>
      <c r="AC97" s="1284"/>
      <c r="AD97" s="1283"/>
      <c r="AE97" s="1284"/>
      <c r="AF97" s="1283"/>
      <c r="AG97" s="1284"/>
      <c r="AH97" s="1283"/>
      <c r="AI97" s="1284"/>
      <c r="AJ97" s="1283"/>
      <c r="AK97" s="1284"/>
      <c r="AL97" s="1283"/>
      <c r="AM97" s="1284"/>
      <c r="AN97" s="1283"/>
      <c r="AO97" s="1284"/>
      <c r="AP97" s="1283"/>
      <c r="AQ97" s="1284"/>
      <c r="AR97" s="1283"/>
      <c r="AS97" s="1284"/>
      <c r="AT97" s="1283"/>
      <c r="AU97" s="1284"/>
      <c r="AV97" s="1283"/>
      <c r="AW97" s="1284"/>
      <c r="AX97" s="1283"/>
      <c r="AY97" s="1284"/>
      <c r="AZ97" s="1283"/>
      <c r="BA97" s="1284"/>
      <c r="BB97" s="1283"/>
      <c r="BC97" s="1284"/>
      <c r="BD97" s="1283"/>
      <c r="BE97" s="1284"/>
      <c r="BF97" s="1283"/>
      <c r="BG97" s="1284"/>
      <c r="BH97" s="1283"/>
      <c r="BI97" s="1284"/>
      <c r="BJ97" s="1283"/>
      <c r="BK97" s="1284"/>
      <c r="BL97" s="1283">
        <v>1</v>
      </c>
      <c r="BM97" s="1284"/>
      <c r="BN97" s="1283">
        <v>1</v>
      </c>
      <c r="BO97" s="1284"/>
      <c r="BP97" s="1283">
        <v>1</v>
      </c>
      <c r="BQ97" s="1284"/>
      <c r="BR97" s="1283">
        <v>1</v>
      </c>
      <c r="BS97" s="1284"/>
      <c r="BT97" s="1283">
        <v>1</v>
      </c>
      <c r="BU97" s="1284"/>
      <c r="BV97" s="1283"/>
      <c r="BW97" s="1284"/>
      <c r="BX97" s="1283"/>
      <c r="BY97" s="1284"/>
      <c r="BZ97" s="1283"/>
      <c r="CA97" s="1284"/>
      <c r="CB97" s="1283"/>
      <c r="CC97" s="1284"/>
      <c r="CD97" s="1264"/>
      <c r="CE97" s="1264"/>
      <c r="CF97" s="1264"/>
      <c r="CG97" s="1264"/>
      <c r="CH97" s="1264"/>
      <c r="CI97" s="1264"/>
      <c r="CJ97" s="1264"/>
      <c r="CK97" s="1264"/>
      <c r="CL97" s="1264"/>
      <c r="CM97" s="1264"/>
      <c r="CN97" s="1264"/>
      <c r="CO97" s="1264"/>
      <c r="CP97" s="1264"/>
      <c r="CQ97" s="1264"/>
      <c r="CR97" s="1264"/>
      <c r="CS97" s="1264"/>
      <c r="CT97" s="1264"/>
      <c r="CU97" s="1264"/>
      <c r="CV97" s="1264"/>
      <c r="CW97" s="1264"/>
      <c r="CX97" s="1264"/>
      <c r="CY97" s="1264"/>
      <c r="CZ97" s="1264"/>
      <c r="DA97" s="1264"/>
      <c r="DB97" s="1264"/>
      <c r="DC97" s="1264"/>
      <c r="DD97" s="1264"/>
      <c r="DE97" s="1264"/>
      <c r="DF97" s="1264"/>
      <c r="DG97" s="1264"/>
      <c r="DH97" s="1264"/>
      <c r="DI97" s="1264"/>
      <c r="DJ97" s="1265"/>
      <c r="DK97" s="1265"/>
      <c r="DL97" s="1264"/>
      <c r="DM97" s="1264"/>
      <c r="DN97" s="1264"/>
      <c r="DO97" s="1264"/>
      <c r="DP97" s="1264"/>
      <c r="DQ97" s="1264"/>
      <c r="DR97" s="1264"/>
      <c r="DS97" s="1264"/>
      <c r="DT97" s="1264"/>
      <c r="DU97" s="1264"/>
      <c r="DV97" s="1264"/>
      <c r="DW97" s="1264"/>
      <c r="DX97" s="1264"/>
      <c r="DY97" s="1264"/>
      <c r="DZ97" s="1264"/>
      <c r="EA97" s="1264"/>
      <c r="EB97" s="1264"/>
      <c r="EC97" s="1264"/>
      <c r="ED97" s="1264"/>
      <c r="EE97" s="1264"/>
      <c r="EF97" s="1264"/>
      <c r="EG97" s="1264"/>
      <c r="EH97" s="1264"/>
      <c r="EI97" s="1264"/>
      <c r="EJ97" s="1264"/>
      <c r="EK97" s="1264"/>
      <c r="EL97" s="1264"/>
      <c r="EM97" s="1264"/>
      <c r="EN97" s="1264"/>
      <c r="EO97" s="1264"/>
      <c r="EP97" s="1264"/>
      <c r="EQ97" s="1264"/>
      <c r="ER97" s="1264"/>
      <c r="ES97" s="1264"/>
      <c r="ET97" s="1264"/>
      <c r="EU97" s="1264"/>
      <c r="EV97" s="1264"/>
      <c r="EW97" s="1264"/>
      <c r="EX97" s="1264"/>
      <c r="EY97" s="1264"/>
      <c r="EZ97" s="1264"/>
      <c r="FA97" s="1264"/>
      <c r="FB97" s="1264"/>
      <c r="FC97" s="1264"/>
      <c r="FD97" s="1264"/>
      <c r="FE97" s="1264"/>
      <c r="FF97" s="1264"/>
      <c r="FG97" s="1264"/>
      <c r="FH97" s="1264"/>
      <c r="FI97" s="1264"/>
      <c r="FJ97" s="1264"/>
      <c r="FK97" s="1264"/>
      <c r="FL97" s="1264"/>
      <c r="FM97" s="1264"/>
      <c r="FN97" s="1264"/>
      <c r="FO97" s="1264"/>
      <c r="FP97" s="1264"/>
      <c r="FQ97" s="1264"/>
      <c r="FR97" s="1264"/>
      <c r="FS97" s="1264"/>
      <c r="FT97" s="1264"/>
      <c r="FU97" s="1264"/>
      <c r="FV97" s="1264"/>
      <c r="FW97" s="1264"/>
      <c r="FX97" s="1264"/>
      <c r="FY97" s="1264"/>
      <c r="FZ97" s="1264"/>
      <c r="GA97" s="1264"/>
      <c r="GB97" s="1264"/>
      <c r="GC97" s="1264"/>
      <c r="GD97" s="1264"/>
      <c r="GE97" s="1264"/>
      <c r="GF97" s="1264"/>
      <c r="GG97" s="1264"/>
      <c r="GH97" s="1264"/>
      <c r="GI97" s="1264"/>
      <c r="GJ97" s="1264"/>
      <c r="GK97" s="1264"/>
      <c r="GL97" s="1264"/>
      <c r="GM97" s="1264"/>
      <c r="GN97" s="1264"/>
      <c r="GO97" s="1264"/>
      <c r="GP97" s="1264"/>
      <c r="GQ97" s="1264"/>
      <c r="GR97" s="1264"/>
      <c r="GS97" s="1264"/>
      <c r="GT97" s="1264"/>
      <c r="GU97" s="1264"/>
      <c r="GV97" s="1264"/>
      <c r="GW97" s="1264"/>
      <c r="GX97" s="1264"/>
      <c r="GY97" s="1264"/>
      <c r="GZ97" s="1264"/>
      <c r="HA97" s="1264"/>
      <c r="HB97" s="1264"/>
      <c r="HC97" s="1264"/>
      <c r="HD97" s="1264"/>
      <c r="HE97" s="1264"/>
      <c r="HF97" s="1264"/>
      <c r="HG97" s="1264"/>
      <c r="HH97" s="1264"/>
      <c r="HI97" s="1264"/>
      <c r="HJ97" s="1264"/>
      <c r="HK97" s="1264"/>
    </row>
    <row r="98" spans="1:219">
      <c r="A98" s="1299"/>
      <c r="B98" s="1300"/>
      <c r="C98" s="1299"/>
      <c r="D98" s="1301"/>
      <c r="E98" s="1301"/>
      <c r="F98" s="1302"/>
      <c r="G98" s="1301"/>
      <c r="H98" s="726"/>
      <c r="I98" s="1303"/>
      <c r="J98" s="1304"/>
      <c r="K98" s="786" t="s">
        <v>293</v>
      </c>
      <c r="L98" s="1255">
        <f>(L96*L97*$G96)*$L$8</f>
        <v>0</v>
      </c>
      <c r="M98" s="1256"/>
      <c r="N98" s="1255">
        <f>(N96*N97*$G96)*$L$8</f>
        <v>0</v>
      </c>
      <c r="O98" s="1256"/>
      <c r="P98" s="1255">
        <f>(P96*P97*$G96)*$L$8</f>
        <v>0</v>
      </c>
      <c r="Q98" s="1256"/>
      <c r="R98" s="1255">
        <f>(R96*R97*$G96)*$L$8</f>
        <v>0</v>
      </c>
      <c r="S98" s="1256"/>
      <c r="T98" s="1255">
        <f>(T96*T97*$G96)*$T$8</f>
        <v>0</v>
      </c>
      <c r="U98" s="1256"/>
      <c r="V98" s="1255">
        <f>(V96*V97*$G96)*$T$8</f>
        <v>0</v>
      </c>
      <c r="W98" s="1256"/>
      <c r="X98" s="1255">
        <f>(X96*X97*$G96)*$T$8</f>
        <v>0</v>
      </c>
      <c r="Y98" s="1256"/>
      <c r="Z98" s="1255">
        <f>(Z96*Z97*$G96)*$T$8</f>
        <v>0</v>
      </c>
      <c r="AA98" s="1256"/>
      <c r="AB98" s="1255">
        <f>(AB96*AB97*$G96)*$AB$8</f>
        <v>0</v>
      </c>
      <c r="AC98" s="1256"/>
      <c r="AD98" s="1255">
        <f>(AD96*AD97*$G96)*$AB$8</f>
        <v>0</v>
      </c>
      <c r="AE98" s="1256"/>
      <c r="AF98" s="1255">
        <f>(AF96*AF97*$G96)*$AB$8</f>
        <v>0</v>
      </c>
      <c r="AG98" s="1256"/>
      <c r="AH98" s="1255">
        <f>(AH96*AH97*$G96)*$AB$8</f>
        <v>0</v>
      </c>
      <c r="AI98" s="1256"/>
      <c r="AJ98" s="1255">
        <f>(AJ96*AJ97*$G96)*$AJ$8</f>
        <v>0</v>
      </c>
      <c r="AK98" s="1256"/>
      <c r="AL98" s="1255">
        <f>(AL96*AL97*$G96)*$AJ$8</f>
        <v>0</v>
      </c>
      <c r="AM98" s="1256"/>
      <c r="AN98" s="1255">
        <f>(AN96*AN97*$G96)*$AJ$8</f>
        <v>0</v>
      </c>
      <c r="AO98" s="1256"/>
      <c r="AP98" s="1255">
        <f>(AP96*AP97*$G96)*$AJ$8</f>
        <v>0</v>
      </c>
      <c r="AQ98" s="1256"/>
      <c r="AR98" s="1255">
        <f t="shared" ref="AR98" si="22">(AR96*AR97*$G96)*$AJ$8</f>
        <v>0</v>
      </c>
      <c r="AS98" s="1256"/>
      <c r="AT98" s="1255">
        <f t="shared" ref="AT98:AZ98" si="23">(AT96*AT97*$G96)*$AT$8</f>
        <v>0</v>
      </c>
      <c r="AU98" s="1256"/>
      <c r="AV98" s="1255">
        <f t="shared" si="23"/>
        <v>0</v>
      </c>
      <c r="AW98" s="1256"/>
      <c r="AX98" s="1255">
        <f t="shared" si="23"/>
        <v>0</v>
      </c>
      <c r="AY98" s="1256"/>
      <c r="AZ98" s="1255">
        <f t="shared" si="23"/>
        <v>0</v>
      </c>
      <c r="BA98" s="1256"/>
      <c r="BB98" s="1255">
        <f t="shared" ref="BB98:BH98" si="24">(BB96*BB97*$G96)*$BB$8</f>
        <v>0</v>
      </c>
      <c r="BC98" s="1256"/>
      <c r="BD98" s="1255">
        <f t="shared" si="24"/>
        <v>0</v>
      </c>
      <c r="BE98" s="1256"/>
      <c r="BF98" s="1255">
        <f t="shared" si="24"/>
        <v>0</v>
      </c>
      <c r="BG98" s="1256"/>
      <c r="BH98" s="1255">
        <f t="shared" si="24"/>
        <v>0</v>
      </c>
      <c r="BI98" s="1256"/>
      <c r="BJ98" s="1255">
        <f t="shared" ref="BJ98:BR98" si="25">(BJ96*BJ97*$G96)*$BJ$8</f>
        <v>0</v>
      </c>
      <c r="BK98" s="1256"/>
      <c r="BL98" s="1255">
        <f t="shared" si="25"/>
        <v>6400</v>
      </c>
      <c r="BM98" s="1256"/>
      <c r="BN98" s="1255">
        <f t="shared" si="25"/>
        <v>7680</v>
      </c>
      <c r="BO98" s="1256"/>
      <c r="BP98" s="1255">
        <f t="shared" si="25"/>
        <v>7680</v>
      </c>
      <c r="BQ98" s="1256"/>
      <c r="BR98" s="1255">
        <f t="shared" si="25"/>
        <v>7680</v>
      </c>
      <c r="BS98" s="1256"/>
      <c r="BT98" s="1255">
        <f t="shared" ref="BT98:BZ98" si="26">(BT96*BT97*$G96)*$BT$8</f>
        <v>2560</v>
      </c>
      <c r="BU98" s="1256"/>
      <c r="BV98" s="1255">
        <f t="shared" si="26"/>
        <v>0</v>
      </c>
      <c r="BW98" s="1256"/>
      <c r="BX98" s="1255">
        <f t="shared" si="26"/>
        <v>0</v>
      </c>
      <c r="BY98" s="1256"/>
      <c r="BZ98" s="1255">
        <f t="shared" si="26"/>
        <v>0</v>
      </c>
      <c r="CA98" s="1256"/>
      <c r="CB98" s="1255">
        <f t="shared" ref="CB98:CH98" si="27">(CB96*CB97*$G96)*$CB$8</f>
        <v>0</v>
      </c>
      <c r="CC98" s="1256"/>
      <c r="CD98" s="1255">
        <f t="shared" si="27"/>
        <v>0</v>
      </c>
      <c r="CE98" s="1256"/>
      <c r="CF98" s="1255">
        <f t="shared" si="27"/>
        <v>0</v>
      </c>
      <c r="CG98" s="1256"/>
      <c r="CH98" s="1255">
        <f t="shared" si="27"/>
        <v>0</v>
      </c>
      <c r="CI98" s="1256"/>
      <c r="CJ98" s="1255">
        <f>(CJ96*CJ97*$G96)*$CJ$8</f>
        <v>0</v>
      </c>
      <c r="CK98" s="1256"/>
      <c r="CL98" s="1255">
        <f>(CL96*CL97*$G96)*$CJ$8</f>
        <v>0</v>
      </c>
      <c r="CM98" s="1256"/>
      <c r="CN98" s="1255">
        <f>(CN96*CN97*$G96)*$CJ$8</f>
        <v>0</v>
      </c>
      <c r="CO98" s="1256"/>
      <c r="CP98" s="1255">
        <f>(CP96*CP97*$G96)*$CJ$8</f>
        <v>0</v>
      </c>
      <c r="CQ98" s="1256"/>
      <c r="CR98" s="1255">
        <f>(CR96*CR97*$G96)*$CJ$8</f>
        <v>0</v>
      </c>
      <c r="CS98" s="1256"/>
      <c r="CT98" s="1358">
        <f>(CT96*CT97*$G96)*$CT$8</f>
        <v>0</v>
      </c>
      <c r="CU98" s="1256"/>
      <c r="CV98" s="1358">
        <f>(CV96*CV97*$G96)*$CT$8</f>
        <v>0</v>
      </c>
      <c r="CW98" s="1256"/>
      <c r="CX98" s="1358">
        <f>(CX96*CX97*$G96)*$CT$8</f>
        <v>0</v>
      </c>
      <c r="CY98" s="1256"/>
      <c r="CZ98" s="1358">
        <f>(CZ96*CZ97*$G96)*$CT$8</f>
        <v>0</v>
      </c>
      <c r="DA98" s="1256"/>
      <c r="DB98" s="1255">
        <f>(DB96*DB97*$G96)*$DB$8</f>
        <v>0</v>
      </c>
      <c r="DC98" s="1256"/>
      <c r="DD98" s="1313">
        <f>(DD96*DD97*$G96)*$DL$8</f>
        <v>0</v>
      </c>
      <c r="DE98" s="1314"/>
      <c r="DF98" s="1313">
        <f>(DF96*DF97*$G96)*$DL$8</f>
        <v>0</v>
      </c>
      <c r="DG98" s="1314"/>
      <c r="DH98" s="1313">
        <f>(DH96*DH97*$G96)*$DL$8</f>
        <v>0</v>
      </c>
      <c r="DI98" s="1314"/>
      <c r="DJ98" s="1257">
        <f>(DJ96*DJ97*$G96)*$DL$8</f>
        <v>0</v>
      </c>
      <c r="DK98" s="1258"/>
      <c r="DL98" s="1313">
        <f>(DL96*DL97*$G96)*$DT$8</f>
        <v>0</v>
      </c>
      <c r="DM98" s="1314"/>
      <c r="DN98" s="1313">
        <f>(DN96*DN97*$G96)*$DT$8</f>
        <v>0</v>
      </c>
      <c r="DO98" s="1314"/>
      <c r="DP98" s="1313">
        <f>(DP96*DP97*$G96)*$DL$8</f>
        <v>0</v>
      </c>
      <c r="DQ98" s="1314"/>
      <c r="DR98" s="1313">
        <f>(DR96*DR97*$G96)*$DL$8</f>
        <v>0</v>
      </c>
      <c r="DS98" s="1314"/>
      <c r="DT98" s="1313">
        <f>(DT96*DT97*$G96)*$DT$8</f>
        <v>0</v>
      </c>
      <c r="DU98" s="1314"/>
      <c r="DV98" s="1313">
        <f>(DV96*DV97*$G96)*$DT$8</f>
        <v>0</v>
      </c>
      <c r="DW98" s="1314"/>
      <c r="DX98" s="1313">
        <f>(DX96*DX97*$G96)*$DT$8</f>
        <v>0</v>
      </c>
      <c r="DY98" s="1314"/>
      <c r="DZ98" s="1313">
        <f>(DZ96*DZ97*$G96)*$DT$8</f>
        <v>0</v>
      </c>
      <c r="EA98" s="1314"/>
      <c r="EB98" s="1313">
        <f>(EB96*EB97*$G96)*$EB$8</f>
        <v>0</v>
      </c>
      <c r="EC98" s="1314"/>
      <c r="ED98" s="1255">
        <f>(ED96*ED97*$G96)*$DB$8</f>
        <v>0</v>
      </c>
      <c r="EE98" s="1256"/>
      <c r="EF98" s="1255">
        <f>(EF96*EF97*$G96)*$DB$8</f>
        <v>0</v>
      </c>
      <c r="EG98" s="1256"/>
      <c r="EH98" s="1255">
        <f>(EH96*EH97*$G96)*$DB$8</f>
        <v>0</v>
      </c>
      <c r="EI98" s="1256"/>
      <c r="EJ98" s="1255">
        <f>(EJ96*EJ97*$G96)*$DB$8</f>
        <v>0</v>
      </c>
      <c r="EK98" s="1256"/>
      <c r="EL98" s="1255">
        <f>(EL96*EL97*$G96)*$DB$8</f>
        <v>0</v>
      </c>
      <c r="EM98" s="1256"/>
      <c r="EN98" s="1255">
        <f>(EN96*EN97*$G96)*$DB$8</f>
        <v>0</v>
      </c>
      <c r="EO98" s="1256"/>
      <c r="EP98" s="1255">
        <f>(EP96*EP97*$G96)*$DB$8</f>
        <v>0</v>
      </c>
      <c r="EQ98" s="1256"/>
      <c r="ER98" s="1255">
        <f>(ER96*ER97*$G96)*$DB$8</f>
        <v>0</v>
      </c>
      <c r="ES98" s="1256"/>
      <c r="ET98" s="1255">
        <f>(ET96*ET97*$G96)*$DB$8</f>
        <v>0</v>
      </c>
      <c r="EU98" s="1256"/>
      <c r="EV98" s="1255">
        <f>(EV96*EV97*$G96)*$DB$8</f>
        <v>0</v>
      </c>
      <c r="EW98" s="1256"/>
      <c r="EX98" s="1255">
        <f>(EX96*EX97*$G96)*$DB$8</f>
        <v>0</v>
      </c>
      <c r="EY98" s="1256"/>
      <c r="EZ98" s="1255">
        <f>(EZ96*EZ97*$G96)*$DB$8</f>
        <v>0</v>
      </c>
      <c r="FA98" s="1256"/>
      <c r="FB98" s="1255">
        <f>(FB96*FB97*$G96)*$DB$8</f>
        <v>0</v>
      </c>
      <c r="FC98" s="1256"/>
      <c r="FD98" s="1255">
        <f>(FD96*FD97*$G96)*$DB$8</f>
        <v>0</v>
      </c>
      <c r="FE98" s="1256"/>
      <c r="FF98" s="1255">
        <f>(FF96*FF97*$G96)*$DB$8</f>
        <v>0</v>
      </c>
      <c r="FG98" s="1256"/>
      <c r="FH98" s="1255">
        <f>(FH96*FH97*$G96)*$DB$8</f>
        <v>0</v>
      </c>
      <c r="FI98" s="1256"/>
      <c r="FJ98" s="1255">
        <f>(FJ96*FJ97*$G96)*$DB$8</f>
        <v>0</v>
      </c>
      <c r="FK98" s="1256"/>
      <c r="FL98" s="1255">
        <f>(FL96*FL97*$G96)*$DB$8</f>
        <v>0</v>
      </c>
      <c r="FM98" s="1256"/>
      <c r="FN98" s="1255">
        <f>(FN96*FN97*$G96)*$DB$8</f>
        <v>0</v>
      </c>
      <c r="FO98" s="1256"/>
      <c r="FP98" s="1255">
        <f>(FP96*FP97*$G96)*$DB$8</f>
        <v>0</v>
      </c>
      <c r="FQ98" s="1256"/>
      <c r="FR98" s="1255">
        <f>(FR96*FR97*$G96)*$DB$8</f>
        <v>0</v>
      </c>
      <c r="FS98" s="1256"/>
      <c r="FT98" s="1255">
        <f>(FT96*FT97*$G96)*$DB$8</f>
        <v>0</v>
      </c>
      <c r="FU98" s="1256"/>
      <c r="FV98" s="1255">
        <f>(FV96*FV97*$G96)*$DB$8</f>
        <v>0</v>
      </c>
      <c r="FW98" s="1256"/>
      <c r="FX98" s="1255">
        <f>(FX96*FX97*$G96)*$DB$8</f>
        <v>0</v>
      </c>
      <c r="FY98" s="1256"/>
      <c r="FZ98" s="1255">
        <f>(FZ96*FZ97*$G96)*$DB$8</f>
        <v>0</v>
      </c>
      <c r="GA98" s="1256"/>
      <c r="GB98" s="1255">
        <f>(GB96*GB97*$G96)*$DB$8</f>
        <v>0</v>
      </c>
      <c r="GC98" s="1256"/>
      <c r="GD98" s="1255">
        <f>(GD96*GD97*$G96)*$GD$8</f>
        <v>0</v>
      </c>
      <c r="GE98" s="1256"/>
      <c r="GF98" s="1255">
        <f>(GF96*GF97*$G96)*$GD$8</f>
        <v>0</v>
      </c>
      <c r="GG98" s="1256"/>
      <c r="GH98" s="1255">
        <f>(GH96*GH97*$G96)*$GD$8</f>
        <v>0</v>
      </c>
      <c r="GI98" s="1256"/>
      <c r="GJ98" s="1255">
        <f>(GJ96*GJ97*$G96)*$GD$8</f>
        <v>0</v>
      </c>
      <c r="GK98" s="1256"/>
      <c r="GL98" s="1255">
        <f>(GL96*GL97*$G96)*$GD$8</f>
        <v>0</v>
      </c>
      <c r="GM98" s="1256"/>
      <c r="GN98" s="1255">
        <f>(GN96*GN97*$G96)*$DB$8</f>
        <v>0</v>
      </c>
      <c r="GO98" s="1256"/>
      <c r="GP98" s="1255">
        <f>(GP96*GP97*$G96)*$DB$8</f>
        <v>0</v>
      </c>
      <c r="GQ98" s="1256"/>
      <c r="GR98" s="1255">
        <f>(GR96*GR97*$G96)*$DB$8</f>
        <v>0</v>
      </c>
      <c r="GS98" s="1256"/>
      <c r="GT98" s="1255">
        <f>(GT96*GT97*$G96)*$DB$8</f>
        <v>0</v>
      </c>
      <c r="GU98" s="1256"/>
      <c r="GV98" s="1255">
        <f>(GV96*GV97*$G96)*$DB$8</f>
        <v>0</v>
      </c>
      <c r="GW98" s="1256"/>
      <c r="GX98" s="1255">
        <f>(GX96*GX97*$G96)*$DB$8</f>
        <v>0</v>
      </c>
      <c r="GY98" s="1256"/>
      <c r="GZ98" s="1255">
        <f>(GZ96*GZ97*$G96)*$DB$8</f>
        <v>0</v>
      </c>
      <c r="HA98" s="1256"/>
      <c r="HB98" s="1255">
        <f>(HB96*HB97*$G96)*$DB$8</f>
        <v>0</v>
      </c>
      <c r="HC98" s="1256"/>
      <c r="HD98" s="1255">
        <f>(HD96*HD97*$G96)*$DB$8</f>
        <v>0</v>
      </c>
      <c r="HE98" s="1256"/>
      <c r="HF98" s="1255">
        <f>(HF96*HF97*$G96)*$DB$8</f>
        <v>0</v>
      </c>
      <c r="HG98" s="1256"/>
      <c r="HH98" s="1255">
        <f>(HH96*HH97*$G96)*$DB$8</f>
        <v>0</v>
      </c>
      <c r="HI98" s="1256"/>
      <c r="HJ98" s="1255">
        <f>(HJ96*HJ97*$G96)*$DB$8</f>
        <v>0</v>
      </c>
      <c r="HK98" s="1256"/>
    </row>
    <row r="99" spans="1:219">
      <c r="A99" s="1299"/>
      <c r="B99" s="1300"/>
      <c r="C99" s="1299"/>
      <c r="D99" s="1301"/>
      <c r="E99" s="1301"/>
      <c r="F99" s="1302"/>
      <c r="G99" s="1301"/>
      <c r="H99" s="726"/>
      <c r="I99" s="1303"/>
      <c r="J99" s="1304"/>
      <c r="K99" s="787" t="s">
        <v>294</v>
      </c>
      <c r="L99" s="1272">
        <f>L98</f>
        <v>0</v>
      </c>
      <c r="M99" s="1273"/>
      <c r="N99" s="1272">
        <f>L99+N98</f>
        <v>0</v>
      </c>
      <c r="O99" s="1273"/>
      <c r="P99" s="1272">
        <f>N99+P98</f>
        <v>0</v>
      </c>
      <c r="Q99" s="1273"/>
      <c r="R99" s="1272">
        <f>P99+R98</f>
        <v>0</v>
      </c>
      <c r="S99" s="1273"/>
      <c r="T99" s="1272">
        <f>R99+T98</f>
        <v>0</v>
      </c>
      <c r="U99" s="1273"/>
      <c r="V99" s="1272">
        <f>T99+V98</f>
        <v>0</v>
      </c>
      <c r="W99" s="1273"/>
      <c r="X99" s="1272">
        <f>V99+X98</f>
        <v>0</v>
      </c>
      <c r="Y99" s="1273"/>
      <c r="Z99" s="1272">
        <f>X99+Z98</f>
        <v>0</v>
      </c>
      <c r="AA99" s="1273"/>
      <c r="AB99" s="1272">
        <f>Z99+AB98</f>
        <v>0</v>
      </c>
      <c r="AC99" s="1273"/>
      <c r="AD99" s="1272">
        <f>AB99+AD98</f>
        <v>0</v>
      </c>
      <c r="AE99" s="1273"/>
      <c r="AF99" s="1272">
        <f>AD99+AF98</f>
        <v>0</v>
      </c>
      <c r="AG99" s="1273"/>
      <c r="AH99" s="1272">
        <f>AF99+AH98</f>
        <v>0</v>
      </c>
      <c r="AI99" s="1273"/>
      <c r="AJ99" s="1272">
        <f>AH99+AJ98</f>
        <v>0</v>
      </c>
      <c r="AK99" s="1273"/>
      <c r="AL99" s="1272">
        <f>AJ99+AL98</f>
        <v>0</v>
      </c>
      <c r="AM99" s="1273"/>
      <c r="AN99" s="1272">
        <f>AL99+AN98</f>
        <v>0</v>
      </c>
      <c r="AO99" s="1273"/>
      <c r="AP99" s="1272">
        <f>AN99+AP98</f>
        <v>0</v>
      </c>
      <c r="AQ99" s="1273"/>
      <c r="AR99" s="1272">
        <f>AP99+AR98</f>
        <v>0</v>
      </c>
      <c r="AS99" s="1273"/>
      <c r="AT99" s="1272">
        <f>AR99+AT98</f>
        <v>0</v>
      </c>
      <c r="AU99" s="1273"/>
      <c r="AV99" s="1272">
        <f>AT99+AV98</f>
        <v>0</v>
      </c>
      <c r="AW99" s="1273"/>
      <c r="AX99" s="1272">
        <f>AV99+AX98</f>
        <v>0</v>
      </c>
      <c r="AY99" s="1273"/>
      <c r="AZ99" s="1272">
        <f>AX99+AZ98</f>
        <v>0</v>
      </c>
      <c r="BA99" s="1273"/>
      <c r="BB99" s="1272">
        <f>AZ99+BB98</f>
        <v>0</v>
      </c>
      <c r="BC99" s="1273"/>
      <c r="BD99" s="1272">
        <f>BB99+BD98</f>
        <v>0</v>
      </c>
      <c r="BE99" s="1273"/>
      <c r="BF99" s="1272">
        <f>BD99+BF98</f>
        <v>0</v>
      </c>
      <c r="BG99" s="1273"/>
      <c r="BH99" s="1272">
        <f>BF99+BH98</f>
        <v>0</v>
      </c>
      <c r="BI99" s="1273"/>
      <c r="BJ99" s="1272">
        <f>BH99+BJ98</f>
        <v>0</v>
      </c>
      <c r="BK99" s="1273"/>
      <c r="BL99" s="1272">
        <f>BJ99+BL98</f>
        <v>6400</v>
      </c>
      <c r="BM99" s="1273"/>
      <c r="BN99" s="1272">
        <f>BL99+BN98</f>
        <v>14080</v>
      </c>
      <c r="BO99" s="1273"/>
      <c r="BP99" s="1272">
        <f>BN99+BP98</f>
        <v>21760</v>
      </c>
      <c r="BQ99" s="1273"/>
      <c r="BR99" s="1272">
        <f>BP99+BR98</f>
        <v>29440</v>
      </c>
      <c r="BS99" s="1273"/>
      <c r="BT99" s="1272">
        <f>BR99+BT98</f>
        <v>32000</v>
      </c>
      <c r="BU99" s="1273"/>
      <c r="BV99" s="1272">
        <f t="shared" ref="BV99" si="28">BT99+BV98</f>
        <v>32000</v>
      </c>
      <c r="BW99" s="1273"/>
      <c r="BX99" s="1272">
        <f t="shared" ref="BX99" si="29">BV99+BX98</f>
        <v>32000</v>
      </c>
      <c r="BY99" s="1273"/>
      <c r="BZ99" s="1272">
        <f>BX99+BZ98</f>
        <v>32000</v>
      </c>
      <c r="CA99" s="1273"/>
      <c r="CB99" s="1272">
        <f>BZ99+CB98</f>
        <v>32000</v>
      </c>
      <c r="CC99" s="1273"/>
      <c r="CD99" s="1272">
        <f>CB99+CD98</f>
        <v>32000</v>
      </c>
      <c r="CE99" s="1273"/>
      <c r="CF99" s="1272">
        <f>CD99+CF98</f>
        <v>32000</v>
      </c>
      <c r="CG99" s="1273"/>
      <c r="CH99" s="1272">
        <f>CF99+CH98</f>
        <v>32000</v>
      </c>
      <c r="CI99" s="1273"/>
      <c r="CJ99" s="1272">
        <f>CH99+CJ98</f>
        <v>32000</v>
      </c>
      <c r="CK99" s="1273"/>
      <c r="CL99" s="1272">
        <f>CJ99+CL98</f>
        <v>32000</v>
      </c>
      <c r="CM99" s="1273"/>
      <c r="CN99" s="1272">
        <f>CL99+CN98</f>
        <v>32000</v>
      </c>
      <c r="CO99" s="1273"/>
      <c r="CP99" s="1272">
        <f>CN99+CP98</f>
        <v>32000</v>
      </c>
      <c r="CQ99" s="1273"/>
      <c r="CR99" s="1272">
        <f>CP99+CR98</f>
        <v>32000</v>
      </c>
      <c r="CS99" s="1273"/>
      <c r="CT99" s="1272">
        <f>CR99+CT98</f>
        <v>32000</v>
      </c>
      <c r="CU99" s="1273"/>
      <c r="CV99" s="1272">
        <f>CT99+CV98</f>
        <v>32000</v>
      </c>
      <c r="CW99" s="1273"/>
      <c r="CX99" s="1272">
        <f>CV99+CX98</f>
        <v>32000</v>
      </c>
      <c r="CY99" s="1273"/>
      <c r="CZ99" s="1272">
        <f>CX99+CZ98</f>
        <v>32000</v>
      </c>
      <c r="DA99" s="1273"/>
      <c r="DB99" s="1272">
        <f>CZ99+DB98</f>
        <v>32000</v>
      </c>
      <c r="DC99" s="1273"/>
      <c r="DD99" s="1272">
        <f>DB99+DD98</f>
        <v>32000</v>
      </c>
      <c r="DE99" s="1273"/>
      <c r="DF99" s="1272">
        <f>DD99+DF98</f>
        <v>32000</v>
      </c>
      <c r="DG99" s="1273"/>
      <c r="DH99" s="1272">
        <f>DF99+DH98</f>
        <v>32000</v>
      </c>
      <c r="DI99" s="1273"/>
      <c r="DJ99" s="1323">
        <f>DH99+DJ98</f>
        <v>32000</v>
      </c>
      <c r="DK99" s="1324"/>
      <c r="DL99" s="1272">
        <f>DJ99+DL98</f>
        <v>32000</v>
      </c>
      <c r="DM99" s="1273"/>
      <c r="DN99" s="1272">
        <f>DL99+DN98</f>
        <v>32000</v>
      </c>
      <c r="DO99" s="1273"/>
      <c r="DP99" s="1272">
        <f>DN99+DP98</f>
        <v>32000</v>
      </c>
      <c r="DQ99" s="1273"/>
      <c r="DR99" s="1272">
        <f>DP99+DR98</f>
        <v>32000</v>
      </c>
      <c r="DS99" s="1273"/>
      <c r="DT99" s="1272">
        <f>DR99+DT98</f>
        <v>32000</v>
      </c>
      <c r="DU99" s="1273"/>
      <c r="DV99" s="1272">
        <f>DT99+DV98</f>
        <v>32000</v>
      </c>
      <c r="DW99" s="1273"/>
      <c r="DX99" s="1272">
        <f>DV99+DX98</f>
        <v>32000</v>
      </c>
      <c r="DY99" s="1273"/>
      <c r="DZ99" s="1272">
        <f>DX99+DZ98</f>
        <v>32000</v>
      </c>
      <c r="EA99" s="1273"/>
      <c r="EB99" s="1272">
        <f>DZ99+EB98</f>
        <v>32000</v>
      </c>
      <c r="EC99" s="1273"/>
      <c r="ED99" s="1272">
        <f>EB99+ED98</f>
        <v>32000</v>
      </c>
      <c r="EE99" s="1273"/>
      <c r="EF99" s="1272">
        <f>ED99+EF98</f>
        <v>32000</v>
      </c>
      <c r="EG99" s="1273"/>
      <c r="EH99" s="1272">
        <f>EF99+EH98</f>
        <v>32000</v>
      </c>
      <c r="EI99" s="1273"/>
      <c r="EJ99" s="1272">
        <f>EH99+EJ98</f>
        <v>32000</v>
      </c>
      <c r="EK99" s="1273"/>
      <c r="EL99" s="1272">
        <f>EJ99+EL98</f>
        <v>32000</v>
      </c>
      <c r="EM99" s="1273"/>
      <c r="EN99" s="1272">
        <f>EL99+EN98</f>
        <v>32000</v>
      </c>
      <c r="EO99" s="1273"/>
      <c r="EP99" s="1272">
        <f>EN99+EP98</f>
        <v>32000</v>
      </c>
      <c r="EQ99" s="1273"/>
      <c r="ER99" s="1272">
        <f>EP99+ER98</f>
        <v>32000</v>
      </c>
      <c r="ES99" s="1273"/>
      <c r="ET99" s="1272">
        <f>ER99+ET98</f>
        <v>32000</v>
      </c>
      <c r="EU99" s="1273"/>
      <c r="EV99" s="1272">
        <f>ET99+EV98</f>
        <v>32000</v>
      </c>
      <c r="EW99" s="1273"/>
      <c r="EX99" s="1272">
        <f>EV99+EX98</f>
        <v>32000</v>
      </c>
      <c r="EY99" s="1273"/>
      <c r="EZ99" s="1272">
        <f>EX99+EZ98</f>
        <v>32000</v>
      </c>
      <c r="FA99" s="1273"/>
      <c r="FB99" s="1272">
        <f>EZ99+FB98</f>
        <v>32000</v>
      </c>
      <c r="FC99" s="1273"/>
      <c r="FD99" s="1272">
        <f>FB99+FD98</f>
        <v>32000</v>
      </c>
      <c r="FE99" s="1273"/>
      <c r="FF99" s="1272">
        <f>FD99+FF98</f>
        <v>32000</v>
      </c>
      <c r="FG99" s="1273"/>
      <c r="FH99" s="1272">
        <f>FF99+FH98</f>
        <v>32000</v>
      </c>
      <c r="FI99" s="1273"/>
      <c r="FJ99" s="1272">
        <f>FH99+FJ98</f>
        <v>32000</v>
      </c>
      <c r="FK99" s="1273"/>
      <c r="FL99" s="1272">
        <f>FJ99+FL98</f>
        <v>32000</v>
      </c>
      <c r="FM99" s="1273"/>
      <c r="FN99" s="1272">
        <f>FL99+FN98</f>
        <v>32000</v>
      </c>
      <c r="FO99" s="1273"/>
      <c r="FP99" s="1272">
        <f>FN99+FP98</f>
        <v>32000</v>
      </c>
      <c r="FQ99" s="1273"/>
      <c r="FR99" s="1272">
        <f>FP99+FR98</f>
        <v>32000</v>
      </c>
      <c r="FS99" s="1273"/>
      <c r="FT99" s="1272">
        <f>FR99+FT98</f>
        <v>32000</v>
      </c>
      <c r="FU99" s="1273"/>
      <c r="FV99" s="1272">
        <f>FT99+FV98</f>
        <v>32000</v>
      </c>
      <c r="FW99" s="1273"/>
      <c r="FX99" s="1272">
        <f>FV99+FX98</f>
        <v>32000</v>
      </c>
      <c r="FY99" s="1273"/>
      <c r="FZ99" s="1272">
        <f>FX99+FZ98</f>
        <v>32000</v>
      </c>
      <c r="GA99" s="1273"/>
      <c r="GB99" s="1272">
        <f>FZ99+GB98</f>
        <v>32000</v>
      </c>
      <c r="GC99" s="1273"/>
      <c r="GD99" s="1272">
        <f>GB99+GD98</f>
        <v>32000</v>
      </c>
      <c r="GE99" s="1273"/>
      <c r="GF99" s="1272">
        <f>GD99+GF98</f>
        <v>32000</v>
      </c>
      <c r="GG99" s="1273"/>
      <c r="GH99" s="1272">
        <f>GF99+GH98</f>
        <v>32000</v>
      </c>
      <c r="GI99" s="1273"/>
      <c r="GJ99" s="1272">
        <f>GH99+GJ98</f>
        <v>32000</v>
      </c>
      <c r="GK99" s="1273"/>
      <c r="GL99" s="1272">
        <f>GJ99+GL98</f>
        <v>32000</v>
      </c>
      <c r="GM99" s="1273"/>
      <c r="GN99" s="1272">
        <f>GL99+GN98</f>
        <v>32000</v>
      </c>
      <c r="GO99" s="1273"/>
      <c r="GP99" s="1272">
        <f>GN99+GP98</f>
        <v>32000</v>
      </c>
      <c r="GQ99" s="1273"/>
      <c r="GR99" s="1272">
        <f>GP99+GR98</f>
        <v>32000</v>
      </c>
      <c r="GS99" s="1273"/>
      <c r="GT99" s="1272">
        <f>GR99+GT98</f>
        <v>32000</v>
      </c>
      <c r="GU99" s="1273"/>
      <c r="GV99" s="1272">
        <f>GT99+GV98</f>
        <v>32000</v>
      </c>
      <c r="GW99" s="1273"/>
      <c r="GX99" s="1272">
        <f>GV99+GX98</f>
        <v>32000</v>
      </c>
      <c r="GY99" s="1273"/>
      <c r="GZ99" s="1272">
        <f>GX99+GZ98</f>
        <v>32000</v>
      </c>
      <c r="HA99" s="1273"/>
      <c r="HB99" s="1272">
        <f>GZ99+HB98</f>
        <v>32000</v>
      </c>
      <c r="HC99" s="1273"/>
      <c r="HD99" s="1272">
        <f>HB99+HD98</f>
        <v>32000</v>
      </c>
      <c r="HE99" s="1273"/>
      <c r="HF99" s="1272">
        <f>HD99+HF98</f>
        <v>32000</v>
      </c>
      <c r="HG99" s="1273"/>
      <c r="HH99" s="1272">
        <f>HF99+HH98</f>
        <v>32000</v>
      </c>
      <c r="HI99" s="1273"/>
      <c r="HJ99" s="1272">
        <f>HH99+HJ98</f>
        <v>32000</v>
      </c>
      <c r="HK99" s="1273"/>
    </row>
    <row r="100" spans="1:219" s="19" customFormat="1">
      <c r="A100" s="1299"/>
      <c r="B100" s="1300"/>
      <c r="C100" s="1299"/>
      <c r="D100" s="1301"/>
      <c r="E100" s="1301"/>
      <c r="F100" s="1302"/>
      <c r="G100" s="1301"/>
      <c r="H100" s="788"/>
      <c r="I100" s="1303"/>
      <c r="J100" s="1304"/>
      <c r="K100" s="789" t="s">
        <v>295</v>
      </c>
      <c r="L100" s="1266"/>
      <c r="M100" s="1267"/>
      <c r="N100" s="1266"/>
      <c r="O100" s="1267"/>
      <c r="P100" s="1266"/>
      <c r="Q100" s="1267"/>
      <c r="R100" s="1266"/>
      <c r="S100" s="1267"/>
      <c r="T100" s="1266"/>
      <c r="U100" s="1267"/>
      <c r="V100" s="1266"/>
      <c r="W100" s="1267"/>
      <c r="X100" s="1266"/>
      <c r="Y100" s="1267"/>
      <c r="Z100" s="1266"/>
      <c r="AA100" s="1267"/>
      <c r="AB100" s="1266"/>
      <c r="AC100" s="1267"/>
      <c r="AD100" s="1266"/>
      <c r="AE100" s="1267"/>
      <c r="AF100" s="1266"/>
      <c r="AG100" s="1267"/>
      <c r="AH100" s="1266"/>
      <c r="AI100" s="1267"/>
      <c r="AJ100" s="1266"/>
      <c r="AK100" s="1267"/>
      <c r="AL100" s="1266"/>
      <c r="AM100" s="1267"/>
      <c r="AN100" s="1266"/>
      <c r="AO100" s="1267"/>
      <c r="AP100" s="1266"/>
      <c r="AQ100" s="1267"/>
      <c r="AR100" s="1266"/>
      <c r="AS100" s="1267"/>
      <c r="AT100" s="1266"/>
      <c r="AU100" s="1267"/>
      <c r="AV100" s="1266"/>
      <c r="AW100" s="1267"/>
      <c r="AX100" s="1266"/>
      <c r="AY100" s="1267"/>
      <c r="AZ100" s="1266"/>
      <c r="BA100" s="1267"/>
      <c r="BB100" s="1266"/>
      <c r="BC100" s="1267"/>
      <c r="BD100" s="1266"/>
      <c r="BE100" s="1267"/>
      <c r="BF100" s="1266"/>
      <c r="BG100" s="1267"/>
      <c r="BH100" s="1266"/>
      <c r="BI100" s="1267"/>
      <c r="BJ100" s="1266"/>
      <c r="BK100" s="1267"/>
      <c r="BL100" s="1266"/>
      <c r="BM100" s="1267"/>
      <c r="BN100" s="1266"/>
      <c r="BO100" s="1267"/>
      <c r="BP100" s="1266"/>
      <c r="BQ100" s="1267"/>
      <c r="BR100" s="1266"/>
      <c r="BS100" s="1267"/>
      <c r="BT100" s="1266"/>
      <c r="BU100" s="1267"/>
      <c r="BV100" s="1266"/>
      <c r="BW100" s="1267"/>
      <c r="BX100" s="1266"/>
      <c r="BY100" s="1267"/>
      <c r="BZ100" s="1266"/>
      <c r="CA100" s="1267"/>
      <c r="CB100" s="1266"/>
      <c r="CC100" s="1267"/>
      <c r="CD100" s="1266"/>
      <c r="CE100" s="1267"/>
      <c r="CF100" s="1266"/>
      <c r="CG100" s="1267"/>
      <c r="CH100" s="1266"/>
      <c r="CI100" s="1267"/>
      <c r="CJ100" s="1266"/>
      <c r="CK100" s="1267"/>
      <c r="CL100" s="1266"/>
      <c r="CM100" s="1267"/>
      <c r="CN100" s="1266"/>
      <c r="CO100" s="1267"/>
      <c r="CP100" s="1266"/>
      <c r="CQ100" s="1267"/>
      <c r="CR100" s="1266"/>
      <c r="CS100" s="1267"/>
      <c r="CT100" s="1266"/>
      <c r="CU100" s="1267"/>
      <c r="CV100" s="1266"/>
      <c r="CW100" s="1267"/>
      <c r="CX100" s="1266"/>
      <c r="CY100" s="1267"/>
      <c r="CZ100" s="1266"/>
      <c r="DA100" s="1267"/>
      <c r="DB100" s="1266"/>
      <c r="DC100" s="1267"/>
      <c r="DD100" s="1266"/>
      <c r="DE100" s="1267"/>
      <c r="DF100" s="1266"/>
      <c r="DG100" s="1267"/>
      <c r="DH100" s="1266"/>
      <c r="DI100" s="1267"/>
      <c r="DJ100" s="1268"/>
      <c r="DK100" s="1269"/>
      <c r="DL100" s="1266"/>
      <c r="DM100" s="1267"/>
      <c r="DN100" s="1266"/>
      <c r="DO100" s="1267"/>
      <c r="DP100" s="1266"/>
      <c r="DQ100" s="1267"/>
      <c r="DR100" s="1266"/>
      <c r="DS100" s="1267"/>
      <c r="DT100" s="1266"/>
      <c r="DU100" s="1267"/>
      <c r="DV100" s="1266"/>
      <c r="DW100" s="1267"/>
      <c r="DX100" s="1266"/>
      <c r="DY100" s="1267"/>
      <c r="DZ100" s="1266"/>
      <c r="EA100" s="1267"/>
      <c r="EB100" s="1266"/>
      <c r="EC100" s="1267"/>
      <c r="ED100" s="1266"/>
      <c r="EE100" s="1267"/>
      <c r="EF100" s="1266"/>
      <c r="EG100" s="1267"/>
      <c r="EH100" s="1266"/>
      <c r="EI100" s="1267"/>
      <c r="EJ100" s="1266"/>
      <c r="EK100" s="1267"/>
      <c r="EL100" s="1266"/>
      <c r="EM100" s="1267"/>
      <c r="EN100" s="1266"/>
      <c r="EO100" s="1267"/>
      <c r="EP100" s="1266"/>
      <c r="EQ100" s="1267"/>
      <c r="ER100" s="1266"/>
      <c r="ES100" s="1267"/>
      <c r="ET100" s="1266"/>
      <c r="EU100" s="1267"/>
      <c r="EV100" s="1266"/>
      <c r="EW100" s="1267"/>
      <c r="EX100" s="1266"/>
      <c r="EY100" s="1267"/>
      <c r="EZ100" s="1266"/>
      <c r="FA100" s="1267"/>
      <c r="FB100" s="1266"/>
      <c r="FC100" s="1267"/>
      <c r="FD100" s="1266"/>
      <c r="FE100" s="1267"/>
      <c r="FF100" s="1266"/>
      <c r="FG100" s="1267"/>
      <c r="FH100" s="1266"/>
      <c r="FI100" s="1267"/>
      <c r="FJ100" s="1266"/>
      <c r="FK100" s="1267"/>
      <c r="FL100" s="1266"/>
      <c r="FM100" s="1267"/>
      <c r="FN100" s="1266"/>
      <c r="FO100" s="1267"/>
      <c r="FP100" s="1266"/>
      <c r="FQ100" s="1267"/>
      <c r="FR100" s="1266"/>
      <c r="FS100" s="1267"/>
      <c r="FT100" s="1266"/>
      <c r="FU100" s="1267"/>
      <c r="FV100" s="1266"/>
      <c r="FW100" s="1267"/>
      <c r="FX100" s="1266"/>
      <c r="FY100" s="1267"/>
      <c r="FZ100" s="1266"/>
      <c r="GA100" s="1267"/>
      <c r="GB100" s="1266"/>
      <c r="GC100" s="1267"/>
      <c r="GD100" s="1266"/>
      <c r="GE100" s="1267"/>
      <c r="GF100" s="1266"/>
      <c r="GG100" s="1267"/>
      <c r="GH100" s="1266"/>
      <c r="GI100" s="1267"/>
      <c r="GJ100" s="1266"/>
      <c r="GK100" s="1267"/>
      <c r="GL100" s="1266"/>
      <c r="GM100" s="1267"/>
      <c r="GN100" s="1266"/>
      <c r="GO100" s="1267"/>
      <c r="GP100" s="1266"/>
      <c r="GQ100" s="1267"/>
      <c r="GR100" s="1266"/>
      <c r="GS100" s="1267"/>
      <c r="GT100" s="1266"/>
      <c r="GU100" s="1267"/>
      <c r="GV100" s="1266"/>
      <c r="GW100" s="1267"/>
      <c r="GX100" s="1266"/>
      <c r="GY100" s="1267"/>
      <c r="GZ100" s="1266"/>
      <c r="HA100" s="1267"/>
      <c r="HB100" s="1266"/>
      <c r="HC100" s="1267"/>
      <c r="HD100" s="1266"/>
      <c r="HE100" s="1267"/>
      <c r="HF100" s="1266"/>
      <c r="HG100" s="1267"/>
      <c r="HH100" s="1266"/>
      <c r="HI100" s="1267"/>
      <c r="HJ100" s="1266"/>
      <c r="HK100" s="1267"/>
    </row>
    <row r="101" spans="1:219" s="20" customFormat="1">
      <c r="A101" s="1299"/>
      <c r="B101" s="1300"/>
      <c r="C101" s="1299"/>
      <c r="D101" s="1301"/>
      <c r="E101" s="1301"/>
      <c r="F101" s="1302"/>
      <c r="G101" s="1301"/>
      <c r="H101" s="790"/>
      <c r="I101" s="1303"/>
      <c r="J101" s="1304"/>
      <c r="K101" s="791" t="s">
        <v>296</v>
      </c>
      <c r="L101" s="1259">
        <f>L100</f>
        <v>0</v>
      </c>
      <c r="M101" s="1260"/>
      <c r="N101" s="1259">
        <f>N100+L101</f>
        <v>0</v>
      </c>
      <c r="O101" s="1260"/>
      <c r="P101" s="1259">
        <f>P100+N101</f>
        <v>0</v>
      </c>
      <c r="Q101" s="1260"/>
      <c r="R101" s="1259">
        <f>R100+P101</f>
        <v>0</v>
      </c>
      <c r="S101" s="1260"/>
      <c r="T101" s="1259">
        <f>T100+R101</f>
        <v>0</v>
      </c>
      <c r="U101" s="1260"/>
      <c r="V101" s="1259">
        <f>V100+T101</f>
        <v>0</v>
      </c>
      <c r="W101" s="1260"/>
      <c r="X101" s="1259">
        <f>X100+V101</f>
        <v>0</v>
      </c>
      <c r="Y101" s="1260"/>
      <c r="Z101" s="1259">
        <f>Z100+X101</f>
        <v>0</v>
      </c>
      <c r="AA101" s="1260"/>
      <c r="AB101" s="1259">
        <f>AB100+Z101</f>
        <v>0</v>
      </c>
      <c r="AC101" s="1260"/>
      <c r="AD101" s="1259">
        <f>AD100+AB101</f>
        <v>0</v>
      </c>
      <c r="AE101" s="1260"/>
      <c r="AF101" s="1259">
        <f>AF100+AD101</f>
        <v>0</v>
      </c>
      <c r="AG101" s="1260"/>
      <c r="AH101" s="1259">
        <f>AH100+AF101</f>
        <v>0</v>
      </c>
      <c r="AI101" s="1260"/>
      <c r="AJ101" s="1259">
        <f>AJ100+AH101</f>
        <v>0</v>
      </c>
      <c r="AK101" s="1260"/>
      <c r="AL101" s="1259">
        <f>AL100+AJ101</f>
        <v>0</v>
      </c>
      <c r="AM101" s="1260"/>
      <c r="AN101" s="1259">
        <f>AN100+AL101</f>
        <v>0</v>
      </c>
      <c r="AO101" s="1260"/>
      <c r="AP101" s="1259">
        <f>AP100+AN101</f>
        <v>0</v>
      </c>
      <c r="AQ101" s="1260"/>
      <c r="AR101" s="1259">
        <f>AR100+AP101</f>
        <v>0</v>
      </c>
      <c r="AS101" s="1260"/>
      <c r="AT101" s="1259">
        <f>AT100+AR101</f>
        <v>0</v>
      </c>
      <c r="AU101" s="1260"/>
      <c r="AV101" s="1259">
        <f>AV100+AT101</f>
        <v>0</v>
      </c>
      <c r="AW101" s="1260"/>
      <c r="AX101" s="1259">
        <f>AX100+AV101</f>
        <v>0</v>
      </c>
      <c r="AY101" s="1260"/>
      <c r="AZ101" s="1259">
        <f>AZ100+AX101</f>
        <v>0</v>
      </c>
      <c r="BA101" s="1260"/>
      <c r="BB101" s="1259">
        <f>BB100+AZ101</f>
        <v>0</v>
      </c>
      <c r="BC101" s="1260"/>
      <c r="BD101" s="1259">
        <f>BD100+BB101</f>
        <v>0</v>
      </c>
      <c r="BE101" s="1260"/>
      <c r="BF101" s="1259">
        <f>BF100+BD101</f>
        <v>0</v>
      </c>
      <c r="BG101" s="1260"/>
      <c r="BH101" s="1259">
        <f>BH100+BF101</f>
        <v>0</v>
      </c>
      <c r="BI101" s="1260"/>
      <c r="BJ101" s="1259">
        <f>BJ100+BH101</f>
        <v>0</v>
      </c>
      <c r="BK101" s="1260"/>
      <c r="BL101" s="1259">
        <f>BL100+BJ101</f>
        <v>0</v>
      </c>
      <c r="BM101" s="1260"/>
      <c r="BN101" s="1259">
        <f>BN100+BL101</f>
        <v>0</v>
      </c>
      <c r="BO101" s="1260"/>
      <c r="BP101" s="1259">
        <f>BP100+BN101</f>
        <v>0</v>
      </c>
      <c r="BQ101" s="1260"/>
      <c r="BR101" s="1259">
        <f>BR100+BP101</f>
        <v>0</v>
      </c>
      <c r="BS101" s="1260"/>
      <c r="BT101" s="1259">
        <f>BT100+BR101</f>
        <v>0</v>
      </c>
      <c r="BU101" s="1260"/>
      <c r="BV101" s="1259">
        <f>BV100+BT101</f>
        <v>0</v>
      </c>
      <c r="BW101" s="1260"/>
      <c r="BX101" s="1259">
        <f>BX100+BV101</f>
        <v>0</v>
      </c>
      <c r="BY101" s="1260"/>
      <c r="BZ101" s="1259">
        <f>BZ100+BX101</f>
        <v>0</v>
      </c>
      <c r="CA101" s="1260"/>
      <c r="CB101" s="1259">
        <f>CB100+BZ101</f>
        <v>0</v>
      </c>
      <c r="CC101" s="1260"/>
      <c r="CD101" s="1259">
        <f>CD100+CB101</f>
        <v>0</v>
      </c>
      <c r="CE101" s="1260"/>
      <c r="CF101" s="1259">
        <f>CF100+CD101</f>
        <v>0</v>
      </c>
      <c r="CG101" s="1260"/>
      <c r="CH101" s="1259">
        <f>CH100+CF101</f>
        <v>0</v>
      </c>
      <c r="CI101" s="1260"/>
      <c r="CJ101" s="1259">
        <f>CJ100+CH101</f>
        <v>0</v>
      </c>
      <c r="CK101" s="1260"/>
      <c r="CL101" s="1259">
        <f>CL100+CJ101</f>
        <v>0</v>
      </c>
      <c r="CM101" s="1260"/>
      <c r="CN101" s="1259">
        <f>CN100+CL101</f>
        <v>0</v>
      </c>
      <c r="CO101" s="1260"/>
      <c r="CP101" s="1259">
        <f>CP100+CN101</f>
        <v>0</v>
      </c>
      <c r="CQ101" s="1260"/>
      <c r="CR101" s="1259">
        <f>CR100+CP101</f>
        <v>0</v>
      </c>
      <c r="CS101" s="1260"/>
      <c r="CT101" s="1259">
        <f>CT100+CR101</f>
        <v>0</v>
      </c>
      <c r="CU101" s="1260"/>
      <c r="CV101" s="1259">
        <f>CV100+CT101</f>
        <v>0</v>
      </c>
      <c r="CW101" s="1260"/>
      <c r="CX101" s="1259">
        <f>CX100+CV101</f>
        <v>0</v>
      </c>
      <c r="CY101" s="1260"/>
      <c r="CZ101" s="1259">
        <f>CZ100+CX101</f>
        <v>0</v>
      </c>
      <c r="DA101" s="1260"/>
      <c r="DB101" s="1259">
        <f>DB100+CZ101</f>
        <v>0</v>
      </c>
      <c r="DC101" s="1260"/>
      <c r="DD101" s="1259">
        <f>DD100+DB101</f>
        <v>0</v>
      </c>
      <c r="DE101" s="1260"/>
      <c r="DF101" s="1259">
        <f>DF100+DD101</f>
        <v>0</v>
      </c>
      <c r="DG101" s="1260"/>
      <c r="DH101" s="1259">
        <f>DH100+DF101</f>
        <v>0</v>
      </c>
      <c r="DI101" s="1260"/>
      <c r="DJ101" s="1261">
        <f>DJ100+DH101</f>
        <v>0</v>
      </c>
      <c r="DK101" s="1262"/>
      <c r="DL101" s="1259">
        <f>DL100+DJ101</f>
        <v>0</v>
      </c>
      <c r="DM101" s="1260"/>
      <c r="DN101" s="1259">
        <f>DN100+DL101</f>
        <v>0</v>
      </c>
      <c r="DO101" s="1260"/>
      <c r="DP101" s="1259">
        <f>DP100+DN101</f>
        <v>0</v>
      </c>
      <c r="DQ101" s="1260"/>
      <c r="DR101" s="1259">
        <f>DR100+DP101</f>
        <v>0</v>
      </c>
      <c r="DS101" s="1260"/>
      <c r="DT101" s="1259">
        <f>DT100+DR101</f>
        <v>0</v>
      </c>
      <c r="DU101" s="1260"/>
      <c r="DV101" s="1259">
        <f>DV100+DT101</f>
        <v>0</v>
      </c>
      <c r="DW101" s="1260"/>
      <c r="DX101" s="1259">
        <f>DX100+DV101</f>
        <v>0</v>
      </c>
      <c r="DY101" s="1260"/>
      <c r="DZ101" s="1259">
        <f>DZ100+DX101</f>
        <v>0</v>
      </c>
      <c r="EA101" s="1260"/>
      <c r="EB101" s="1259">
        <f>EB100+DZ101</f>
        <v>0</v>
      </c>
      <c r="EC101" s="1260"/>
      <c r="ED101" s="1259">
        <f>ED100+EB101</f>
        <v>0</v>
      </c>
      <c r="EE101" s="1260"/>
      <c r="EF101" s="1259">
        <f>EF100+ED101</f>
        <v>0</v>
      </c>
      <c r="EG101" s="1260"/>
      <c r="EH101" s="1259">
        <f>EH100+EF101</f>
        <v>0</v>
      </c>
      <c r="EI101" s="1260"/>
      <c r="EJ101" s="1259">
        <f>EJ100+EH101</f>
        <v>0</v>
      </c>
      <c r="EK101" s="1260"/>
      <c r="EL101" s="1259">
        <f>EL100+EJ101</f>
        <v>0</v>
      </c>
      <c r="EM101" s="1260"/>
      <c r="EN101" s="1259">
        <f>EN100+EL101</f>
        <v>0</v>
      </c>
      <c r="EO101" s="1260"/>
      <c r="EP101" s="1259">
        <f>EP100+EN101</f>
        <v>0</v>
      </c>
      <c r="EQ101" s="1260"/>
      <c r="ER101" s="1259">
        <f>ER100+EP101</f>
        <v>0</v>
      </c>
      <c r="ES101" s="1260"/>
      <c r="ET101" s="1259">
        <f>ET100+ER101</f>
        <v>0</v>
      </c>
      <c r="EU101" s="1260"/>
      <c r="EV101" s="1259">
        <f>EV100+ET101</f>
        <v>0</v>
      </c>
      <c r="EW101" s="1260"/>
      <c r="EX101" s="1259">
        <f>EX100+EV101</f>
        <v>0</v>
      </c>
      <c r="EY101" s="1260"/>
      <c r="EZ101" s="1259">
        <f>EZ100+EX101</f>
        <v>0</v>
      </c>
      <c r="FA101" s="1260"/>
      <c r="FB101" s="1259">
        <f>FB100+EZ101</f>
        <v>0</v>
      </c>
      <c r="FC101" s="1260"/>
      <c r="FD101" s="1259">
        <f>FD100+FB101</f>
        <v>0</v>
      </c>
      <c r="FE101" s="1260"/>
      <c r="FF101" s="1259">
        <f>FF100+FD101</f>
        <v>0</v>
      </c>
      <c r="FG101" s="1260"/>
      <c r="FH101" s="1259">
        <f>FH100+FF101</f>
        <v>0</v>
      </c>
      <c r="FI101" s="1260"/>
      <c r="FJ101" s="1259">
        <f>FJ100+FH101</f>
        <v>0</v>
      </c>
      <c r="FK101" s="1260"/>
      <c r="FL101" s="1259">
        <f>FL100+FJ101</f>
        <v>0</v>
      </c>
      <c r="FM101" s="1260"/>
      <c r="FN101" s="1259">
        <f>FN100+FL101</f>
        <v>0</v>
      </c>
      <c r="FO101" s="1260"/>
      <c r="FP101" s="1259">
        <f>FP100+FN101</f>
        <v>0</v>
      </c>
      <c r="FQ101" s="1260"/>
      <c r="FR101" s="1259">
        <f>FR100+FP101</f>
        <v>0</v>
      </c>
      <c r="FS101" s="1260"/>
      <c r="FT101" s="1259">
        <f>FT100+FR101</f>
        <v>0</v>
      </c>
      <c r="FU101" s="1260"/>
      <c r="FV101" s="1259">
        <f>FV100+FT101</f>
        <v>0</v>
      </c>
      <c r="FW101" s="1260"/>
      <c r="FX101" s="1259">
        <f>FX100+FV101</f>
        <v>0</v>
      </c>
      <c r="FY101" s="1260"/>
      <c r="FZ101" s="1259">
        <f>FZ100+FX101</f>
        <v>0</v>
      </c>
      <c r="GA101" s="1260"/>
      <c r="GB101" s="1259">
        <f>GB100+FZ101</f>
        <v>0</v>
      </c>
      <c r="GC101" s="1260"/>
      <c r="GD101" s="1259">
        <f>GD100+GB101</f>
        <v>0</v>
      </c>
      <c r="GE101" s="1260"/>
      <c r="GF101" s="1259">
        <f>GF100+GD101</f>
        <v>0</v>
      </c>
      <c r="GG101" s="1260"/>
      <c r="GH101" s="1259">
        <f>GH100+GF101</f>
        <v>0</v>
      </c>
      <c r="GI101" s="1260"/>
      <c r="GJ101" s="1259">
        <f>GJ100+GH101</f>
        <v>0</v>
      </c>
      <c r="GK101" s="1260"/>
      <c r="GL101" s="1259">
        <f>GL100+GJ101</f>
        <v>0</v>
      </c>
      <c r="GM101" s="1260"/>
      <c r="GN101" s="1259">
        <f>GN100+GL101</f>
        <v>0</v>
      </c>
      <c r="GO101" s="1260"/>
      <c r="GP101" s="1259">
        <f>GP100+GN101</f>
        <v>0</v>
      </c>
      <c r="GQ101" s="1260"/>
      <c r="GR101" s="1259">
        <f>GR100+GP101</f>
        <v>0</v>
      </c>
      <c r="GS101" s="1260"/>
      <c r="GT101" s="1259">
        <f>GT100+GR101</f>
        <v>0</v>
      </c>
      <c r="GU101" s="1260"/>
      <c r="GV101" s="1259">
        <f>GV100+GT101</f>
        <v>0</v>
      </c>
      <c r="GW101" s="1260"/>
      <c r="GX101" s="1259">
        <f>GX100+GV101</f>
        <v>0</v>
      </c>
      <c r="GY101" s="1260"/>
      <c r="GZ101" s="1259">
        <f>GZ100+GX101</f>
        <v>0</v>
      </c>
      <c r="HA101" s="1260"/>
      <c r="HB101" s="1259">
        <f>HB100+GZ101</f>
        <v>0</v>
      </c>
      <c r="HC101" s="1260"/>
      <c r="HD101" s="1259">
        <f>HD100+HB101</f>
        <v>0</v>
      </c>
      <c r="HE101" s="1260"/>
      <c r="HF101" s="1259">
        <f>HF100+HD101</f>
        <v>0</v>
      </c>
      <c r="HG101" s="1260"/>
      <c r="HH101" s="1259">
        <f>HH100+HF101</f>
        <v>0</v>
      </c>
      <c r="HI101" s="1260"/>
      <c r="HJ101" s="1259">
        <f>HJ100+HH101</f>
        <v>0</v>
      </c>
      <c r="HK101" s="1260"/>
    </row>
    <row r="102" spans="1:219" s="21" customFormat="1">
      <c r="A102" s="1299"/>
      <c r="B102" s="1300"/>
      <c r="C102" s="1299"/>
      <c r="D102" s="1301"/>
      <c r="E102" s="1301"/>
      <c r="F102" s="1302"/>
      <c r="G102" s="1301"/>
      <c r="H102" s="792"/>
      <c r="I102" s="1303"/>
      <c r="J102" s="1304"/>
      <c r="K102" s="793" t="s">
        <v>297</v>
      </c>
      <c r="L102" s="1270">
        <f>IF($E96&gt;0,L99/$E96,"-")</f>
        <v>0</v>
      </c>
      <c r="M102" s="1271"/>
      <c r="N102" s="1270">
        <f>IF($E96&gt;0,N99/$E96,"-")</f>
        <v>0</v>
      </c>
      <c r="O102" s="1271"/>
      <c r="P102" s="1270">
        <f>IF($E96&gt;0,P99/$E96,"-")</f>
        <v>0</v>
      </c>
      <c r="Q102" s="1271"/>
      <c r="R102" s="1270">
        <f>IF($E96&gt;0,R99/$E96,"-")</f>
        <v>0</v>
      </c>
      <c r="S102" s="1271"/>
      <c r="T102" s="1270">
        <f>IF($E96&gt;0,T99/$E96,"-")</f>
        <v>0</v>
      </c>
      <c r="U102" s="1271"/>
      <c r="V102" s="1270">
        <f>IF($E96&gt;0,V99/$E96,"-")</f>
        <v>0</v>
      </c>
      <c r="W102" s="1271"/>
      <c r="X102" s="1270">
        <f>IF($E96&gt;0,X99/$E96,"-")</f>
        <v>0</v>
      </c>
      <c r="Y102" s="1271"/>
      <c r="Z102" s="1270">
        <f>IF($E96&gt;0,Z99/$E96,"-")</f>
        <v>0</v>
      </c>
      <c r="AA102" s="1271"/>
      <c r="AB102" s="1270">
        <f>IF($E96&gt;0,AB99/$E96,"-")</f>
        <v>0</v>
      </c>
      <c r="AC102" s="1271"/>
      <c r="AD102" s="1270">
        <f>IF($E96&gt;0,AD99/$E96,"-")</f>
        <v>0</v>
      </c>
      <c r="AE102" s="1271"/>
      <c r="AF102" s="1270">
        <f>IF($E96&gt;0,AF99/$E96,"-")</f>
        <v>0</v>
      </c>
      <c r="AG102" s="1271"/>
      <c r="AH102" s="1270">
        <f>IF($E96&gt;0,AH99/$E96,"-")</f>
        <v>0</v>
      </c>
      <c r="AI102" s="1271"/>
      <c r="AJ102" s="1270">
        <f>IF($E96&gt;0,AJ99/$E96,"-")</f>
        <v>0</v>
      </c>
      <c r="AK102" s="1271"/>
      <c r="AL102" s="1270">
        <f>IF($E96&gt;0,AL99/$E96,"-")</f>
        <v>0</v>
      </c>
      <c r="AM102" s="1271"/>
      <c r="AN102" s="1270">
        <f>IF($E96&gt;0,AN99/$E96,"-")</f>
        <v>0</v>
      </c>
      <c r="AO102" s="1271"/>
      <c r="AP102" s="1270">
        <f>IF($E96&gt;0,AP99/$E96,"-")</f>
        <v>0</v>
      </c>
      <c r="AQ102" s="1271"/>
      <c r="AR102" s="1270">
        <f>IF($E96&gt;0,AR99/$E96,"-")</f>
        <v>0</v>
      </c>
      <c r="AS102" s="1271"/>
      <c r="AT102" s="1270">
        <f>IF($E96&gt;0,AT99/$E96,"-")</f>
        <v>0</v>
      </c>
      <c r="AU102" s="1271"/>
      <c r="AV102" s="1270">
        <f>IF($E96&gt;0,AV99/$E96,"-")</f>
        <v>0</v>
      </c>
      <c r="AW102" s="1271"/>
      <c r="AX102" s="1270">
        <f>IF($E96&gt;0,AX99/$E96,"-")</f>
        <v>0</v>
      </c>
      <c r="AY102" s="1271"/>
      <c r="AZ102" s="1270">
        <f>IF($E96&gt;0,AZ99/$E96,"-")</f>
        <v>0</v>
      </c>
      <c r="BA102" s="1271"/>
      <c r="BB102" s="1270">
        <f>IF($E96&gt;0,BB99/$E96,"-")</f>
        <v>0</v>
      </c>
      <c r="BC102" s="1271"/>
      <c r="BD102" s="1270">
        <f>IF($E96&gt;0,BD99/$E96,"-")</f>
        <v>0</v>
      </c>
      <c r="BE102" s="1271"/>
      <c r="BF102" s="1270">
        <f>IF($E96&gt;0,BF99/$E96,"-")</f>
        <v>0</v>
      </c>
      <c r="BG102" s="1271"/>
      <c r="BH102" s="1270">
        <f>IF($E96&gt;0,BH99/$E96,"-")</f>
        <v>0</v>
      </c>
      <c r="BI102" s="1271"/>
      <c r="BJ102" s="1270">
        <f>IF($E96&gt;0,BJ99/$E96,"-")</f>
        <v>0</v>
      </c>
      <c r="BK102" s="1271"/>
      <c r="BL102" s="1270">
        <f>IF($E96&gt;0,BL99/$E96,"-")</f>
        <v>0.2</v>
      </c>
      <c r="BM102" s="1271"/>
      <c r="BN102" s="1270">
        <f>IF($E96&gt;0,BN99/$E96,"-")</f>
        <v>0.44</v>
      </c>
      <c r="BO102" s="1271"/>
      <c r="BP102" s="1270">
        <f>IF($E96&gt;0,BP99/$E96,"-")</f>
        <v>0.68</v>
      </c>
      <c r="BQ102" s="1271"/>
      <c r="BR102" s="1270">
        <f>IF($E96&gt;0,BR99/$E96,"-")</f>
        <v>0.92</v>
      </c>
      <c r="BS102" s="1271"/>
      <c r="BT102" s="1270">
        <f>IF($E96&gt;0,BT99/$E96,"-")</f>
        <v>1</v>
      </c>
      <c r="BU102" s="1271"/>
      <c r="BV102" s="1270">
        <f>IF($E96&gt;0,BV99/$E96,"-")</f>
        <v>1</v>
      </c>
      <c r="BW102" s="1271"/>
      <c r="BX102" s="1270">
        <f>IF($E96&gt;0,BX99/$E96,"-")</f>
        <v>1</v>
      </c>
      <c r="BY102" s="1271"/>
      <c r="BZ102" s="1270">
        <f>IF($E96&gt;0,BZ99/$E96,"-")</f>
        <v>1</v>
      </c>
      <c r="CA102" s="1271"/>
      <c r="CB102" s="1270">
        <f>IF($E96&gt;0,CB99/$E96,"-")</f>
        <v>1</v>
      </c>
      <c r="CC102" s="1271"/>
      <c r="CD102" s="1270">
        <f>IF($E96&gt;0,CD99/$E96,"-")</f>
        <v>1</v>
      </c>
      <c r="CE102" s="1271"/>
      <c r="CF102" s="1270">
        <f>IF($E96&gt;0,CF99/$E96,"-")</f>
        <v>1</v>
      </c>
      <c r="CG102" s="1271"/>
      <c r="CH102" s="1270">
        <f>IF($E96&gt;0,CH99/$E96,"-")</f>
        <v>1</v>
      </c>
      <c r="CI102" s="1271"/>
      <c r="CJ102" s="1270">
        <f>IF($E96&gt;0,CJ99/$E96,"-")</f>
        <v>1</v>
      </c>
      <c r="CK102" s="1271"/>
      <c r="CL102" s="1270">
        <f>IF($E96&gt;0,CL99/$E96,"-")</f>
        <v>1</v>
      </c>
      <c r="CM102" s="1271"/>
      <c r="CN102" s="1270">
        <f>IF($E96&gt;0,CN99/$E96,"-")</f>
        <v>1</v>
      </c>
      <c r="CO102" s="1271"/>
      <c r="CP102" s="1270">
        <f>IF($E96&gt;0,CP99/$E96,"-")</f>
        <v>1</v>
      </c>
      <c r="CQ102" s="1271"/>
      <c r="CR102" s="1270">
        <f>IF($E96&gt;0,CR99/$E96,"-")</f>
        <v>1</v>
      </c>
      <c r="CS102" s="1271"/>
      <c r="CT102" s="1270">
        <f>IF($E96&gt;0,CT99/$E96,"-")</f>
        <v>1</v>
      </c>
      <c r="CU102" s="1271"/>
      <c r="CV102" s="1270">
        <f>IF($E96&gt;0,CV99/$E96,"-")</f>
        <v>1</v>
      </c>
      <c r="CW102" s="1271"/>
      <c r="CX102" s="1270">
        <f>IF($E96&gt;0,CX99/$E96,"-")</f>
        <v>1</v>
      </c>
      <c r="CY102" s="1271"/>
      <c r="CZ102" s="1270">
        <f>IF($E96&gt;0,CZ99/$E96,"-")</f>
        <v>1</v>
      </c>
      <c r="DA102" s="1271"/>
      <c r="DB102" s="1270">
        <f>IF($E96&gt;0,DB99/$E96,"-")</f>
        <v>1</v>
      </c>
      <c r="DC102" s="1271"/>
      <c r="DD102" s="1270">
        <f>IF($E96&gt;0,DD99/$E96,"-")</f>
        <v>1</v>
      </c>
      <c r="DE102" s="1271"/>
      <c r="DF102" s="1270">
        <f>IF($E96&gt;0,DF99/$E96,"-")</f>
        <v>1</v>
      </c>
      <c r="DG102" s="1271"/>
      <c r="DH102" s="1270">
        <f>IF($E96&gt;0,DH99/$E96,"-")</f>
        <v>1</v>
      </c>
      <c r="DI102" s="1271"/>
      <c r="DJ102" s="1325">
        <f>IF($E96&gt;0,DJ99/$E96,"-")</f>
        <v>1</v>
      </c>
      <c r="DK102" s="1326"/>
      <c r="DL102" s="1270">
        <f>IF($E96&gt;0,DL99/$E96,"-")</f>
        <v>1</v>
      </c>
      <c r="DM102" s="1271"/>
      <c r="DN102" s="1270">
        <f>IF($E96&gt;0,DN99/$E96,"-")</f>
        <v>1</v>
      </c>
      <c r="DO102" s="1271"/>
      <c r="DP102" s="1270">
        <f>IF($E96&gt;0,DP99/$E96,"-")</f>
        <v>1</v>
      </c>
      <c r="DQ102" s="1271"/>
      <c r="DR102" s="1270">
        <f>IF($E96&gt;0,DR99/$E96,"-")</f>
        <v>1</v>
      </c>
      <c r="DS102" s="1271"/>
      <c r="DT102" s="1270">
        <f>IF($E96&gt;0,DT99/$E96,"-")</f>
        <v>1</v>
      </c>
      <c r="DU102" s="1271"/>
      <c r="DV102" s="1270">
        <f>IF($E96&gt;0,DV99/$E96,"-")</f>
        <v>1</v>
      </c>
      <c r="DW102" s="1271"/>
      <c r="DX102" s="1270">
        <f>IF($E96&gt;0,DX99/$E96,"-")</f>
        <v>1</v>
      </c>
      <c r="DY102" s="1271"/>
      <c r="DZ102" s="1270">
        <f>IF($E96&gt;0,DZ99/$E96,"-")</f>
        <v>1</v>
      </c>
      <c r="EA102" s="1271"/>
      <c r="EB102" s="1270">
        <f>IF($E96&gt;0,EB99/$E96,"-")</f>
        <v>1</v>
      </c>
      <c r="EC102" s="1271"/>
      <c r="ED102" s="1270">
        <f>IF($E96&gt;0,ED99/$E96,"-")</f>
        <v>1</v>
      </c>
      <c r="EE102" s="1271"/>
      <c r="EF102" s="1270">
        <f>IF($E96&gt;0,EF99/$E96,"-")</f>
        <v>1</v>
      </c>
      <c r="EG102" s="1271"/>
      <c r="EH102" s="1270">
        <f>IF($E96&gt;0,EH99/$E96,"-")</f>
        <v>1</v>
      </c>
      <c r="EI102" s="1271"/>
      <c r="EJ102" s="1270">
        <f>IF($E96&gt;0,EJ99/$E96,"-")</f>
        <v>1</v>
      </c>
      <c r="EK102" s="1271"/>
      <c r="EL102" s="1270">
        <f>IF($E96&gt;0,EL99/$E96,"-")</f>
        <v>1</v>
      </c>
      <c r="EM102" s="1271"/>
      <c r="EN102" s="1270">
        <f>IF($E96&gt;0,EN99/$E96,"-")</f>
        <v>1</v>
      </c>
      <c r="EO102" s="1271"/>
      <c r="EP102" s="1270">
        <f>IF($E96&gt;0,EP99/$E96,"-")</f>
        <v>1</v>
      </c>
      <c r="EQ102" s="1271"/>
      <c r="ER102" s="1270">
        <f>IF($E96&gt;0,ER99/$E96,"-")</f>
        <v>1</v>
      </c>
      <c r="ES102" s="1271"/>
      <c r="ET102" s="1270">
        <f>IF($E96&gt;0,ET99/$E96,"-")</f>
        <v>1</v>
      </c>
      <c r="EU102" s="1271"/>
      <c r="EV102" s="1270">
        <f>IF($E96&gt;0,EV99/$E96,"-")</f>
        <v>1</v>
      </c>
      <c r="EW102" s="1271"/>
      <c r="EX102" s="1270">
        <f>IF($E96&gt;0,EX99/$E96,"-")</f>
        <v>1</v>
      </c>
      <c r="EY102" s="1271"/>
      <c r="EZ102" s="1270">
        <f>IF($E96&gt;0,EZ99/$E96,"-")</f>
        <v>1</v>
      </c>
      <c r="FA102" s="1271"/>
      <c r="FB102" s="1270">
        <f>IF($E96&gt;0,FB99/$E96,"-")</f>
        <v>1</v>
      </c>
      <c r="FC102" s="1271"/>
      <c r="FD102" s="1270">
        <f>IF($E96&gt;0,FD99/$E96,"-")</f>
        <v>1</v>
      </c>
      <c r="FE102" s="1271"/>
      <c r="FF102" s="1270">
        <f>IF($E96&gt;0,FF99/$E96,"-")</f>
        <v>1</v>
      </c>
      <c r="FG102" s="1271"/>
      <c r="FH102" s="1270">
        <f>IF($E96&gt;0,FH99/$E96,"-")</f>
        <v>1</v>
      </c>
      <c r="FI102" s="1271"/>
      <c r="FJ102" s="1270">
        <f>IF($E96&gt;0,FJ99/$E96,"-")</f>
        <v>1</v>
      </c>
      <c r="FK102" s="1271"/>
      <c r="FL102" s="1270">
        <f>IF($E96&gt;0,FL99/$E96,"-")</f>
        <v>1</v>
      </c>
      <c r="FM102" s="1271"/>
      <c r="FN102" s="1270">
        <f>IF($E96&gt;0,FN99/$E96,"-")</f>
        <v>1</v>
      </c>
      <c r="FO102" s="1271"/>
      <c r="FP102" s="1270">
        <f>IF($E96&gt;0,FP99/$E96,"-")</f>
        <v>1</v>
      </c>
      <c r="FQ102" s="1271"/>
      <c r="FR102" s="1270">
        <f>IF($E96&gt;0,FR99/$E96,"-")</f>
        <v>1</v>
      </c>
      <c r="FS102" s="1271"/>
      <c r="FT102" s="1270">
        <f>IF($E96&gt;0,FT99/$E96,"-")</f>
        <v>1</v>
      </c>
      <c r="FU102" s="1271"/>
      <c r="FV102" s="1270">
        <f>IF($E96&gt;0,FV99/$E96,"-")</f>
        <v>1</v>
      </c>
      <c r="FW102" s="1271"/>
      <c r="FX102" s="1270">
        <f>IF($E96&gt;0,FX99/$E96,"-")</f>
        <v>1</v>
      </c>
      <c r="FY102" s="1271"/>
      <c r="FZ102" s="1270">
        <f>IF($E96&gt;0,FZ99/$E96,"-")</f>
        <v>1</v>
      </c>
      <c r="GA102" s="1271"/>
      <c r="GB102" s="1270">
        <f>IF($E96&gt;0,GB99/$E96,"-")</f>
        <v>1</v>
      </c>
      <c r="GC102" s="1271"/>
      <c r="GD102" s="1270">
        <f>IF($E96&gt;0,GD99/$E96,"-")</f>
        <v>1</v>
      </c>
      <c r="GE102" s="1271"/>
      <c r="GF102" s="1270">
        <f>IF($E96&gt;0,GF99/$E96,"-")</f>
        <v>1</v>
      </c>
      <c r="GG102" s="1271"/>
      <c r="GH102" s="1270">
        <f>IF($E96&gt;0,GH99/$E96,"-")</f>
        <v>1</v>
      </c>
      <c r="GI102" s="1271"/>
      <c r="GJ102" s="1270">
        <f>IF($E96&gt;0,GJ99/$E96,"-")</f>
        <v>1</v>
      </c>
      <c r="GK102" s="1271"/>
      <c r="GL102" s="1270">
        <f>IF($E96&gt;0,GL99/$E96,"-")</f>
        <v>1</v>
      </c>
      <c r="GM102" s="1271"/>
      <c r="GN102" s="1270">
        <f>IF($E96&gt;0,GN99/$E96,"-")</f>
        <v>1</v>
      </c>
      <c r="GO102" s="1271"/>
      <c r="GP102" s="1270">
        <f>IF($E96&gt;0,GP99/$E96,"-")</f>
        <v>1</v>
      </c>
      <c r="GQ102" s="1271"/>
      <c r="GR102" s="1270">
        <f>IF($E96&gt;0,GR99/$E96,"-")</f>
        <v>1</v>
      </c>
      <c r="GS102" s="1271"/>
      <c r="GT102" s="1270">
        <f>IF($E96&gt;0,GT99/$E96,"-")</f>
        <v>1</v>
      </c>
      <c r="GU102" s="1271"/>
      <c r="GV102" s="1270">
        <f>IF($E96&gt;0,GV99/$E96,"-")</f>
        <v>1</v>
      </c>
      <c r="GW102" s="1271"/>
      <c r="GX102" s="1270">
        <f>IF($E96&gt;0,GX99/$E96,"-")</f>
        <v>1</v>
      </c>
      <c r="GY102" s="1271"/>
      <c r="GZ102" s="1270">
        <f>IF($E96&gt;0,GZ99/$E96,"-")</f>
        <v>1</v>
      </c>
      <c r="HA102" s="1271"/>
      <c r="HB102" s="1270">
        <f>IF($E96&gt;0,HB99/$E96,"-")</f>
        <v>1</v>
      </c>
      <c r="HC102" s="1271"/>
      <c r="HD102" s="1270">
        <f>IF($E96&gt;0,HD99/$E96,"-")</f>
        <v>1</v>
      </c>
      <c r="HE102" s="1271"/>
      <c r="HF102" s="1270">
        <f>IF($E96&gt;0,HF99/$E96,"-")</f>
        <v>1</v>
      </c>
      <c r="HG102" s="1271"/>
      <c r="HH102" s="1270">
        <f>IF($E96&gt;0,HH99/$E96,"-")</f>
        <v>1</v>
      </c>
      <c r="HI102" s="1271"/>
      <c r="HJ102" s="1270">
        <f>IF($E96&gt;0,HJ99/$E96,"-")</f>
        <v>1</v>
      </c>
      <c r="HK102" s="1271"/>
    </row>
    <row r="103" spans="1:219">
      <c r="A103" s="1299"/>
      <c r="B103" s="1300"/>
      <c r="C103" s="1299"/>
      <c r="D103" s="1301"/>
      <c r="E103" s="1301"/>
      <c r="F103" s="1302"/>
      <c r="G103" s="1301"/>
      <c r="H103" s="726"/>
      <c r="I103" s="1303"/>
      <c r="J103" s="1304"/>
      <c r="K103" s="794" t="s">
        <v>298</v>
      </c>
      <c r="L103" s="1294">
        <f>IF($E96&gt;0,L101/$E96,"-")</f>
        <v>0</v>
      </c>
      <c r="M103" s="1295"/>
      <c r="N103" s="1294">
        <f>IF($E96&gt;0,N101/$E96,"-")</f>
        <v>0</v>
      </c>
      <c r="O103" s="1295"/>
      <c r="P103" s="1294">
        <f>IF($E96&gt;0,P101/$E96,"-")</f>
        <v>0</v>
      </c>
      <c r="Q103" s="1295"/>
      <c r="R103" s="1294">
        <f>IF($E96&gt;0,R101/$E96,"-")</f>
        <v>0</v>
      </c>
      <c r="S103" s="1295"/>
      <c r="T103" s="1294">
        <f>IF($E96&gt;0,T101/$E96,"-")</f>
        <v>0</v>
      </c>
      <c r="U103" s="1295"/>
      <c r="V103" s="1294">
        <f>IF($E96&gt;0,V101/$E96,"-")</f>
        <v>0</v>
      </c>
      <c r="W103" s="1295"/>
      <c r="X103" s="1294">
        <f>IF($E96&gt;0,X101/$E96,"-")</f>
        <v>0</v>
      </c>
      <c r="Y103" s="1295"/>
      <c r="Z103" s="1294">
        <f>IF($E96&gt;0,Z101/$E96,"-")</f>
        <v>0</v>
      </c>
      <c r="AA103" s="1295"/>
      <c r="AB103" s="1294">
        <f>IF($E96&gt;0,AB101/$E96,"-")</f>
        <v>0</v>
      </c>
      <c r="AC103" s="1295"/>
      <c r="AD103" s="1294">
        <f>IF($E96&gt;0,AD101/$E96,"-")</f>
        <v>0</v>
      </c>
      <c r="AE103" s="1295"/>
      <c r="AF103" s="1294">
        <f>IF($E96&gt;0,AF101/$E96,"-")</f>
        <v>0</v>
      </c>
      <c r="AG103" s="1295"/>
      <c r="AH103" s="1294">
        <f>IF($E96&gt;0,AH101/$E96,"-")</f>
        <v>0</v>
      </c>
      <c r="AI103" s="1295"/>
      <c r="AJ103" s="1294">
        <f>IF($E96&gt;0,AJ101/$E96,"-")</f>
        <v>0</v>
      </c>
      <c r="AK103" s="1295"/>
      <c r="AL103" s="1294">
        <f>IF($E96&gt;0,AL101/$E96,"-")</f>
        <v>0</v>
      </c>
      <c r="AM103" s="1295"/>
      <c r="AN103" s="1294">
        <f>IF($E96&gt;0,AN101/$E96,"-")</f>
        <v>0</v>
      </c>
      <c r="AO103" s="1295"/>
      <c r="AP103" s="1294">
        <f>IF($E96&gt;0,AP101/$E96,"-")</f>
        <v>0</v>
      </c>
      <c r="AQ103" s="1295"/>
      <c r="AR103" s="1294">
        <f>IF($E96&gt;0,AR101/$E96,"-")</f>
        <v>0</v>
      </c>
      <c r="AS103" s="1295"/>
      <c r="AT103" s="1294">
        <f>IF($E96&gt;0,AT101/$E96,"-")</f>
        <v>0</v>
      </c>
      <c r="AU103" s="1295"/>
      <c r="AV103" s="1294">
        <f>IF($E96&gt;0,AV101/$E96,"-")</f>
        <v>0</v>
      </c>
      <c r="AW103" s="1295"/>
      <c r="AX103" s="1294">
        <f>IF($E96&gt;0,AX101/$E96,"-")</f>
        <v>0</v>
      </c>
      <c r="AY103" s="1295"/>
      <c r="AZ103" s="1294">
        <f>IF($E96&gt;0,AZ101/$E96,"-")</f>
        <v>0</v>
      </c>
      <c r="BA103" s="1295"/>
      <c r="BB103" s="1294">
        <f>IF($E96&gt;0,BB101/$E96,"-")</f>
        <v>0</v>
      </c>
      <c r="BC103" s="1295"/>
      <c r="BD103" s="1294">
        <f>IF($E96&gt;0,BD101/$E96,"-")</f>
        <v>0</v>
      </c>
      <c r="BE103" s="1295"/>
      <c r="BF103" s="1294">
        <f>IF($E96&gt;0,BF101/$E96,"-")</f>
        <v>0</v>
      </c>
      <c r="BG103" s="1295"/>
      <c r="BH103" s="1294">
        <f>IF($E96&gt;0,BH101/$E96,"-")</f>
        <v>0</v>
      </c>
      <c r="BI103" s="1295"/>
      <c r="BJ103" s="1294">
        <f>IF($E96&gt;0,BJ101/$E96,"-")</f>
        <v>0</v>
      </c>
      <c r="BK103" s="1295"/>
      <c r="BL103" s="1294">
        <f>IF($E96&gt;0,BL101/$E96,"-")</f>
        <v>0</v>
      </c>
      <c r="BM103" s="1295"/>
      <c r="BN103" s="1294">
        <f>IF($E96&gt;0,BN101/$E96,"-")</f>
        <v>0</v>
      </c>
      <c r="BO103" s="1295"/>
      <c r="BP103" s="1294">
        <f>IF($E96&gt;0,BP101/$E96,"-")</f>
        <v>0</v>
      </c>
      <c r="BQ103" s="1295"/>
      <c r="BR103" s="1253">
        <f>IF($E96&gt;0,BR101/$E96,"-")</f>
        <v>0</v>
      </c>
      <c r="BS103" s="1253"/>
      <c r="BT103" s="1253">
        <f>IF($E96&gt;0,BT101/$E96,"-")</f>
        <v>0</v>
      </c>
      <c r="BU103" s="1253"/>
      <c r="BV103" s="1253">
        <f>IF($E96&gt;0,BV101/$E96,"-")</f>
        <v>0</v>
      </c>
      <c r="BW103" s="1253"/>
      <c r="BX103" s="1253">
        <f>IF($E96&gt;0,BX101/$E96,"-")</f>
        <v>0</v>
      </c>
      <c r="BY103" s="1253"/>
      <c r="BZ103" s="1253">
        <f>IF($E96&gt;0,BZ101/$E96,"-")</f>
        <v>0</v>
      </c>
      <c r="CA103" s="1253"/>
      <c r="CB103" s="1253">
        <f>IF($E96&gt;0,CB101/$E96,"-")</f>
        <v>0</v>
      </c>
      <c r="CC103" s="1253"/>
      <c r="CD103" s="1253">
        <f>IF($E96&gt;0,CD101/$E96,"-")</f>
        <v>0</v>
      </c>
      <c r="CE103" s="1253"/>
      <c r="CF103" s="1253">
        <f>IF($E96&gt;0,CF101/$E96,"-")</f>
        <v>0</v>
      </c>
      <c r="CG103" s="1253"/>
      <c r="CH103" s="1253">
        <f>IF($E96&gt;0,CH101/$E96,"-")</f>
        <v>0</v>
      </c>
      <c r="CI103" s="1253"/>
      <c r="CJ103" s="1253">
        <f>IF($E96&gt;0,CJ101/$E96,"-")</f>
        <v>0</v>
      </c>
      <c r="CK103" s="1253"/>
      <c r="CL103" s="1253">
        <f>IF($E96&gt;0,CL101/$E96,"-")</f>
        <v>0</v>
      </c>
      <c r="CM103" s="1253"/>
      <c r="CN103" s="1253">
        <f>IF($E96&gt;0,CN101/$E96,"-")</f>
        <v>0</v>
      </c>
      <c r="CO103" s="1253"/>
      <c r="CP103" s="1253">
        <f>IF($E96&gt;0,CP101/$E96,"-")</f>
        <v>0</v>
      </c>
      <c r="CQ103" s="1253"/>
      <c r="CR103" s="1253">
        <f>IF($E96&gt;0,CR101/$E96,"-")</f>
        <v>0</v>
      </c>
      <c r="CS103" s="1253"/>
      <c r="CT103" s="1253">
        <f>IF($E96&gt;0,CT101/$E96,"-")</f>
        <v>0</v>
      </c>
      <c r="CU103" s="1253"/>
      <c r="CV103" s="1253">
        <f>IF($E96&gt;0,CV101/$E96,"-")</f>
        <v>0</v>
      </c>
      <c r="CW103" s="1253"/>
      <c r="CX103" s="1253">
        <f>IF($E96&gt;0,CX101/$E96,"-")</f>
        <v>0</v>
      </c>
      <c r="CY103" s="1253"/>
      <c r="CZ103" s="1253">
        <f>IF($E96&gt;0,CZ101/$E96,"-")</f>
        <v>0</v>
      </c>
      <c r="DA103" s="1253"/>
      <c r="DB103" s="1253">
        <f>IF($E96&gt;0,DB101/$E96,"-")</f>
        <v>0</v>
      </c>
      <c r="DC103" s="1253"/>
      <c r="DD103" s="1253">
        <f>IF($E96&gt;0,DD101/$E96,"-")</f>
        <v>0</v>
      </c>
      <c r="DE103" s="1253"/>
      <c r="DF103" s="1253">
        <f>IF($E96&gt;0,DF101/$E96,"-")</f>
        <v>0</v>
      </c>
      <c r="DG103" s="1253"/>
      <c r="DH103" s="1253">
        <f>IF($E96&gt;0,DH101/$E96,"-")</f>
        <v>0</v>
      </c>
      <c r="DI103" s="1253"/>
      <c r="DJ103" s="1254">
        <f>IF($E96&gt;0,DJ101/$E96,"-")</f>
        <v>0</v>
      </c>
      <c r="DK103" s="1254"/>
      <c r="DL103" s="1253">
        <f>IF($E96&gt;0,DL101/$E96,"-")</f>
        <v>0</v>
      </c>
      <c r="DM103" s="1253"/>
      <c r="DN103" s="1253">
        <f>IF($E96&gt;0,DN101/$E96,"-")</f>
        <v>0</v>
      </c>
      <c r="DO103" s="1253"/>
      <c r="DP103" s="1253">
        <f>IF($E96&gt;0,DP101/$E96,"-")</f>
        <v>0</v>
      </c>
      <c r="DQ103" s="1253"/>
      <c r="DR103" s="1253">
        <f>IF($E96&gt;0,DR101/$E96,"-")</f>
        <v>0</v>
      </c>
      <c r="DS103" s="1253"/>
      <c r="DT103" s="1253">
        <f>IF($E96&gt;0,DT101/$E96,"-")</f>
        <v>0</v>
      </c>
      <c r="DU103" s="1253"/>
      <c r="DV103" s="1253">
        <f>IF($E96&gt;0,DV101/$E96,"-")</f>
        <v>0</v>
      </c>
      <c r="DW103" s="1253"/>
      <c r="DX103" s="1253">
        <f>IF($E96&gt;0,DX101/$E96,"-")</f>
        <v>0</v>
      </c>
      <c r="DY103" s="1253"/>
      <c r="DZ103" s="1253">
        <f>IF($E96&gt;0,DZ101/$E96,"-")</f>
        <v>0</v>
      </c>
      <c r="EA103" s="1253"/>
      <c r="EB103" s="1253">
        <f>IF($E96&gt;0,EB101/$E96,"-")</f>
        <v>0</v>
      </c>
      <c r="EC103" s="1253"/>
      <c r="ED103" s="1253">
        <f>IF($E96&gt;0,ED101/$E96,"-")</f>
        <v>0</v>
      </c>
      <c r="EE103" s="1253"/>
      <c r="EF103" s="1253">
        <f>IF($E96&gt;0,EF101/$E96,"-")</f>
        <v>0</v>
      </c>
      <c r="EG103" s="1253"/>
      <c r="EH103" s="1253">
        <f>IF($E96&gt;0,EH101/$E96,"-")</f>
        <v>0</v>
      </c>
      <c r="EI103" s="1253"/>
      <c r="EJ103" s="1253">
        <f>IF($E96&gt;0,EJ101/$E96,"-")</f>
        <v>0</v>
      </c>
      <c r="EK103" s="1253"/>
      <c r="EL103" s="1253">
        <f>IF($E96&gt;0,EL101/$E96,"-")</f>
        <v>0</v>
      </c>
      <c r="EM103" s="1253"/>
      <c r="EN103" s="1253">
        <f>IF($E96&gt;0,EN101/$E96,"-")</f>
        <v>0</v>
      </c>
      <c r="EO103" s="1253"/>
      <c r="EP103" s="1253">
        <f>IF($E96&gt;0,EP101/$E96,"-")</f>
        <v>0</v>
      </c>
      <c r="EQ103" s="1253"/>
      <c r="ER103" s="1253">
        <f>IF($E96&gt;0,ER101/$E96,"-")</f>
        <v>0</v>
      </c>
      <c r="ES103" s="1253"/>
      <c r="ET103" s="1253">
        <f>IF($E96&gt;0,ET101/$E96,"-")</f>
        <v>0</v>
      </c>
      <c r="EU103" s="1253"/>
      <c r="EV103" s="1253">
        <f>IF($E96&gt;0,EV101/$E96,"-")</f>
        <v>0</v>
      </c>
      <c r="EW103" s="1253"/>
      <c r="EX103" s="1253">
        <f>IF($E96&gt;0,EX101/$E96,"-")</f>
        <v>0</v>
      </c>
      <c r="EY103" s="1253"/>
      <c r="EZ103" s="1253">
        <f>IF($E96&gt;0,EZ101/$E96,"-")</f>
        <v>0</v>
      </c>
      <c r="FA103" s="1253"/>
      <c r="FB103" s="1253">
        <f>IF($E96&gt;0,FB101/$E96,"-")</f>
        <v>0</v>
      </c>
      <c r="FC103" s="1253"/>
      <c r="FD103" s="1253">
        <f>IF($E96&gt;0,FD101/$E96,"-")</f>
        <v>0</v>
      </c>
      <c r="FE103" s="1253"/>
      <c r="FF103" s="1253">
        <f>IF($E96&gt;0,FF101/$E96,"-")</f>
        <v>0</v>
      </c>
      <c r="FG103" s="1253"/>
      <c r="FH103" s="1253">
        <f>IF($E96&gt;0,FH101/$E96,"-")</f>
        <v>0</v>
      </c>
      <c r="FI103" s="1253"/>
      <c r="FJ103" s="1253">
        <f>IF($E96&gt;0,FJ101/$E96,"-")</f>
        <v>0</v>
      </c>
      <c r="FK103" s="1253"/>
      <c r="FL103" s="1253">
        <f>IF($E96&gt;0,FL101/$E96,"-")</f>
        <v>0</v>
      </c>
      <c r="FM103" s="1253"/>
      <c r="FN103" s="1253">
        <f>IF($E96&gt;0,FN101/$E96,"-")</f>
        <v>0</v>
      </c>
      <c r="FO103" s="1253"/>
      <c r="FP103" s="1253">
        <f>IF($E96&gt;0,FP101/$E96,"-")</f>
        <v>0</v>
      </c>
      <c r="FQ103" s="1253"/>
      <c r="FR103" s="1253">
        <f>IF($E96&gt;0,FR101/$E96,"-")</f>
        <v>0</v>
      </c>
      <c r="FS103" s="1253"/>
      <c r="FT103" s="1253">
        <f>IF($E96&gt;0,FT101/$E96,"-")</f>
        <v>0</v>
      </c>
      <c r="FU103" s="1253"/>
      <c r="FV103" s="1253">
        <f>IF($E96&gt;0,FV101/$E96,"-")</f>
        <v>0</v>
      </c>
      <c r="FW103" s="1253"/>
      <c r="FX103" s="1253">
        <f>IF($E96&gt;0,FX101/$E96,"-")</f>
        <v>0</v>
      </c>
      <c r="FY103" s="1253"/>
      <c r="FZ103" s="1253">
        <f>IF($E96&gt;0,FZ101/$E96,"-")</f>
        <v>0</v>
      </c>
      <c r="GA103" s="1253"/>
      <c r="GB103" s="1253">
        <f>IF($E96&gt;0,GB101/$E96,"-")</f>
        <v>0</v>
      </c>
      <c r="GC103" s="1253"/>
      <c r="GD103" s="1253">
        <f>IF($E96&gt;0,GD101/$E96,"-")</f>
        <v>0</v>
      </c>
      <c r="GE103" s="1253"/>
      <c r="GF103" s="1253">
        <f>IF($E96&gt;0,GF101/$E96,"-")</f>
        <v>0</v>
      </c>
      <c r="GG103" s="1253"/>
      <c r="GH103" s="1253">
        <f>IF($E96&gt;0,GH101/$E96,"-")</f>
        <v>0</v>
      </c>
      <c r="GI103" s="1253"/>
      <c r="GJ103" s="1253">
        <f>IF($E96&gt;0,GJ101/$E96,"-")</f>
        <v>0</v>
      </c>
      <c r="GK103" s="1253"/>
      <c r="GL103" s="1253">
        <f>IF($E96&gt;0,GL101/$E96,"-")</f>
        <v>0</v>
      </c>
      <c r="GM103" s="1253"/>
      <c r="GN103" s="1253">
        <f>IF($E96&gt;0,GN101/$E96,"-")</f>
        <v>0</v>
      </c>
      <c r="GO103" s="1253"/>
      <c r="GP103" s="1253">
        <f>IF($E96&gt;0,GP101/$E96,"-")</f>
        <v>0</v>
      </c>
      <c r="GQ103" s="1253"/>
      <c r="GR103" s="1253">
        <f>IF($E96&gt;0,GR101/$E96,"-")</f>
        <v>0</v>
      </c>
      <c r="GS103" s="1253"/>
      <c r="GT103" s="1253">
        <f>IF($E96&gt;0,GT101/$E96,"-")</f>
        <v>0</v>
      </c>
      <c r="GU103" s="1253"/>
      <c r="GV103" s="1253">
        <f>IF($E96&gt;0,GV101/$E96,"-")</f>
        <v>0</v>
      </c>
      <c r="GW103" s="1253"/>
      <c r="GX103" s="1253">
        <f>IF($E96&gt;0,GX101/$E96,"-")</f>
        <v>0</v>
      </c>
      <c r="GY103" s="1253"/>
      <c r="GZ103" s="1253">
        <f>IF($E96&gt;0,GZ101/$E96,"-")</f>
        <v>0</v>
      </c>
      <c r="HA103" s="1253"/>
      <c r="HB103" s="1253">
        <f>IF($E96&gt;0,HB101/$E96,"-")</f>
        <v>0</v>
      </c>
      <c r="HC103" s="1253"/>
      <c r="HD103" s="1253">
        <f>IF($E96&gt;0,HD101/$E96,"-")</f>
        <v>0</v>
      </c>
      <c r="HE103" s="1253"/>
      <c r="HF103" s="1253">
        <f>IF($E96&gt;0,HF101/$E96,"-")</f>
        <v>0</v>
      </c>
      <c r="HG103" s="1253"/>
      <c r="HH103" s="1253">
        <f>IF($E96&gt;0,HH101/$E96,"-")</f>
        <v>0</v>
      </c>
      <c r="HI103" s="1253"/>
      <c r="HJ103" s="1253">
        <f>IF($E96&gt;0,HJ101/$E96,"-")</f>
        <v>0</v>
      </c>
      <c r="HK103" s="1253"/>
    </row>
    <row r="104" spans="1:219" s="5" customFormat="1" ht="14.4">
      <c r="A104" s="690"/>
      <c r="B104" s="691"/>
      <c r="C104" s="691"/>
      <c r="D104" s="692"/>
      <c r="E104" s="692"/>
      <c r="F104" s="797"/>
      <c r="G104" s="691"/>
      <c r="H104" s="691"/>
      <c r="I104" s="691"/>
      <c r="J104" s="691"/>
      <c r="K104" s="691"/>
      <c r="L104" s="1274"/>
      <c r="M104" s="1274"/>
      <c r="N104" s="1274"/>
      <c r="O104" s="1274"/>
      <c r="P104" s="1274"/>
      <c r="Q104" s="1274"/>
      <c r="R104" s="1274"/>
      <c r="S104" s="1362"/>
      <c r="T104" s="1276"/>
      <c r="U104" s="1274"/>
      <c r="V104" s="1274"/>
      <c r="W104" s="1274"/>
      <c r="X104" s="1274"/>
      <c r="Y104" s="1274"/>
      <c r="Z104" s="1274"/>
      <c r="AA104" s="1362"/>
      <c r="AB104" s="1276"/>
      <c r="AC104" s="1274"/>
      <c r="AD104" s="1274"/>
      <c r="AE104" s="1274"/>
      <c r="AF104" s="1274"/>
      <c r="AG104" s="1274"/>
      <c r="AH104" s="1274"/>
      <c r="AI104" s="1362"/>
      <c r="AJ104" s="1276"/>
      <c r="AK104" s="1274"/>
      <c r="AL104" s="1274"/>
      <c r="AM104" s="1274"/>
      <c r="AN104" s="1274"/>
      <c r="AO104" s="1274"/>
      <c r="AP104" s="1274"/>
      <c r="AQ104" s="1362"/>
      <c r="AR104" s="1276"/>
      <c r="AS104" s="1274"/>
      <c r="AT104" s="777"/>
      <c r="AU104" s="777"/>
      <c r="AV104" s="777"/>
      <c r="AW104" s="777"/>
      <c r="AX104" s="777"/>
      <c r="AY104" s="778"/>
      <c r="AZ104" s="779"/>
      <c r="BA104" s="777"/>
      <c r="BB104" s="777"/>
      <c r="BC104" s="777"/>
      <c r="BD104" s="777"/>
      <c r="BE104" s="777"/>
      <c r="BF104" s="777"/>
      <c r="BG104" s="778"/>
      <c r="BH104" s="779"/>
      <c r="BI104" s="777"/>
      <c r="BJ104" s="777"/>
      <c r="BK104" s="777"/>
      <c r="BL104" s="777"/>
      <c r="BM104" s="777"/>
      <c r="BN104" s="777"/>
      <c r="BO104" s="778"/>
      <c r="BP104" s="779"/>
      <c r="BQ104" s="777"/>
      <c r="BR104" s="777"/>
      <c r="BS104" s="777"/>
      <c r="BT104" s="777"/>
      <c r="BU104" s="777"/>
      <c r="BV104" s="777"/>
      <c r="BW104" s="778"/>
      <c r="BX104" s="779"/>
      <c r="BY104" s="777"/>
      <c r="BZ104" s="777"/>
      <c r="CA104" s="777"/>
      <c r="CB104" s="777"/>
      <c r="CC104" s="777"/>
      <c r="CD104" s="1274"/>
      <c r="CE104" s="1275"/>
      <c r="CF104" s="1276"/>
      <c r="CG104" s="1277"/>
      <c r="CH104" s="1274"/>
      <c r="CI104" s="1277"/>
      <c r="CJ104" s="1274"/>
      <c r="CK104" s="1277"/>
      <c r="CL104" s="1274"/>
      <c r="CM104" s="1275"/>
      <c r="CN104" s="1276"/>
      <c r="CO104" s="1277"/>
      <c r="CP104" s="1296"/>
      <c r="CQ104" s="1297"/>
      <c r="CR104" s="1296"/>
      <c r="CS104" s="1297"/>
      <c r="CT104" s="780"/>
      <c r="CU104" s="781"/>
      <c r="CV104" s="782"/>
      <c r="CW104" s="780"/>
      <c r="CX104" s="780"/>
      <c r="CY104" s="780"/>
      <c r="CZ104" s="780"/>
      <c r="DA104" s="780"/>
      <c r="DB104" s="780"/>
      <c r="DC104" s="781"/>
      <c r="DD104" s="782"/>
      <c r="DE104" s="780"/>
      <c r="DF104" s="780"/>
      <c r="DG104" s="780"/>
      <c r="DH104" s="780"/>
      <c r="DI104" s="780"/>
      <c r="DJ104" s="783"/>
      <c r="DK104" s="784"/>
      <c r="DL104" s="782"/>
      <c r="DM104" s="780"/>
      <c r="DN104" s="780"/>
      <c r="DO104" s="780"/>
      <c r="DP104" s="780"/>
      <c r="DQ104" s="780"/>
      <c r="DR104" s="780"/>
      <c r="DS104" s="781"/>
      <c r="DT104" s="782"/>
      <c r="DU104" s="780"/>
      <c r="DV104" s="780"/>
      <c r="DW104" s="780"/>
      <c r="DX104" s="780"/>
      <c r="DY104" s="780"/>
      <c r="DZ104" s="780"/>
      <c r="EA104" s="781"/>
      <c r="EB104" s="782"/>
      <c r="EC104" s="780"/>
      <c r="ED104" s="780"/>
      <c r="EE104" s="780"/>
      <c r="EF104" s="780"/>
      <c r="EG104" s="780"/>
      <c r="EH104" s="780"/>
      <c r="EI104" s="781"/>
      <c r="EJ104" s="782"/>
      <c r="EK104" s="780"/>
      <c r="EL104" s="780"/>
      <c r="EM104" s="780"/>
      <c r="EN104" s="780"/>
      <c r="EO104" s="780"/>
      <c r="EP104" s="780"/>
      <c r="EQ104" s="781"/>
      <c r="ER104" s="782"/>
      <c r="ES104" s="780"/>
      <c r="ET104" s="780"/>
      <c r="EU104" s="780"/>
      <c r="EV104" s="780"/>
      <c r="EW104" s="780"/>
      <c r="EX104" s="780"/>
      <c r="EY104" s="781"/>
      <c r="EZ104" s="782"/>
      <c r="FA104" s="780"/>
      <c r="FB104" s="780"/>
      <c r="FC104" s="780"/>
      <c r="FD104" s="780"/>
      <c r="FE104" s="780"/>
      <c r="FF104" s="780"/>
      <c r="FG104" s="781"/>
      <c r="FH104" s="782"/>
      <c r="FI104" s="780"/>
      <c r="FJ104" s="780"/>
      <c r="FK104" s="780"/>
      <c r="FL104" s="780"/>
      <c r="FM104" s="780"/>
      <c r="FN104" s="780"/>
      <c r="FO104" s="781"/>
      <c r="FP104" s="782"/>
      <c r="FQ104" s="780"/>
      <c r="FR104" s="780"/>
      <c r="FS104" s="780"/>
      <c r="FT104" s="780"/>
      <c r="FU104" s="780"/>
      <c r="FV104" s="780"/>
      <c r="FW104" s="781"/>
      <c r="FX104" s="782"/>
      <c r="FY104" s="780"/>
      <c r="FZ104" s="780"/>
      <c r="GA104" s="780"/>
      <c r="GB104" s="780"/>
      <c r="GC104" s="780"/>
      <c r="GD104" s="780"/>
      <c r="GE104" s="781"/>
      <c r="GF104" s="782"/>
      <c r="GG104" s="780"/>
      <c r="GH104" s="780"/>
      <c r="GI104" s="780"/>
      <c r="GJ104" s="780"/>
      <c r="GK104" s="780"/>
      <c r="GL104" s="780"/>
      <c r="GM104" s="781"/>
      <c r="GN104" s="782"/>
      <c r="GO104" s="780"/>
      <c r="GP104" s="780"/>
      <c r="GQ104" s="780"/>
      <c r="GR104" s="780"/>
      <c r="GS104" s="780"/>
      <c r="GT104" s="780"/>
      <c r="GU104" s="781"/>
      <c r="GV104" s="780"/>
      <c r="GW104" s="781"/>
      <c r="GX104" s="780"/>
      <c r="GY104" s="781"/>
      <c r="GZ104" s="780"/>
      <c r="HA104" s="781"/>
      <c r="HB104" s="780"/>
      <c r="HC104" s="781"/>
      <c r="HD104" s="780"/>
      <c r="HE104" s="781"/>
      <c r="HF104" s="780"/>
      <c r="HG104" s="781"/>
      <c r="HH104" s="780"/>
      <c r="HI104" s="781"/>
      <c r="HJ104" s="780"/>
      <c r="HK104" s="781"/>
    </row>
    <row r="105" spans="1:219">
      <c r="A105" s="1299" t="s">
        <v>132</v>
      </c>
      <c r="B105" s="1300" t="str">
        <f>VLOOKUP(A105,PLANEJAMENTO!$B$10:$C$70,2,FALSE)</f>
        <v>Escavação, Carga, Transporte e Espalhamento - material de 1° categoria - DMT 1501 até 2000m</v>
      </c>
      <c r="C105" s="1299" t="str">
        <f>VLOOKUP(A105,PLANEJAMENTO!$B$10:$D$70,3,FALSE)</f>
        <v>m³</v>
      </c>
      <c r="D105" s="1301">
        <f>VLOOKUP(A105,PLANEJAMENTO!$B$10:$E$70,4,FALSE)</f>
        <v>32000</v>
      </c>
      <c r="E105" s="1301">
        <f>D105</f>
        <v>32000</v>
      </c>
      <c r="F105" s="1302">
        <f>PRODUÇÕES!D15</f>
        <v>160</v>
      </c>
      <c r="G105" s="1301">
        <f>F105*8</f>
        <v>1280</v>
      </c>
      <c r="H105" s="726"/>
      <c r="I105" s="1303"/>
      <c r="J105" s="1304"/>
      <c r="K105" s="727" t="s">
        <v>291</v>
      </c>
      <c r="L105" s="1285"/>
      <c r="M105" s="1286"/>
      <c r="N105" s="1285"/>
      <c r="O105" s="1286"/>
      <c r="P105" s="1285"/>
      <c r="Q105" s="1286"/>
      <c r="R105" s="1285"/>
      <c r="S105" s="1286"/>
      <c r="T105" s="1285"/>
      <c r="U105" s="1286"/>
      <c r="V105" s="1285"/>
      <c r="W105" s="1286"/>
      <c r="X105" s="1285"/>
      <c r="Y105" s="1286"/>
      <c r="Z105" s="1285"/>
      <c r="AA105" s="1286"/>
      <c r="AB105" s="1347"/>
      <c r="AC105" s="1348"/>
      <c r="AD105" s="1285"/>
      <c r="AE105" s="1286"/>
      <c r="AF105" s="1285"/>
      <c r="AG105" s="1286"/>
      <c r="AH105" s="1285"/>
      <c r="AI105" s="1286"/>
      <c r="AJ105" s="1285"/>
      <c r="AK105" s="1286"/>
      <c r="AL105" s="1285"/>
      <c r="AM105" s="1286"/>
      <c r="AN105" s="1347"/>
      <c r="AO105" s="1348"/>
      <c r="AP105" s="1347"/>
      <c r="AQ105" s="1348"/>
      <c r="AR105" s="1347"/>
      <c r="AS105" s="1348"/>
      <c r="AT105" s="1285"/>
      <c r="AU105" s="1286"/>
      <c r="AV105" s="1287"/>
      <c r="AW105" s="1288"/>
      <c r="AX105" s="1289"/>
      <c r="AY105" s="1290"/>
      <c r="AZ105" s="1285"/>
      <c r="BA105" s="1286"/>
      <c r="BB105" s="1347"/>
      <c r="BC105" s="1348"/>
      <c r="BD105" s="1285"/>
      <c r="BE105" s="1286"/>
      <c r="BF105" s="1311"/>
      <c r="BG105" s="1312"/>
      <c r="BH105" s="1285"/>
      <c r="BI105" s="1286"/>
      <c r="BJ105" s="1285"/>
      <c r="BK105" s="1286"/>
      <c r="BL105" s="1285"/>
      <c r="BM105" s="1286"/>
      <c r="BN105" s="1285"/>
      <c r="BO105" s="1286"/>
      <c r="BP105" s="1285"/>
      <c r="BQ105" s="1286"/>
      <c r="BR105" s="1285"/>
      <c r="BS105" s="1286"/>
      <c r="BT105" s="1285">
        <v>4</v>
      </c>
      <c r="BU105" s="1286"/>
      <c r="BV105" s="1285">
        <v>6</v>
      </c>
      <c r="BW105" s="1286"/>
      <c r="BX105" s="1285">
        <v>6</v>
      </c>
      <c r="BY105" s="1286"/>
      <c r="BZ105" s="1285">
        <v>6</v>
      </c>
      <c r="CA105" s="1286"/>
      <c r="CB105" s="1356">
        <v>3.1551038444542652</v>
      </c>
      <c r="CC105" s="1357"/>
      <c r="CD105" s="1285"/>
      <c r="CE105" s="1286"/>
      <c r="CF105" s="1285"/>
      <c r="CG105" s="1286"/>
      <c r="CH105" s="1285"/>
      <c r="CI105" s="1286"/>
      <c r="CJ105" s="1285"/>
      <c r="CK105" s="1286"/>
      <c r="CL105" s="1285"/>
      <c r="CM105" s="1286"/>
      <c r="CN105" s="1285"/>
      <c r="CO105" s="1286"/>
      <c r="CP105" s="1285"/>
      <c r="CQ105" s="1286"/>
      <c r="CR105" s="1289"/>
      <c r="CS105" s="1290"/>
      <c r="CT105" s="1285"/>
      <c r="CU105" s="1286"/>
      <c r="CV105" s="1285"/>
      <c r="CW105" s="1286"/>
      <c r="CX105" s="1285"/>
      <c r="CY105" s="1286"/>
      <c r="CZ105" s="1263"/>
      <c r="DA105" s="1263"/>
      <c r="DB105" s="1263"/>
      <c r="DC105" s="1263"/>
      <c r="DD105" s="1263"/>
      <c r="DE105" s="1263"/>
      <c r="DF105" s="1263"/>
      <c r="DG105" s="1263"/>
      <c r="DH105" s="1263"/>
      <c r="DI105" s="1263"/>
      <c r="DJ105" s="1327"/>
      <c r="DK105" s="1327"/>
      <c r="DL105" s="1263"/>
      <c r="DM105" s="1263"/>
      <c r="DN105" s="1263"/>
      <c r="DO105" s="1263"/>
      <c r="DP105" s="1263"/>
      <c r="DQ105" s="1263"/>
      <c r="DR105" s="1263"/>
      <c r="DS105" s="1263"/>
      <c r="DT105" s="1263"/>
      <c r="DU105" s="1263"/>
      <c r="DV105" s="1263"/>
      <c r="DW105" s="1263"/>
      <c r="DX105" s="1263"/>
      <c r="DY105" s="1263"/>
      <c r="DZ105" s="1263"/>
      <c r="EA105" s="1263"/>
      <c r="EB105" s="1263"/>
      <c r="EC105" s="1263"/>
      <c r="ED105" s="1263"/>
      <c r="EE105" s="1263"/>
      <c r="EF105" s="1263"/>
      <c r="EG105" s="1263"/>
      <c r="EH105" s="1263"/>
      <c r="EI105" s="1263"/>
      <c r="EJ105" s="1263"/>
      <c r="EK105" s="1263"/>
      <c r="EL105" s="1263"/>
      <c r="EM105" s="1263"/>
      <c r="EN105" s="1263"/>
      <c r="EO105" s="1263"/>
      <c r="EP105" s="1263"/>
      <c r="EQ105" s="1263"/>
      <c r="ER105" s="1263"/>
      <c r="ES105" s="1263"/>
      <c r="ET105" s="1263"/>
      <c r="EU105" s="1263"/>
      <c r="EV105" s="1263"/>
      <c r="EW105" s="1263"/>
      <c r="EX105" s="1263"/>
      <c r="EY105" s="1263"/>
      <c r="EZ105" s="1263"/>
      <c r="FA105" s="1263"/>
      <c r="FB105" s="1263"/>
      <c r="FC105" s="1263"/>
      <c r="FD105" s="1263"/>
      <c r="FE105" s="1263"/>
      <c r="FF105" s="1263"/>
      <c r="FG105" s="1263"/>
      <c r="FH105" s="1263"/>
      <c r="FI105" s="1263"/>
      <c r="FJ105" s="1263"/>
      <c r="FK105" s="1263"/>
      <c r="FL105" s="1263"/>
      <c r="FM105" s="1263"/>
      <c r="FN105" s="1263"/>
      <c r="FO105" s="1263"/>
      <c r="FP105" s="1263"/>
      <c r="FQ105" s="1263"/>
      <c r="FR105" s="1263"/>
      <c r="FS105" s="1263"/>
      <c r="FT105" s="1263"/>
      <c r="FU105" s="1263"/>
      <c r="FV105" s="1263"/>
      <c r="FW105" s="1263"/>
      <c r="FX105" s="1263"/>
      <c r="FY105" s="1263"/>
      <c r="FZ105" s="1263"/>
      <c r="GA105" s="1263"/>
      <c r="GB105" s="1263"/>
      <c r="GC105" s="1263"/>
      <c r="GD105" s="1263"/>
      <c r="GE105" s="1263"/>
      <c r="GF105" s="1263"/>
      <c r="GG105" s="1263"/>
      <c r="GH105" s="1263"/>
      <c r="GI105" s="1263"/>
      <c r="GJ105" s="1263"/>
      <c r="GK105" s="1263"/>
      <c r="GL105" s="1263"/>
      <c r="GM105" s="1263"/>
      <c r="GN105" s="1263"/>
      <c r="GO105" s="1263"/>
      <c r="GP105" s="1263"/>
      <c r="GQ105" s="1263"/>
      <c r="GR105" s="1263"/>
      <c r="GS105" s="1263"/>
      <c r="GT105" s="1263"/>
      <c r="GU105" s="1263"/>
      <c r="GV105" s="1263"/>
      <c r="GW105" s="1263"/>
      <c r="GX105" s="1263"/>
      <c r="GY105" s="1263"/>
      <c r="GZ105" s="1263"/>
      <c r="HA105" s="1263"/>
      <c r="HB105" s="1263"/>
      <c r="HC105" s="1263"/>
      <c r="HD105" s="1263"/>
      <c r="HE105" s="1263"/>
      <c r="HF105" s="1263"/>
      <c r="HG105" s="1263"/>
      <c r="HH105" s="1263"/>
      <c r="HI105" s="1263"/>
      <c r="HJ105" s="1263"/>
      <c r="HK105" s="1263"/>
    </row>
    <row r="106" spans="1:219">
      <c r="A106" s="1299"/>
      <c r="B106" s="1300"/>
      <c r="C106" s="1299"/>
      <c r="D106" s="1301"/>
      <c r="E106" s="1301"/>
      <c r="F106" s="1302"/>
      <c r="G106" s="1301"/>
      <c r="H106" s="726"/>
      <c r="I106" s="1303"/>
      <c r="J106" s="1304"/>
      <c r="K106" s="785" t="s">
        <v>292</v>
      </c>
      <c r="L106" s="1283"/>
      <c r="M106" s="1284"/>
      <c r="N106" s="1283"/>
      <c r="O106" s="1284"/>
      <c r="P106" s="1283"/>
      <c r="Q106" s="1284"/>
      <c r="R106" s="1283"/>
      <c r="S106" s="1284"/>
      <c r="T106" s="1283"/>
      <c r="U106" s="1284"/>
      <c r="V106" s="1283"/>
      <c r="W106" s="1284"/>
      <c r="X106" s="1283"/>
      <c r="Y106" s="1284"/>
      <c r="Z106" s="1283"/>
      <c r="AA106" s="1284"/>
      <c r="AB106" s="1283"/>
      <c r="AC106" s="1284"/>
      <c r="AD106" s="1283"/>
      <c r="AE106" s="1284"/>
      <c r="AF106" s="1283"/>
      <c r="AG106" s="1284"/>
      <c r="AH106" s="1283"/>
      <c r="AI106" s="1284"/>
      <c r="AJ106" s="1283"/>
      <c r="AK106" s="1284"/>
      <c r="AL106" s="1283"/>
      <c r="AM106" s="1284"/>
      <c r="AN106" s="1283"/>
      <c r="AO106" s="1284"/>
      <c r="AP106" s="1283"/>
      <c r="AQ106" s="1284"/>
      <c r="AR106" s="1283"/>
      <c r="AS106" s="1284"/>
      <c r="AT106" s="1283"/>
      <c r="AU106" s="1284"/>
      <c r="AV106" s="1283"/>
      <c r="AW106" s="1284"/>
      <c r="AX106" s="1283"/>
      <c r="AY106" s="1284"/>
      <c r="AZ106" s="1283"/>
      <c r="BA106" s="1284"/>
      <c r="BB106" s="1283"/>
      <c r="BC106" s="1284"/>
      <c r="BD106" s="1283"/>
      <c r="BE106" s="1284"/>
      <c r="BF106" s="1283"/>
      <c r="BG106" s="1284"/>
      <c r="BH106" s="1283"/>
      <c r="BI106" s="1284"/>
      <c r="BJ106" s="1283"/>
      <c r="BK106" s="1284"/>
      <c r="BL106" s="1283"/>
      <c r="BM106" s="1284"/>
      <c r="BN106" s="1283"/>
      <c r="BO106" s="1284"/>
      <c r="BP106" s="1283"/>
      <c r="BQ106" s="1284"/>
      <c r="BR106" s="1283"/>
      <c r="BS106" s="1284"/>
      <c r="BT106" s="1283">
        <v>1</v>
      </c>
      <c r="BU106" s="1284"/>
      <c r="BV106" s="1283">
        <v>1</v>
      </c>
      <c r="BW106" s="1284"/>
      <c r="BX106" s="1283">
        <v>1</v>
      </c>
      <c r="BY106" s="1284"/>
      <c r="BZ106" s="1283">
        <v>1</v>
      </c>
      <c r="CA106" s="1284"/>
      <c r="CB106" s="1283">
        <v>1</v>
      </c>
      <c r="CC106" s="1284"/>
      <c r="CD106" s="1283"/>
      <c r="CE106" s="1284"/>
      <c r="CF106" s="1283"/>
      <c r="CG106" s="1284"/>
      <c r="CH106" s="1283"/>
      <c r="CI106" s="1284"/>
      <c r="CJ106" s="1283"/>
      <c r="CK106" s="1284"/>
      <c r="CL106" s="1283"/>
      <c r="CM106" s="1284"/>
      <c r="CN106" s="1283"/>
      <c r="CO106" s="1284"/>
      <c r="CP106" s="1283"/>
      <c r="CQ106" s="1284"/>
      <c r="CR106" s="1283"/>
      <c r="CS106" s="1284"/>
      <c r="CT106" s="1283"/>
      <c r="CU106" s="1284"/>
      <c r="CV106" s="1283"/>
      <c r="CW106" s="1284"/>
      <c r="CX106" s="1283"/>
      <c r="CY106" s="1284"/>
      <c r="CZ106" s="1264"/>
      <c r="DA106" s="1264"/>
      <c r="DB106" s="1264"/>
      <c r="DC106" s="1264"/>
      <c r="DD106" s="1264"/>
      <c r="DE106" s="1264"/>
      <c r="DF106" s="1264"/>
      <c r="DG106" s="1264"/>
      <c r="DH106" s="1264"/>
      <c r="DI106" s="1264"/>
      <c r="DJ106" s="1265"/>
      <c r="DK106" s="1265"/>
      <c r="DL106" s="1264"/>
      <c r="DM106" s="1264"/>
      <c r="DN106" s="1264"/>
      <c r="DO106" s="1264"/>
      <c r="DP106" s="1264"/>
      <c r="DQ106" s="1264"/>
      <c r="DR106" s="1264"/>
      <c r="DS106" s="1264"/>
      <c r="DT106" s="1264"/>
      <c r="DU106" s="1264"/>
      <c r="DV106" s="1264"/>
      <c r="DW106" s="1264"/>
      <c r="DX106" s="1264"/>
      <c r="DY106" s="1264"/>
      <c r="DZ106" s="1264"/>
      <c r="EA106" s="1264"/>
      <c r="EB106" s="1264"/>
      <c r="EC106" s="1264"/>
      <c r="ED106" s="1264"/>
      <c r="EE106" s="1264"/>
      <c r="EF106" s="1264"/>
      <c r="EG106" s="1264"/>
      <c r="EH106" s="1264"/>
      <c r="EI106" s="1264"/>
      <c r="EJ106" s="1264"/>
      <c r="EK106" s="1264"/>
      <c r="EL106" s="1264"/>
      <c r="EM106" s="1264"/>
      <c r="EN106" s="1264"/>
      <c r="EO106" s="1264"/>
      <c r="EP106" s="1264"/>
      <c r="EQ106" s="1264"/>
      <c r="ER106" s="1264"/>
      <c r="ES106" s="1264"/>
      <c r="ET106" s="1264"/>
      <c r="EU106" s="1264"/>
      <c r="EV106" s="1264"/>
      <c r="EW106" s="1264"/>
      <c r="EX106" s="1264"/>
      <c r="EY106" s="1264"/>
      <c r="EZ106" s="1264"/>
      <c r="FA106" s="1264"/>
      <c r="FB106" s="1264"/>
      <c r="FC106" s="1264"/>
      <c r="FD106" s="1264"/>
      <c r="FE106" s="1264"/>
      <c r="FF106" s="1264"/>
      <c r="FG106" s="1264"/>
      <c r="FH106" s="1264"/>
      <c r="FI106" s="1264"/>
      <c r="FJ106" s="1264"/>
      <c r="FK106" s="1264"/>
      <c r="FL106" s="1264"/>
      <c r="FM106" s="1264"/>
      <c r="FN106" s="1264"/>
      <c r="FO106" s="1264"/>
      <c r="FP106" s="1264"/>
      <c r="FQ106" s="1264"/>
      <c r="FR106" s="1264"/>
      <c r="FS106" s="1264"/>
      <c r="FT106" s="1264"/>
      <c r="FU106" s="1264"/>
      <c r="FV106" s="1264"/>
      <c r="FW106" s="1264"/>
      <c r="FX106" s="1264"/>
      <c r="FY106" s="1264"/>
      <c r="FZ106" s="1264"/>
      <c r="GA106" s="1264"/>
      <c r="GB106" s="1264"/>
      <c r="GC106" s="1264"/>
      <c r="GD106" s="1264"/>
      <c r="GE106" s="1264"/>
      <c r="GF106" s="1264"/>
      <c r="GG106" s="1264"/>
      <c r="GH106" s="1264"/>
      <c r="GI106" s="1264"/>
      <c r="GJ106" s="1264"/>
      <c r="GK106" s="1264"/>
      <c r="GL106" s="1264"/>
      <c r="GM106" s="1264"/>
      <c r="GN106" s="1264"/>
      <c r="GO106" s="1264"/>
      <c r="GP106" s="1264"/>
      <c r="GQ106" s="1264"/>
      <c r="GR106" s="1264"/>
      <c r="GS106" s="1264"/>
      <c r="GT106" s="1264"/>
      <c r="GU106" s="1264"/>
      <c r="GV106" s="1264"/>
      <c r="GW106" s="1264"/>
      <c r="GX106" s="1264"/>
      <c r="GY106" s="1264"/>
      <c r="GZ106" s="1264"/>
      <c r="HA106" s="1264"/>
      <c r="HB106" s="1264"/>
      <c r="HC106" s="1264"/>
      <c r="HD106" s="1264"/>
      <c r="HE106" s="1264"/>
      <c r="HF106" s="1264"/>
      <c r="HG106" s="1264"/>
      <c r="HH106" s="1264"/>
      <c r="HI106" s="1264"/>
      <c r="HJ106" s="1264"/>
      <c r="HK106" s="1264"/>
    </row>
    <row r="107" spans="1:219">
      <c r="A107" s="1299"/>
      <c r="B107" s="1300"/>
      <c r="C107" s="1299"/>
      <c r="D107" s="1301"/>
      <c r="E107" s="1301"/>
      <c r="F107" s="1302"/>
      <c r="G107" s="1301"/>
      <c r="H107" s="726"/>
      <c r="I107" s="1303"/>
      <c r="J107" s="1304"/>
      <c r="K107" s="786" t="s">
        <v>293</v>
      </c>
      <c r="L107" s="1255">
        <f>(L105*L106*$G105)*$L$8</f>
        <v>0</v>
      </c>
      <c r="M107" s="1256"/>
      <c r="N107" s="1255">
        <f>(N105*N106*$G105)*$L$8</f>
        <v>0</v>
      </c>
      <c r="O107" s="1256"/>
      <c r="P107" s="1255">
        <f>(P105*P106*$G105)*$L$8</f>
        <v>0</v>
      </c>
      <c r="Q107" s="1256"/>
      <c r="R107" s="1255">
        <f>(R105*R106*$G105)*$L$8</f>
        <v>0</v>
      </c>
      <c r="S107" s="1256"/>
      <c r="T107" s="1255">
        <f>(T105*T106*$G105)*$T$8</f>
        <v>0</v>
      </c>
      <c r="U107" s="1256"/>
      <c r="V107" s="1255">
        <f>(V105*V106*$G105)*$T$8</f>
        <v>0</v>
      </c>
      <c r="W107" s="1256"/>
      <c r="X107" s="1255">
        <f>(X105*X106*$G105)*$T$8</f>
        <v>0</v>
      </c>
      <c r="Y107" s="1256"/>
      <c r="Z107" s="1255">
        <f>(Z105*Z106*$G105)*$T$8</f>
        <v>0</v>
      </c>
      <c r="AA107" s="1256"/>
      <c r="AB107" s="1255">
        <f>(AB105*AB106*$G105)*$AB$8</f>
        <v>0</v>
      </c>
      <c r="AC107" s="1256"/>
      <c r="AD107" s="1255">
        <f>(AD105*AD106*$G105)*$AB$8</f>
        <v>0</v>
      </c>
      <c r="AE107" s="1256"/>
      <c r="AF107" s="1255">
        <f>(AF105*AF106*$G105)*$AB$8</f>
        <v>0</v>
      </c>
      <c r="AG107" s="1256"/>
      <c r="AH107" s="1255">
        <f>(AH105*AH106*$G105)*$AB$8</f>
        <v>0</v>
      </c>
      <c r="AI107" s="1256"/>
      <c r="AJ107" s="1255">
        <f>(AJ105*AJ106*$G105)*$AJ$8</f>
        <v>0</v>
      </c>
      <c r="AK107" s="1256"/>
      <c r="AL107" s="1255">
        <f>(AL105*AL106*$G105)*$AJ$8</f>
        <v>0</v>
      </c>
      <c r="AM107" s="1256"/>
      <c r="AN107" s="1255">
        <f>(AN105*AN106*$G105)*$AJ$8</f>
        <v>0</v>
      </c>
      <c r="AO107" s="1256"/>
      <c r="AP107" s="1255">
        <f>(AP105*AP106*$G105)*$AJ$8</f>
        <v>0</v>
      </c>
      <c r="AQ107" s="1256"/>
      <c r="AR107" s="1255">
        <f>(AR105*AR106*$G105)*$AJ$8</f>
        <v>0</v>
      </c>
      <c r="AS107" s="1256"/>
      <c r="AT107" s="1255">
        <f>(AT105*AT106*$G105)*$AT$8</f>
        <v>0</v>
      </c>
      <c r="AU107" s="1256"/>
      <c r="AV107" s="1255">
        <f>(AV105*AV106*$G105)*$AT$8</f>
        <v>0</v>
      </c>
      <c r="AW107" s="1256"/>
      <c r="AX107" s="1255">
        <f>(AX105*AX106*$G105)*$AT$8</f>
        <v>0</v>
      </c>
      <c r="AY107" s="1256"/>
      <c r="AZ107" s="1255">
        <f>(AZ105*AZ106*$G105)*$AT$8</f>
        <v>0</v>
      </c>
      <c r="BA107" s="1256"/>
      <c r="BB107" s="1255">
        <f>(BB105*BB106*$G105)*$BB$8</f>
        <v>0</v>
      </c>
      <c r="BC107" s="1256"/>
      <c r="BD107" s="1255">
        <f>(BD105*BD106*$G105)*$BB$8</f>
        <v>0</v>
      </c>
      <c r="BE107" s="1256"/>
      <c r="BF107" s="1255">
        <f>(BF105*BF106*$G105)*$BB$8</f>
        <v>0</v>
      </c>
      <c r="BG107" s="1256"/>
      <c r="BH107" s="1255">
        <f>(BH105*BH106*$G105)*$BB$8</f>
        <v>0</v>
      </c>
      <c r="BI107" s="1256"/>
      <c r="BJ107" s="1255">
        <f>(BJ105*BJ106*$G105)*$BJ$8</f>
        <v>0</v>
      </c>
      <c r="BK107" s="1256"/>
      <c r="BL107" s="1255">
        <f>(BL105*BL106*$G105)*$BJ$8</f>
        <v>0</v>
      </c>
      <c r="BM107" s="1256"/>
      <c r="BN107" s="1255">
        <f>(BN105*BN106*$G105)*$BJ$8</f>
        <v>0</v>
      </c>
      <c r="BO107" s="1256"/>
      <c r="BP107" s="1255">
        <f>(BP105*BP106*$G105)*$BJ$8</f>
        <v>0</v>
      </c>
      <c r="BQ107" s="1256"/>
      <c r="BR107" s="1255">
        <f>(BR105*BR106*$G105)*$BJ$8</f>
        <v>0</v>
      </c>
      <c r="BS107" s="1256"/>
      <c r="BT107" s="1255">
        <f>(BT105*BT106*$G105)*$BT$8</f>
        <v>5103.4838709677415</v>
      </c>
      <c r="BU107" s="1256"/>
      <c r="BV107" s="1255">
        <f>(BV105*BV106*$G105)*$BT$8</f>
        <v>7655.2258064516127</v>
      </c>
      <c r="BW107" s="1256"/>
      <c r="BX107" s="1255">
        <f>(BX105*BX106*$G105)*$BT$8</f>
        <v>7655.2258064516127</v>
      </c>
      <c r="BY107" s="1256"/>
      <c r="BZ107" s="1255">
        <f>(BZ105*BZ106*$G105)*$BT$8</f>
        <v>7655.2258064516127</v>
      </c>
      <c r="CA107" s="1256"/>
      <c r="CB107" s="1255">
        <f>(CB105*CB106*$G105)*$CB$8</f>
        <v>3930.8387096774204</v>
      </c>
      <c r="CC107" s="1256"/>
      <c r="CD107" s="1255">
        <f>(CD105*CD106*$G105)*$CB$8</f>
        <v>0</v>
      </c>
      <c r="CE107" s="1256"/>
      <c r="CF107" s="1255">
        <f>(CF105*CF106*$G105)*$CB$8</f>
        <v>0</v>
      </c>
      <c r="CG107" s="1256"/>
      <c r="CH107" s="1255">
        <f>(CH105*CH106*$G105)*$CB$8</f>
        <v>0</v>
      </c>
      <c r="CI107" s="1256"/>
      <c r="CJ107" s="1255">
        <f>(CJ105*CJ106*$G105)*$CJ$8</f>
        <v>0</v>
      </c>
      <c r="CK107" s="1256"/>
      <c r="CL107" s="1255">
        <f>(CL105*CL106*$G105)*$CJ$8</f>
        <v>0</v>
      </c>
      <c r="CM107" s="1256"/>
      <c r="CN107" s="1255">
        <f>(CN105*CN106*$G105)*$CJ$8</f>
        <v>0</v>
      </c>
      <c r="CO107" s="1256"/>
      <c r="CP107" s="1255">
        <f>(CP105*CP106*$G105)*$CJ$8</f>
        <v>0</v>
      </c>
      <c r="CQ107" s="1256"/>
      <c r="CR107" s="1255">
        <f>(CR105*CR106*$G105)*$CJ$8</f>
        <v>0</v>
      </c>
      <c r="CS107" s="1256"/>
      <c r="CT107" s="1255">
        <f>(CT105*CT106*$G105)*$CT$8</f>
        <v>0</v>
      </c>
      <c r="CU107" s="1256"/>
      <c r="CV107" s="1255">
        <f>(CV105*CV106*$G105)*$CT$8</f>
        <v>0</v>
      </c>
      <c r="CW107" s="1256"/>
      <c r="CX107" s="1255">
        <f>(CX105*CX106*$G105)*$CT$8</f>
        <v>0</v>
      </c>
      <c r="CY107" s="1256"/>
      <c r="CZ107" s="1255">
        <f>(CZ105*CZ106*$G105)*$CT$8</f>
        <v>0</v>
      </c>
      <c r="DA107" s="1256"/>
      <c r="DB107" s="1255">
        <f>(DB105*DB106*$G105)*$DB$8</f>
        <v>0</v>
      </c>
      <c r="DC107" s="1256"/>
      <c r="DD107" s="1255">
        <f>(DD105*DD106*$G105)*$DB$8</f>
        <v>0</v>
      </c>
      <c r="DE107" s="1256"/>
      <c r="DF107" s="1255">
        <f>(DF105*DF106*$G105)*$DB$8</f>
        <v>0</v>
      </c>
      <c r="DG107" s="1256"/>
      <c r="DH107" s="1255">
        <f>(DH105*DH106*$G105)*$DB$8</f>
        <v>0</v>
      </c>
      <c r="DI107" s="1256"/>
      <c r="DJ107" s="1257">
        <f>(DJ105*DJ106*$G105)*$DB$8</f>
        <v>0</v>
      </c>
      <c r="DK107" s="1258"/>
      <c r="DL107" s="1255">
        <f>(DL105*DL106*$G105)*$DB$8</f>
        <v>0</v>
      </c>
      <c r="DM107" s="1256"/>
      <c r="DN107" s="1255">
        <f>(DN105*DN106*$G105)*$DB$8</f>
        <v>0</v>
      </c>
      <c r="DO107" s="1256"/>
      <c r="DP107" s="1255">
        <f>(DP105*DP106*$G105)*$DB$8</f>
        <v>0</v>
      </c>
      <c r="DQ107" s="1256"/>
      <c r="DR107" s="1255">
        <f>(DR105*DR106*$G105)*$FT$8</f>
        <v>0</v>
      </c>
      <c r="DS107" s="1256"/>
      <c r="DT107" s="1255">
        <f>(DT105*DT106*$G105)*$FT$8</f>
        <v>0</v>
      </c>
      <c r="DU107" s="1256"/>
      <c r="DV107" s="1255">
        <f>(DV105*DV106*$G105)*$FT$8</f>
        <v>0</v>
      </c>
      <c r="DW107" s="1256"/>
      <c r="DX107" s="1255">
        <f>(DX105*DX106*$G105)*$FT$8</f>
        <v>0</v>
      </c>
      <c r="DY107" s="1256"/>
      <c r="DZ107" s="1255">
        <f>(DZ105*DZ106*$G105)*$FT$8</f>
        <v>0</v>
      </c>
      <c r="EA107" s="1256"/>
      <c r="EB107" s="1255">
        <f>(EB105*EB106*$G105)*$FT$8</f>
        <v>0</v>
      </c>
      <c r="EC107" s="1256"/>
      <c r="ED107" s="1255">
        <f>(ED105*ED106*$G105)*$FT$8</f>
        <v>0</v>
      </c>
      <c r="EE107" s="1256"/>
      <c r="EF107" s="1255">
        <f>(EF105*EF106*$G105)*$FT$8</f>
        <v>0</v>
      </c>
      <c r="EG107" s="1256"/>
      <c r="EH107" s="1255">
        <f>(EH105*EH106*$G105)*$FT$8</f>
        <v>0</v>
      </c>
      <c r="EI107" s="1256"/>
      <c r="EJ107" s="1255">
        <f>(EJ105*EJ106*$G105)*$FT$8</f>
        <v>0</v>
      </c>
      <c r="EK107" s="1256"/>
      <c r="EL107" s="1255">
        <f>(EL105*EL106*$G105)*$FT$8</f>
        <v>0</v>
      </c>
      <c r="EM107" s="1256"/>
      <c r="EN107" s="1255">
        <f>(EN105*EN106*$G105)*$FT$8</f>
        <v>0</v>
      </c>
      <c r="EO107" s="1256"/>
      <c r="EP107" s="1255">
        <f>(EP105*EP106*$G105)*$FT$8</f>
        <v>0</v>
      </c>
      <c r="EQ107" s="1256"/>
      <c r="ER107" s="1255">
        <f>(ER105*ER106*$G105)*$FT$8</f>
        <v>0</v>
      </c>
      <c r="ES107" s="1256"/>
      <c r="ET107" s="1255">
        <f>(ET105*ET106*$G105)*$FT$8</f>
        <v>0</v>
      </c>
      <c r="EU107" s="1256"/>
      <c r="EV107" s="1255">
        <f>(EV105*EV106*$G105)*$FT$8</f>
        <v>0</v>
      </c>
      <c r="EW107" s="1256"/>
      <c r="EX107" s="1255">
        <f>(EX105*EX106*$G105)*$FT$8</f>
        <v>0</v>
      </c>
      <c r="EY107" s="1256"/>
      <c r="EZ107" s="1255">
        <f>(EZ105*EZ106*$G105)*$FT$8</f>
        <v>0</v>
      </c>
      <c r="FA107" s="1256"/>
      <c r="FB107" s="1255">
        <f>(FB105*FB106*$G105)*$FT$8</f>
        <v>0</v>
      </c>
      <c r="FC107" s="1256"/>
      <c r="FD107" s="1255">
        <f>(FD105*FD106*$G105)*$FT$8</f>
        <v>0</v>
      </c>
      <c r="FE107" s="1256"/>
      <c r="FF107" s="1255">
        <f>(FF105*FF106*$G105)*$FT$8</f>
        <v>0</v>
      </c>
      <c r="FG107" s="1256"/>
      <c r="FH107" s="1255">
        <f>(FH105*FH106*$G105)*$FT$8</f>
        <v>0</v>
      </c>
      <c r="FI107" s="1256"/>
      <c r="FJ107" s="1255">
        <f>(FJ105*FJ106*$G105)*$FT$8</f>
        <v>0</v>
      </c>
      <c r="FK107" s="1256"/>
      <c r="FL107" s="1255">
        <f>(FL105*FL106*$G105)*$FT$8</f>
        <v>0</v>
      </c>
      <c r="FM107" s="1256"/>
      <c r="FN107" s="1255">
        <f>(FN105*FN106*$G105)*$FT$8</f>
        <v>0</v>
      </c>
      <c r="FO107" s="1256"/>
      <c r="FP107" s="1255">
        <f>(FP105*FP106*$G105)*$FT$8</f>
        <v>0</v>
      </c>
      <c r="FQ107" s="1256"/>
      <c r="FR107" s="1255">
        <f>(FR105*FR106*$G105)*$FT$8</f>
        <v>0</v>
      </c>
      <c r="FS107" s="1256"/>
      <c r="FT107" s="1255">
        <f>(FT105*FT106*$G105)*$FT$8</f>
        <v>0</v>
      </c>
      <c r="FU107" s="1256"/>
      <c r="FV107" s="1255">
        <f>(FV105*FV106*$G105)*$FT$8</f>
        <v>0</v>
      </c>
      <c r="FW107" s="1256"/>
      <c r="FX107" s="1255">
        <f>(FX105*FX106*$G105)*$FT$8</f>
        <v>0</v>
      </c>
      <c r="FY107" s="1256"/>
      <c r="FZ107" s="1255">
        <f>(FZ105*FZ106*$G105)*$FT$8</f>
        <v>0</v>
      </c>
      <c r="GA107" s="1256"/>
      <c r="GB107" s="1255">
        <f>(GB105*GB106*$G105)*$FT$8</f>
        <v>0</v>
      </c>
      <c r="GC107" s="1256"/>
      <c r="GD107" s="1255">
        <f>(GD105*GD106*$G105)*$FT$8</f>
        <v>0</v>
      </c>
      <c r="GE107" s="1256"/>
      <c r="GF107" s="1255">
        <f>(GF105*GF106*$G105)*$FT$8</f>
        <v>0</v>
      </c>
      <c r="GG107" s="1256"/>
      <c r="GH107" s="1255">
        <f>(GH105*GH106*$G105)*$FT$8</f>
        <v>0</v>
      </c>
      <c r="GI107" s="1256"/>
      <c r="GJ107" s="1255">
        <f>(GJ105*GJ106*$G105)*$FT$8</f>
        <v>0</v>
      </c>
      <c r="GK107" s="1256"/>
      <c r="GL107" s="1255">
        <f>(GL105*GL106*$G105)*$FT$8</f>
        <v>0</v>
      </c>
      <c r="GM107" s="1256"/>
      <c r="GN107" s="1255">
        <f>(GN105*GN106*$G105)*$FT$8</f>
        <v>0</v>
      </c>
      <c r="GO107" s="1256"/>
      <c r="GP107" s="1255">
        <f>(GP105*GP106*$G105)*$FT$8</f>
        <v>0</v>
      </c>
      <c r="GQ107" s="1256"/>
      <c r="GR107" s="1255">
        <f>(GR105*GR106*$G105)*$FT$8</f>
        <v>0</v>
      </c>
      <c r="GS107" s="1256"/>
      <c r="GT107" s="1255">
        <f>(GT105*GT106*$G105)*$FT$8</f>
        <v>0</v>
      </c>
      <c r="GU107" s="1256"/>
      <c r="GV107" s="1255">
        <f>(GV105*GV106*$G105)*$FT$8</f>
        <v>0</v>
      </c>
      <c r="GW107" s="1256"/>
      <c r="GX107" s="1255">
        <f>(GX105*GX106*$G105)*$FT$8</f>
        <v>0</v>
      </c>
      <c r="GY107" s="1256"/>
      <c r="GZ107" s="1255">
        <f>(GZ105*GZ106*$G105)*$FT$8</f>
        <v>0</v>
      </c>
      <c r="HA107" s="1256"/>
      <c r="HB107" s="1255">
        <f>(HB105*HB106*$G105)*$FT$8</f>
        <v>0</v>
      </c>
      <c r="HC107" s="1256"/>
      <c r="HD107" s="1255">
        <f>(HD105*HD106*$G105)*$FT$8</f>
        <v>0</v>
      </c>
      <c r="HE107" s="1256"/>
      <c r="HF107" s="1255">
        <f>(HF105*HF106*$G105)*$DB$8</f>
        <v>0</v>
      </c>
      <c r="HG107" s="1256"/>
      <c r="HH107" s="1255">
        <f>(HH105*HH106*$G105)*$DB$8</f>
        <v>0</v>
      </c>
      <c r="HI107" s="1256"/>
      <c r="HJ107" s="1255">
        <f>(HJ105*HJ106*$G105)*$DB$8</f>
        <v>0</v>
      </c>
      <c r="HK107" s="1256"/>
    </row>
    <row r="108" spans="1:219">
      <c r="A108" s="1299"/>
      <c r="B108" s="1300"/>
      <c r="C108" s="1299"/>
      <c r="D108" s="1301"/>
      <c r="E108" s="1301"/>
      <c r="F108" s="1302"/>
      <c r="G108" s="1301"/>
      <c r="H108" s="726"/>
      <c r="I108" s="1303"/>
      <c r="J108" s="1304"/>
      <c r="K108" s="787" t="s">
        <v>294</v>
      </c>
      <c r="L108" s="1272">
        <f>L107</f>
        <v>0</v>
      </c>
      <c r="M108" s="1273"/>
      <c r="N108" s="1272">
        <f>L108+N107</f>
        <v>0</v>
      </c>
      <c r="O108" s="1273"/>
      <c r="P108" s="1272">
        <f>N108+P107</f>
        <v>0</v>
      </c>
      <c r="Q108" s="1273"/>
      <c r="R108" s="1272">
        <f>P108+R107</f>
        <v>0</v>
      </c>
      <c r="S108" s="1273"/>
      <c r="T108" s="1272">
        <f>R108+T107</f>
        <v>0</v>
      </c>
      <c r="U108" s="1273"/>
      <c r="V108" s="1272">
        <f>T108+V107</f>
        <v>0</v>
      </c>
      <c r="W108" s="1273"/>
      <c r="X108" s="1272">
        <f>V108+X107</f>
        <v>0</v>
      </c>
      <c r="Y108" s="1273"/>
      <c r="Z108" s="1272">
        <f>X108+Z107</f>
        <v>0</v>
      </c>
      <c r="AA108" s="1273"/>
      <c r="AB108" s="1272">
        <f>Z108+AB107</f>
        <v>0</v>
      </c>
      <c r="AC108" s="1273"/>
      <c r="AD108" s="1272">
        <f>AB108+AD107</f>
        <v>0</v>
      </c>
      <c r="AE108" s="1273"/>
      <c r="AF108" s="1272">
        <f>AD108+AF107</f>
        <v>0</v>
      </c>
      <c r="AG108" s="1273"/>
      <c r="AH108" s="1272">
        <f>AF108+AH107</f>
        <v>0</v>
      </c>
      <c r="AI108" s="1273"/>
      <c r="AJ108" s="1272">
        <f>AH108+AJ107</f>
        <v>0</v>
      </c>
      <c r="AK108" s="1273"/>
      <c r="AL108" s="1272">
        <f>AJ108+AL107</f>
        <v>0</v>
      </c>
      <c r="AM108" s="1273"/>
      <c r="AN108" s="1272">
        <f>AL108+AN107</f>
        <v>0</v>
      </c>
      <c r="AO108" s="1273"/>
      <c r="AP108" s="1272">
        <f>AN108+AP107</f>
        <v>0</v>
      </c>
      <c r="AQ108" s="1273"/>
      <c r="AR108" s="1272">
        <f>AP108+AR107</f>
        <v>0</v>
      </c>
      <c r="AS108" s="1273"/>
      <c r="AT108" s="1272">
        <f>AR108+AT107</f>
        <v>0</v>
      </c>
      <c r="AU108" s="1273"/>
      <c r="AV108" s="1272">
        <f>AT108+AV107</f>
        <v>0</v>
      </c>
      <c r="AW108" s="1273"/>
      <c r="AX108" s="1272">
        <f>AV108+AX107</f>
        <v>0</v>
      </c>
      <c r="AY108" s="1273"/>
      <c r="AZ108" s="1272">
        <f>AX108+AZ107</f>
        <v>0</v>
      </c>
      <c r="BA108" s="1273"/>
      <c r="BB108" s="1272">
        <f>AZ108+BB107</f>
        <v>0</v>
      </c>
      <c r="BC108" s="1273"/>
      <c r="BD108" s="1272">
        <f>BB108+BD107</f>
        <v>0</v>
      </c>
      <c r="BE108" s="1273"/>
      <c r="BF108" s="1272">
        <f>BD108+BF107</f>
        <v>0</v>
      </c>
      <c r="BG108" s="1273"/>
      <c r="BH108" s="1272">
        <f>BF108+BH107</f>
        <v>0</v>
      </c>
      <c r="BI108" s="1273"/>
      <c r="BJ108" s="1272">
        <f>BH108+BJ107</f>
        <v>0</v>
      </c>
      <c r="BK108" s="1273"/>
      <c r="BL108" s="1272">
        <f>BJ108+BL107</f>
        <v>0</v>
      </c>
      <c r="BM108" s="1273"/>
      <c r="BN108" s="1272">
        <f>BL108+BN107</f>
        <v>0</v>
      </c>
      <c r="BO108" s="1273"/>
      <c r="BP108" s="1272">
        <f>BN108+BP107</f>
        <v>0</v>
      </c>
      <c r="BQ108" s="1273"/>
      <c r="BR108" s="1272">
        <f>BP108+BR107</f>
        <v>0</v>
      </c>
      <c r="BS108" s="1273"/>
      <c r="BT108" s="1272">
        <f>BR108+BT107</f>
        <v>5103.4838709677415</v>
      </c>
      <c r="BU108" s="1273"/>
      <c r="BV108" s="1272">
        <f>BT108+BV107</f>
        <v>12758.709677419354</v>
      </c>
      <c r="BW108" s="1273"/>
      <c r="BX108" s="1272">
        <f>BV108+BX107</f>
        <v>20413.935483870966</v>
      </c>
      <c r="BY108" s="1273"/>
      <c r="BZ108" s="1272">
        <f>BX108+BZ107</f>
        <v>28069.16129032258</v>
      </c>
      <c r="CA108" s="1273"/>
      <c r="CB108" s="1272">
        <f>BZ108+CB107</f>
        <v>32000</v>
      </c>
      <c r="CC108" s="1273"/>
      <c r="CD108" s="1272">
        <f>CB108+CD107</f>
        <v>32000</v>
      </c>
      <c r="CE108" s="1273"/>
      <c r="CF108" s="1272">
        <f>CD108+CF107</f>
        <v>32000</v>
      </c>
      <c r="CG108" s="1273"/>
      <c r="CH108" s="1272">
        <f>CF108+CH107</f>
        <v>32000</v>
      </c>
      <c r="CI108" s="1273"/>
      <c r="CJ108" s="1272">
        <f>CH108+CJ107</f>
        <v>32000</v>
      </c>
      <c r="CK108" s="1273"/>
      <c r="CL108" s="1272">
        <f>CJ108+CL107</f>
        <v>32000</v>
      </c>
      <c r="CM108" s="1273"/>
      <c r="CN108" s="1272">
        <f>CL108+CN107</f>
        <v>32000</v>
      </c>
      <c r="CO108" s="1273"/>
      <c r="CP108" s="1272">
        <f>CN108+CP107</f>
        <v>32000</v>
      </c>
      <c r="CQ108" s="1273"/>
      <c r="CR108" s="1272">
        <f>CP108+CR107</f>
        <v>32000</v>
      </c>
      <c r="CS108" s="1273"/>
      <c r="CT108" s="1272">
        <f>CR108+CT107</f>
        <v>32000</v>
      </c>
      <c r="CU108" s="1273"/>
      <c r="CV108" s="1272">
        <f>CT108+CV107</f>
        <v>32000</v>
      </c>
      <c r="CW108" s="1273"/>
      <c r="CX108" s="1272">
        <f>CV108+CX107</f>
        <v>32000</v>
      </c>
      <c r="CY108" s="1273"/>
      <c r="CZ108" s="1272">
        <f>CX108+CZ107</f>
        <v>32000</v>
      </c>
      <c r="DA108" s="1273"/>
      <c r="DB108" s="1272">
        <f>CZ108+DB107</f>
        <v>32000</v>
      </c>
      <c r="DC108" s="1273"/>
      <c r="DD108" s="1272">
        <f>DB108+DD107</f>
        <v>32000</v>
      </c>
      <c r="DE108" s="1273"/>
      <c r="DF108" s="1272">
        <f>DD108+DF107</f>
        <v>32000</v>
      </c>
      <c r="DG108" s="1273"/>
      <c r="DH108" s="1272">
        <f>DF108+DH107</f>
        <v>32000</v>
      </c>
      <c r="DI108" s="1273"/>
      <c r="DJ108" s="1323">
        <f>DH108+DJ107</f>
        <v>32000</v>
      </c>
      <c r="DK108" s="1324"/>
      <c r="DL108" s="1272">
        <f>DJ108+DL107</f>
        <v>32000</v>
      </c>
      <c r="DM108" s="1273"/>
      <c r="DN108" s="1272">
        <f>DL108+DN107</f>
        <v>32000</v>
      </c>
      <c r="DO108" s="1273"/>
      <c r="DP108" s="1272">
        <f>DN108+DP107</f>
        <v>32000</v>
      </c>
      <c r="DQ108" s="1273"/>
      <c r="DR108" s="1272">
        <f>DP108+DR107</f>
        <v>32000</v>
      </c>
      <c r="DS108" s="1273"/>
      <c r="DT108" s="1272">
        <f>DR108+DT107</f>
        <v>32000</v>
      </c>
      <c r="DU108" s="1273"/>
      <c r="DV108" s="1272">
        <f>DT108+DV107</f>
        <v>32000</v>
      </c>
      <c r="DW108" s="1273"/>
      <c r="DX108" s="1272">
        <f>DV108+DX107</f>
        <v>32000</v>
      </c>
      <c r="DY108" s="1273"/>
      <c r="DZ108" s="1272">
        <f>DX108+DZ107</f>
        <v>32000</v>
      </c>
      <c r="EA108" s="1273"/>
      <c r="EB108" s="1272">
        <f>DZ108+EB107</f>
        <v>32000</v>
      </c>
      <c r="EC108" s="1273"/>
      <c r="ED108" s="1272">
        <f>EB108+ED107</f>
        <v>32000</v>
      </c>
      <c r="EE108" s="1273"/>
      <c r="EF108" s="1272">
        <f>ED108+EF107</f>
        <v>32000</v>
      </c>
      <c r="EG108" s="1273"/>
      <c r="EH108" s="1272">
        <f>EF108+EH107</f>
        <v>32000</v>
      </c>
      <c r="EI108" s="1273"/>
      <c r="EJ108" s="1272">
        <f>EH108+EJ107</f>
        <v>32000</v>
      </c>
      <c r="EK108" s="1273"/>
      <c r="EL108" s="1272">
        <f>EJ108+EL107</f>
        <v>32000</v>
      </c>
      <c r="EM108" s="1273"/>
      <c r="EN108" s="1272">
        <f>EL108+EN107</f>
        <v>32000</v>
      </c>
      <c r="EO108" s="1273"/>
      <c r="EP108" s="1272">
        <f>EN108+EP107</f>
        <v>32000</v>
      </c>
      <c r="EQ108" s="1273"/>
      <c r="ER108" s="1272">
        <f>EP108+ER107</f>
        <v>32000</v>
      </c>
      <c r="ES108" s="1273"/>
      <c r="ET108" s="1272">
        <f>ER108+ET107</f>
        <v>32000</v>
      </c>
      <c r="EU108" s="1273"/>
      <c r="EV108" s="1272">
        <f>ET108+EV107</f>
        <v>32000</v>
      </c>
      <c r="EW108" s="1273"/>
      <c r="EX108" s="1272">
        <f>EV108+EX107</f>
        <v>32000</v>
      </c>
      <c r="EY108" s="1273"/>
      <c r="EZ108" s="1272">
        <f>EX108+EZ107</f>
        <v>32000</v>
      </c>
      <c r="FA108" s="1273"/>
      <c r="FB108" s="1272">
        <f>EZ108+FB107</f>
        <v>32000</v>
      </c>
      <c r="FC108" s="1273"/>
      <c r="FD108" s="1272">
        <f>FB108+FD107</f>
        <v>32000</v>
      </c>
      <c r="FE108" s="1273"/>
      <c r="FF108" s="1272">
        <f>FD108+FF107</f>
        <v>32000</v>
      </c>
      <c r="FG108" s="1273"/>
      <c r="FH108" s="1272">
        <f>FF108+FH107</f>
        <v>32000</v>
      </c>
      <c r="FI108" s="1273"/>
      <c r="FJ108" s="1272">
        <f>FH108+FJ107</f>
        <v>32000</v>
      </c>
      <c r="FK108" s="1273"/>
      <c r="FL108" s="1272">
        <f>FJ108+FL107</f>
        <v>32000</v>
      </c>
      <c r="FM108" s="1273"/>
      <c r="FN108" s="1272">
        <f>FL108+FN107</f>
        <v>32000</v>
      </c>
      <c r="FO108" s="1273"/>
      <c r="FP108" s="1272">
        <f>FN108+FP107</f>
        <v>32000</v>
      </c>
      <c r="FQ108" s="1273"/>
      <c r="FR108" s="1272">
        <f>FP108+FR107</f>
        <v>32000</v>
      </c>
      <c r="FS108" s="1273"/>
      <c r="FT108" s="1272">
        <f>FR108+FT107</f>
        <v>32000</v>
      </c>
      <c r="FU108" s="1273"/>
      <c r="FV108" s="1272">
        <f>FT108+FV107</f>
        <v>32000</v>
      </c>
      <c r="FW108" s="1273"/>
      <c r="FX108" s="1272">
        <f>FV108+FX107</f>
        <v>32000</v>
      </c>
      <c r="FY108" s="1273"/>
      <c r="FZ108" s="1272">
        <f>FX108+FZ107</f>
        <v>32000</v>
      </c>
      <c r="GA108" s="1273"/>
      <c r="GB108" s="1272">
        <f>FZ108+GB107</f>
        <v>32000</v>
      </c>
      <c r="GC108" s="1273"/>
      <c r="GD108" s="1272">
        <f>GB108+GD107</f>
        <v>32000</v>
      </c>
      <c r="GE108" s="1273"/>
      <c r="GF108" s="1272">
        <f>GD108+GF107</f>
        <v>32000</v>
      </c>
      <c r="GG108" s="1273"/>
      <c r="GH108" s="1272">
        <f>GF108+GH107</f>
        <v>32000</v>
      </c>
      <c r="GI108" s="1273"/>
      <c r="GJ108" s="1272">
        <f>GH108+GJ107</f>
        <v>32000</v>
      </c>
      <c r="GK108" s="1273"/>
      <c r="GL108" s="1272">
        <f>GJ108+GL107</f>
        <v>32000</v>
      </c>
      <c r="GM108" s="1273"/>
      <c r="GN108" s="1272">
        <f>GL108+GN107</f>
        <v>32000</v>
      </c>
      <c r="GO108" s="1273"/>
      <c r="GP108" s="1272">
        <f>GN108+GP107</f>
        <v>32000</v>
      </c>
      <c r="GQ108" s="1273"/>
      <c r="GR108" s="1272">
        <f>GP108+GR107</f>
        <v>32000</v>
      </c>
      <c r="GS108" s="1273"/>
      <c r="GT108" s="1272">
        <f>GR108+GT107</f>
        <v>32000</v>
      </c>
      <c r="GU108" s="1273"/>
      <c r="GV108" s="1272">
        <f>GT108+GV107</f>
        <v>32000</v>
      </c>
      <c r="GW108" s="1273"/>
      <c r="GX108" s="1272">
        <f>GV108+GX107</f>
        <v>32000</v>
      </c>
      <c r="GY108" s="1273"/>
      <c r="GZ108" s="1272">
        <f>GX108+GZ107</f>
        <v>32000</v>
      </c>
      <c r="HA108" s="1273"/>
      <c r="HB108" s="1272">
        <f>GZ108+HB107</f>
        <v>32000</v>
      </c>
      <c r="HC108" s="1273"/>
      <c r="HD108" s="1272">
        <f>HB108+HD107</f>
        <v>32000</v>
      </c>
      <c r="HE108" s="1273"/>
      <c r="HF108" s="1272">
        <f>HD108+HF107</f>
        <v>32000</v>
      </c>
      <c r="HG108" s="1273"/>
      <c r="HH108" s="1272">
        <f>HF108+HH107</f>
        <v>32000</v>
      </c>
      <c r="HI108" s="1273"/>
      <c r="HJ108" s="1272">
        <f>HH108+HJ107</f>
        <v>32000</v>
      </c>
      <c r="HK108" s="1273"/>
    </row>
    <row r="109" spans="1:219" s="19" customFormat="1">
      <c r="A109" s="1299"/>
      <c r="B109" s="1300"/>
      <c r="C109" s="1299"/>
      <c r="D109" s="1301"/>
      <c r="E109" s="1301"/>
      <c r="F109" s="1302"/>
      <c r="G109" s="1301"/>
      <c r="H109" s="788"/>
      <c r="I109" s="1303"/>
      <c r="J109" s="1304"/>
      <c r="K109" s="789" t="s">
        <v>295</v>
      </c>
      <c r="L109" s="1266"/>
      <c r="M109" s="1267"/>
      <c r="N109" s="1266"/>
      <c r="O109" s="1267"/>
      <c r="P109" s="1266"/>
      <c r="Q109" s="1267"/>
      <c r="R109" s="1266"/>
      <c r="S109" s="1267"/>
      <c r="T109" s="1266"/>
      <c r="U109" s="1267"/>
      <c r="V109" s="1266"/>
      <c r="W109" s="1267"/>
      <c r="X109" s="1266"/>
      <c r="Y109" s="1267"/>
      <c r="Z109" s="1266"/>
      <c r="AA109" s="1267"/>
      <c r="AB109" s="1266"/>
      <c r="AC109" s="1267"/>
      <c r="AD109" s="1266"/>
      <c r="AE109" s="1267"/>
      <c r="AF109" s="1266"/>
      <c r="AG109" s="1267"/>
      <c r="AH109" s="1266"/>
      <c r="AI109" s="1267"/>
      <c r="AJ109" s="1266"/>
      <c r="AK109" s="1267"/>
      <c r="AL109" s="1266"/>
      <c r="AM109" s="1267"/>
      <c r="AN109" s="1266"/>
      <c r="AO109" s="1267"/>
      <c r="AP109" s="1266"/>
      <c r="AQ109" s="1267"/>
      <c r="AR109" s="1266"/>
      <c r="AS109" s="1267"/>
      <c r="AT109" s="1266"/>
      <c r="AU109" s="1267"/>
      <c r="AV109" s="1266"/>
      <c r="AW109" s="1267"/>
      <c r="AX109" s="1266"/>
      <c r="AY109" s="1267"/>
      <c r="AZ109" s="1266"/>
      <c r="BA109" s="1267"/>
      <c r="BB109" s="1266"/>
      <c r="BC109" s="1267"/>
      <c r="BD109" s="1266"/>
      <c r="BE109" s="1267"/>
      <c r="BF109" s="1266"/>
      <c r="BG109" s="1267"/>
      <c r="BH109" s="1266"/>
      <c r="BI109" s="1267"/>
      <c r="BJ109" s="1266"/>
      <c r="BK109" s="1267"/>
      <c r="BL109" s="1266"/>
      <c r="BM109" s="1267"/>
      <c r="BN109" s="1266"/>
      <c r="BO109" s="1267"/>
      <c r="BP109" s="1266"/>
      <c r="BQ109" s="1267"/>
      <c r="BR109" s="1266"/>
      <c r="BS109" s="1267"/>
      <c r="BT109" s="1266"/>
      <c r="BU109" s="1267"/>
      <c r="BV109" s="1266"/>
      <c r="BW109" s="1267"/>
      <c r="BX109" s="1266"/>
      <c r="BY109" s="1267"/>
      <c r="BZ109" s="1266"/>
      <c r="CA109" s="1267"/>
      <c r="CB109" s="1266"/>
      <c r="CC109" s="1267"/>
      <c r="CD109" s="1266"/>
      <c r="CE109" s="1267"/>
      <c r="CF109" s="1266"/>
      <c r="CG109" s="1267"/>
      <c r="CH109" s="1266"/>
      <c r="CI109" s="1267"/>
      <c r="CJ109" s="1266"/>
      <c r="CK109" s="1267"/>
      <c r="CL109" s="1266"/>
      <c r="CM109" s="1267"/>
      <c r="CN109" s="1266"/>
      <c r="CO109" s="1267"/>
      <c r="CP109" s="1266"/>
      <c r="CQ109" s="1267"/>
      <c r="CR109" s="1266"/>
      <c r="CS109" s="1267"/>
      <c r="CT109" s="1266"/>
      <c r="CU109" s="1267"/>
      <c r="CV109" s="1266"/>
      <c r="CW109" s="1267"/>
      <c r="CX109" s="1266"/>
      <c r="CY109" s="1267"/>
      <c r="CZ109" s="1266"/>
      <c r="DA109" s="1267"/>
      <c r="DB109" s="1266"/>
      <c r="DC109" s="1267"/>
      <c r="DD109" s="1266"/>
      <c r="DE109" s="1267"/>
      <c r="DF109" s="1266"/>
      <c r="DG109" s="1267"/>
      <c r="DH109" s="1266"/>
      <c r="DI109" s="1267"/>
      <c r="DJ109" s="1268"/>
      <c r="DK109" s="1269"/>
      <c r="DL109" s="1266"/>
      <c r="DM109" s="1267"/>
      <c r="DN109" s="1266"/>
      <c r="DO109" s="1267"/>
      <c r="DP109" s="1266"/>
      <c r="DQ109" s="1267"/>
      <c r="DR109" s="1266"/>
      <c r="DS109" s="1267"/>
      <c r="DT109" s="1266"/>
      <c r="DU109" s="1267"/>
      <c r="DV109" s="1266"/>
      <c r="DW109" s="1267"/>
      <c r="DX109" s="1266"/>
      <c r="DY109" s="1267"/>
      <c r="DZ109" s="1266"/>
      <c r="EA109" s="1267"/>
      <c r="EB109" s="1266"/>
      <c r="EC109" s="1267"/>
      <c r="ED109" s="1266"/>
      <c r="EE109" s="1267"/>
      <c r="EF109" s="1266"/>
      <c r="EG109" s="1267"/>
      <c r="EH109" s="1266"/>
      <c r="EI109" s="1267"/>
      <c r="EJ109" s="1266"/>
      <c r="EK109" s="1267"/>
      <c r="EL109" s="1266"/>
      <c r="EM109" s="1267"/>
      <c r="EN109" s="1266"/>
      <c r="EO109" s="1267"/>
      <c r="EP109" s="1266"/>
      <c r="EQ109" s="1267"/>
      <c r="ER109" s="1266"/>
      <c r="ES109" s="1267"/>
      <c r="ET109" s="1266"/>
      <c r="EU109" s="1267"/>
      <c r="EV109" s="1266"/>
      <c r="EW109" s="1267"/>
      <c r="EX109" s="1266"/>
      <c r="EY109" s="1267"/>
      <c r="EZ109" s="1266"/>
      <c r="FA109" s="1267"/>
      <c r="FB109" s="1266"/>
      <c r="FC109" s="1267"/>
      <c r="FD109" s="1266"/>
      <c r="FE109" s="1267"/>
      <c r="FF109" s="1266"/>
      <c r="FG109" s="1267"/>
      <c r="FH109" s="1266"/>
      <c r="FI109" s="1267"/>
      <c r="FJ109" s="1266"/>
      <c r="FK109" s="1267"/>
      <c r="FL109" s="1266"/>
      <c r="FM109" s="1267"/>
      <c r="FN109" s="1266"/>
      <c r="FO109" s="1267"/>
      <c r="FP109" s="1266"/>
      <c r="FQ109" s="1267"/>
      <c r="FR109" s="1266"/>
      <c r="FS109" s="1267"/>
      <c r="FT109" s="1266"/>
      <c r="FU109" s="1267"/>
      <c r="FV109" s="1266"/>
      <c r="FW109" s="1267"/>
      <c r="FX109" s="1266"/>
      <c r="FY109" s="1267"/>
      <c r="FZ109" s="1266"/>
      <c r="GA109" s="1267"/>
      <c r="GB109" s="1266"/>
      <c r="GC109" s="1267"/>
      <c r="GD109" s="1266"/>
      <c r="GE109" s="1267"/>
      <c r="GF109" s="1266"/>
      <c r="GG109" s="1267"/>
      <c r="GH109" s="1266"/>
      <c r="GI109" s="1267"/>
      <c r="GJ109" s="1266"/>
      <c r="GK109" s="1267"/>
      <c r="GL109" s="1266"/>
      <c r="GM109" s="1267"/>
      <c r="GN109" s="1266"/>
      <c r="GO109" s="1267"/>
      <c r="GP109" s="1266"/>
      <c r="GQ109" s="1267"/>
      <c r="GR109" s="1266"/>
      <c r="GS109" s="1267"/>
      <c r="GT109" s="1266"/>
      <c r="GU109" s="1267"/>
      <c r="GV109" s="1266"/>
      <c r="GW109" s="1267"/>
      <c r="GX109" s="1266"/>
      <c r="GY109" s="1267"/>
      <c r="GZ109" s="1266"/>
      <c r="HA109" s="1267"/>
      <c r="HB109" s="1266"/>
      <c r="HC109" s="1267"/>
      <c r="HD109" s="1266"/>
      <c r="HE109" s="1267"/>
      <c r="HF109" s="1266"/>
      <c r="HG109" s="1267"/>
      <c r="HH109" s="1266"/>
      <c r="HI109" s="1267"/>
      <c r="HJ109" s="1266"/>
      <c r="HK109" s="1267"/>
    </row>
    <row r="110" spans="1:219" s="20" customFormat="1">
      <c r="A110" s="1299"/>
      <c r="B110" s="1300"/>
      <c r="C110" s="1299"/>
      <c r="D110" s="1301"/>
      <c r="E110" s="1301"/>
      <c r="F110" s="1302"/>
      <c r="G110" s="1301"/>
      <c r="H110" s="790"/>
      <c r="I110" s="1303"/>
      <c r="J110" s="1304"/>
      <c r="K110" s="791" t="s">
        <v>296</v>
      </c>
      <c r="L110" s="1259">
        <f>L109</f>
        <v>0</v>
      </c>
      <c r="M110" s="1260"/>
      <c r="N110" s="1259">
        <f>N109+L110</f>
        <v>0</v>
      </c>
      <c r="O110" s="1260"/>
      <c r="P110" s="1259">
        <f>P109+N110</f>
        <v>0</v>
      </c>
      <c r="Q110" s="1260"/>
      <c r="R110" s="1259">
        <f>R109+P110</f>
        <v>0</v>
      </c>
      <c r="S110" s="1260"/>
      <c r="T110" s="1259">
        <f>T109+R110</f>
        <v>0</v>
      </c>
      <c r="U110" s="1260"/>
      <c r="V110" s="1259">
        <f>V109+T110</f>
        <v>0</v>
      </c>
      <c r="W110" s="1260"/>
      <c r="X110" s="1259">
        <f>X109+V110</f>
        <v>0</v>
      </c>
      <c r="Y110" s="1260"/>
      <c r="Z110" s="1259">
        <f>Z109+X110</f>
        <v>0</v>
      </c>
      <c r="AA110" s="1260"/>
      <c r="AB110" s="1259">
        <f>AB109+Z110</f>
        <v>0</v>
      </c>
      <c r="AC110" s="1260"/>
      <c r="AD110" s="1259">
        <f>AD109+AB110</f>
        <v>0</v>
      </c>
      <c r="AE110" s="1260"/>
      <c r="AF110" s="1259">
        <f>AF109+AD110</f>
        <v>0</v>
      </c>
      <c r="AG110" s="1260"/>
      <c r="AH110" s="1259">
        <f>AH109+AF110</f>
        <v>0</v>
      </c>
      <c r="AI110" s="1260"/>
      <c r="AJ110" s="1259">
        <f>AJ109+AH110</f>
        <v>0</v>
      </c>
      <c r="AK110" s="1260"/>
      <c r="AL110" s="1259">
        <f>AL109+AJ110</f>
        <v>0</v>
      </c>
      <c r="AM110" s="1260"/>
      <c r="AN110" s="1259">
        <f>AN109+AL110</f>
        <v>0</v>
      </c>
      <c r="AO110" s="1260"/>
      <c r="AP110" s="1259">
        <f>AP109+AN110</f>
        <v>0</v>
      </c>
      <c r="AQ110" s="1260"/>
      <c r="AR110" s="1259">
        <f>AR109+AP110</f>
        <v>0</v>
      </c>
      <c r="AS110" s="1260"/>
      <c r="AT110" s="1259">
        <f>AT109+AR110</f>
        <v>0</v>
      </c>
      <c r="AU110" s="1260"/>
      <c r="AV110" s="1259">
        <f>AV109+AT110</f>
        <v>0</v>
      </c>
      <c r="AW110" s="1260"/>
      <c r="AX110" s="1259">
        <f>AX109+AV110</f>
        <v>0</v>
      </c>
      <c r="AY110" s="1260"/>
      <c r="AZ110" s="1259">
        <f>AZ109+AX110</f>
        <v>0</v>
      </c>
      <c r="BA110" s="1260"/>
      <c r="BB110" s="1259">
        <f>BB109+AZ110</f>
        <v>0</v>
      </c>
      <c r="BC110" s="1260"/>
      <c r="BD110" s="1259">
        <f>BD109+BB110</f>
        <v>0</v>
      </c>
      <c r="BE110" s="1260"/>
      <c r="BF110" s="1259">
        <f>BF109+BD110</f>
        <v>0</v>
      </c>
      <c r="BG110" s="1260"/>
      <c r="BH110" s="1259">
        <f>BH109+BF110</f>
        <v>0</v>
      </c>
      <c r="BI110" s="1260"/>
      <c r="BJ110" s="1259">
        <f>BJ109+BH110</f>
        <v>0</v>
      </c>
      <c r="BK110" s="1260"/>
      <c r="BL110" s="1259">
        <f>BL109+BJ110</f>
        <v>0</v>
      </c>
      <c r="BM110" s="1260"/>
      <c r="BN110" s="1259">
        <f>BN109+BL110</f>
        <v>0</v>
      </c>
      <c r="BO110" s="1260"/>
      <c r="BP110" s="1259">
        <f>BP109+BN110</f>
        <v>0</v>
      </c>
      <c r="BQ110" s="1260"/>
      <c r="BR110" s="1259">
        <f>BR109+BP110</f>
        <v>0</v>
      </c>
      <c r="BS110" s="1260"/>
      <c r="BT110" s="1259">
        <f>BT109+BR110</f>
        <v>0</v>
      </c>
      <c r="BU110" s="1260"/>
      <c r="BV110" s="1259">
        <f>BV109+BT110</f>
        <v>0</v>
      </c>
      <c r="BW110" s="1260"/>
      <c r="BX110" s="1259">
        <f>BX109+BV110</f>
        <v>0</v>
      </c>
      <c r="BY110" s="1260"/>
      <c r="BZ110" s="1259">
        <f>BZ109+BX110</f>
        <v>0</v>
      </c>
      <c r="CA110" s="1260"/>
      <c r="CB110" s="1259">
        <f>CB109+BZ110</f>
        <v>0</v>
      </c>
      <c r="CC110" s="1260"/>
      <c r="CD110" s="1259">
        <f>CD109+CB110</f>
        <v>0</v>
      </c>
      <c r="CE110" s="1260"/>
      <c r="CF110" s="1259">
        <f>CF109+CD110</f>
        <v>0</v>
      </c>
      <c r="CG110" s="1260"/>
      <c r="CH110" s="1259">
        <f>CH109+CF110</f>
        <v>0</v>
      </c>
      <c r="CI110" s="1260"/>
      <c r="CJ110" s="1259">
        <f>CJ109+CH110</f>
        <v>0</v>
      </c>
      <c r="CK110" s="1260"/>
      <c r="CL110" s="1259">
        <f>CL109+CJ110</f>
        <v>0</v>
      </c>
      <c r="CM110" s="1260"/>
      <c r="CN110" s="1259">
        <f>CN109+CL110</f>
        <v>0</v>
      </c>
      <c r="CO110" s="1260"/>
      <c r="CP110" s="1259">
        <f>CP109+CN110</f>
        <v>0</v>
      </c>
      <c r="CQ110" s="1260"/>
      <c r="CR110" s="1259">
        <f>CR109+CP110</f>
        <v>0</v>
      </c>
      <c r="CS110" s="1260"/>
      <c r="CT110" s="1259">
        <f>CT109+CR110</f>
        <v>0</v>
      </c>
      <c r="CU110" s="1260"/>
      <c r="CV110" s="1259">
        <f>CV109+CT110</f>
        <v>0</v>
      </c>
      <c r="CW110" s="1260"/>
      <c r="CX110" s="1259">
        <f>CX109+CV110</f>
        <v>0</v>
      </c>
      <c r="CY110" s="1260"/>
      <c r="CZ110" s="1259">
        <f>CZ109+CX110</f>
        <v>0</v>
      </c>
      <c r="DA110" s="1260"/>
      <c r="DB110" s="1259">
        <f>DB109+CZ110</f>
        <v>0</v>
      </c>
      <c r="DC110" s="1260"/>
      <c r="DD110" s="1259">
        <f>DD109+DB110</f>
        <v>0</v>
      </c>
      <c r="DE110" s="1260"/>
      <c r="DF110" s="1259">
        <f>DF109+DD110</f>
        <v>0</v>
      </c>
      <c r="DG110" s="1260"/>
      <c r="DH110" s="1259">
        <f>DH109+DF110</f>
        <v>0</v>
      </c>
      <c r="DI110" s="1260"/>
      <c r="DJ110" s="1261">
        <f>DJ109+DH110</f>
        <v>0</v>
      </c>
      <c r="DK110" s="1262"/>
      <c r="DL110" s="1259">
        <f>DL109+DJ110</f>
        <v>0</v>
      </c>
      <c r="DM110" s="1260"/>
      <c r="DN110" s="1259">
        <f>DN109+DL110</f>
        <v>0</v>
      </c>
      <c r="DO110" s="1260"/>
      <c r="DP110" s="1259">
        <f>DP109+DN110</f>
        <v>0</v>
      </c>
      <c r="DQ110" s="1260"/>
      <c r="DR110" s="1259">
        <f>DR109+DP110</f>
        <v>0</v>
      </c>
      <c r="DS110" s="1260"/>
      <c r="DT110" s="1259">
        <f>DT109+DR110</f>
        <v>0</v>
      </c>
      <c r="DU110" s="1260"/>
      <c r="DV110" s="1259">
        <f>DV109+DT110</f>
        <v>0</v>
      </c>
      <c r="DW110" s="1260"/>
      <c r="DX110" s="1259">
        <f>DX109+DV110</f>
        <v>0</v>
      </c>
      <c r="DY110" s="1260"/>
      <c r="DZ110" s="1259">
        <f>DZ109+DX110</f>
        <v>0</v>
      </c>
      <c r="EA110" s="1260"/>
      <c r="EB110" s="1259">
        <f>EB109+DZ110</f>
        <v>0</v>
      </c>
      <c r="EC110" s="1260"/>
      <c r="ED110" s="1259">
        <f>ED109+EB110</f>
        <v>0</v>
      </c>
      <c r="EE110" s="1260"/>
      <c r="EF110" s="1259">
        <f>EF109+ED110</f>
        <v>0</v>
      </c>
      <c r="EG110" s="1260"/>
      <c r="EH110" s="1259">
        <f>EH109+EF110</f>
        <v>0</v>
      </c>
      <c r="EI110" s="1260"/>
      <c r="EJ110" s="1259">
        <f>EJ109+EH110</f>
        <v>0</v>
      </c>
      <c r="EK110" s="1260"/>
      <c r="EL110" s="1259">
        <f>EL109+EJ110</f>
        <v>0</v>
      </c>
      <c r="EM110" s="1260"/>
      <c r="EN110" s="1259">
        <f>EN109+EL110</f>
        <v>0</v>
      </c>
      <c r="EO110" s="1260"/>
      <c r="EP110" s="1259">
        <f>EP109+EN110</f>
        <v>0</v>
      </c>
      <c r="EQ110" s="1260"/>
      <c r="ER110" s="1259">
        <f>ER109+EP110</f>
        <v>0</v>
      </c>
      <c r="ES110" s="1260"/>
      <c r="ET110" s="1259">
        <f>ET109+ER110</f>
        <v>0</v>
      </c>
      <c r="EU110" s="1260"/>
      <c r="EV110" s="1259">
        <f>EV109+ET110</f>
        <v>0</v>
      </c>
      <c r="EW110" s="1260"/>
      <c r="EX110" s="1259">
        <f>EX109+EV110</f>
        <v>0</v>
      </c>
      <c r="EY110" s="1260"/>
      <c r="EZ110" s="1259">
        <f>EZ109+EX110</f>
        <v>0</v>
      </c>
      <c r="FA110" s="1260"/>
      <c r="FB110" s="1259">
        <f>FB109+EZ110</f>
        <v>0</v>
      </c>
      <c r="FC110" s="1260"/>
      <c r="FD110" s="1259">
        <f>FD109+FB110</f>
        <v>0</v>
      </c>
      <c r="FE110" s="1260"/>
      <c r="FF110" s="1259">
        <f>FF109+FD110</f>
        <v>0</v>
      </c>
      <c r="FG110" s="1260"/>
      <c r="FH110" s="1259">
        <f>FH109+FF110</f>
        <v>0</v>
      </c>
      <c r="FI110" s="1260"/>
      <c r="FJ110" s="1259">
        <f>FJ109+FH110</f>
        <v>0</v>
      </c>
      <c r="FK110" s="1260"/>
      <c r="FL110" s="1259">
        <f>FL109+FJ110</f>
        <v>0</v>
      </c>
      <c r="FM110" s="1260"/>
      <c r="FN110" s="1259">
        <f>FN109+FL110</f>
        <v>0</v>
      </c>
      <c r="FO110" s="1260"/>
      <c r="FP110" s="1259">
        <f>FP109+FN110</f>
        <v>0</v>
      </c>
      <c r="FQ110" s="1260"/>
      <c r="FR110" s="1259">
        <f>FR109+FP110</f>
        <v>0</v>
      </c>
      <c r="FS110" s="1260"/>
      <c r="FT110" s="1259">
        <f>FT109+FR110</f>
        <v>0</v>
      </c>
      <c r="FU110" s="1260"/>
      <c r="FV110" s="1259">
        <f>FV109+FT110</f>
        <v>0</v>
      </c>
      <c r="FW110" s="1260"/>
      <c r="FX110" s="1259">
        <f>FX109+FV110</f>
        <v>0</v>
      </c>
      <c r="FY110" s="1260"/>
      <c r="FZ110" s="1259">
        <f>FZ109+FX110</f>
        <v>0</v>
      </c>
      <c r="GA110" s="1260"/>
      <c r="GB110" s="1259">
        <f>GB109+FZ110</f>
        <v>0</v>
      </c>
      <c r="GC110" s="1260"/>
      <c r="GD110" s="1259">
        <f>GD109+GB110</f>
        <v>0</v>
      </c>
      <c r="GE110" s="1260"/>
      <c r="GF110" s="1259">
        <f>GF109+GD110</f>
        <v>0</v>
      </c>
      <c r="GG110" s="1260"/>
      <c r="GH110" s="1259">
        <f>GH109+GF110</f>
        <v>0</v>
      </c>
      <c r="GI110" s="1260"/>
      <c r="GJ110" s="1259">
        <f>GJ109+GH110</f>
        <v>0</v>
      </c>
      <c r="GK110" s="1260"/>
      <c r="GL110" s="1259">
        <f>GL109+GJ110</f>
        <v>0</v>
      </c>
      <c r="GM110" s="1260"/>
      <c r="GN110" s="1259">
        <f>GN109+GL110</f>
        <v>0</v>
      </c>
      <c r="GO110" s="1260"/>
      <c r="GP110" s="1259">
        <f>GP109+GN110</f>
        <v>0</v>
      </c>
      <c r="GQ110" s="1260"/>
      <c r="GR110" s="1259">
        <f>GR109+GP110</f>
        <v>0</v>
      </c>
      <c r="GS110" s="1260"/>
      <c r="GT110" s="1259">
        <f>GT109+GR110</f>
        <v>0</v>
      </c>
      <c r="GU110" s="1260"/>
      <c r="GV110" s="1259">
        <f>GV109+GT110</f>
        <v>0</v>
      </c>
      <c r="GW110" s="1260"/>
      <c r="GX110" s="1259">
        <f>GX109+GV110</f>
        <v>0</v>
      </c>
      <c r="GY110" s="1260"/>
      <c r="GZ110" s="1259">
        <f>GZ109+GX110</f>
        <v>0</v>
      </c>
      <c r="HA110" s="1260"/>
      <c r="HB110" s="1259">
        <f>HB109+GZ110</f>
        <v>0</v>
      </c>
      <c r="HC110" s="1260"/>
      <c r="HD110" s="1259">
        <f>HD109+HB110</f>
        <v>0</v>
      </c>
      <c r="HE110" s="1260"/>
      <c r="HF110" s="1259">
        <f>HF109+HD110</f>
        <v>0</v>
      </c>
      <c r="HG110" s="1260"/>
      <c r="HH110" s="1259">
        <f>HH109+HF110</f>
        <v>0</v>
      </c>
      <c r="HI110" s="1260"/>
      <c r="HJ110" s="1259">
        <f>HJ109+HH110</f>
        <v>0</v>
      </c>
      <c r="HK110" s="1260"/>
    </row>
    <row r="111" spans="1:219" s="21" customFormat="1">
      <c r="A111" s="1299"/>
      <c r="B111" s="1300"/>
      <c r="C111" s="1299"/>
      <c r="D111" s="1301"/>
      <c r="E111" s="1301"/>
      <c r="F111" s="1302"/>
      <c r="G111" s="1301"/>
      <c r="H111" s="792"/>
      <c r="I111" s="1303"/>
      <c r="J111" s="1304"/>
      <c r="K111" s="793" t="s">
        <v>297</v>
      </c>
      <c r="L111" s="1270">
        <f>IF($E105&gt;0,L108/$E105,"-")</f>
        <v>0</v>
      </c>
      <c r="M111" s="1271"/>
      <c r="N111" s="1270">
        <f>IF($E105&gt;0,N108/$E105,"-")</f>
        <v>0</v>
      </c>
      <c r="O111" s="1271"/>
      <c r="P111" s="1270">
        <f>IF($E105&gt;0,P108/$E105,"-")</f>
        <v>0</v>
      </c>
      <c r="Q111" s="1271"/>
      <c r="R111" s="1270">
        <f>IF($E105&gt;0,R108/$E105,"-")</f>
        <v>0</v>
      </c>
      <c r="S111" s="1271"/>
      <c r="T111" s="1270">
        <f>IF($E105&gt;0,T108/$E105,"-")</f>
        <v>0</v>
      </c>
      <c r="U111" s="1271"/>
      <c r="V111" s="1270">
        <f>IF($E105&gt;0,V108/$E105,"-")</f>
        <v>0</v>
      </c>
      <c r="W111" s="1271"/>
      <c r="X111" s="1270">
        <f>IF($E105&gt;0,X108/$E105,"-")</f>
        <v>0</v>
      </c>
      <c r="Y111" s="1271"/>
      <c r="Z111" s="1270">
        <f>IF($E105&gt;0,Z108/$E105,"-")</f>
        <v>0</v>
      </c>
      <c r="AA111" s="1271"/>
      <c r="AB111" s="1270">
        <f>IF($E105&gt;0,AB108/$E105,"-")</f>
        <v>0</v>
      </c>
      <c r="AC111" s="1271"/>
      <c r="AD111" s="1270">
        <f>IF($E105&gt;0,AD108/$E105,"-")</f>
        <v>0</v>
      </c>
      <c r="AE111" s="1271"/>
      <c r="AF111" s="1270">
        <f>IF($E105&gt;0,AF108/$E105,"-")</f>
        <v>0</v>
      </c>
      <c r="AG111" s="1271"/>
      <c r="AH111" s="1270">
        <f>IF($E105&gt;0,AH108/$E105,"-")</f>
        <v>0</v>
      </c>
      <c r="AI111" s="1271"/>
      <c r="AJ111" s="1270">
        <f>IF($E105&gt;0,AJ108/$E105,"-")</f>
        <v>0</v>
      </c>
      <c r="AK111" s="1271"/>
      <c r="AL111" s="1270">
        <f>IF($E105&gt;0,AL108/$E105,"-")</f>
        <v>0</v>
      </c>
      <c r="AM111" s="1271"/>
      <c r="AN111" s="1270">
        <f>IF($E105&gt;0,AN108/$E105,"-")</f>
        <v>0</v>
      </c>
      <c r="AO111" s="1271"/>
      <c r="AP111" s="1270">
        <f>IF($E105&gt;0,AP108/$E105,"-")</f>
        <v>0</v>
      </c>
      <c r="AQ111" s="1271"/>
      <c r="AR111" s="1270">
        <f>IF($E105&gt;0,AR108/$E105,"-")</f>
        <v>0</v>
      </c>
      <c r="AS111" s="1271"/>
      <c r="AT111" s="1270">
        <f>IF($E105&gt;0,AT108/$E105,"-")</f>
        <v>0</v>
      </c>
      <c r="AU111" s="1271"/>
      <c r="AV111" s="1270">
        <f>IF($E105&gt;0,AV108/$E105,"-")</f>
        <v>0</v>
      </c>
      <c r="AW111" s="1271"/>
      <c r="AX111" s="1270">
        <f>IF($E105&gt;0,AX108/$E105,"-")</f>
        <v>0</v>
      </c>
      <c r="AY111" s="1271"/>
      <c r="AZ111" s="1270">
        <f>IF($E105&gt;0,AZ108/$E105,"-")</f>
        <v>0</v>
      </c>
      <c r="BA111" s="1271"/>
      <c r="BB111" s="1270">
        <f>IF($E105&gt;0,BB108/$E105,"-")</f>
        <v>0</v>
      </c>
      <c r="BC111" s="1271"/>
      <c r="BD111" s="1270">
        <f>IF($E105&gt;0,BD108/$E105,"-")</f>
        <v>0</v>
      </c>
      <c r="BE111" s="1271"/>
      <c r="BF111" s="1270">
        <f>IF($E105&gt;0,BF108/$E105,"-")</f>
        <v>0</v>
      </c>
      <c r="BG111" s="1271"/>
      <c r="BH111" s="1270">
        <f>IF($E105&gt;0,BH108/$E105,"-")</f>
        <v>0</v>
      </c>
      <c r="BI111" s="1271"/>
      <c r="BJ111" s="1270">
        <f>IF($E105&gt;0,BJ108/$E105,"-")</f>
        <v>0</v>
      </c>
      <c r="BK111" s="1271"/>
      <c r="BL111" s="1270">
        <f>IF($E105&gt;0,BL108/$E105,"-")</f>
        <v>0</v>
      </c>
      <c r="BM111" s="1271"/>
      <c r="BN111" s="1270">
        <f>IF($E105&gt;0,BN108/$E105,"-")</f>
        <v>0</v>
      </c>
      <c r="BO111" s="1271"/>
      <c r="BP111" s="1270">
        <f>IF($E105&gt;0,BP108/$E105,"-")</f>
        <v>0</v>
      </c>
      <c r="BQ111" s="1271"/>
      <c r="BR111" s="1270">
        <f>IF($E105&gt;0,BR108/$E105,"-")</f>
        <v>0</v>
      </c>
      <c r="BS111" s="1271"/>
      <c r="BT111" s="1270">
        <f>IF($E105&gt;0,BT108/$E105,"-")</f>
        <v>0.15948387096774191</v>
      </c>
      <c r="BU111" s="1271"/>
      <c r="BV111" s="1270">
        <f>IF($E105&gt;0,BV108/$E105,"-")</f>
        <v>0.39870967741935481</v>
      </c>
      <c r="BW111" s="1271"/>
      <c r="BX111" s="1270">
        <f>IF($E105&gt;0,BX108/$E105,"-")</f>
        <v>0.63793548387096766</v>
      </c>
      <c r="BY111" s="1271"/>
      <c r="BZ111" s="1270">
        <f>IF($E105&gt;0,BZ108/$E105,"-")</f>
        <v>0.87716129032258061</v>
      </c>
      <c r="CA111" s="1271"/>
      <c r="CB111" s="1270">
        <f>IF($E105&gt;0,CB108/$E105,"-")</f>
        <v>1</v>
      </c>
      <c r="CC111" s="1271"/>
      <c r="CD111" s="1270">
        <f>IF($E105&gt;0,CD108/$E105,"-")</f>
        <v>1</v>
      </c>
      <c r="CE111" s="1271"/>
      <c r="CF111" s="1270">
        <f>IF($E105&gt;0,CF108/$E105,"-")</f>
        <v>1</v>
      </c>
      <c r="CG111" s="1271"/>
      <c r="CH111" s="1270">
        <f>IF($E105&gt;0,CH108/$E105,"-")</f>
        <v>1</v>
      </c>
      <c r="CI111" s="1271"/>
      <c r="CJ111" s="1270">
        <f>IF($E105&gt;0,CJ108/$E105,"-")</f>
        <v>1</v>
      </c>
      <c r="CK111" s="1271"/>
      <c r="CL111" s="1270">
        <f>IF($E105&gt;0,CL108/$E105,"-")</f>
        <v>1</v>
      </c>
      <c r="CM111" s="1271"/>
      <c r="CN111" s="1270">
        <f>IF($E105&gt;0,CN108/$E105,"-")</f>
        <v>1</v>
      </c>
      <c r="CO111" s="1271"/>
      <c r="CP111" s="1270">
        <f>IF($E105&gt;0,CP108/$E105,"-")</f>
        <v>1</v>
      </c>
      <c r="CQ111" s="1271"/>
      <c r="CR111" s="1270">
        <f>IF($E105&gt;0,CR108/$E105,"-")</f>
        <v>1</v>
      </c>
      <c r="CS111" s="1271"/>
      <c r="CT111" s="1270">
        <f>IF($E105&gt;0,CT108/$E105,"-")</f>
        <v>1</v>
      </c>
      <c r="CU111" s="1271"/>
      <c r="CV111" s="1270">
        <f>IF($E105&gt;0,CV108/$E105,"-")</f>
        <v>1</v>
      </c>
      <c r="CW111" s="1271"/>
      <c r="CX111" s="1270">
        <f>IF($E105&gt;0,CX108/$E105,"-")</f>
        <v>1</v>
      </c>
      <c r="CY111" s="1271"/>
      <c r="CZ111" s="1270">
        <f>IF($E105&gt;0,CZ108/$E105,"-")</f>
        <v>1</v>
      </c>
      <c r="DA111" s="1271"/>
      <c r="DB111" s="1270">
        <f>IF($E105&gt;0,DB108/$E105,"-")</f>
        <v>1</v>
      </c>
      <c r="DC111" s="1271"/>
      <c r="DD111" s="1270">
        <f>IF($E105&gt;0,DD108/$E105,"-")</f>
        <v>1</v>
      </c>
      <c r="DE111" s="1271"/>
      <c r="DF111" s="1270">
        <f>IF($E105&gt;0,DF108/$E105,"-")</f>
        <v>1</v>
      </c>
      <c r="DG111" s="1271"/>
      <c r="DH111" s="1270">
        <f>IF($E105&gt;0,DH108/$E105,"-")</f>
        <v>1</v>
      </c>
      <c r="DI111" s="1271"/>
      <c r="DJ111" s="1325">
        <f>IF($E105&gt;0,DJ108/$E105,"-")</f>
        <v>1</v>
      </c>
      <c r="DK111" s="1326"/>
      <c r="DL111" s="1270">
        <f>IF($E105&gt;0,DL108/$E105,"-")</f>
        <v>1</v>
      </c>
      <c r="DM111" s="1271"/>
      <c r="DN111" s="1270">
        <f>IF($E105&gt;0,DN108/$E105,"-")</f>
        <v>1</v>
      </c>
      <c r="DO111" s="1271"/>
      <c r="DP111" s="1270">
        <f>IF($E105&gt;0,DP108/$E105,"-")</f>
        <v>1</v>
      </c>
      <c r="DQ111" s="1271"/>
      <c r="DR111" s="1270">
        <f>IF($E105&gt;0,DR108/$E105,"-")</f>
        <v>1</v>
      </c>
      <c r="DS111" s="1271"/>
      <c r="DT111" s="1270">
        <f>IF($E105&gt;0,DT108/$E105,"-")</f>
        <v>1</v>
      </c>
      <c r="DU111" s="1271"/>
      <c r="DV111" s="1270">
        <f>IF($E105&gt;0,DV108/$E105,"-")</f>
        <v>1</v>
      </c>
      <c r="DW111" s="1271"/>
      <c r="DX111" s="1270">
        <f>IF($E105&gt;0,DX108/$E105,"-")</f>
        <v>1</v>
      </c>
      <c r="DY111" s="1271"/>
      <c r="DZ111" s="1270">
        <f>IF($E105&gt;0,DZ108/$E105,"-")</f>
        <v>1</v>
      </c>
      <c r="EA111" s="1271"/>
      <c r="EB111" s="1270">
        <f>IF($E105&gt;0,EB108/$E105,"-")</f>
        <v>1</v>
      </c>
      <c r="EC111" s="1271"/>
      <c r="ED111" s="1270">
        <f>IF($E105&gt;0,ED108/$E105,"-")</f>
        <v>1</v>
      </c>
      <c r="EE111" s="1271"/>
      <c r="EF111" s="1270">
        <f>IF($E105&gt;0,EF108/$E105,"-")</f>
        <v>1</v>
      </c>
      <c r="EG111" s="1271"/>
      <c r="EH111" s="1270">
        <f>IF($E105&gt;0,EH108/$E105,"-")</f>
        <v>1</v>
      </c>
      <c r="EI111" s="1271"/>
      <c r="EJ111" s="1270">
        <f>IF($E105&gt;0,EJ108/$E105,"-")</f>
        <v>1</v>
      </c>
      <c r="EK111" s="1271"/>
      <c r="EL111" s="1270">
        <f>IF($E105&gt;0,EL108/$E105,"-")</f>
        <v>1</v>
      </c>
      <c r="EM111" s="1271"/>
      <c r="EN111" s="1270">
        <f>IF($E105&gt;0,EN108/$E105,"-")</f>
        <v>1</v>
      </c>
      <c r="EO111" s="1271"/>
      <c r="EP111" s="1270">
        <f>IF($E105&gt;0,EP108/$E105,"-")</f>
        <v>1</v>
      </c>
      <c r="EQ111" s="1271"/>
      <c r="ER111" s="1270">
        <f>IF($E105&gt;0,ER108/$E105,"-")</f>
        <v>1</v>
      </c>
      <c r="ES111" s="1271"/>
      <c r="ET111" s="1270">
        <f>IF($E105&gt;0,ET108/$E105,"-")</f>
        <v>1</v>
      </c>
      <c r="EU111" s="1271"/>
      <c r="EV111" s="1270">
        <f>IF($E105&gt;0,EV108/$E105,"-")</f>
        <v>1</v>
      </c>
      <c r="EW111" s="1271"/>
      <c r="EX111" s="1270">
        <f>IF($E105&gt;0,EX108/$E105,"-")</f>
        <v>1</v>
      </c>
      <c r="EY111" s="1271"/>
      <c r="EZ111" s="1270">
        <f>IF($E105&gt;0,EZ108/$E105,"-")</f>
        <v>1</v>
      </c>
      <c r="FA111" s="1271"/>
      <c r="FB111" s="1270">
        <f>IF($E105&gt;0,FB108/$E105,"-")</f>
        <v>1</v>
      </c>
      <c r="FC111" s="1271"/>
      <c r="FD111" s="1270">
        <f>IF($E105&gt;0,FD108/$E105,"-")</f>
        <v>1</v>
      </c>
      <c r="FE111" s="1271"/>
      <c r="FF111" s="1270">
        <f>IF($E105&gt;0,FF108/$E105,"-")</f>
        <v>1</v>
      </c>
      <c r="FG111" s="1271"/>
      <c r="FH111" s="1270">
        <f>IF($E105&gt;0,FH108/$E105,"-")</f>
        <v>1</v>
      </c>
      <c r="FI111" s="1271"/>
      <c r="FJ111" s="1270">
        <f>IF($E105&gt;0,FJ108/$E105,"-")</f>
        <v>1</v>
      </c>
      <c r="FK111" s="1271"/>
      <c r="FL111" s="1270">
        <f>IF($E105&gt;0,FL108/$E105,"-")</f>
        <v>1</v>
      </c>
      <c r="FM111" s="1271"/>
      <c r="FN111" s="1270">
        <f>IF($E105&gt;0,FN108/$E105,"-")</f>
        <v>1</v>
      </c>
      <c r="FO111" s="1271"/>
      <c r="FP111" s="1270">
        <f>IF($E105&gt;0,FP108/$E105,"-")</f>
        <v>1</v>
      </c>
      <c r="FQ111" s="1271"/>
      <c r="FR111" s="1270">
        <f>IF($E105&gt;0,FR108/$E105,"-")</f>
        <v>1</v>
      </c>
      <c r="FS111" s="1271"/>
      <c r="FT111" s="1270">
        <f>IF($E105&gt;0,FT108/$E105,"-")</f>
        <v>1</v>
      </c>
      <c r="FU111" s="1271"/>
      <c r="FV111" s="1270">
        <f>IF($E105&gt;0,FV108/$E105,"-")</f>
        <v>1</v>
      </c>
      <c r="FW111" s="1271"/>
      <c r="FX111" s="1270">
        <f>IF($E105&gt;0,FX108/$E105,"-")</f>
        <v>1</v>
      </c>
      <c r="FY111" s="1271"/>
      <c r="FZ111" s="1270">
        <f>IF($E105&gt;0,FZ108/$E105,"-")</f>
        <v>1</v>
      </c>
      <c r="GA111" s="1271"/>
      <c r="GB111" s="1270">
        <f>IF($E105&gt;0,GB108/$E105,"-")</f>
        <v>1</v>
      </c>
      <c r="GC111" s="1271"/>
      <c r="GD111" s="1270">
        <f>IF($E105&gt;0,GD108/$E105,"-")</f>
        <v>1</v>
      </c>
      <c r="GE111" s="1271"/>
      <c r="GF111" s="1270">
        <f>IF($E105&gt;0,GF108/$E105,"-")</f>
        <v>1</v>
      </c>
      <c r="GG111" s="1271"/>
      <c r="GH111" s="1270">
        <f>IF($E105&gt;0,GH108/$E105,"-")</f>
        <v>1</v>
      </c>
      <c r="GI111" s="1271"/>
      <c r="GJ111" s="1270">
        <f>IF($E105&gt;0,GJ108/$E105,"-")</f>
        <v>1</v>
      </c>
      <c r="GK111" s="1271"/>
      <c r="GL111" s="1270">
        <f>IF($E105&gt;0,GL108/$E105,"-")</f>
        <v>1</v>
      </c>
      <c r="GM111" s="1271"/>
      <c r="GN111" s="1270">
        <f>IF($E105&gt;0,GN108/$E105,"-")</f>
        <v>1</v>
      </c>
      <c r="GO111" s="1271"/>
      <c r="GP111" s="1270">
        <f>IF($E105&gt;0,GP108/$E105,"-")</f>
        <v>1</v>
      </c>
      <c r="GQ111" s="1271"/>
      <c r="GR111" s="1270">
        <f>IF($E105&gt;0,GR108/$E105,"-")</f>
        <v>1</v>
      </c>
      <c r="GS111" s="1271"/>
      <c r="GT111" s="1270">
        <f>IF($E105&gt;0,GT108/$E105,"-")</f>
        <v>1</v>
      </c>
      <c r="GU111" s="1271"/>
      <c r="GV111" s="1270">
        <f>IF($E105&gt;0,GV108/$E105,"-")</f>
        <v>1</v>
      </c>
      <c r="GW111" s="1271"/>
      <c r="GX111" s="1270">
        <f>IF($E105&gt;0,GX108/$E105,"-")</f>
        <v>1</v>
      </c>
      <c r="GY111" s="1271"/>
      <c r="GZ111" s="1270">
        <f>IF($E105&gt;0,GZ108/$E105,"-")</f>
        <v>1</v>
      </c>
      <c r="HA111" s="1271"/>
      <c r="HB111" s="1270">
        <f>IF($E105&gt;0,HB108/$E105,"-")</f>
        <v>1</v>
      </c>
      <c r="HC111" s="1271"/>
      <c r="HD111" s="1270">
        <f>IF($E105&gt;0,HD108/$E105,"-")</f>
        <v>1</v>
      </c>
      <c r="HE111" s="1271"/>
      <c r="HF111" s="1270">
        <f>IF($E105&gt;0,HF108/$E105,"-")</f>
        <v>1</v>
      </c>
      <c r="HG111" s="1271"/>
      <c r="HH111" s="1270">
        <f>IF($E105&gt;0,HH108/$E105,"-")</f>
        <v>1</v>
      </c>
      <c r="HI111" s="1271"/>
      <c r="HJ111" s="1270">
        <f>IF($E105&gt;0,HJ108/$E105,"-")</f>
        <v>1</v>
      </c>
      <c r="HK111" s="1271"/>
    </row>
    <row r="112" spans="1:219">
      <c r="A112" s="1299"/>
      <c r="B112" s="1300"/>
      <c r="C112" s="1299"/>
      <c r="D112" s="1301"/>
      <c r="E112" s="1301"/>
      <c r="F112" s="1302"/>
      <c r="G112" s="1301"/>
      <c r="H112" s="726"/>
      <c r="I112" s="1303"/>
      <c r="J112" s="1304"/>
      <c r="K112" s="794" t="s">
        <v>298</v>
      </c>
      <c r="L112" s="1294">
        <f>IF($E105&gt;0,L110/$E105,"-")</f>
        <v>0</v>
      </c>
      <c r="M112" s="1295"/>
      <c r="N112" s="1294">
        <f>IF($E105&gt;0,N110/$E105,"-")</f>
        <v>0</v>
      </c>
      <c r="O112" s="1295"/>
      <c r="P112" s="1294">
        <f>IF($E105&gt;0,P110/$E105,"-")</f>
        <v>0</v>
      </c>
      <c r="Q112" s="1295"/>
      <c r="R112" s="1294">
        <f>IF($E105&gt;0,R110/$E105,"-")</f>
        <v>0</v>
      </c>
      <c r="S112" s="1295"/>
      <c r="T112" s="1294">
        <f>IF($E105&gt;0,T110/$E105,"-")</f>
        <v>0</v>
      </c>
      <c r="U112" s="1295"/>
      <c r="V112" s="1294">
        <f>IF($E105&gt;0,V110/$E105,"-")</f>
        <v>0</v>
      </c>
      <c r="W112" s="1295"/>
      <c r="X112" s="1294">
        <f>IF($E105&gt;0,X110/$E105,"-")</f>
        <v>0</v>
      </c>
      <c r="Y112" s="1295"/>
      <c r="Z112" s="1294">
        <f>IF($E105&gt;0,Z110/$E105,"-")</f>
        <v>0</v>
      </c>
      <c r="AA112" s="1295"/>
      <c r="AB112" s="1294">
        <f>IF($E105&gt;0,AB110/$E105,"-")</f>
        <v>0</v>
      </c>
      <c r="AC112" s="1295"/>
      <c r="AD112" s="1294">
        <f>IF($E105&gt;0,AD110/$E105,"-")</f>
        <v>0</v>
      </c>
      <c r="AE112" s="1295"/>
      <c r="AF112" s="1294">
        <f>IF($E105&gt;0,AF110/$E105,"-")</f>
        <v>0</v>
      </c>
      <c r="AG112" s="1295"/>
      <c r="AH112" s="1294">
        <f>IF($E105&gt;0,AH110/$E105,"-")</f>
        <v>0</v>
      </c>
      <c r="AI112" s="1295"/>
      <c r="AJ112" s="1294">
        <f>IF($E105&gt;0,AJ110/$E105,"-")</f>
        <v>0</v>
      </c>
      <c r="AK112" s="1295"/>
      <c r="AL112" s="1294">
        <f>IF($E105&gt;0,AL110/$E105,"-")</f>
        <v>0</v>
      </c>
      <c r="AM112" s="1295"/>
      <c r="AN112" s="1294">
        <f>IF($E105&gt;0,AN110/$E105,"-")</f>
        <v>0</v>
      </c>
      <c r="AO112" s="1295"/>
      <c r="AP112" s="1294">
        <f>IF($E105&gt;0,AP110/$E105,"-")</f>
        <v>0</v>
      </c>
      <c r="AQ112" s="1295"/>
      <c r="AR112" s="1294">
        <f>IF($E105&gt;0,AR110/$E105,"-")</f>
        <v>0</v>
      </c>
      <c r="AS112" s="1295"/>
      <c r="AT112" s="1294">
        <f>IF($E105&gt;0,AT110/$E105,"-")</f>
        <v>0</v>
      </c>
      <c r="AU112" s="1295"/>
      <c r="AV112" s="1294">
        <f>IF($E105&gt;0,AV110/$E105,"-")</f>
        <v>0</v>
      </c>
      <c r="AW112" s="1295"/>
      <c r="AX112" s="1294">
        <f>IF($E105&gt;0,AX110/$E105,"-")</f>
        <v>0</v>
      </c>
      <c r="AY112" s="1295"/>
      <c r="AZ112" s="1294">
        <f>IF($E105&gt;0,AZ110/$E105,"-")</f>
        <v>0</v>
      </c>
      <c r="BA112" s="1295"/>
      <c r="BB112" s="1294">
        <f>IF($E105&gt;0,BB110/$E105,"-")</f>
        <v>0</v>
      </c>
      <c r="BC112" s="1295"/>
      <c r="BD112" s="1294">
        <f>IF($E105&gt;0,BD110/$E105,"-")</f>
        <v>0</v>
      </c>
      <c r="BE112" s="1295"/>
      <c r="BF112" s="1294">
        <f>IF($E105&gt;0,BF110/$E105,"-")</f>
        <v>0</v>
      </c>
      <c r="BG112" s="1295"/>
      <c r="BH112" s="1294">
        <f>IF($E105&gt;0,BH110/$E105,"-")</f>
        <v>0</v>
      </c>
      <c r="BI112" s="1295"/>
      <c r="BJ112" s="1294">
        <f>IF($E105&gt;0,BJ110/$E105,"-")</f>
        <v>0</v>
      </c>
      <c r="BK112" s="1295"/>
      <c r="BL112" s="1294">
        <f>IF($E105&gt;0,BL110/$E105,"-")</f>
        <v>0</v>
      </c>
      <c r="BM112" s="1295"/>
      <c r="BN112" s="1294">
        <f>IF($E105&gt;0,BN110/$E105,"-")</f>
        <v>0</v>
      </c>
      <c r="BO112" s="1295"/>
      <c r="BP112" s="1294">
        <f>IF($E105&gt;0,BP110/$E105,"-")</f>
        <v>0</v>
      </c>
      <c r="BQ112" s="1295"/>
      <c r="BR112" s="1253">
        <f>IF($E105&gt;0,BR110/$E105,"-")</f>
        <v>0</v>
      </c>
      <c r="BS112" s="1253"/>
      <c r="BT112" s="1253">
        <f>IF($E105&gt;0,BT110/$E105,"-")</f>
        <v>0</v>
      </c>
      <c r="BU112" s="1253"/>
      <c r="BV112" s="1253">
        <f>IF($E105&gt;0,BV110/$E105,"-")</f>
        <v>0</v>
      </c>
      <c r="BW112" s="1253"/>
      <c r="BX112" s="1253">
        <f>IF($E105&gt;0,BX110/$E105,"-")</f>
        <v>0</v>
      </c>
      <c r="BY112" s="1253"/>
      <c r="BZ112" s="1253">
        <f>IF($E105&gt;0,BZ110/$E105,"-")</f>
        <v>0</v>
      </c>
      <c r="CA112" s="1253"/>
      <c r="CB112" s="1253">
        <f>IF($E105&gt;0,CB110/$E105,"-")</f>
        <v>0</v>
      </c>
      <c r="CC112" s="1253"/>
      <c r="CD112" s="1253">
        <f>IF($E105&gt;0,CD110/$E105,"-")</f>
        <v>0</v>
      </c>
      <c r="CE112" s="1253"/>
      <c r="CF112" s="1253">
        <f>IF($E105&gt;0,CF110/$E105,"-")</f>
        <v>0</v>
      </c>
      <c r="CG112" s="1253"/>
      <c r="CH112" s="1253">
        <f>IF($E105&gt;0,CH110/$E105,"-")</f>
        <v>0</v>
      </c>
      <c r="CI112" s="1253"/>
      <c r="CJ112" s="1253">
        <f>IF($E105&gt;0,CJ110/$E105,"-")</f>
        <v>0</v>
      </c>
      <c r="CK112" s="1253"/>
      <c r="CL112" s="1253">
        <f>IF($E105&gt;0,CL110/$E105,"-")</f>
        <v>0</v>
      </c>
      <c r="CM112" s="1253"/>
      <c r="CN112" s="1253">
        <f>IF($E105&gt;0,CN110/$E105,"-")</f>
        <v>0</v>
      </c>
      <c r="CO112" s="1253"/>
      <c r="CP112" s="1253">
        <f>IF($E105&gt;0,CP110/$E105,"-")</f>
        <v>0</v>
      </c>
      <c r="CQ112" s="1253"/>
      <c r="CR112" s="1253">
        <f>IF($E105&gt;0,CR110/$E105,"-")</f>
        <v>0</v>
      </c>
      <c r="CS112" s="1253"/>
      <c r="CT112" s="1253">
        <f>IF($E105&gt;0,CT110/$E105,"-")</f>
        <v>0</v>
      </c>
      <c r="CU112" s="1253"/>
      <c r="CV112" s="1253">
        <f>IF($E105&gt;0,CV110/$E105,"-")</f>
        <v>0</v>
      </c>
      <c r="CW112" s="1253"/>
      <c r="CX112" s="1253">
        <f>IF($E105&gt;0,CX110/$E105,"-")</f>
        <v>0</v>
      </c>
      <c r="CY112" s="1253"/>
      <c r="CZ112" s="1253">
        <f>IF($E105&gt;0,CZ110/$E105,"-")</f>
        <v>0</v>
      </c>
      <c r="DA112" s="1253"/>
      <c r="DB112" s="1253">
        <f>IF($E105&gt;0,DB110/$E105,"-")</f>
        <v>0</v>
      </c>
      <c r="DC112" s="1253"/>
      <c r="DD112" s="1253">
        <f>IF($E105&gt;0,DD110/$E105,"-")</f>
        <v>0</v>
      </c>
      <c r="DE112" s="1253"/>
      <c r="DF112" s="1253">
        <f>IF($E105&gt;0,DF110/$E105,"-")</f>
        <v>0</v>
      </c>
      <c r="DG112" s="1253"/>
      <c r="DH112" s="1253">
        <f>IF($E105&gt;0,DH110/$E105,"-")</f>
        <v>0</v>
      </c>
      <c r="DI112" s="1253"/>
      <c r="DJ112" s="1254">
        <f>IF($E105&gt;0,DJ110/$E105,"-")</f>
        <v>0</v>
      </c>
      <c r="DK112" s="1254"/>
      <c r="DL112" s="1253">
        <f>IF($E105&gt;0,DL110/$E105,"-")</f>
        <v>0</v>
      </c>
      <c r="DM112" s="1253"/>
      <c r="DN112" s="1253">
        <f>IF($E105&gt;0,DN110/$E105,"-")</f>
        <v>0</v>
      </c>
      <c r="DO112" s="1253"/>
      <c r="DP112" s="1253">
        <f>IF($E105&gt;0,DP110/$E105,"-")</f>
        <v>0</v>
      </c>
      <c r="DQ112" s="1253"/>
      <c r="DR112" s="1253">
        <f>IF($E105&gt;0,DR110/$E105,"-")</f>
        <v>0</v>
      </c>
      <c r="DS112" s="1253"/>
      <c r="DT112" s="1253">
        <f>IF($E105&gt;0,DT110/$E105,"-")</f>
        <v>0</v>
      </c>
      <c r="DU112" s="1253"/>
      <c r="DV112" s="1253">
        <f>IF($E105&gt;0,DV110/$E105,"-")</f>
        <v>0</v>
      </c>
      <c r="DW112" s="1253"/>
      <c r="DX112" s="1253">
        <f>IF($E105&gt;0,DX110/$E105,"-")</f>
        <v>0</v>
      </c>
      <c r="DY112" s="1253"/>
      <c r="DZ112" s="1253">
        <f>IF($E105&gt;0,DZ110/$E105,"-")</f>
        <v>0</v>
      </c>
      <c r="EA112" s="1253"/>
      <c r="EB112" s="1253">
        <f>IF($E105&gt;0,EB110/$E105,"-")</f>
        <v>0</v>
      </c>
      <c r="EC112" s="1253"/>
      <c r="ED112" s="1253">
        <f>IF($E105&gt;0,ED110/$E105,"-")</f>
        <v>0</v>
      </c>
      <c r="EE112" s="1253"/>
      <c r="EF112" s="1253">
        <f>IF($E105&gt;0,EF110/$E105,"-")</f>
        <v>0</v>
      </c>
      <c r="EG112" s="1253"/>
      <c r="EH112" s="1253">
        <f>IF($E105&gt;0,EH110/$E105,"-")</f>
        <v>0</v>
      </c>
      <c r="EI112" s="1253"/>
      <c r="EJ112" s="1253">
        <f>IF($E105&gt;0,EJ110/$E105,"-")</f>
        <v>0</v>
      </c>
      <c r="EK112" s="1253"/>
      <c r="EL112" s="1253">
        <f>IF($E105&gt;0,EL110/$E105,"-")</f>
        <v>0</v>
      </c>
      <c r="EM112" s="1253"/>
      <c r="EN112" s="1253">
        <f>IF($E105&gt;0,EN110/$E105,"-")</f>
        <v>0</v>
      </c>
      <c r="EO112" s="1253"/>
      <c r="EP112" s="1253">
        <f>IF($E105&gt;0,EP110/$E105,"-")</f>
        <v>0</v>
      </c>
      <c r="EQ112" s="1253"/>
      <c r="ER112" s="1253">
        <f>IF($E105&gt;0,ER110/$E105,"-")</f>
        <v>0</v>
      </c>
      <c r="ES112" s="1253"/>
      <c r="ET112" s="1253">
        <f>IF($E105&gt;0,ET110/$E105,"-")</f>
        <v>0</v>
      </c>
      <c r="EU112" s="1253"/>
      <c r="EV112" s="1253">
        <f>IF($E105&gt;0,EV110/$E105,"-")</f>
        <v>0</v>
      </c>
      <c r="EW112" s="1253"/>
      <c r="EX112" s="1253">
        <f>IF($E105&gt;0,EX110/$E105,"-")</f>
        <v>0</v>
      </c>
      <c r="EY112" s="1253"/>
      <c r="EZ112" s="1253">
        <f>IF($E105&gt;0,EZ110/$E105,"-")</f>
        <v>0</v>
      </c>
      <c r="FA112" s="1253"/>
      <c r="FB112" s="1253">
        <f>IF($E105&gt;0,FB110/$E105,"-")</f>
        <v>0</v>
      </c>
      <c r="FC112" s="1253"/>
      <c r="FD112" s="1253">
        <f>IF($E105&gt;0,FD110/$E105,"-")</f>
        <v>0</v>
      </c>
      <c r="FE112" s="1253"/>
      <c r="FF112" s="1253">
        <f>IF($E105&gt;0,FF110/$E105,"-")</f>
        <v>0</v>
      </c>
      <c r="FG112" s="1253"/>
      <c r="FH112" s="1253">
        <f>IF($E105&gt;0,FH110/$E105,"-")</f>
        <v>0</v>
      </c>
      <c r="FI112" s="1253"/>
      <c r="FJ112" s="1253">
        <f>IF($E105&gt;0,FJ110/$E105,"-")</f>
        <v>0</v>
      </c>
      <c r="FK112" s="1253"/>
      <c r="FL112" s="1253">
        <f>IF($E105&gt;0,FL110/$E105,"-")</f>
        <v>0</v>
      </c>
      <c r="FM112" s="1253"/>
      <c r="FN112" s="1253">
        <f>IF($E105&gt;0,FN110/$E105,"-")</f>
        <v>0</v>
      </c>
      <c r="FO112" s="1253"/>
      <c r="FP112" s="1253">
        <f>IF($E105&gt;0,FP110/$E105,"-")</f>
        <v>0</v>
      </c>
      <c r="FQ112" s="1253"/>
      <c r="FR112" s="1253">
        <f>IF($E105&gt;0,FR110/$E105,"-")</f>
        <v>0</v>
      </c>
      <c r="FS112" s="1253"/>
      <c r="FT112" s="1253">
        <f>IF($E105&gt;0,FT110/$E105,"-")</f>
        <v>0</v>
      </c>
      <c r="FU112" s="1253"/>
      <c r="FV112" s="1253">
        <f>IF($E105&gt;0,FV110/$E105,"-")</f>
        <v>0</v>
      </c>
      <c r="FW112" s="1253"/>
      <c r="FX112" s="1253">
        <f>IF($E105&gt;0,FX110/$E105,"-")</f>
        <v>0</v>
      </c>
      <c r="FY112" s="1253"/>
      <c r="FZ112" s="1253">
        <f>IF($E105&gt;0,FZ110/$E105,"-")</f>
        <v>0</v>
      </c>
      <c r="GA112" s="1253"/>
      <c r="GB112" s="1253">
        <f>IF($E105&gt;0,GB110/$E105,"-")</f>
        <v>0</v>
      </c>
      <c r="GC112" s="1253"/>
      <c r="GD112" s="1253">
        <f>IF($E105&gt;0,GD110/$E105,"-")</f>
        <v>0</v>
      </c>
      <c r="GE112" s="1253"/>
      <c r="GF112" s="1253">
        <f>IF($E105&gt;0,GF110/$E105,"-")</f>
        <v>0</v>
      </c>
      <c r="GG112" s="1253"/>
      <c r="GH112" s="1253">
        <f>IF($E105&gt;0,GH110/$E105,"-")</f>
        <v>0</v>
      </c>
      <c r="GI112" s="1253"/>
      <c r="GJ112" s="1253">
        <f>IF($E105&gt;0,GJ110/$E105,"-")</f>
        <v>0</v>
      </c>
      <c r="GK112" s="1253"/>
      <c r="GL112" s="1253">
        <f>IF($E105&gt;0,GL110/$E105,"-")</f>
        <v>0</v>
      </c>
      <c r="GM112" s="1253"/>
      <c r="GN112" s="1253">
        <f>IF($E105&gt;0,GN110/$E105,"-")</f>
        <v>0</v>
      </c>
      <c r="GO112" s="1253"/>
      <c r="GP112" s="1253">
        <f>IF($E105&gt;0,GP110/$E105,"-")</f>
        <v>0</v>
      </c>
      <c r="GQ112" s="1253"/>
      <c r="GR112" s="1253">
        <f>IF($E105&gt;0,GR110/$E105,"-")</f>
        <v>0</v>
      </c>
      <c r="GS112" s="1253"/>
      <c r="GT112" s="1253">
        <f>IF($E105&gt;0,GT110/$E105,"-")</f>
        <v>0</v>
      </c>
      <c r="GU112" s="1253"/>
      <c r="GV112" s="1253">
        <f>IF($E105&gt;0,GV110/$E105,"-")</f>
        <v>0</v>
      </c>
      <c r="GW112" s="1253"/>
      <c r="GX112" s="1253">
        <f>IF($E105&gt;0,GX110/$E105,"-")</f>
        <v>0</v>
      </c>
      <c r="GY112" s="1253"/>
      <c r="GZ112" s="1253">
        <f>IF($E105&gt;0,GZ110/$E105,"-")</f>
        <v>0</v>
      </c>
      <c r="HA112" s="1253"/>
      <c r="HB112" s="1253">
        <f>IF($E105&gt;0,HB110/$E105,"-")</f>
        <v>0</v>
      </c>
      <c r="HC112" s="1253"/>
      <c r="HD112" s="1253">
        <f>IF($E105&gt;0,HD110/$E105,"-")</f>
        <v>0</v>
      </c>
      <c r="HE112" s="1253"/>
      <c r="HF112" s="1253">
        <f>IF($E105&gt;0,HF110/$E105,"-")</f>
        <v>0</v>
      </c>
      <c r="HG112" s="1253"/>
      <c r="HH112" s="1253">
        <f>IF($E105&gt;0,HH110/$E105,"-")</f>
        <v>0</v>
      </c>
      <c r="HI112" s="1253"/>
      <c r="HJ112" s="1253">
        <f>IF($E105&gt;0,HJ110/$E105,"-")</f>
        <v>0</v>
      </c>
      <c r="HK112" s="1253"/>
    </row>
    <row r="113" spans="1:219" s="5" customFormat="1" ht="14.4">
      <c r="A113" s="690"/>
      <c r="B113" s="798"/>
      <c r="C113" s="691"/>
      <c r="D113" s="692"/>
      <c r="E113" s="692"/>
      <c r="F113" s="691"/>
      <c r="G113" s="691"/>
      <c r="H113" s="691"/>
      <c r="I113" s="691"/>
      <c r="J113" s="691"/>
      <c r="K113" s="691"/>
      <c r="L113" s="1274"/>
      <c r="M113" s="1274"/>
      <c r="N113" s="1274"/>
      <c r="O113" s="1274"/>
      <c r="P113" s="1274"/>
      <c r="Q113" s="1274"/>
      <c r="R113" s="1274"/>
      <c r="S113" s="1362"/>
      <c r="T113" s="1276"/>
      <c r="U113" s="1274"/>
      <c r="V113" s="1274"/>
      <c r="W113" s="1274"/>
      <c r="X113" s="1274"/>
      <c r="Y113" s="1274"/>
      <c r="Z113" s="1274"/>
      <c r="AA113" s="1362"/>
      <c r="AB113" s="1276"/>
      <c r="AC113" s="1274"/>
      <c r="AD113" s="1274"/>
      <c r="AE113" s="1274"/>
      <c r="AF113" s="1274"/>
      <c r="AG113" s="1274"/>
      <c r="AH113" s="1274"/>
      <c r="AI113" s="1362"/>
      <c r="AJ113" s="1276"/>
      <c r="AK113" s="1274"/>
      <c r="AL113" s="1274"/>
      <c r="AM113" s="1274"/>
      <c r="AN113" s="1274"/>
      <c r="AO113" s="1274"/>
      <c r="AP113" s="1274"/>
      <c r="AQ113" s="1362"/>
      <c r="AR113" s="1276"/>
      <c r="AS113" s="1274"/>
      <c r="AT113" s="777"/>
      <c r="AU113" s="777"/>
      <c r="AV113" s="777"/>
      <c r="AW113" s="777"/>
      <c r="AX113" s="777"/>
      <c r="AY113" s="778"/>
      <c r="AZ113" s="779"/>
      <c r="BA113" s="777"/>
      <c r="BB113" s="777"/>
      <c r="BC113" s="777"/>
      <c r="BD113" s="777"/>
      <c r="BE113" s="777"/>
      <c r="BF113" s="777"/>
      <c r="BG113" s="778"/>
      <c r="BH113" s="779"/>
      <c r="BI113" s="777"/>
      <c r="BJ113" s="777"/>
      <c r="BK113" s="777"/>
      <c r="BL113" s="777"/>
      <c r="BM113" s="777"/>
      <c r="BN113" s="777"/>
      <c r="BO113" s="778"/>
      <c r="BP113" s="779"/>
      <c r="BQ113" s="777"/>
      <c r="BR113" s="777"/>
      <c r="BS113" s="777"/>
      <c r="BT113" s="777"/>
      <c r="BU113" s="777"/>
      <c r="BV113" s="777"/>
      <c r="BW113" s="778"/>
      <c r="BX113" s="779"/>
      <c r="BY113" s="777"/>
      <c r="BZ113" s="777"/>
      <c r="CA113" s="777"/>
      <c r="CB113" s="777"/>
      <c r="CC113" s="777"/>
      <c r="CD113" s="1274"/>
      <c r="CE113" s="1275"/>
      <c r="CF113" s="1276"/>
      <c r="CG113" s="1277"/>
      <c r="CH113" s="1276"/>
      <c r="CI113" s="1277"/>
      <c r="CJ113" s="1276"/>
      <c r="CK113" s="1277"/>
      <c r="CL113" s="1274"/>
      <c r="CM113" s="1275"/>
      <c r="CN113" s="1276"/>
      <c r="CO113" s="1277"/>
      <c r="CP113" s="1296"/>
      <c r="CQ113" s="1297"/>
      <c r="CR113" s="1352"/>
      <c r="CS113" s="1353"/>
      <c r="CT113" s="780"/>
      <c r="CU113" s="781"/>
      <c r="CV113" s="782"/>
      <c r="CW113" s="780"/>
      <c r="CX113" s="780"/>
      <c r="CY113" s="780"/>
      <c r="CZ113" s="780"/>
      <c r="DA113" s="780"/>
      <c r="DB113" s="780"/>
      <c r="DC113" s="781"/>
      <c r="DD113" s="782"/>
      <c r="DE113" s="780"/>
      <c r="DF113" s="780"/>
      <c r="DG113" s="780"/>
      <c r="DH113" s="780"/>
      <c r="DI113" s="780"/>
      <c r="DJ113" s="783"/>
      <c r="DK113" s="784"/>
      <c r="DL113" s="782"/>
      <c r="DM113" s="780"/>
      <c r="DN113" s="780"/>
      <c r="DO113" s="780"/>
      <c r="DP113" s="780"/>
      <c r="DQ113" s="780"/>
      <c r="DR113" s="780"/>
      <c r="DS113" s="781"/>
      <c r="DT113" s="782"/>
      <c r="DU113" s="780"/>
      <c r="DV113" s="780"/>
      <c r="DW113" s="780"/>
      <c r="DX113" s="780"/>
      <c r="DY113" s="780"/>
      <c r="DZ113" s="780"/>
      <c r="EA113" s="781"/>
      <c r="EB113" s="782"/>
      <c r="EC113" s="780"/>
      <c r="ED113" s="780"/>
      <c r="EE113" s="780"/>
      <c r="EF113" s="780"/>
      <c r="EG113" s="780"/>
      <c r="EH113" s="780"/>
      <c r="EI113" s="781"/>
      <c r="EJ113" s="782"/>
      <c r="EK113" s="780"/>
      <c r="EL113" s="780"/>
      <c r="EM113" s="780"/>
      <c r="EN113" s="780"/>
      <c r="EO113" s="780"/>
      <c r="EP113" s="780"/>
      <c r="EQ113" s="781"/>
      <c r="ER113" s="782"/>
      <c r="ES113" s="780"/>
      <c r="ET113" s="780"/>
      <c r="EU113" s="780"/>
      <c r="EV113" s="780"/>
      <c r="EW113" s="780"/>
      <c r="EX113" s="780"/>
      <c r="EY113" s="781"/>
      <c r="EZ113" s="782"/>
      <c r="FA113" s="780"/>
      <c r="FB113" s="780"/>
      <c r="FC113" s="780"/>
      <c r="FD113" s="780"/>
      <c r="FE113" s="780"/>
      <c r="FF113" s="780"/>
      <c r="FG113" s="781"/>
      <c r="FH113" s="782"/>
      <c r="FI113" s="780"/>
      <c r="FJ113" s="780"/>
      <c r="FK113" s="780"/>
      <c r="FL113" s="780"/>
      <c r="FM113" s="780"/>
      <c r="FN113" s="780"/>
      <c r="FO113" s="781"/>
      <c r="FP113" s="782"/>
      <c r="FQ113" s="780"/>
      <c r="FR113" s="780"/>
      <c r="FS113" s="780"/>
      <c r="FT113" s="780"/>
      <c r="FU113" s="780"/>
      <c r="FV113" s="780"/>
      <c r="FW113" s="781"/>
      <c r="FX113" s="782"/>
      <c r="FY113" s="780"/>
      <c r="FZ113" s="780"/>
      <c r="GA113" s="780"/>
      <c r="GB113" s="780"/>
      <c r="GC113" s="780"/>
      <c r="GD113" s="780"/>
      <c r="GE113" s="781"/>
      <c r="GF113" s="782"/>
      <c r="GG113" s="780"/>
      <c r="GH113" s="780"/>
      <c r="GI113" s="780"/>
      <c r="GJ113" s="780"/>
      <c r="GK113" s="780"/>
      <c r="GL113" s="780"/>
      <c r="GM113" s="781"/>
      <c r="GN113" s="782"/>
      <c r="GO113" s="780"/>
      <c r="GP113" s="780"/>
      <c r="GQ113" s="780"/>
      <c r="GR113" s="780"/>
      <c r="GS113" s="780"/>
      <c r="GT113" s="780"/>
      <c r="GU113" s="781"/>
      <c r="GV113" s="780"/>
      <c r="GW113" s="781"/>
      <c r="GX113" s="780"/>
      <c r="GY113" s="781"/>
      <c r="GZ113" s="780"/>
      <c r="HA113" s="781"/>
      <c r="HB113" s="780"/>
      <c r="HC113" s="781"/>
      <c r="HD113" s="780"/>
      <c r="HE113" s="781"/>
      <c r="HF113" s="780"/>
      <c r="HG113" s="781"/>
      <c r="HH113" s="780"/>
      <c r="HI113" s="781"/>
      <c r="HJ113" s="780"/>
      <c r="HK113" s="781"/>
    </row>
    <row r="114" spans="1:219">
      <c r="A114" s="1299" t="s">
        <v>133</v>
      </c>
      <c r="B114" s="1300" t="str">
        <f>VLOOKUP(A114,PLANEJAMENTO!$B$10:$C$70,2,FALSE)</f>
        <v>Escavação, Carga, Transporte e Espalhamento - material de 1° categoria - DMT 2001 até 2500m</v>
      </c>
      <c r="C114" s="1299" t="str">
        <f>VLOOKUP(A114,PLANEJAMENTO!$B$10:$D$70,3,FALSE)</f>
        <v>m³</v>
      </c>
      <c r="D114" s="1301">
        <f>VLOOKUP(A114,PLANEJAMENTO!$B$10:$E$70,4,FALSE)</f>
        <v>32000</v>
      </c>
      <c r="E114" s="1301">
        <f>D114</f>
        <v>32000</v>
      </c>
      <c r="F114" s="1302">
        <f>PRODUÇÕES!D15</f>
        <v>160</v>
      </c>
      <c r="G114" s="1301">
        <f>F114*8</f>
        <v>1280</v>
      </c>
      <c r="H114" s="726"/>
      <c r="I114" s="1303"/>
      <c r="J114" s="1304"/>
      <c r="K114" s="727" t="s">
        <v>291</v>
      </c>
      <c r="L114" s="1285"/>
      <c r="M114" s="1286"/>
      <c r="N114" s="1285"/>
      <c r="O114" s="1286"/>
      <c r="P114" s="1285"/>
      <c r="Q114" s="1286"/>
      <c r="R114" s="1285"/>
      <c r="S114" s="1286"/>
      <c r="T114" s="1285"/>
      <c r="U114" s="1286"/>
      <c r="V114" s="1285"/>
      <c r="W114" s="1286"/>
      <c r="X114" s="1285"/>
      <c r="Y114" s="1286"/>
      <c r="Z114" s="1285"/>
      <c r="AA114" s="1286"/>
      <c r="AB114" s="1285"/>
      <c r="AC114" s="1286"/>
      <c r="AD114" s="1285"/>
      <c r="AE114" s="1286"/>
      <c r="AF114" s="1285"/>
      <c r="AG114" s="1286"/>
      <c r="AH114" s="1285"/>
      <c r="AI114" s="1286"/>
      <c r="AJ114" s="1285"/>
      <c r="AK114" s="1286"/>
      <c r="AL114" s="1285"/>
      <c r="AM114" s="1286"/>
      <c r="AN114" s="1285"/>
      <c r="AO114" s="1286"/>
      <c r="AP114" s="1285"/>
      <c r="AQ114" s="1286"/>
      <c r="AR114" s="1285"/>
      <c r="AS114" s="1286"/>
      <c r="AT114" s="1285"/>
      <c r="AU114" s="1286"/>
      <c r="AV114" s="1287"/>
      <c r="AW114" s="1288"/>
      <c r="AX114" s="1289"/>
      <c r="AY114" s="1290"/>
      <c r="AZ114" s="1285"/>
      <c r="BA114" s="1286"/>
      <c r="BB114" s="1347"/>
      <c r="BC114" s="1348"/>
      <c r="BD114" s="1285"/>
      <c r="BE114" s="1286"/>
      <c r="BF114" s="1311"/>
      <c r="BG114" s="1312"/>
      <c r="BH114" s="1285"/>
      <c r="BI114" s="1286"/>
      <c r="BJ114" s="1285"/>
      <c r="BK114" s="1286"/>
      <c r="BL114" s="1285"/>
      <c r="BM114" s="1286"/>
      <c r="BN114" s="1285"/>
      <c r="BO114" s="1286"/>
      <c r="BP114" s="1285"/>
      <c r="BQ114" s="1286"/>
      <c r="BR114" s="1263"/>
      <c r="BS114" s="1263"/>
      <c r="BT114" s="1263"/>
      <c r="BU114" s="1263"/>
      <c r="BV114" s="1263"/>
      <c r="BW114" s="1263"/>
      <c r="BX114" s="1263"/>
      <c r="BY114" s="1263"/>
      <c r="BZ114" s="1263"/>
      <c r="CA114" s="1263"/>
      <c r="CB114" s="1263">
        <v>3</v>
      </c>
      <c r="CC114" s="1263"/>
      <c r="CD114" s="1263">
        <v>6</v>
      </c>
      <c r="CE114" s="1263"/>
      <c r="CF114" s="1263">
        <v>6</v>
      </c>
      <c r="CG114" s="1263"/>
      <c r="CH114" s="1263">
        <v>6</v>
      </c>
      <c r="CI114" s="1263"/>
      <c r="CJ114" s="1354">
        <v>5.8413223140495854</v>
      </c>
      <c r="CK114" s="1354"/>
      <c r="CL114" s="1355"/>
      <c r="CM114" s="1355"/>
      <c r="CN114" s="1263"/>
      <c r="CO114" s="1263"/>
      <c r="CP114" s="1263"/>
      <c r="CQ114" s="1263"/>
      <c r="CR114" s="1263"/>
      <c r="CS114" s="1263"/>
      <c r="CT114" s="1263"/>
      <c r="CU114" s="1263"/>
      <c r="CV114" s="1263"/>
      <c r="CW114" s="1263"/>
      <c r="CX114" s="1263"/>
      <c r="CY114" s="1263"/>
      <c r="CZ114" s="1263"/>
      <c r="DA114" s="1263"/>
      <c r="DB114" s="1263"/>
      <c r="DC114" s="1263"/>
      <c r="DD114" s="1263"/>
      <c r="DE114" s="1263"/>
      <c r="DF114" s="1263"/>
      <c r="DG114" s="1263"/>
      <c r="DH114" s="1263"/>
      <c r="DI114" s="1263"/>
      <c r="DJ114" s="1327"/>
      <c r="DK114" s="1327"/>
      <c r="DL114" s="1263"/>
      <c r="DM114" s="1263"/>
      <c r="DN114" s="1263"/>
      <c r="DO114" s="1263"/>
      <c r="DP114" s="1263"/>
      <c r="DQ114" s="1263"/>
      <c r="DR114" s="1263"/>
      <c r="DS114" s="1263"/>
      <c r="DT114" s="1263"/>
      <c r="DU114" s="1263"/>
      <c r="DV114" s="1263"/>
      <c r="DW114" s="1263"/>
      <c r="DX114" s="1315"/>
      <c r="DY114" s="1315"/>
      <c r="DZ114" s="1263"/>
      <c r="EA114" s="1263"/>
      <c r="EB114" s="1263"/>
      <c r="EC114" s="1263"/>
      <c r="ED114" s="1263"/>
      <c r="EE114" s="1263"/>
      <c r="EF114" s="1263"/>
      <c r="EG114" s="1263"/>
      <c r="EH114" s="1263"/>
      <c r="EI114" s="1263"/>
      <c r="EJ114" s="1263"/>
      <c r="EK114" s="1263"/>
      <c r="EL114" s="1263"/>
      <c r="EM114" s="1263"/>
      <c r="EN114" s="1263"/>
      <c r="EO114" s="1263"/>
      <c r="EP114" s="1263"/>
      <c r="EQ114" s="1263"/>
      <c r="ER114" s="1263"/>
      <c r="ES114" s="1263"/>
      <c r="ET114" s="1263"/>
      <c r="EU114" s="1263"/>
      <c r="EV114" s="1263"/>
      <c r="EW114" s="1263"/>
      <c r="EX114" s="1263"/>
      <c r="EY114" s="1263"/>
      <c r="EZ114" s="1263"/>
      <c r="FA114" s="1263"/>
      <c r="FB114" s="1263"/>
      <c r="FC114" s="1263"/>
      <c r="FD114" s="1263"/>
      <c r="FE114" s="1263"/>
      <c r="FF114" s="1263"/>
      <c r="FG114" s="1263"/>
      <c r="FH114" s="1263"/>
      <c r="FI114" s="1263"/>
      <c r="FJ114" s="1263"/>
      <c r="FK114" s="1263"/>
      <c r="FL114" s="1263"/>
      <c r="FM114" s="1263"/>
      <c r="FN114" s="1263"/>
      <c r="FO114" s="1263"/>
      <c r="FP114" s="1263"/>
      <c r="FQ114" s="1263"/>
      <c r="FR114" s="1263"/>
      <c r="FS114" s="1263"/>
      <c r="FT114" s="1263"/>
      <c r="FU114" s="1263"/>
      <c r="FV114" s="1263"/>
      <c r="FW114" s="1263"/>
      <c r="FX114" s="1263"/>
      <c r="FY114" s="1263"/>
      <c r="FZ114" s="1263"/>
      <c r="GA114" s="1263"/>
      <c r="GB114" s="1263"/>
      <c r="GC114" s="1263"/>
      <c r="GD114" s="1263"/>
      <c r="GE114" s="1263"/>
      <c r="GF114" s="1263"/>
      <c r="GG114" s="1263"/>
      <c r="GH114" s="1263"/>
      <c r="GI114" s="1263"/>
      <c r="GJ114" s="1263"/>
      <c r="GK114" s="1263"/>
      <c r="GL114" s="1263"/>
      <c r="GM114" s="1263"/>
      <c r="GN114" s="1263"/>
      <c r="GO114" s="1263"/>
      <c r="GP114" s="1263"/>
      <c r="GQ114" s="1263"/>
      <c r="GR114" s="1263"/>
      <c r="GS114" s="1263"/>
      <c r="GT114" s="1263"/>
      <c r="GU114" s="1263"/>
      <c r="GV114" s="1263"/>
      <c r="GW114" s="1263"/>
      <c r="GX114" s="1263"/>
      <c r="GY114" s="1263"/>
      <c r="GZ114" s="1263"/>
      <c r="HA114" s="1263"/>
      <c r="HB114" s="1263"/>
      <c r="HC114" s="1263"/>
      <c r="HD114" s="1263"/>
      <c r="HE114" s="1263"/>
      <c r="HF114" s="1263"/>
      <c r="HG114" s="1263"/>
      <c r="HH114" s="1263"/>
      <c r="HI114" s="1263"/>
      <c r="HJ114" s="1263"/>
      <c r="HK114" s="1263"/>
    </row>
    <row r="115" spans="1:219">
      <c r="A115" s="1299"/>
      <c r="B115" s="1300"/>
      <c r="C115" s="1299"/>
      <c r="D115" s="1301"/>
      <c r="E115" s="1301"/>
      <c r="F115" s="1302"/>
      <c r="G115" s="1301"/>
      <c r="H115" s="726"/>
      <c r="I115" s="1303"/>
      <c r="J115" s="1304"/>
      <c r="K115" s="785" t="s">
        <v>292</v>
      </c>
      <c r="L115" s="1283"/>
      <c r="M115" s="1284"/>
      <c r="N115" s="1283"/>
      <c r="O115" s="1284"/>
      <c r="P115" s="1283"/>
      <c r="Q115" s="1284"/>
      <c r="R115" s="1283"/>
      <c r="S115" s="1284"/>
      <c r="T115" s="1283"/>
      <c r="U115" s="1284"/>
      <c r="V115" s="1283"/>
      <c r="W115" s="1284"/>
      <c r="X115" s="1283"/>
      <c r="Y115" s="1284"/>
      <c r="Z115" s="1283"/>
      <c r="AA115" s="1284"/>
      <c r="AB115" s="1283"/>
      <c r="AC115" s="1284"/>
      <c r="AD115" s="1283"/>
      <c r="AE115" s="1284"/>
      <c r="AF115" s="1283"/>
      <c r="AG115" s="1284"/>
      <c r="AH115" s="1283"/>
      <c r="AI115" s="1284"/>
      <c r="AJ115" s="1283"/>
      <c r="AK115" s="1284"/>
      <c r="AL115" s="1283"/>
      <c r="AM115" s="1284"/>
      <c r="AN115" s="1283"/>
      <c r="AO115" s="1284"/>
      <c r="AP115" s="1283"/>
      <c r="AQ115" s="1284"/>
      <c r="AR115" s="1283"/>
      <c r="AS115" s="1284"/>
      <c r="AT115" s="1283"/>
      <c r="AU115" s="1284"/>
      <c r="AV115" s="1283"/>
      <c r="AW115" s="1284"/>
      <c r="AX115" s="1283"/>
      <c r="AY115" s="1284"/>
      <c r="AZ115" s="1283"/>
      <c r="BA115" s="1284"/>
      <c r="BB115" s="1283"/>
      <c r="BC115" s="1284"/>
      <c r="BD115" s="1283"/>
      <c r="BE115" s="1284"/>
      <c r="BF115" s="1283"/>
      <c r="BG115" s="1284"/>
      <c r="BH115" s="1283"/>
      <c r="BI115" s="1284"/>
      <c r="BJ115" s="1283"/>
      <c r="BK115" s="1284"/>
      <c r="BL115" s="1283"/>
      <c r="BM115" s="1284"/>
      <c r="BN115" s="1283"/>
      <c r="BO115" s="1284"/>
      <c r="BP115" s="1283"/>
      <c r="BQ115" s="1284"/>
      <c r="BR115" s="1264"/>
      <c r="BS115" s="1264"/>
      <c r="BT115" s="1264"/>
      <c r="BU115" s="1264"/>
      <c r="BV115" s="1264"/>
      <c r="BW115" s="1264"/>
      <c r="BX115" s="1264"/>
      <c r="BY115" s="1264"/>
      <c r="BZ115" s="1264"/>
      <c r="CA115" s="1264"/>
      <c r="CB115" s="1264">
        <v>1</v>
      </c>
      <c r="CC115" s="1264"/>
      <c r="CD115" s="1264">
        <v>1</v>
      </c>
      <c r="CE115" s="1264"/>
      <c r="CF115" s="1264">
        <v>1</v>
      </c>
      <c r="CG115" s="1264"/>
      <c r="CH115" s="1264">
        <v>1</v>
      </c>
      <c r="CI115" s="1264"/>
      <c r="CJ115" s="1264">
        <v>1</v>
      </c>
      <c r="CK115" s="1264"/>
      <c r="CL115" s="1264"/>
      <c r="CM115" s="1264"/>
      <c r="CN115" s="1264"/>
      <c r="CO115" s="1264"/>
      <c r="CP115" s="1264"/>
      <c r="CQ115" s="1264"/>
      <c r="CR115" s="1264"/>
      <c r="CS115" s="1264"/>
      <c r="CT115" s="1264"/>
      <c r="CU115" s="1264"/>
      <c r="CV115" s="1264"/>
      <c r="CW115" s="1264"/>
      <c r="CX115" s="1264"/>
      <c r="CY115" s="1264"/>
      <c r="CZ115" s="1264"/>
      <c r="DA115" s="1264"/>
      <c r="DB115" s="1264"/>
      <c r="DC115" s="1264"/>
      <c r="DD115" s="1264"/>
      <c r="DE115" s="1264"/>
      <c r="DF115" s="1264"/>
      <c r="DG115" s="1264"/>
      <c r="DH115" s="1264"/>
      <c r="DI115" s="1264"/>
      <c r="DJ115" s="1265"/>
      <c r="DK115" s="1265"/>
      <c r="DL115" s="1317"/>
      <c r="DM115" s="1317"/>
      <c r="DN115" s="1264"/>
      <c r="DO115" s="1264"/>
      <c r="DP115" s="1264"/>
      <c r="DQ115" s="1264"/>
      <c r="DR115" s="1264"/>
      <c r="DS115" s="1264"/>
      <c r="DT115" s="1317"/>
      <c r="DU115" s="1317"/>
      <c r="DV115" s="1264"/>
      <c r="DW115" s="1264"/>
      <c r="DX115" s="1264"/>
      <c r="DY115" s="1264"/>
      <c r="DZ115" s="1264"/>
      <c r="EA115" s="1264"/>
      <c r="EB115" s="1264"/>
      <c r="EC115" s="1264"/>
      <c r="ED115" s="1264"/>
      <c r="EE115" s="1264"/>
      <c r="EF115" s="1264"/>
      <c r="EG115" s="1264"/>
      <c r="EH115" s="1264"/>
      <c r="EI115" s="1264"/>
      <c r="EJ115" s="1264"/>
      <c r="EK115" s="1264"/>
      <c r="EL115" s="1264"/>
      <c r="EM115" s="1264"/>
      <c r="EN115" s="1264"/>
      <c r="EO115" s="1264"/>
      <c r="EP115" s="1264"/>
      <c r="EQ115" s="1264"/>
      <c r="ER115" s="1264"/>
      <c r="ES115" s="1264"/>
      <c r="ET115" s="1264"/>
      <c r="EU115" s="1264"/>
      <c r="EV115" s="1264"/>
      <c r="EW115" s="1264"/>
      <c r="EX115" s="1264"/>
      <c r="EY115" s="1264"/>
      <c r="EZ115" s="1264"/>
      <c r="FA115" s="1264"/>
      <c r="FB115" s="1264"/>
      <c r="FC115" s="1264"/>
      <c r="FD115" s="1264"/>
      <c r="FE115" s="1264"/>
      <c r="FF115" s="1264"/>
      <c r="FG115" s="1264"/>
      <c r="FH115" s="1264"/>
      <c r="FI115" s="1264"/>
      <c r="FJ115" s="1264"/>
      <c r="FK115" s="1264"/>
      <c r="FL115" s="1264"/>
      <c r="FM115" s="1264"/>
      <c r="FN115" s="1264"/>
      <c r="FO115" s="1264"/>
      <c r="FP115" s="1264"/>
      <c r="FQ115" s="1264"/>
      <c r="FR115" s="1264"/>
      <c r="FS115" s="1264"/>
      <c r="FT115" s="1264"/>
      <c r="FU115" s="1264"/>
      <c r="FV115" s="1264"/>
      <c r="FW115" s="1264"/>
      <c r="FX115" s="1264"/>
      <c r="FY115" s="1264"/>
      <c r="FZ115" s="1264"/>
      <c r="GA115" s="1264"/>
      <c r="GB115" s="1264"/>
      <c r="GC115" s="1264"/>
      <c r="GD115" s="1264"/>
      <c r="GE115" s="1264"/>
      <c r="GF115" s="1264"/>
      <c r="GG115" s="1264"/>
      <c r="GH115" s="1264"/>
      <c r="GI115" s="1264"/>
      <c r="GJ115" s="1264"/>
      <c r="GK115" s="1264"/>
      <c r="GL115" s="1264"/>
      <c r="GM115" s="1264"/>
      <c r="GN115" s="1264"/>
      <c r="GO115" s="1264"/>
      <c r="GP115" s="1264"/>
      <c r="GQ115" s="1264"/>
      <c r="GR115" s="1264"/>
      <c r="GS115" s="1264"/>
      <c r="GT115" s="1264"/>
      <c r="GU115" s="1264"/>
      <c r="GV115" s="1264"/>
      <c r="GW115" s="1264"/>
      <c r="GX115" s="1264"/>
      <c r="GY115" s="1264"/>
      <c r="GZ115" s="1264"/>
      <c r="HA115" s="1264"/>
      <c r="HB115" s="1264"/>
      <c r="HC115" s="1264"/>
      <c r="HD115" s="1264"/>
      <c r="HE115" s="1264"/>
      <c r="HF115" s="1264"/>
      <c r="HG115" s="1264"/>
      <c r="HH115" s="1264"/>
      <c r="HI115" s="1264"/>
      <c r="HJ115" s="1264"/>
      <c r="HK115" s="1264"/>
    </row>
    <row r="116" spans="1:219">
      <c r="A116" s="1299"/>
      <c r="B116" s="1300"/>
      <c r="C116" s="1299"/>
      <c r="D116" s="1301"/>
      <c r="E116" s="1301"/>
      <c r="F116" s="1302"/>
      <c r="G116" s="1301"/>
      <c r="H116" s="726"/>
      <c r="I116" s="1303"/>
      <c r="J116" s="1304"/>
      <c r="K116" s="786" t="s">
        <v>293</v>
      </c>
      <c r="L116" s="1255">
        <f>(L114*L115*$G114)*$L$8</f>
        <v>0</v>
      </c>
      <c r="M116" s="1256"/>
      <c r="N116" s="1255">
        <f>(N114*N115*$G114)*$L$8</f>
        <v>0</v>
      </c>
      <c r="O116" s="1256"/>
      <c r="P116" s="1255">
        <f>(P114*P115*$G114)*$L$8</f>
        <v>0</v>
      </c>
      <c r="Q116" s="1256"/>
      <c r="R116" s="1255"/>
      <c r="S116" s="1256"/>
      <c r="T116" s="1255">
        <f>(T114*T115*$G114)*$T$8</f>
        <v>0</v>
      </c>
      <c r="U116" s="1256"/>
      <c r="V116" s="1255">
        <f>(V114*V115*$G114)*$T$8</f>
        <v>0</v>
      </c>
      <c r="W116" s="1256"/>
      <c r="X116" s="1255">
        <f>(X114*X115*$G114)*$T$8</f>
        <v>0</v>
      </c>
      <c r="Y116" s="1256"/>
      <c r="Z116" s="1255">
        <f>(Z114*Z115*$G114)*$T$8</f>
        <v>0</v>
      </c>
      <c r="AA116" s="1256"/>
      <c r="AB116" s="1255">
        <f>(AB114*AB115*$G114)*$AB$8</f>
        <v>0</v>
      </c>
      <c r="AC116" s="1256"/>
      <c r="AD116" s="1255">
        <f>(AD114*AD115*$G114)*$AB$8</f>
        <v>0</v>
      </c>
      <c r="AE116" s="1256"/>
      <c r="AF116" s="1255">
        <f>(AF114*AF115*$G114)*$AB$8</f>
        <v>0</v>
      </c>
      <c r="AG116" s="1256"/>
      <c r="AH116" s="1255">
        <f>(AH114*AH115*$G114)*$AB$8</f>
        <v>0</v>
      </c>
      <c r="AI116" s="1256"/>
      <c r="AJ116" s="1255">
        <f>(AJ114*AJ115*$G114)*$AJ$8</f>
        <v>0</v>
      </c>
      <c r="AK116" s="1256"/>
      <c r="AL116" s="1255">
        <f>(AL114*AL115*$G114)*$AJ$8</f>
        <v>0</v>
      </c>
      <c r="AM116" s="1256"/>
      <c r="AN116" s="1255">
        <f>(AN114*AN115*$G114)*$AJ$8</f>
        <v>0</v>
      </c>
      <c r="AO116" s="1256"/>
      <c r="AP116" s="1255">
        <f>(AP114*AP115*$G114)*$AJ$8</f>
        <v>0</v>
      </c>
      <c r="AQ116" s="1256"/>
      <c r="AR116" s="1255">
        <f>(AR114*AR115*$G114)*$AJ$8</f>
        <v>0</v>
      </c>
      <c r="AS116" s="1256"/>
      <c r="AT116" s="1255">
        <f>(AT114*AT115*$G114)*$AT$8</f>
        <v>0</v>
      </c>
      <c r="AU116" s="1256"/>
      <c r="AV116" s="1255">
        <f>(AV114*AV115*$G114)*$AT$8</f>
        <v>0</v>
      </c>
      <c r="AW116" s="1256"/>
      <c r="AX116" s="1255">
        <f>(AX114*AX115*$G114)*$AT$8</f>
        <v>0</v>
      </c>
      <c r="AY116" s="1256"/>
      <c r="AZ116" s="1255">
        <f>(AZ114*AZ115*$G114)*$AT$8</f>
        <v>0</v>
      </c>
      <c r="BA116" s="1256"/>
      <c r="BB116" s="1255">
        <f>(BB114*BB115*$G114)*$BB$8</f>
        <v>0</v>
      </c>
      <c r="BC116" s="1256"/>
      <c r="BD116" s="1255">
        <f>(BD114*BD115*$G114)*$BB$8</f>
        <v>0</v>
      </c>
      <c r="BE116" s="1256"/>
      <c r="BF116" s="1255">
        <f>(BF114*BF115*$G114)*$BB$8</f>
        <v>0</v>
      </c>
      <c r="BG116" s="1256"/>
      <c r="BH116" s="1255">
        <f>(BH114*BH115*$G114)*$BB$8</f>
        <v>0</v>
      </c>
      <c r="BI116" s="1256"/>
      <c r="BJ116" s="1255">
        <f>(BJ114*BJ115*$G114)*$BJ$8</f>
        <v>0</v>
      </c>
      <c r="BK116" s="1256"/>
      <c r="BL116" s="1255">
        <f>(BL114*BL115*$G114)*$BJ$8</f>
        <v>0</v>
      </c>
      <c r="BM116" s="1256"/>
      <c r="BN116" s="1255">
        <f>(BN114*BN115*$G114)*$BJ$8</f>
        <v>0</v>
      </c>
      <c r="BO116" s="1256"/>
      <c r="BP116" s="1255">
        <f>(BP114*BP115*$G114)*$BJ$8</f>
        <v>0</v>
      </c>
      <c r="BQ116" s="1256"/>
      <c r="BR116" s="1255">
        <f>(BR114*BR115*$G114)*$BJ$8</f>
        <v>0</v>
      </c>
      <c r="BS116" s="1256"/>
      <c r="BT116" s="1255">
        <f>(BT114*BT115*$G114)*$BT$8</f>
        <v>0</v>
      </c>
      <c r="BU116" s="1256"/>
      <c r="BV116" s="1255">
        <f>(BV114*BV115*$G114)*$BT$8</f>
        <v>0</v>
      </c>
      <c r="BW116" s="1256"/>
      <c r="BX116" s="1255">
        <f>(BX114*BX115*$G114)*$BT$8</f>
        <v>0</v>
      </c>
      <c r="BY116" s="1256"/>
      <c r="BZ116" s="1255">
        <f>(BZ114*BZ115*$G114)*$BT$8</f>
        <v>0</v>
      </c>
      <c r="CA116" s="1256"/>
      <c r="CB116" s="1255">
        <f>(CB114*CB115*$G114)*$CB$8</f>
        <v>3737.6</v>
      </c>
      <c r="CC116" s="1256"/>
      <c r="CD116" s="1255">
        <f>(CD114*CD115*$G114)*$CB$8</f>
        <v>7475.2</v>
      </c>
      <c r="CE116" s="1256"/>
      <c r="CF116" s="1255">
        <f>(CF114*CF115*$G114)*$CB$8</f>
        <v>7475.2</v>
      </c>
      <c r="CG116" s="1256"/>
      <c r="CH116" s="1255">
        <f>(CH114*CH115*$G114)*$CB$8</f>
        <v>7475.2</v>
      </c>
      <c r="CI116" s="1256"/>
      <c r="CJ116" s="1255">
        <f>(CJ114*CJ115*$G114)*$CJ$8</f>
        <v>5836.7999999999993</v>
      </c>
      <c r="CK116" s="1256"/>
      <c r="CL116" s="1255">
        <f>(CL114*CL115*$G114)*$CJ$8</f>
        <v>0</v>
      </c>
      <c r="CM116" s="1256"/>
      <c r="CN116" s="1255">
        <f>(CN114*CN115*$G114)*$CJ$8</f>
        <v>0</v>
      </c>
      <c r="CO116" s="1256"/>
      <c r="CP116" s="1255">
        <f>(CP114*CP115*$G114)*$CJ$8</f>
        <v>0</v>
      </c>
      <c r="CQ116" s="1256"/>
      <c r="CR116" s="1255">
        <f>(CR114*CR115*$G114)*$CJ$8</f>
        <v>0</v>
      </c>
      <c r="CS116" s="1256"/>
      <c r="CT116" s="1255">
        <f>(CT114*CT115*$G114)*$CT$8</f>
        <v>0</v>
      </c>
      <c r="CU116" s="1256"/>
      <c r="CV116" s="1255">
        <f>(CV114*CV115*$G114)*$CT$8</f>
        <v>0</v>
      </c>
      <c r="CW116" s="1256"/>
      <c r="CX116" s="1255">
        <f>(CX114*CX115*$G114)*$CT$8</f>
        <v>0</v>
      </c>
      <c r="CY116" s="1256"/>
      <c r="CZ116" s="1255">
        <f>(CZ114*CZ115*$G114)*$DB$8</f>
        <v>0</v>
      </c>
      <c r="DA116" s="1256"/>
      <c r="DB116" s="1255">
        <f>(DB114*DB115*$G114)*$DB$8</f>
        <v>0</v>
      </c>
      <c r="DC116" s="1256"/>
      <c r="DD116" s="1255">
        <f>(DD114*DD115*$G114)*$DB$8</f>
        <v>0</v>
      </c>
      <c r="DE116" s="1256"/>
      <c r="DF116" s="1255">
        <f>(DF114*DF115*$G114)*$DB$8</f>
        <v>0</v>
      </c>
      <c r="DG116" s="1256"/>
      <c r="DH116" s="1255">
        <f>(DH114*DH115*$G114)*$DB$8</f>
        <v>0</v>
      </c>
      <c r="DI116" s="1256"/>
      <c r="DJ116" s="1257">
        <f>(DJ114*DJ115*$G114)*$DB$8</f>
        <v>0</v>
      </c>
      <c r="DK116" s="1258"/>
      <c r="DL116" s="1255">
        <f>(DL114*DL115*$G114)*$DL$8</f>
        <v>0</v>
      </c>
      <c r="DM116" s="1256"/>
      <c r="DN116" s="1255">
        <f>(DN114*DN115*$G114)*$DL$8</f>
        <v>0</v>
      </c>
      <c r="DO116" s="1256"/>
      <c r="DP116" s="1255">
        <f>(DP114*DP115*$G114)*$DL$8</f>
        <v>0</v>
      </c>
      <c r="DQ116" s="1256"/>
      <c r="DR116" s="1255">
        <f>(DR114*DR115*$G114)*$DL$8</f>
        <v>0</v>
      </c>
      <c r="DS116" s="1256"/>
      <c r="DT116" s="1313">
        <f>(DT114*DT115*$G114)*$DT$8</f>
        <v>0</v>
      </c>
      <c r="DU116" s="1314"/>
      <c r="DV116" s="1313">
        <f>(DV114*DV115*$G114)*$EB$8</f>
        <v>0</v>
      </c>
      <c r="DW116" s="1314"/>
      <c r="DX116" s="1313">
        <f>(DX114*DX115*$G114)*$EB$8</f>
        <v>0</v>
      </c>
      <c r="DY116" s="1314"/>
      <c r="DZ116" s="1313">
        <f>(DZ114*DZ115*$G114)*$EB$8</f>
        <v>0</v>
      </c>
      <c r="EA116" s="1314"/>
      <c r="EB116" s="1255">
        <f>(EB114*EB115*$G114)*$DB$8</f>
        <v>0</v>
      </c>
      <c r="EC116" s="1256"/>
      <c r="ED116" s="1255">
        <f>(ED114*ED115*$G114)*$DB$8</f>
        <v>0</v>
      </c>
      <c r="EE116" s="1256"/>
      <c r="EF116" s="1255">
        <f>(EF114*EF115*$G114)*$DB$8</f>
        <v>0</v>
      </c>
      <c r="EG116" s="1256"/>
      <c r="EH116" s="1255">
        <f>(EH114*EH115*$G114)*$DB$8</f>
        <v>0</v>
      </c>
      <c r="EI116" s="1256"/>
      <c r="EJ116" s="1255">
        <f>(EJ114*EJ115*$G114)*$DB$8</f>
        <v>0</v>
      </c>
      <c r="EK116" s="1256"/>
      <c r="EL116" s="1255">
        <f>(EL114*EL115*$G114)*$DB$8</f>
        <v>0</v>
      </c>
      <c r="EM116" s="1256"/>
      <c r="EN116" s="1255">
        <f>(EN114*EN115*$G114)*$ET$8</f>
        <v>0</v>
      </c>
      <c r="EO116" s="1256"/>
      <c r="EP116" s="1255">
        <f>(EP114*EP115*$G114)*$ET$8</f>
        <v>0</v>
      </c>
      <c r="EQ116" s="1256"/>
      <c r="ER116" s="1255">
        <f>(ER114*ER115*$G114)*$FB$8</f>
        <v>0</v>
      </c>
      <c r="ES116" s="1256"/>
      <c r="ET116" s="1255">
        <f>(ET114*ET115*$G114)*$DB$8</f>
        <v>0</v>
      </c>
      <c r="EU116" s="1256"/>
      <c r="EV116" s="1255">
        <f>(EV114*EV115*$G114)*$DB$8</f>
        <v>0</v>
      </c>
      <c r="EW116" s="1256"/>
      <c r="EX116" s="1255">
        <f>(EX114*EX115*$G114)*$DB$8</f>
        <v>0</v>
      </c>
      <c r="EY116" s="1256"/>
      <c r="EZ116" s="1255">
        <f>(EZ114*EZ115*$G114)*$DB$8</f>
        <v>0</v>
      </c>
      <c r="FA116" s="1256"/>
      <c r="FB116" s="1255">
        <f>(FB114*FB115*$G114)*$DB$8</f>
        <v>0</v>
      </c>
      <c r="FC116" s="1256"/>
      <c r="FD116" s="1255">
        <f>(FD114*FD115*$G114)*$DB$8</f>
        <v>0</v>
      </c>
      <c r="FE116" s="1256"/>
      <c r="FF116" s="1255">
        <f>(FF114*FF115*$G114)*$DB$8</f>
        <v>0</v>
      </c>
      <c r="FG116" s="1256"/>
      <c r="FH116" s="1255">
        <f>(FH114*FH115*$G114)*$DB$8</f>
        <v>0</v>
      </c>
      <c r="FI116" s="1256"/>
      <c r="FJ116" s="1255">
        <f>(FJ114*FJ115*$G114)*$DB$8</f>
        <v>0</v>
      </c>
      <c r="FK116" s="1256"/>
      <c r="FL116" s="1255">
        <f>(FL114*FL115*$G114)*$DB$8</f>
        <v>0</v>
      </c>
      <c r="FM116" s="1256"/>
      <c r="FN116" s="1255">
        <f>(FN114*FN115*$G114)*$DB$8</f>
        <v>0</v>
      </c>
      <c r="FO116" s="1256"/>
      <c r="FP116" s="1255">
        <f>(FP114*FP115*$G114)*$DB$8</f>
        <v>0</v>
      </c>
      <c r="FQ116" s="1256"/>
      <c r="FR116" s="1255">
        <f>(FR114*FR115*$G114)*$DB$8</f>
        <v>0</v>
      </c>
      <c r="FS116" s="1256"/>
      <c r="FT116" s="1255">
        <f>(FT114*FT115*$G114)*$FT$8</f>
        <v>0</v>
      </c>
      <c r="FU116" s="1256"/>
      <c r="FV116" s="1255">
        <f>(FV114*FV115*$G114)*$FT$8</f>
        <v>0</v>
      </c>
      <c r="FW116" s="1256"/>
      <c r="FX116" s="1255">
        <f>(FX114*FX115*$G114)*$FT$8</f>
        <v>0</v>
      </c>
      <c r="FY116" s="1256"/>
      <c r="FZ116" s="1255">
        <f>(FZ114*FZ115*$G114)*$FT$8</f>
        <v>0</v>
      </c>
      <c r="GA116" s="1256"/>
      <c r="GB116" s="1255">
        <f>(GB114*GB115*$G114)*$DB$8</f>
        <v>0</v>
      </c>
      <c r="GC116" s="1256"/>
      <c r="GD116" s="1255">
        <f>(GD114*GD115*$G114)*$GD$8</f>
        <v>0</v>
      </c>
      <c r="GE116" s="1256"/>
      <c r="GF116" s="1255">
        <f>(GF114*GF115*$G114)*$GD$8</f>
        <v>0</v>
      </c>
      <c r="GG116" s="1256"/>
      <c r="GH116" s="1255">
        <f>(GH114*GH115*$G114)*$GD$8</f>
        <v>0</v>
      </c>
      <c r="GI116" s="1256"/>
      <c r="GJ116" s="1255">
        <f>(GJ114*GJ115*$G114)*$GD$8</f>
        <v>0</v>
      </c>
      <c r="GK116" s="1256"/>
      <c r="GL116" s="1255">
        <f>(GL114*GL115*$G114)*$GL$8</f>
        <v>0</v>
      </c>
      <c r="GM116" s="1256"/>
      <c r="GN116" s="1255">
        <f>(GN114*GN115*$G114)*$DB$8</f>
        <v>0</v>
      </c>
      <c r="GO116" s="1256"/>
      <c r="GP116" s="1255">
        <f>(GP114*GP115*$G114)*$DB$8</f>
        <v>0</v>
      </c>
      <c r="GQ116" s="1256"/>
      <c r="GR116" s="1255">
        <f>(GR114*GR115*$G114)*$DB$8</f>
        <v>0</v>
      </c>
      <c r="GS116" s="1256"/>
      <c r="GT116" s="1255">
        <f>(GT114*GT115*$G114)*$DB$8</f>
        <v>0</v>
      </c>
      <c r="GU116" s="1256"/>
      <c r="GV116" s="1255">
        <f>(GV114*GV115*$G114)*$DB$8</f>
        <v>0</v>
      </c>
      <c r="GW116" s="1256"/>
      <c r="GX116" s="1255">
        <f>(GX114*GX115*$G114)*$DB$8</f>
        <v>0</v>
      </c>
      <c r="GY116" s="1256"/>
      <c r="GZ116" s="1255">
        <f>(GZ114*GZ115*$G114)*$DB$8</f>
        <v>0</v>
      </c>
      <c r="HA116" s="1256"/>
      <c r="HB116" s="1255">
        <f>(HB114*HB115*$G114)*$DB$8</f>
        <v>0</v>
      </c>
      <c r="HC116" s="1256"/>
      <c r="HD116" s="1255">
        <f>(HD114*HD115*$G114)*$DB$8</f>
        <v>0</v>
      </c>
      <c r="HE116" s="1256"/>
      <c r="HF116" s="1255">
        <f>(HF114*HF115*$G114)*$DB$8</f>
        <v>0</v>
      </c>
      <c r="HG116" s="1256"/>
      <c r="HH116" s="1255">
        <f>(HH114*HH115*$G114)*$DB$8</f>
        <v>0</v>
      </c>
      <c r="HI116" s="1256"/>
      <c r="HJ116" s="1255">
        <f>(HJ114*HJ115*$G114)*$DB$8</f>
        <v>0</v>
      </c>
      <c r="HK116" s="1256"/>
    </row>
    <row r="117" spans="1:219">
      <c r="A117" s="1299"/>
      <c r="B117" s="1300"/>
      <c r="C117" s="1299"/>
      <c r="D117" s="1301"/>
      <c r="E117" s="1301"/>
      <c r="F117" s="1302"/>
      <c r="G117" s="1301"/>
      <c r="H117" s="726"/>
      <c r="I117" s="1303"/>
      <c r="J117" s="1304"/>
      <c r="K117" s="787" t="s">
        <v>294</v>
      </c>
      <c r="L117" s="1272">
        <f>L116</f>
        <v>0</v>
      </c>
      <c r="M117" s="1273"/>
      <c r="N117" s="1272">
        <f>L117+N116</f>
        <v>0</v>
      </c>
      <c r="O117" s="1273"/>
      <c r="P117" s="1272">
        <f>N117+P116</f>
        <v>0</v>
      </c>
      <c r="Q117" s="1273"/>
      <c r="R117" s="1272"/>
      <c r="S117" s="1273"/>
      <c r="T117" s="1272">
        <f>R117+T116</f>
        <v>0</v>
      </c>
      <c r="U117" s="1273"/>
      <c r="V117" s="1272">
        <f>T117+V116</f>
        <v>0</v>
      </c>
      <c r="W117" s="1273"/>
      <c r="X117" s="1272">
        <f>V117+X116</f>
        <v>0</v>
      </c>
      <c r="Y117" s="1273"/>
      <c r="Z117" s="1272">
        <f>X117+Z116</f>
        <v>0</v>
      </c>
      <c r="AA117" s="1273"/>
      <c r="AB117" s="1272">
        <f>Z117+AB116</f>
        <v>0</v>
      </c>
      <c r="AC117" s="1273"/>
      <c r="AD117" s="1272">
        <f>AB117+AD116</f>
        <v>0</v>
      </c>
      <c r="AE117" s="1273"/>
      <c r="AF117" s="1272">
        <f>AD117+AF116</f>
        <v>0</v>
      </c>
      <c r="AG117" s="1273"/>
      <c r="AH117" s="1272">
        <f>AF117+AH116</f>
        <v>0</v>
      </c>
      <c r="AI117" s="1273"/>
      <c r="AJ117" s="1272">
        <f>AH117+AJ116</f>
        <v>0</v>
      </c>
      <c r="AK117" s="1273"/>
      <c r="AL117" s="1272">
        <f>AJ117+AL116</f>
        <v>0</v>
      </c>
      <c r="AM117" s="1273"/>
      <c r="AN117" s="1272">
        <f>AL117+AN116</f>
        <v>0</v>
      </c>
      <c r="AO117" s="1273"/>
      <c r="AP117" s="1272">
        <f>AN117+AP116</f>
        <v>0</v>
      </c>
      <c r="AQ117" s="1273"/>
      <c r="AR117" s="1272">
        <f>AP117+AR116</f>
        <v>0</v>
      </c>
      <c r="AS117" s="1273"/>
      <c r="AT117" s="1272">
        <f>AR117+AT116</f>
        <v>0</v>
      </c>
      <c r="AU117" s="1273"/>
      <c r="AV117" s="1272">
        <f>AT117+AV116</f>
        <v>0</v>
      </c>
      <c r="AW117" s="1273"/>
      <c r="AX117" s="1272">
        <f>AV117+AX116</f>
        <v>0</v>
      </c>
      <c r="AY117" s="1273"/>
      <c r="AZ117" s="1272">
        <f>AX117+AZ116</f>
        <v>0</v>
      </c>
      <c r="BA117" s="1273"/>
      <c r="BB117" s="1272">
        <f>AZ117+BB116</f>
        <v>0</v>
      </c>
      <c r="BC117" s="1273"/>
      <c r="BD117" s="1272">
        <f>BB117+BD116</f>
        <v>0</v>
      </c>
      <c r="BE117" s="1273"/>
      <c r="BF117" s="1272">
        <f>BD117+BF116</f>
        <v>0</v>
      </c>
      <c r="BG117" s="1273"/>
      <c r="BH117" s="1272">
        <f>BF117+BH116</f>
        <v>0</v>
      </c>
      <c r="BI117" s="1273"/>
      <c r="BJ117" s="1272">
        <f>BH117+BJ116</f>
        <v>0</v>
      </c>
      <c r="BK117" s="1273"/>
      <c r="BL117" s="1272">
        <f>BJ117+BL116</f>
        <v>0</v>
      </c>
      <c r="BM117" s="1273"/>
      <c r="BN117" s="1272">
        <f>BL117+BN116</f>
        <v>0</v>
      </c>
      <c r="BO117" s="1273"/>
      <c r="BP117" s="1272">
        <f>BN117+BP116</f>
        <v>0</v>
      </c>
      <c r="BQ117" s="1273"/>
      <c r="BR117" s="1272">
        <f>BP117+BR116</f>
        <v>0</v>
      </c>
      <c r="BS117" s="1273"/>
      <c r="BT117" s="1272">
        <f>BR117+BT116</f>
        <v>0</v>
      </c>
      <c r="BU117" s="1273"/>
      <c r="BV117" s="1272">
        <f>BT117+BV116</f>
        <v>0</v>
      </c>
      <c r="BW117" s="1273"/>
      <c r="BX117" s="1272">
        <f>BV117+BX116</f>
        <v>0</v>
      </c>
      <c r="BY117" s="1273"/>
      <c r="BZ117" s="1272">
        <f>BX117+BZ116</f>
        <v>0</v>
      </c>
      <c r="CA117" s="1273"/>
      <c r="CB117" s="1272">
        <f>BZ117+CB116</f>
        <v>3737.6</v>
      </c>
      <c r="CC117" s="1273"/>
      <c r="CD117" s="1272">
        <f>CB117+CD116</f>
        <v>11212.8</v>
      </c>
      <c r="CE117" s="1273"/>
      <c r="CF117" s="1272">
        <f>CD117+CF116</f>
        <v>18688</v>
      </c>
      <c r="CG117" s="1273"/>
      <c r="CH117" s="1272">
        <f>CF117+CH116</f>
        <v>26163.200000000001</v>
      </c>
      <c r="CI117" s="1273"/>
      <c r="CJ117" s="1272">
        <f>CH117+CJ116</f>
        <v>32000</v>
      </c>
      <c r="CK117" s="1273"/>
      <c r="CL117" s="1272">
        <f>CJ117+CL116</f>
        <v>32000</v>
      </c>
      <c r="CM117" s="1273"/>
      <c r="CN117" s="1272">
        <f>CL117+CN116</f>
        <v>32000</v>
      </c>
      <c r="CO117" s="1273"/>
      <c r="CP117" s="1272">
        <f>CN117+CP116</f>
        <v>32000</v>
      </c>
      <c r="CQ117" s="1273"/>
      <c r="CR117" s="1272">
        <f>CP117+CR116</f>
        <v>32000</v>
      </c>
      <c r="CS117" s="1273"/>
      <c r="CT117" s="1272">
        <f>CR117+CT116</f>
        <v>32000</v>
      </c>
      <c r="CU117" s="1273"/>
      <c r="CV117" s="1272">
        <f>CT117+CV116</f>
        <v>32000</v>
      </c>
      <c r="CW117" s="1273"/>
      <c r="CX117" s="1272">
        <f>CV117+CX116</f>
        <v>32000</v>
      </c>
      <c r="CY117" s="1273"/>
      <c r="CZ117" s="1272">
        <f>CX117+CZ116</f>
        <v>32000</v>
      </c>
      <c r="DA117" s="1273"/>
      <c r="DB117" s="1272">
        <f>CZ117+DB116</f>
        <v>32000</v>
      </c>
      <c r="DC117" s="1273"/>
      <c r="DD117" s="1272">
        <f>DB117+DD116</f>
        <v>32000</v>
      </c>
      <c r="DE117" s="1273"/>
      <c r="DF117" s="1272">
        <f>DD117+DF116</f>
        <v>32000</v>
      </c>
      <c r="DG117" s="1273"/>
      <c r="DH117" s="1272">
        <f>DF117+DH116</f>
        <v>32000</v>
      </c>
      <c r="DI117" s="1273"/>
      <c r="DJ117" s="1323">
        <f>DH117+DJ116</f>
        <v>32000</v>
      </c>
      <c r="DK117" s="1324"/>
      <c r="DL117" s="1272">
        <f>DJ117+DL116</f>
        <v>32000</v>
      </c>
      <c r="DM117" s="1273"/>
      <c r="DN117" s="1272">
        <f>DL117+DN116</f>
        <v>32000</v>
      </c>
      <c r="DO117" s="1273"/>
      <c r="DP117" s="1272">
        <f>DN117+DP116</f>
        <v>32000</v>
      </c>
      <c r="DQ117" s="1273"/>
      <c r="DR117" s="1272">
        <f>DP117+DR116</f>
        <v>32000</v>
      </c>
      <c r="DS117" s="1273"/>
      <c r="DT117" s="1272">
        <f>DR117+DT116</f>
        <v>32000</v>
      </c>
      <c r="DU117" s="1273"/>
      <c r="DV117" s="1272">
        <f>DT117+DV116</f>
        <v>32000</v>
      </c>
      <c r="DW117" s="1273"/>
      <c r="DX117" s="1272">
        <f>DV117+DX116</f>
        <v>32000</v>
      </c>
      <c r="DY117" s="1273"/>
      <c r="DZ117" s="1272">
        <f>DX117+DZ116</f>
        <v>32000</v>
      </c>
      <c r="EA117" s="1273"/>
      <c r="EB117" s="1272">
        <f>DZ117+EB116</f>
        <v>32000</v>
      </c>
      <c r="EC117" s="1273"/>
      <c r="ED117" s="1272">
        <f>EB117+ED116</f>
        <v>32000</v>
      </c>
      <c r="EE117" s="1273"/>
      <c r="EF117" s="1272">
        <f>ED117+EF116</f>
        <v>32000</v>
      </c>
      <c r="EG117" s="1273"/>
      <c r="EH117" s="1272">
        <f>EF117+EH116</f>
        <v>32000</v>
      </c>
      <c r="EI117" s="1273"/>
      <c r="EJ117" s="1272">
        <f>EH117+EJ116</f>
        <v>32000</v>
      </c>
      <c r="EK117" s="1273"/>
      <c r="EL117" s="1272">
        <f>EJ117+EL116</f>
        <v>32000</v>
      </c>
      <c r="EM117" s="1273"/>
      <c r="EN117" s="1272">
        <f>EL117+EN116</f>
        <v>32000</v>
      </c>
      <c r="EO117" s="1273"/>
      <c r="EP117" s="1272">
        <f>EN117+EP116</f>
        <v>32000</v>
      </c>
      <c r="EQ117" s="1273"/>
      <c r="ER117" s="1272">
        <f>EP117+ER116</f>
        <v>32000</v>
      </c>
      <c r="ES117" s="1273"/>
      <c r="ET117" s="1272">
        <f>ER117+ET116</f>
        <v>32000</v>
      </c>
      <c r="EU117" s="1273"/>
      <c r="EV117" s="1272">
        <f>ET117+EV116</f>
        <v>32000</v>
      </c>
      <c r="EW117" s="1273"/>
      <c r="EX117" s="1272">
        <f>EV117+EX116</f>
        <v>32000</v>
      </c>
      <c r="EY117" s="1273"/>
      <c r="EZ117" s="1272">
        <f>EX117+EZ116</f>
        <v>32000</v>
      </c>
      <c r="FA117" s="1273"/>
      <c r="FB117" s="1272">
        <f>EZ117+FB116</f>
        <v>32000</v>
      </c>
      <c r="FC117" s="1273"/>
      <c r="FD117" s="1272">
        <f>FB117+FD116</f>
        <v>32000</v>
      </c>
      <c r="FE117" s="1273"/>
      <c r="FF117" s="1272">
        <f>FD117+FF116</f>
        <v>32000</v>
      </c>
      <c r="FG117" s="1273"/>
      <c r="FH117" s="1272">
        <f>FF117+FH116</f>
        <v>32000</v>
      </c>
      <c r="FI117" s="1273"/>
      <c r="FJ117" s="1272">
        <f>FH117+FJ116</f>
        <v>32000</v>
      </c>
      <c r="FK117" s="1273"/>
      <c r="FL117" s="1272">
        <f>FJ117+FL116</f>
        <v>32000</v>
      </c>
      <c r="FM117" s="1273"/>
      <c r="FN117" s="1272">
        <f>FL117+FN116</f>
        <v>32000</v>
      </c>
      <c r="FO117" s="1273"/>
      <c r="FP117" s="1272">
        <f>FN117+FP116</f>
        <v>32000</v>
      </c>
      <c r="FQ117" s="1273"/>
      <c r="FR117" s="1272">
        <f>FP117+FR116</f>
        <v>32000</v>
      </c>
      <c r="FS117" s="1273"/>
      <c r="FT117" s="1272">
        <f>FR117+FT116</f>
        <v>32000</v>
      </c>
      <c r="FU117" s="1273"/>
      <c r="FV117" s="1272">
        <f>FT117+FV116</f>
        <v>32000</v>
      </c>
      <c r="FW117" s="1273"/>
      <c r="FX117" s="1272">
        <f>FV117+FX116</f>
        <v>32000</v>
      </c>
      <c r="FY117" s="1273"/>
      <c r="FZ117" s="1272">
        <f>FX117+FZ116</f>
        <v>32000</v>
      </c>
      <c r="GA117" s="1273"/>
      <c r="GB117" s="1272">
        <f>FZ117+GB116</f>
        <v>32000</v>
      </c>
      <c r="GC117" s="1273"/>
      <c r="GD117" s="1272">
        <f>GB117+GD116</f>
        <v>32000</v>
      </c>
      <c r="GE117" s="1273"/>
      <c r="GF117" s="1272">
        <f>GD117+GF116</f>
        <v>32000</v>
      </c>
      <c r="GG117" s="1273"/>
      <c r="GH117" s="1272">
        <f>GF117+GH116</f>
        <v>32000</v>
      </c>
      <c r="GI117" s="1273"/>
      <c r="GJ117" s="1272">
        <f>GH117+GJ116</f>
        <v>32000</v>
      </c>
      <c r="GK117" s="1273"/>
      <c r="GL117" s="1272">
        <f>GJ117+GL116</f>
        <v>32000</v>
      </c>
      <c r="GM117" s="1273"/>
      <c r="GN117" s="1272">
        <f>GL117+GN116</f>
        <v>32000</v>
      </c>
      <c r="GO117" s="1273"/>
      <c r="GP117" s="1272">
        <f>GN117+GP116</f>
        <v>32000</v>
      </c>
      <c r="GQ117" s="1273"/>
      <c r="GR117" s="1272">
        <f>GP117+GR116</f>
        <v>32000</v>
      </c>
      <c r="GS117" s="1273"/>
      <c r="GT117" s="1272">
        <f>GR117+GT116</f>
        <v>32000</v>
      </c>
      <c r="GU117" s="1273"/>
      <c r="GV117" s="1272">
        <f>GT117+GV116</f>
        <v>32000</v>
      </c>
      <c r="GW117" s="1273"/>
      <c r="GX117" s="1272">
        <f>GV117+GX116</f>
        <v>32000</v>
      </c>
      <c r="GY117" s="1273"/>
      <c r="GZ117" s="1272">
        <f>GX117+GZ116</f>
        <v>32000</v>
      </c>
      <c r="HA117" s="1273"/>
      <c r="HB117" s="1272">
        <f>GZ117+HB116</f>
        <v>32000</v>
      </c>
      <c r="HC117" s="1273"/>
      <c r="HD117" s="1272">
        <f>HB117+HD116</f>
        <v>32000</v>
      </c>
      <c r="HE117" s="1273"/>
      <c r="HF117" s="1272">
        <f>HD117+HF116</f>
        <v>32000</v>
      </c>
      <c r="HG117" s="1273"/>
      <c r="HH117" s="1272">
        <f>HF117+HH116</f>
        <v>32000</v>
      </c>
      <c r="HI117" s="1273"/>
      <c r="HJ117" s="1272">
        <f>HH117+HJ116</f>
        <v>32000</v>
      </c>
      <c r="HK117" s="1273"/>
    </row>
    <row r="118" spans="1:219" s="19" customFormat="1">
      <c r="A118" s="1299"/>
      <c r="B118" s="1300"/>
      <c r="C118" s="1299"/>
      <c r="D118" s="1301"/>
      <c r="E118" s="1301"/>
      <c r="F118" s="1302"/>
      <c r="G118" s="1301"/>
      <c r="H118" s="788"/>
      <c r="I118" s="1303"/>
      <c r="J118" s="1304"/>
      <c r="K118" s="789" t="s">
        <v>295</v>
      </c>
      <c r="L118" s="1266"/>
      <c r="M118" s="1267"/>
      <c r="N118" s="1266"/>
      <c r="O118" s="1267"/>
      <c r="P118" s="1266"/>
      <c r="Q118" s="1267"/>
      <c r="R118" s="1266"/>
      <c r="S118" s="1267"/>
      <c r="T118" s="1266"/>
      <c r="U118" s="1267"/>
      <c r="V118" s="1266"/>
      <c r="W118" s="1267"/>
      <c r="X118" s="1266"/>
      <c r="Y118" s="1267"/>
      <c r="Z118" s="1266"/>
      <c r="AA118" s="1267"/>
      <c r="AB118" s="1266"/>
      <c r="AC118" s="1267"/>
      <c r="AD118" s="1266"/>
      <c r="AE118" s="1267"/>
      <c r="AF118" s="1266"/>
      <c r="AG118" s="1267"/>
      <c r="AH118" s="1266"/>
      <c r="AI118" s="1267"/>
      <c r="AJ118" s="1266"/>
      <c r="AK118" s="1267"/>
      <c r="AL118" s="1266"/>
      <c r="AM118" s="1267"/>
      <c r="AN118" s="1266"/>
      <c r="AO118" s="1267"/>
      <c r="AP118" s="1266"/>
      <c r="AQ118" s="1267"/>
      <c r="AR118" s="1266"/>
      <c r="AS118" s="1267"/>
      <c r="AT118" s="1266"/>
      <c r="AU118" s="1267"/>
      <c r="AV118" s="1266"/>
      <c r="AW118" s="1267"/>
      <c r="AX118" s="1266"/>
      <c r="AY118" s="1267"/>
      <c r="AZ118" s="1266"/>
      <c r="BA118" s="1267"/>
      <c r="BB118" s="1266"/>
      <c r="BC118" s="1267"/>
      <c r="BD118" s="1266"/>
      <c r="BE118" s="1267"/>
      <c r="BF118" s="1266"/>
      <c r="BG118" s="1267"/>
      <c r="BH118" s="1266"/>
      <c r="BI118" s="1267"/>
      <c r="BJ118" s="1266"/>
      <c r="BK118" s="1267"/>
      <c r="BL118" s="1266"/>
      <c r="BM118" s="1267"/>
      <c r="BN118" s="1266"/>
      <c r="BO118" s="1267"/>
      <c r="BP118" s="1266"/>
      <c r="BQ118" s="1267"/>
      <c r="BR118" s="1266"/>
      <c r="BS118" s="1267"/>
      <c r="BT118" s="1266"/>
      <c r="BU118" s="1267"/>
      <c r="BV118" s="1266"/>
      <c r="BW118" s="1267"/>
      <c r="BX118" s="1266"/>
      <c r="BY118" s="1267"/>
      <c r="BZ118" s="1266"/>
      <c r="CA118" s="1267"/>
      <c r="CB118" s="1266"/>
      <c r="CC118" s="1267"/>
      <c r="CD118" s="1266"/>
      <c r="CE118" s="1267"/>
      <c r="CF118" s="1266"/>
      <c r="CG118" s="1267"/>
      <c r="CH118" s="1266"/>
      <c r="CI118" s="1267"/>
      <c r="CJ118" s="1266"/>
      <c r="CK118" s="1267"/>
      <c r="CL118" s="1266"/>
      <c r="CM118" s="1267"/>
      <c r="CN118" s="1266"/>
      <c r="CO118" s="1267"/>
      <c r="CP118" s="1266"/>
      <c r="CQ118" s="1267"/>
      <c r="CR118" s="1266"/>
      <c r="CS118" s="1267"/>
      <c r="CT118" s="1266"/>
      <c r="CU118" s="1267"/>
      <c r="CV118" s="1266"/>
      <c r="CW118" s="1267"/>
      <c r="CX118" s="1266"/>
      <c r="CY118" s="1267"/>
      <c r="CZ118" s="1266"/>
      <c r="DA118" s="1267"/>
      <c r="DB118" s="1266"/>
      <c r="DC118" s="1267"/>
      <c r="DD118" s="1266"/>
      <c r="DE118" s="1267"/>
      <c r="DF118" s="1266"/>
      <c r="DG118" s="1267"/>
      <c r="DH118" s="1266"/>
      <c r="DI118" s="1267"/>
      <c r="DJ118" s="1268"/>
      <c r="DK118" s="1269"/>
      <c r="DL118" s="1266"/>
      <c r="DM118" s="1267"/>
      <c r="DN118" s="1266"/>
      <c r="DO118" s="1267"/>
      <c r="DP118" s="1266"/>
      <c r="DQ118" s="1267"/>
      <c r="DR118" s="1266"/>
      <c r="DS118" s="1267"/>
      <c r="DT118" s="1266"/>
      <c r="DU118" s="1267"/>
      <c r="DV118" s="1266"/>
      <c r="DW118" s="1267"/>
      <c r="DX118" s="1266"/>
      <c r="DY118" s="1267"/>
      <c r="DZ118" s="1266"/>
      <c r="EA118" s="1267"/>
      <c r="EB118" s="1266"/>
      <c r="EC118" s="1267"/>
      <c r="ED118" s="1266"/>
      <c r="EE118" s="1267"/>
      <c r="EF118" s="1266"/>
      <c r="EG118" s="1267"/>
      <c r="EH118" s="1266"/>
      <c r="EI118" s="1267"/>
      <c r="EJ118" s="1266"/>
      <c r="EK118" s="1267"/>
      <c r="EL118" s="1266"/>
      <c r="EM118" s="1267"/>
      <c r="EN118" s="1266"/>
      <c r="EO118" s="1267"/>
      <c r="EP118" s="1266"/>
      <c r="EQ118" s="1267"/>
      <c r="ER118" s="1266"/>
      <c r="ES118" s="1267"/>
      <c r="ET118" s="1266"/>
      <c r="EU118" s="1267"/>
      <c r="EV118" s="1266"/>
      <c r="EW118" s="1267"/>
      <c r="EX118" s="1266"/>
      <c r="EY118" s="1267"/>
      <c r="EZ118" s="1266"/>
      <c r="FA118" s="1267"/>
      <c r="FB118" s="1266"/>
      <c r="FC118" s="1267"/>
      <c r="FD118" s="1266"/>
      <c r="FE118" s="1267"/>
      <c r="FF118" s="1266"/>
      <c r="FG118" s="1267"/>
      <c r="FH118" s="1266"/>
      <c r="FI118" s="1267"/>
      <c r="FJ118" s="1266"/>
      <c r="FK118" s="1267"/>
      <c r="FL118" s="1266"/>
      <c r="FM118" s="1267"/>
      <c r="FN118" s="1266"/>
      <c r="FO118" s="1267"/>
      <c r="FP118" s="1266"/>
      <c r="FQ118" s="1267"/>
      <c r="FR118" s="1266"/>
      <c r="FS118" s="1267"/>
      <c r="FT118" s="1266"/>
      <c r="FU118" s="1267"/>
      <c r="FV118" s="1266"/>
      <c r="FW118" s="1267"/>
      <c r="FX118" s="1266"/>
      <c r="FY118" s="1267"/>
      <c r="FZ118" s="1266"/>
      <c r="GA118" s="1267"/>
      <c r="GB118" s="1266"/>
      <c r="GC118" s="1267"/>
      <c r="GD118" s="1266"/>
      <c r="GE118" s="1267"/>
      <c r="GF118" s="1266"/>
      <c r="GG118" s="1267"/>
      <c r="GH118" s="1266"/>
      <c r="GI118" s="1267"/>
      <c r="GJ118" s="1266"/>
      <c r="GK118" s="1267"/>
      <c r="GL118" s="1266"/>
      <c r="GM118" s="1267"/>
      <c r="GN118" s="1266"/>
      <c r="GO118" s="1267"/>
      <c r="GP118" s="1266"/>
      <c r="GQ118" s="1267"/>
      <c r="GR118" s="1266"/>
      <c r="GS118" s="1267"/>
      <c r="GT118" s="1266"/>
      <c r="GU118" s="1267"/>
      <c r="GV118" s="1266"/>
      <c r="GW118" s="1267"/>
      <c r="GX118" s="1266"/>
      <c r="GY118" s="1267"/>
      <c r="GZ118" s="1266"/>
      <c r="HA118" s="1267"/>
      <c r="HB118" s="1266"/>
      <c r="HC118" s="1267"/>
      <c r="HD118" s="1266"/>
      <c r="HE118" s="1267"/>
      <c r="HF118" s="1266"/>
      <c r="HG118" s="1267"/>
      <c r="HH118" s="1266"/>
      <c r="HI118" s="1267"/>
      <c r="HJ118" s="1266"/>
      <c r="HK118" s="1267"/>
    </row>
    <row r="119" spans="1:219" s="20" customFormat="1">
      <c r="A119" s="1299"/>
      <c r="B119" s="1300"/>
      <c r="C119" s="1299"/>
      <c r="D119" s="1301"/>
      <c r="E119" s="1301"/>
      <c r="F119" s="1302"/>
      <c r="G119" s="1301"/>
      <c r="H119" s="790"/>
      <c r="I119" s="1303"/>
      <c r="J119" s="1304"/>
      <c r="K119" s="791" t="s">
        <v>296</v>
      </c>
      <c r="L119" s="1259">
        <f>L118</f>
        <v>0</v>
      </c>
      <c r="M119" s="1260"/>
      <c r="N119" s="1259">
        <f>N118+L119</f>
        <v>0</v>
      </c>
      <c r="O119" s="1260"/>
      <c r="P119" s="1259">
        <f>P118+N119</f>
        <v>0</v>
      </c>
      <c r="Q119" s="1260"/>
      <c r="R119" s="1259"/>
      <c r="S119" s="1260"/>
      <c r="T119" s="1259">
        <f>T118+R119</f>
        <v>0</v>
      </c>
      <c r="U119" s="1260"/>
      <c r="V119" s="1259">
        <f>V118+T119</f>
        <v>0</v>
      </c>
      <c r="W119" s="1260"/>
      <c r="X119" s="1259">
        <f>X118+V119</f>
        <v>0</v>
      </c>
      <c r="Y119" s="1260"/>
      <c r="Z119" s="1259">
        <f>Z118+X119</f>
        <v>0</v>
      </c>
      <c r="AA119" s="1260"/>
      <c r="AB119" s="1259">
        <f>AB118+Z119</f>
        <v>0</v>
      </c>
      <c r="AC119" s="1260"/>
      <c r="AD119" s="1259">
        <f>AD118+AB119</f>
        <v>0</v>
      </c>
      <c r="AE119" s="1260"/>
      <c r="AF119" s="1259">
        <f>AF118+AD119</f>
        <v>0</v>
      </c>
      <c r="AG119" s="1260"/>
      <c r="AH119" s="1259">
        <f>AH118+AF119</f>
        <v>0</v>
      </c>
      <c r="AI119" s="1260"/>
      <c r="AJ119" s="1259">
        <f>AJ118+AH119</f>
        <v>0</v>
      </c>
      <c r="AK119" s="1260"/>
      <c r="AL119" s="1259">
        <f>AL118+AJ119</f>
        <v>0</v>
      </c>
      <c r="AM119" s="1260"/>
      <c r="AN119" s="1259">
        <f>AN118+AL119</f>
        <v>0</v>
      </c>
      <c r="AO119" s="1260"/>
      <c r="AP119" s="1259">
        <f>AP118+AN119</f>
        <v>0</v>
      </c>
      <c r="AQ119" s="1260"/>
      <c r="AR119" s="1259">
        <f>AR118+AP119</f>
        <v>0</v>
      </c>
      <c r="AS119" s="1260"/>
      <c r="AT119" s="1259">
        <f>AT118+AR119</f>
        <v>0</v>
      </c>
      <c r="AU119" s="1260"/>
      <c r="AV119" s="1259">
        <f>AV118+AT119</f>
        <v>0</v>
      </c>
      <c r="AW119" s="1260"/>
      <c r="AX119" s="1259">
        <f>AX118+AV119</f>
        <v>0</v>
      </c>
      <c r="AY119" s="1260"/>
      <c r="AZ119" s="1259">
        <f>AZ118+AX119</f>
        <v>0</v>
      </c>
      <c r="BA119" s="1260"/>
      <c r="BB119" s="1259">
        <f>BB118+AZ119</f>
        <v>0</v>
      </c>
      <c r="BC119" s="1260"/>
      <c r="BD119" s="1259">
        <f>BD118+BB119</f>
        <v>0</v>
      </c>
      <c r="BE119" s="1260"/>
      <c r="BF119" s="1259">
        <f>BF118+BD119</f>
        <v>0</v>
      </c>
      <c r="BG119" s="1260"/>
      <c r="BH119" s="1259">
        <f>BH118+BF119</f>
        <v>0</v>
      </c>
      <c r="BI119" s="1260"/>
      <c r="BJ119" s="1259">
        <f>BJ118+BH119</f>
        <v>0</v>
      </c>
      <c r="BK119" s="1260"/>
      <c r="BL119" s="1259">
        <f>BL118+BJ119</f>
        <v>0</v>
      </c>
      <c r="BM119" s="1260"/>
      <c r="BN119" s="1259">
        <f>BN118+BL119</f>
        <v>0</v>
      </c>
      <c r="BO119" s="1260"/>
      <c r="BP119" s="1259">
        <f>BP118+BN119</f>
        <v>0</v>
      </c>
      <c r="BQ119" s="1260"/>
      <c r="BR119" s="1259">
        <f>BR118+BP119</f>
        <v>0</v>
      </c>
      <c r="BS119" s="1260"/>
      <c r="BT119" s="1259">
        <f>BT118+BR119</f>
        <v>0</v>
      </c>
      <c r="BU119" s="1260"/>
      <c r="BV119" s="1259">
        <f>BV118+BT119</f>
        <v>0</v>
      </c>
      <c r="BW119" s="1260"/>
      <c r="BX119" s="1259">
        <f>BX118+BV119</f>
        <v>0</v>
      </c>
      <c r="BY119" s="1260"/>
      <c r="BZ119" s="1259">
        <f>BZ118+BX119</f>
        <v>0</v>
      </c>
      <c r="CA119" s="1260"/>
      <c r="CB119" s="1259">
        <f>CB118+BZ119</f>
        <v>0</v>
      </c>
      <c r="CC119" s="1260"/>
      <c r="CD119" s="1259">
        <f>CD118+CB119</f>
        <v>0</v>
      </c>
      <c r="CE119" s="1260"/>
      <c r="CF119" s="1259">
        <f>CF118+CD119</f>
        <v>0</v>
      </c>
      <c r="CG119" s="1260"/>
      <c r="CH119" s="1259">
        <f>CH118+CF119</f>
        <v>0</v>
      </c>
      <c r="CI119" s="1260"/>
      <c r="CJ119" s="1259">
        <f>CJ118+CH119</f>
        <v>0</v>
      </c>
      <c r="CK119" s="1260"/>
      <c r="CL119" s="1259">
        <f>CL118+CJ119</f>
        <v>0</v>
      </c>
      <c r="CM119" s="1260"/>
      <c r="CN119" s="1259">
        <f>CN118+CL119</f>
        <v>0</v>
      </c>
      <c r="CO119" s="1260"/>
      <c r="CP119" s="1259">
        <f>CP118+CN119</f>
        <v>0</v>
      </c>
      <c r="CQ119" s="1260"/>
      <c r="CR119" s="1259">
        <f>CR118+CP119</f>
        <v>0</v>
      </c>
      <c r="CS119" s="1260"/>
      <c r="CT119" s="1259">
        <f>CT118+CR119</f>
        <v>0</v>
      </c>
      <c r="CU119" s="1260"/>
      <c r="CV119" s="1259">
        <f>CV118+CT119</f>
        <v>0</v>
      </c>
      <c r="CW119" s="1260"/>
      <c r="CX119" s="1259">
        <f>CX118+CV119</f>
        <v>0</v>
      </c>
      <c r="CY119" s="1260"/>
      <c r="CZ119" s="1259">
        <f>CZ118+CX119</f>
        <v>0</v>
      </c>
      <c r="DA119" s="1260"/>
      <c r="DB119" s="1259">
        <f>DB118+CZ119</f>
        <v>0</v>
      </c>
      <c r="DC119" s="1260"/>
      <c r="DD119" s="1259">
        <f>DD118+DB119</f>
        <v>0</v>
      </c>
      <c r="DE119" s="1260"/>
      <c r="DF119" s="1259">
        <f>DF118+DD119</f>
        <v>0</v>
      </c>
      <c r="DG119" s="1260"/>
      <c r="DH119" s="1259">
        <f>DH118+DF119</f>
        <v>0</v>
      </c>
      <c r="DI119" s="1260"/>
      <c r="DJ119" s="1261">
        <f>DJ118+DH119</f>
        <v>0</v>
      </c>
      <c r="DK119" s="1262"/>
      <c r="DL119" s="1259">
        <f>DL118+DJ119</f>
        <v>0</v>
      </c>
      <c r="DM119" s="1260"/>
      <c r="DN119" s="1259">
        <f>DN118+DL119</f>
        <v>0</v>
      </c>
      <c r="DO119" s="1260"/>
      <c r="DP119" s="1259">
        <f>DP118+DN119</f>
        <v>0</v>
      </c>
      <c r="DQ119" s="1260"/>
      <c r="DR119" s="1259">
        <f>DR118+DP119</f>
        <v>0</v>
      </c>
      <c r="DS119" s="1260"/>
      <c r="DT119" s="1259">
        <f>DT118+DR119</f>
        <v>0</v>
      </c>
      <c r="DU119" s="1260"/>
      <c r="DV119" s="1259">
        <f>DV118+DT119</f>
        <v>0</v>
      </c>
      <c r="DW119" s="1260"/>
      <c r="DX119" s="1259">
        <f>DX118+DV119</f>
        <v>0</v>
      </c>
      <c r="DY119" s="1260"/>
      <c r="DZ119" s="1259">
        <f>DZ118+DX119</f>
        <v>0</v>
      </c>
      <c r="EA119" s="1260"/>
      <c r="EB119" s="1259">
        <f>EB118+DZ119</f>
        <v>0</v>
      </c>
      <c r="EC119" s="1260"/>
      <c r="ED119" s="1259">
        <f>ED118+EB119</f>
        <v>0</v>
      </c>
      <c r="EE119" s="1260"/>
      <c r="EF119" s="1259">
        <f>EF118+ED119</f>
        <v>0</v>
      </c>
      <c r="EG119" s="1260"/>
      <c r="EH119" s="1259">
        <f>EH118+EF119</f>
        <v>0</v>
      </c>
      <c r="EI119" s="1260"/>
      <c r="EJ119" s="1259">
        <f>EJ118+EH119</f>
        <v>0</v>
      </c>
      <c r="EK119" s="1260"/>
      <c r="EL119" s="1259">
        <f>EL118+EJ119</f>
        <v>0</v>
      </c>
      <c r="EM119" s="1260"/>
      <c r="EN119" s="1259">
        <f>EN118+EL119</f>
        <v>0</v>
      </c>
      <c r="EO119" s="1260"/>
      <c r="EP119" s="1259">
        <f>EP118+EN119</f>
        <v>0</v>
      </c>
      <c r="EQ119" s="1260"/>
      <c r="ER119" s="1259">
        <f>ER118+EP119</f>
        <v>0</v>
      </c>
      <c r="ES119" s="1260"/>
      <c r="ET119" s="1259">
        <f>ET118+ER119</f>
        <v>0</v>
      </c>
      <c r="EU119" s="1260"/>
      <c r="EV119" s="1259">
        <f>EV118+ET119</f>
        <v>0</v>
      </c>
      <c r="EW119" s="1260"/>
      <c r="EX119" s="1259">
        <f>EX118+EV119</f>
        <v>0</v>
      </c>
      <c r="EY119" s="1260"/>
      <c r="EZ119" s="1259">
        <f>EZ118+EX119</f>
        <v>0</v>
      </c>
      <c r="FA119" s="1260"/>
      <c r="FB119" s="1259">
        <f>FB118+EZ119</f>
        <v>0</v>
      </c>
      <c r="FC119" s="1260"/>
      <c r="FD119" s="1259">
        <f>FD118+FB119</f>
        <v>0</v>
      </c>
      <c r="FE119" s="1260"/>
      <c r="FF119" s="1259">
        <f>FF118+FD119</f>
        <v>0</v>
      </c>
      <c r="FG119" s="1260"/>
      <c r="FH119" s="1259">
        <f>FH118+FF119</f>
        <v>0</v>
      </c>
      <c r="FI119" s="1260"/>
      <c r="FJ119" s="1259">
        <f>FJ118+FH119</f>
        <v>0</v>
      </c>
      <c r="FK119" s="1260"/>
      <c r="FL119" s="1259">
        <f>FL118+FJ119</f>
        <v>0</v>
      </c>
      <c r="FM119" s="1260"/>
      <c r="FN119" s="1259">
        <f>FN118+FL119</f>
        <v>0</v>
      </c>
      <c r="FO119" s="1260"/>
      <c r="FP119" s="1259">
        <f>FP118+FN119</f>
        <v>0</v>
      </c>
      <c r="FQ119" s="1260"/>
      <c r="FR119" s="1259">
        <f>FR118+FP119</f>
        <v>0</v>
      </c>
      <c r="FS119" s="1260"/>
      <c r="FT119" s="1259">
        <f>FT118+FR119</f>
        <v>0</v>
      </c>
      <c r="FU119" s="1260"/>
      <c r="FV119" s="1259">
        <f>FV118+FT119</f>
        <v>0</v>
      </c>
      <c r="FW119" s="1260"/>
      <c r="FX119" s="1259">
        <f>FX118+FV119</f>
        <v>0</v>
      </c>
      <c r="FY119" s="1260"/>
      <c r="FZ119" s="1259">
        <f>FZ118+FX119</f>
        <v>0</v>
      </c>
      <c r="GA119" s="1260"/>
      <c r="GB119" s="1259">
        <f>GB118+FZ119</f>
        <v>0</v>
      </c>
      <c r="GC119" s="1260"/>
      <c r="GD119" s="1259">
        <f>GD118+GB119</f>
        <v>0</v>
      </c>
      <c r="GE119" s="1260"/>
      <c r="GF119" s="1259">
        <f>GF118+GD119</f>
        <v>0</v>
      </c>
      <c r="GG119" s="1260"/>
      <c r="GH119" s="1259">
        <f>GH118+GF119</f>
        <v>0</v>
      </c>
      <c r="GI119" s="1260"/>
      <c r="GJ119" s="1259">
        <f>GJ118+GH119</f>
        <v>0</v>
      </c>
      <c r="GK119" s="1260"/>
      <c r="GL119" s="1259">
        <f>GL118+GJ119</f>
        <v>0</v>
      </c>
      <c r="GM119" s="1260"/>
      <c r="GN119" s="1259">
        <f>GN118+GL119</f>
        <v>0</v>
      </c>
      <c r="GO119" s="1260"/>
      <c r="GP119" s="1259">
        <f>GP118+GN119</f>
        <v>0</v>
      </c>
      <c r="GQ119" s="1260"/>
      <c r="GR119" s="1259">
        <f>GR118+GP119</f>
        <v>0</v>
      </c>
      <c r="GS119" s="1260"/>
      <c r="GT119" s="1259">
        <f>GT118+GR119</f>
        <v>0</v>
      </c>
      <c r="GU119" s="1260"/>
      <c r="GV119" s="1259">
        <f>GV118+GT119</f>
        <v>0</v>
      </c>
      <c r="GW119" s="1260"/>
      <c r="GX119" s="1259">
        <f>GX118+GV119</f>
        <v>0</v>
      </c>
      <c r="GY119" s="1260"/>
      <c r="GZ119" s="1259">
        <f>GZ118+GX119</f>
        <v>0</v>
      </c>
      <c r="HA119" s="1260"/>
      <c r="HB119" s="1259">
        <f>HB118+GZ119</f>
        <v>0</v>
      </c>
      <c r="HC119" s="1260"/>
      <c r="HD119" s="1259">
        <f>HD118+HB119</f>
        <v>0</v>
      </c>
      <c r="HE119" s="1260"/>
      <c r="HF119" s="1259">
        <f>HF118+HD119</f>
        <v>0</v>
      </c>
      <c r="HG119" s="1260"/>
      <c r="HH119" s="1259">
        <f>HH118+HF119</f>
        <v>0</v>
      </c>
      <c r="HI119" s="1260"/>
      <c r="HJ119" s="1259">
        <f>HJ118+HH119</f>
        <v>0</v>
      </c>
      <c r="HK119" s="1260"/>
    </row>
    <row r="120" spans="1:219" s="21" customFormat="1">
      <c r="A120" s="1299"/>
      <c r="B120" s="1300"/>
      <c r="C120" s="1299"/>
      <c r="D120" s="1301"/>
      <c r="E120" s="1301"/>
      <c r="F120" s="1302"/>
      <c r="G120" s="1301"/>
      <c r="H120" s="792"/>
      <c r="I120" s="1303"/>
      <c r="J120" s="1304"/>
      <c r="K120" s="793" t="s">
        <v>297</v>
      </c>
      <c r="L120" s="1270">
        <f>IF($E114&gt;0,L117/$E114,"-")</f>
        <v>0</v>
      </c>
      <c r="M120" s="1271"/>
      <c r="N120" s="1270">
        <f>IF($E114&gt;0,N117/$E114,"-")</f>
        <v>0</v>
      </c>
      <c r="O120" s="1271"/>
      <c r="P120" s="1270">
        <f>IF($E114&gt;0,P117/$E114,"-")</f>
        <v>0</v>
      </c>
      <c r="Q120" s="1271"/>
      <c r="R120" s="1270"/>
      <c r="S120" s="1271"/>
      <c r="T120" s="1270">
        <f>IF($E114&gt;0,T117/$E114,"-")</f>
        <v>0</v>
      </c>
      <c r="U120" s="1271"/>
      <c r="V120" s="1270">
        <f>IF($E114&gt;0,V117/$E114,"-")</f>
        <v>0</v>
      </c>
      <c r="W120" s="1271"/>
      <c r="X120" s="1270">
        <f>IF($E114&gt;0,X117/$E114,"-")</f>
        <v>0</v>
      </c>
      <c r="Y120" s="1271"/>
      <c r="Z120" s="1270">
        <f>IF($E114&gt;0,Z117/$E114,"-")</f>
        <v>0</v>
      </c>
      <c r="AA120" s="1271"/>
      <c r="AB120" s="1270">
        <f>IF($E114&gt;0,AB117/$E114,"-")</f>
        <v>0</v>
      </c>
      <c r="AC120" s="1271"/>
      <c r="AD120" s="1270">
        <f>IF($E114&gt;0,AD117/$E114,"-")</f>
        <v>0</v>
      </c>
      <c r="AE120" s="1271"/>
      <c r="AF120" s="1270">
        <f>IF($E114&gt;0,AF117/$E114,"-")</f>
        <v>0</v>
      </c>
      <c r="AG120" s="1271"/>
      <c r="AH120" s="1270">
        <f>IF($E114&gt;0,AH117/$E114,"-")</f>
        <v>0</v>
      </c>
      <c r="AI120" s="1271"/>
      <c r="AJ120" s="1270">
        <f>IF($E114&gt;0,AJ117/$E114,"-")</f>
        <v>0</v>
      </c>
      <c r="AK120" s="1271"/>
      <c r="AL120" s="1270">
        <f>IF($E114&gt;0,AL117/$E114,"-")</f>
        <v>0</v>
      </c>
      <c r="AM120" s="1271"/>
      <c r="AN120" s="1270">
        <f>IF($E114&gt;0,AN117/$E114,"-")</f>
        <v>0</v>
      </c>
      <c r="AO120" s="1271"/>
      <c r="AP120" s="1270">
        <f>IF($E114&gt;0,AP117/$E114,"-")</f>
        <v>0</v>
      </c>
      <c r="AQ120" s="1271"/>
      <c r="AR120" s="1270">
        <f>IF($E114&gt;0,AR117/$E114,"-")</f>
        <v>0</v>
      </c>
      <c r="AS120" s="1271"/>
      <c r="AT120" s="1270">
        <f>IF($E114&gt;0,AT117/$E114,"-")</f>
        <v>0</v>
      </c>
      <c r="AU120" s="1271"/>
      <c r="AV120" s="1270">
        <f>IF($E114&gt;0,AV117/$E114,"-")</f>
        <v>0</v>
      </c>
      <c r="AW120" s="1271"/>
      <c r="AX120" s="1270">
        <f>IF($E114&gt;0,AX117/$E114,"-")</f>
        <v>0</v>
      </c>
      <c r="AY120" s="1271"/>
      <c r="AZ120" s="1270">
        <f>IF($E114&gt;0,AZ117/$E114,"-")</f>
        <v>0</v>
      </c>
      <c r="BA120" s="1271"/>
      <c r="BB120" s="1270">
        <f>IF($E114&gt;0,BB117/$E114,"-")</f>
        <v>0</v>
      </c>
      <c r="BC120" s="1271"/>
      <c r="BD120" s="1270">
        <f>IF($E114&gt;0,BD117/$E114,"-")</f>
        <v>0</v>
      </c>
      <c r="BE120" s="1271"/>
      <c r="BF120" s="1270">
        <f>IF($E114&gt;0,BF117/$E114,"-")</f>
        <v>0</v>
      </c>
      <c r="BG120" s="1271"/>
      <c r="BH120" s="1270">
        <f>IF($E114&gt;0,BH117/$E114,"-")</f>
        <v>0</v>
      </c>
      <c r="BI120" s="1271"/>
      <c r="BJ120" s="1270">
        <f>IF($E114&gt;0,BJ117/$E114,"-")</f>
        <v>0</v>
      </c>
      <c r="BK120" s="1271"/>
      <c r="BL120" s="1270">
        <f>IF($E114&gt;0,BL117/$E114,"-")</f>
        <v>0</v>
      </c>
      <c r="BM120" s="1271"/>
      <c r="BN120" s="1270">
        <f>IF($E114&gt;0,BN117/$E114,"-")</f>
        <v>0</v>
      </c>
      <c r="BO120" s="1271"/>
      <c r="BP120" s="1270">
        <f>IF($E114&gt;0,BP117/$E114,"-")</f>
        <v>0</v>
      </c>
      <c r="BQ120" s="1271"/>
      <c r="BR120" s="1270">
        <f>IF($E114&gt;0,BR117/$E114,"-")</f>
        <v>0</v>
      </c>
      <c r="BS120" s="1271"/>
      <c r="BT120" s="1270">
        <f>IF($E114&gt;0,BT117/$E114,"-")</f>
        <v>0</v>
      </c>
      <c r="BU120" s="1271"/>
      <c r="BV120" s="1270">
        <f>IF($E114&gt;0,BV117/$E114,"-")</f>
        <v>0</v>
      </c>
      <c r="BW120" s="1271"/>
      <c r="BX120" s="1270">
        <f>IF($E114&gt;0,BX117/$E114,"-")</f>
        <v>0</v>
      </c>
      <c r="BY120" s="1271"/>
      <c r="BZ120" s="1270">
        <f>IF($E114&gt;0,BZ117/$E114,"-")</f>
        <v>0</v>
      </c>
      <c r="CA120" s="1271"/>
      <c r="CB120" s="1270">
        <f>IF($E114&gt;0,CB117/$E114,"-")</f>
        <v>0.1168</v>
      </c>
      <c r="CC120" s="1271"/>
      <c r="CD120" s="1270">
        <f>IF($E114&gt;0,CD117/$E114,"-")</f>
        <v>0.35039999999999999</v>
      </c>
      <c r="CE120" s="1271"/>
      <c r="CF120" s="1270">
        <f>IF($E114&gt;0,CF117/$E114,"-")</f>
        <v>0.58399999999999996</v>
      </c>
      <c r="CG120" s="1271"/>
      <c r="CH120" s="1270">
        <f>IF($E114&gt;0,CH117/$E114,"-")</f>
        <v>0.81759999999999999</v>
      </c>
      <c r="CI120" s="1271"/>
      <c r="CJ120" s="1270">
        <f>IF($E114&gt;0,CJ117/$E114,"-")</f>
        <v>1</v>
      </c>
      <c r="CK120" s="1271"/>
      <c r="CL120" s="1270">
        <f>IF($E114&gt;0,CL117/$E114,"-")</f>
        <v>1</v>
      </c>
      <c r="CM120" s="1271"/>
      <c r="CN120" s="1270">
        <f>IF($E114&gt;0,CN117/$E114,"-")</f>
        <v>1</v>
      </c>
      <c r="CO120" s="1271"/>
      <c r="CP120" s="1270">
        <f>IF($E114&gt;0,CP117/$E114,"-")</f>
        <v>1</v>
      </c>
      <c r="CQ120" s="1271"/>
      <c r="CR120" s="1270">
        <f>IF($E114&gt;0,CR117/$E114,"-")</f>
        <v>1</v>
      </c>
      <c r="CS120" s="1271"/>
      <c r="CT120" s="1270">
        <f>IF($E114&gt;0,CT117/$E114,"-")</f>
        <v>1</v>
      </c>
      <c r="CU120" s="1271"/>
      <c r="CV120" s="1270">
        <f>IF($E114&gt;0,CV117/$E114,"-")</f>
        <v>1</v>
      </c>
      <c r="CW120" s="1271"/>
      <c r="CX120" s="1270">
        <f>IF($E114&gt;0,CX117/$E114,"-")</f>
        <v>1</v>
      </c>
      <c r="CY120" s="1271"/>
      <c r="CZ120" s="1270">
        <f>IF($E114&gt;0,CZ117/$E114,"-")</f>
        <v>1</v>
      </c>
      <c r="DA120" s="1271"/>
      <c r="DB120" s="1270">
        <f>IF($E114&gt;0,DB117/$E114,"-")</f>
        <v>1</v>
      </c>
      <c r="DC120" s="1271"/>
      <c r="DD120" s="1270">
        <f>IF($E114&gt;0,DD117/$E114,"-")</f>
        <v>1</v>
      </c>
      <c r="DE120" s="1271"/>
      <c r="DF120" s="1270">
        <f>IF($E114&gt;0,DF117/$E114,"-")</f>
        <v>1</v>
      </c>
      <c r="DG120" s="1271"/>
      <c r="DH120" s="1270">
        <f>IF($E114&gt;0,DH117/$E114,"-")</f>
        <v>1</v>
      </c>
      <c r="DI120" s="1271"/>
      <c r="DJ120" s="1325">
        <f>IF($E114&gt;0,DJ117/$E114,"-")</f>
        <v>1</v>
      </c>
      <c r="DK120" s="1326"/>
      <c r="DL120" s="1270">
        <f>IF($E114&gt;0,DL117/$E114,"-")</f>
        <v>1</v>
      </c>
      <c r="DM120" s="1271"/>
      <c r="DN120" s="1270">
        <f>IF($E114&gt;0,DN117/$E114,"-")</f>
        <v>1</v>
      </c>
      <c r="DO120" s="1271"/>
      <c r="DP120" s="1270">
        <f>IF($E114&gt;0,DP117/$E114,"-")</f>
        <v>1</v>
      </c>
      <c r="DQ120" s="1271"/>
      <c r="DR120" s="1270">
        <f>IF($E114&gt;0,DR117/$E114,"-")</f>
        <v>1</v>
      </c>
      <c r="DS120" s="1271"/>
      <c r="DT120" s="1270">
        <f>IF($E114&gt;0,DT117/$E114,"-")</f>
        <v>1</v>
      </c>
      <c r="DU120" s="1271"/>
      <c r="DV120" s="1270">
        <f>IF($E114&gt;0,DV117/$E114,"-")</f>
        <v>1</v>
      </c>
      <c r="DW120" s="1271"/>
      <c r="DX120" s="1270">
        <f>IF($E114&gt;0,DX117/$E114,"-")</f>
        <v>1</v>
      </c>
      <c r="DY120" s="1271"/>
      <c r="DZ120" s="1270">
        <f>IF($E114&gt;0,DZ117/$E114,"-")</f>
        <v>1</v>
      </c>
      <c r="EA120" s="1271"/>
      <c r="EB120" s="1270">
        <f>IF($E114&gt;0,EB117/$E114,"-")</f>
        <v>1</v>
      </c>
      <c r="EC120" s="1271"/>
      <c r="ED120" s="1270">
        <f>IF($E114&gt;0,ED117/$E114,"-")</f>
        <v>1</v>
      </c>
      <c r="EE120" s="1271"/>
      <c r="EF120" s="1270">
        <f>IF($E114&gt;0,EF117/$E114,"-")</f>
        <v>1</v>
      </c>
      <c r="EG120" s="1271"/>
      <c r="EH120" s="1270">
        <f>IF($E114&gt;0,EH117/$E114,"-")</f>
        <v>1</v>
      </c>
      <c r="EI120" s="1271"/>
      <c r="EJ120" s="1270">
        <f>IF($E114&gt;0,EJ117/$E114,"-")</f>
        <v>1</v>
      </c>
      <c r="EK120" s="1271"/>
      <c r="EL120" s="1270">
        <f>IF($E114&gt;0,EL117/$E114,"-")</f>
        <v>1</v>
      </c>
      <c r="EM120" s="1271"/>
      <c r="EN120" s="1270">
        <f>IF($E114&gt;0,EN117/$E114,"-")</f>
        <v>1</v>
      </c>
      <c r="EO120" s="1271"/>
      <c r="EP120" s="1270">
        <f>IF($E114&gt;0,EP117/$E114,"-")</f>
        <v>1</v>
      </c>
      <c r="EQ120" s="1271"/>
      <c r="ER120" s="1270">
        <f>IF($E114&gt;0,ER117/$E114,"-")</f>
        <v>1</v>
      </c>
      <c r="ES120" s="1271"/>
      <c r="ET120" s="1270">
        <f>IF($E114&gt;0,ET117/$E114,"-")</f>
        <v>1</v>
      </c>
      <c r="EU120" s="1271"/>
      <c r="EV120" s="1270">
        <f>IF($E114&gt;0,EV117/$E114,"-")</f>
        <v>1</v>
      </c>
      <c r="EW120" s="1271"/>
      <c r="EX120" s="1270">
        <f>IF($E114&gt;0,EX117/$E114,"-")</f>
        <v>1</v>
      </c>
      <c r="EY120" s="1271"/>
      <c r="EZ120" s="1270">
        <f>IF($E114&gt;0,EZ117/$E114,"-")</f>
        <v>1</v>
      </c>
      <c r="FA120" s="1271"/>
      <c r="FB120" s="1270">
        <f>IF($E114&gt;0,FB117/$E114,"-")</f>
        <v>1</v>
      </c>
      <c r="FC120" s="1271"/>
      <c r="FD120" s="1270">
        <f>IF($E114&gt;0,FD117/$E114,"-")</f>
        <v>1</v>
      </c>
      <c r="FE120" s="1271"/>
      <c r="FF120" s="1270">
        <f>IF($E114&gt;0,FF117/$E114,"-")</f>
        <v>1</v>
      </c>
      <c r="FG120" s="1271"/>
      <c r="FH120" s="1270">
        <f>IF($E114&gt;0,FH117/$E114,"-")</f>
        <v>1</v>
      </c>
      <c r="FI120" s="1271"/>
      <c r="FJ120" s="1270">
        <f>IF($E114&gt;0,FJ117/$E114,"-")</f>
        <v>1</v>
      </c>
      <c r="FK120" s="1271"/>
      <c r="FL120" s="1270">
        <f>IF($E114&gt;0,FL117/$E114,"-")</f>
        <v>1</v>
      </c>
      <c r="FM120" s="1271"/>
      <c r="FN120" s="1270">
        <f>IF($E114&gt;0,FN117/$E114,"-")</f>
        <v>1</v>
      </c>
      <c r="FO120" s="1271"/>
      <c r="FP120" s="1270">
        <f>IF($E114&gt;0,FP117/$E114,"-")</f>
        <v>1</v>
      </c>
      <c r="FQ120" s="1271"/>
      <c r="FR120" s="1270">
        <f>IF($E114&gt;0,FR117/$E114,"-")</f>
        <v>1</v>
      </c>
      <c r="FS120" s="1271"/>
      <c r="FT120" s="1270">
        <f>IF($E114&gt;0,FT117/$E114,"-")</f>
        <v>1</v>
      </c>
      <c r="FU120" s="1271"/>
      <c r="FV120" s="1270">
        <f>IF($E114&gt;0,FV117/$E114,"-")</f>
        <v>1</v>
      </c>
      <c r="FW120" s="1271"/>
      <c r="FX120" s="1270">
        <f>IF($E114&gt;0,FX117/$E114,"-")</f>
        <v>1</v>
      </c>
      <c r="FY120" s="1271"/>
      <c r="FZ120" s="1270">
        <f>IF($E114&gt;0,FZ117/$E114,"-")</f>
        <v>1</v>
      </c>
      <c r="GA120" s="1271"/>
      <c r="GB120" s="1270">
        <f>IF($E114&gt;0,GB117/$E114,"-")</f>
        <v>1</v>
      </c>
      <c r="GC120" s="1271"/>
      <c r="GD120" s="1270">
        <f>IF($E114&gt;0,GD117/$E114,"-")</f>
        <v>1</v>
      </c>
      <c r="GE120" s="1271"/>
      <c r="GF120" s="1270">
        <f>IF($E114&gt;0,GF117/$E114,"-")</f>
        <v>1</v>
      </c>
      <c r="GG120" s="1271"/>
      <c r="GH120" s="1270">
        <f>IF($E114&gt;0,GH117/$E114,"-")</f>
        <v>1</v>
      </c>
      <c r="GI120" s="1271"/>
      <c r="GJ120" s="1270">
        <f>IF($E114&gt;0,GJ117/$E114,"-")</f>
        <v>1</v>
      </c>
      <c r="GK120" s="1271"/>
      <c r="GL120" s="1270">
        <f>IF($E114&gt;0,GL117/$E114,"-")</f>
        <v>1</v>
      </c>
      <c r="GM120" s="1271"/>
      <c r="GN120" s="1270">
        <f>IF($E114&gt;0,GN117/$E114,"-")</f>
        <v>1</v>
      </c>
      <c r="GO120" s="1271"/>
      <c r="GP120" s="1270">
        <f>IF($E114&gt;0,GP117/$E114,"-")</f>
        <v>1</v>
      </c>
      <c r="GQ120" s="1271"/>
      <c r="GR120" s="1270">
        <f>IF($E114&gt;0,GR117/$E114,"-")</f>
        <v>1</v>
      </c>
      <c r="GS120" s="1271"/>
      <c r="GT120" s="1270">
        <f>IF($E114&gt;0,GT117/$E114,"-")</f>
        <v>1</v>
      </c>
      <c r="GU120" s="1271"/>
      <c r="GV120" s="1270">
        <f>IF($E114&gt;0,GV117/$E114,"-")</f>
        <v>1</v>
      </c>
      <c r="GW120" s="1271"/>
      <c r="GX120" s="1270">
        <f>IF($E114&gt;0,GX117/$E114,"-")</f>
        <v>1</v>
      </c>
      <c r="GY120" s="1271"/>
      <c r="GZ120" s="1270">
        <f>IF($E114&gt;0,GZ117/$E114,"-")</f>
        <v>1</v>
      </c>
      <c r="HA120" s="1271"/>
      <c r="HB120" s="1270">
        <f>IF($E114&gt;0,HB117/$E114,"-")</f>
        <v>1</v>
      </c>
      <c r="HC120" s="1271"/>
      <c r="HD120" s="1270">
        <f>IF($E114&gt;0,HD117/$E114,"-")</f>
        <v>1</v>
      </c>
      <c r="HE120" s="1271"/>
      <c r="HF120" s="1270">
        <f>IF($E114&gt;0,HF117/$E114,"-")</f>
        <v>1</v>
      </c>
      <c r="HG120" s="1271"/>
      <c r="HH120" s="1270">
        <f>IF($E114&gt;0,HH117/$E114,"-")</f>
        <v>1</v>
      </c>
      <c r="HI120" s="1271"/>
      <c r="HJ120" s="1270">
        <f>IF($E114&gt;0,HJ117/$E114,"-")</f>
        <v>1</v>
      </c>
      <c r="HK120" s="1271"/>
    </row>
    <row r="121" spans="1:219">
      <c r="A121" s="1299"/>
      <c r="B121" s="1300"/>
      <c r="C121" s="1299"/>
      <c r="D121" s="1301"/>
      <c r="E121" s="1301"/>
      <c r="F121" s="1302"/>
      <c r="G121" s="1301"/>
      <c r="H121" s="726"/>
      <c r="I121" s="1303"/>
      <c r="J121" s="1304"/>
      <c r="K121" s="794" t="s">
        <v>298</v>
      </c>
      <c r="L121" s="1294">
        <f>IF($E114&gt;0,L119/$E114,"-")</f>
        <v>0</v>
      </c>
      <c r="M121" s="1295"/>
      <c r="N121" s="1294">
        <f>IF($E114&gt;0,N119/$E114,"-")</f>
        <v>0</v>
      </c>
      <c r="O121" s="1295"/>
      <c r="P121" s="1294">
        <f>IF($E114&gt;0,P119/$E114,"-")</f>
        <v>0</v>
      </c>
      <c r="Q121" s="1295"/>
      <c r="R121" s="1294"/>
      <c r="S121" s="1295"/>
      <c r="T121" s="1294">
        <f>IF($E114&gt;0,T119/$E114,"-")</f>
        <v>0</v>
      </c>
      <c r="U121" s="1295"/>
      <c r="V121" s="1294">
        <f>IF($E114&gt;0,V119/$E114,"-")</f>
        <v>0</v>
      </c>
      <c r="W121" s="1295"/>
      <c r="X121" s="1294">
        <f>IF($E114&gt;0,X119/$E114,"-")</f>
        <v>0</v>
      </c>
      <c r="Y121" s="1295"/>
      <c r="Z121" s="1294">
        <f>IF($E114&gt;0,Z119/$E114,"-")</f>
        <v>0</v>
      </c>
      <c r="AA121" s="1295"/>
      <c r="AB121" s="1294">
        <f>IF($E114&gt;0,AB119/$E114,"-")</f>
        <v>0</v>
      </c>
      <c r="AC121" s="1295"/>
      <c r="AD121" s="1294">
        <f>IF($E114&gt;0,AD119/$E114,"-")</f>
        <v>0</v>
      </c>
      <c r="AE121" s="1295"/>
      <c r="AF121" s="1294">
        <f>IF($E114&gt;0,AF119/$E114,"-")</f>
        <v>0</v>
      </c>
      <c r="AG121" s="1295"/>
      <c r="AH121" s="1294">
        <f>IF($E114&gt;0,AH119/$E114,"-")</f>
        <v>0</v>
      </c>
      <c r="AI121" s="1295"/>
      <c r="AJ121" s="1294">
        <f>IF($E114&gt;0,AJ119/$E114,"-")</f>
        <v>0</v>
      </c>
      <c r="AK121" s="1295"/>
      <c r="AL121" s="1294">
        <f>IF($E114&gt;0,AL119/$E114,"-")</f>
        <v>0</v>
      </c>
      <c r="AM121" s="1295"/>
      <c r="AN121" s="1294">
        <f>IF($E114&gt;0,AN119/$E114,"-")</f>
        <v>0</v>
      </c>
      <c r="AO121" s="1295"/>
      <c r="AP121" s="1294">
        <f>IF($E114&gt;0,AP119/$E114,"-")</f>
        <v>0</v>
      </c>
      <c r="AQ121" s="1295"/>
      <c r="AR121" s="1294">
        <f>IF($E114&gt;0,AR119/$E114,"-")</f>
        <v>0</v>
      </c>
      <c r="AS121" s="1295"/>
      <c r="AT121" s="1294">
        <f>IF($E114&gt;0,AT119/$E114,"-")</f>
        <v>0</v>
      </c>
      <c r="AU121" s="1295"/>
      <c r="AV121" s="1294">
        <f>IF($E114&gt;0,AV119/$E114,"-")</f>
        <v>0</v>
      </c>
      <c r="AW121" s="1295"/>
      <c r="AX121" s="1294">
        <f>IF($E114&gt;0,AX119/$E114,"-")</f>
        <v>0</v>
      </c>
      <c r="AY121" s="1295"/>
      <c r="AZ121" s="1294">
        <f>IF($E114&gt;0,AZ119/$E114,"-")</f>
        <v>0</v>
      </c>
      <c r="BA121" s="1295"/>
      <c r="BB121" s="1294">
        <f>IF($E114&gt;0,BB119/$E114,"-")</f>
        <v>0</v>
      </c>
      <c r="BC121" s="1295"/>
      <c r="BD121" s="1294">
        <f>IF($E114&gt;0,BD119/$E114,"-")</f>
        <v>0</v>
      </c>
      <c r="BE121" s="1295"/>
      <c r="BF121" s="1294">
        <f>IF($E114&gt;0,BF119/$E114,"-")</f>
        <v>0</v>
      </c>
      <c r="BG121" s="1295"/>
      <c r="BH121" s="1294">
        <f>IF($E114&gt;0,BH119/$E114,"-")</f>
        <v>0</v>
      </c>
      <c r="BI121" s="1295"/>
      <c r="BJ121" s="1294">
        <f>IF($E114&gt;0,BJ119/$E114,"-")</f>
        <v>0</v>
      </c>
      <c r="BK121" s="1295"/>
      <c r="BL121" s="1294">
        <f>IF($E114&gt;0,BL119/$E114,"-")</f>
        <v>0</v>
      </c>
      <c r="BM121" s="1295"/>
      <c r="BN121" s="1294">
        <f>IF($E114&gt;0,BN119/$E114,"-")</f>
        <v>0</v>
      </c>
      <c r="BO121" s="1295"/>
      <c r="BP121" s="1294">
        <f>IF($E114&gt;0,BP119/$E114,"-")</f>
        <v>0</v>
      </c>
      <c r="BQ121" s="1295"/>
      <c r="BR121" s="1253">
        <f>IF($E114&gt;0,BR119/$E114,"-")</f>
        <v>0</v>
      </c>
      <c r="BS121" s="1253"/>
      <c r="BT121" s="1253">
        <f>IF($E114&gt;0,BT119/$E114,"-")</f>
        <v>0</v>
      </c>
      <c r="BU121" s="1253"/>
      <c r="BV121" s="1253">
        <f>IF($E114&gt;0,BV119/$E114,"-")</f>
        <v>0</v>
      </c>
      <c r="BW121" s="1253"/>
      <c r="BX121" s="1253">
        <f>IF($E114&gt;0,BX119/$E114,"-")</f>
        <v>0</v>
      </c>
      <c r="BY121" s="1253"/>
      <c r="BZ121" s="1253">
        <f>IF($E114&gt;0,BZ119/$E114,"-")</f>
        <v>0</v>
      </c>
      <c r="CA121" s="1253"/>
      <c r="CB121" s="1253">
        <f>IF($E114&gt;0,CB119/$E114,"-")</f>
        <v>0</v>
      </c>
      <c r="CC121" s="1253"/>
      <c r="CD121" s="1253">
        <f>IF($E114&gt;0,CD119/$E114,"-")</f>
        <v>0</v>
      </c>
      <c r="CE121" s="1253"/>
      <c r="CF121" s="1253">
        <f>IF($E114&gt;0,CF119/$E114,"-")</f>
        <v>0</v>
      </c>
      <c r="CG121" s="1253"/>
      <c r="CH121" s="1253">
        <f>IF($E114&gt;0,CH119/$E114,"-")</f>
        <v>0</v>
      </c>
      <c r="CI121" s="1253"/>
      <c r="CJ121" s="1253">
        <f>IF($E114&gt;0,CJ119/$E114,"-")</f>
        <v>0</v>
      </c>
      <c r="CK121" s="1253"/>
      <c r="CL121" s="1253">
        <f>IF($E114&gt;0,CL119/$E114,"-")</f>
        <v>0</v>
      </c>
      <c r="CM121" s="1253"/>
      <c r="CN121" s="1253">
        <f>IF($E114&gt;0,CN119/$E114,"-")</f>
        <v>0</v>
      </c>
      <c r="CO121" s="1253"/>
      <c r="CP121" s="1253">
        <f>IF($E114&gt;0,CP119/$E114,"-")</f>
        <v>0</v>
      </c>
      <c r="CQ121" s="1253"/>
      <c r="CR121" s="1253">
        <f>IF($E114&gt;0,CR119/$E114,"-")</f>
        <v>0</v>
      </c>
      <c r="CS121" s="1253"/>
      <c r="CT121" s="1253">
        <f>IF($E114&gt;0,CT119/$E114,"-")</f>
        <v>0</v>
      </c>
      <c r="CU121" s="1253"/>
      <c r="CV121" s="1253">
        <f>IF($E114&gt;0,CV119/$E114,"-")</f>
        <v>0</v>
      </c>
      <c r="CW121" s="1253"/>
      <c r="CX121" s="1253">
        <f>IF($E114&gt;0,CX119/$E114,"-")</f>
        <v>0</v>
      </c>
      <c r="CY121" s="1253"/>
      <c r="CZ121" s="1253">
        <f>IF($E114&gt;0,CZ119/$E114,"-")</f>
        <v>0</v>
      </c>
      <c r="DA121" s="1253"/>
      <c r="DB121" s="1253">
        <f>IF($E114&gt;0,DB119/$E114,"-")</f>
        <v>0</v>
      </c>
      <c r="DC121" s="1253"/>
      <c r="DD121" s="1253">
        <f>IF($E114&gt;0,DD119/$E114,"-")</f>
        <v>0</v>
      </c>
      <c r="DE121" s="1253"/>
      <c r="DF121" s="1253">
        <f>IF($E114&gt;0,DF119/$E114,"-")</f>
        <v>0</v>
      </c>
      <c r="DG121" s="1253"/>
      <c r="DH121" s="1253">
        <f>IF($E114&gt;0,DH119/$E114,"-")</f>
        <v>0</v>
      </c>
      <c r="DI121" s="1253"/>
      <c r="DJ121" s="1254">
        <f>IF($E114&gt;0,DJ119/$E114,"-")</f>
        <v>0</v>
      </c>
      <c r="DK121" s="1254"/>
      <c r="DL121" s="1253">
        <f>IF($E114&gt;0,DL119/$E114,"-")</f>
        <v>0</v>
      </c>
      <c r="DM121" s="1253"/>
      <c r="DN121" s="1253">
        <f>IF($E114&gt;0,DN119/$E114,"-")</f>
        <v>0</v>
      </c>
      <c r="DO121" s="1253"/>
      <c r="DP121" s="1253">
        <f>IF($E114&gt;0,DP119/$E114,"-")</f>
        <v>0</v>
      </c>
      <c r="DQ121" s="1253"/>
      <c r="DR121" s="1253">
        <f>IF($E114&gt;0,DR119/$E114,"-")</f>
        <v>0</v>
      </c>
      <c r="DS121" s="1253"/>
      <c r="DT121" s="1253">
        <f>IF($E114&gt;0,DT119/$E114,"-")</f>
        <v>0</v>
      </c>
      <c r="DU121" s="1253"/>
      <c r="DV121" s="1253">
        <f>IF($E114&gt;0,DV119/$E114,"-")</f>
        <v>0</v>
      </c>
      <c r="DW121" s="1253"/>
      <c r="DX121" s="1253">
        <f>IF($E114&gt;0,DX119/$E114,"-")</f>
        <v>0</v>
      </c>
      <c r="DY121" s="1253"/>
      <c r="DZ121" s="1253">
        <f>IF($E114&gt;0,DZ119/$E114,"-")</f>
        <v>0</v>
      </c>
      <c r="EA121" s="1253"/>
      <c r="EB121" s="1253">
        <f>IF($E114&gt;0,EB119/$E114,"-")</f>
        <v>0</v>
      </c>
      <c r="EC121" s="1253"/>
      <c r="ED121" s="1253">
        <f>IF($E114&gt;0,ED119/$E114,"-")</f>
        <v>0</v>
      </c>
      <c r="EE121" s="1253"/>
      <c r="EF121" s="1253">
        <f>IF($E114&gt;0,EF119/$E114,"-")</f>
        <v>0</v>
      </c>
      <c r="EG121" s="1253"/>
      <c r="EH121" s="1253">
        <f>IF($E114&gt;0,EH119/$E114,"-")</f>
        <v>0</v>
      </c>
      <c r="EI121" s="1253"/>
      <c r="EJ121" s="1253">
        <f>IF($E114&gt;0,EJ119/$E114,"-")</f>
        <v>0</v>
      </c>
      <c r="EK121" s="1253"/>
      <c r="EL121" s="1253">
        <f>IF($E114&gt;0,EL119/$E114,"-")</f>
        <v>0</v>
      </c>
      <c r="EM121" s="1253"/>
      <c r="EN121" s="1253">
        <f>IF($E114&gt;0,EN119/$E114,"-")</f>
        <v>0</v>
      </c>
      <c r="EO121" s="1253"/>
      <c r="EP121" s="1253">
        <f>IF($E114&gt;0,EP119/$E114,"-")</f>
        <v>0</v>
      </c>
      <c r="EQ121" s="1253"/>
      <c r="ER121" s="1253">
        <f>IF($E114&gt;0,ER119/$E114,"-")</f>
        <v>0</v>
      </c>
      <c r="ES121" s="1253"/>
      <c r="ET121" s="1253">
        <f>IF($E114&gt;0,ET119/$E114,"-")</f>
        <v>0</v>
      </c>
      <c r="EU121" s="1253"/>
      <c r="EV121" s="1253">
        <f>IF($E114&gt;0,EV119/$E114,"-")</f>
        <v>0</v>
      </c>
      <c r="EW121" s="1253"/>
      <c r="EX121" s="1253">
        <f>IF($E114&gt;0,EX119/$E114,"-")</f>
        <v>0</v>
      </c>
      <c r="EY121" s="1253"/>
      <c r="EZ121" s="1253">
        <f>IF($E114&gt;0,EZ119/$E114,"-")</f>
        <v>0</v>
      </c>
      <c r="FA121" s="1253"/>
      <c r="FB121" s="1253">
        <f>IF($E114&gt;0,FB119/$E114,"-")</f>
        <v>0</v>
      </c>
      <c r="FC121" s="1253"/>
      <c r="FD121" s="1253">
        <f>IF($E114&gt;0,FD119/$E114,"-")</f>
        <v>0</v>
      </c>
      <c r="FE121" s="1253"/>
      <c r="FF121" s="1253">
        <f>IF($E114&gt;0,FF119/$E114,"-")</f>
        <v>0</v>
      </c>
      <c r="FG121" s="1253"/>
      <c r="FH121" s="1253">
        <f>IF($E114&gt;0,FH119/$E114,"-")</f>
        <v>0</v>
      </c>
      <c r="FI121" s="1253"/>
      <c r="FJ121" s="1253">
        <f>IF($E114&gt;0,FJ119/$E114,"-")</f>
        <v>0</v>
      </c>
      <c r="FK121" s="1253"/>
      <c r="FL121" s="1253">
        <f>IF($E114&gt;0,FL119/$E114,"-")</f>
        <v>0</v>
      </c>
      <c r="FM121" s="1253"/>
      <c r="FN121" s="1253">
        <f>IF($E114&gt;0,FN119/$E114,"-")</f>
        <v>0</v>
      </c>
      <c r="FO121" s="1253"/>
      <c r="FP121" s="1253">
        <f>IF($E114&gt;0,FP119/$E114,"-")</f>
        <v>0</v>
      </c>
      <c r="FQ121" s="1253"/>
      <c r="FR121" s="1253">
        <f>IF($E114&gt;0,FR119/$E114,"-")</f>
        <v>0</v>
      </c>
      <c r="FS121" s="1253"/>
      <c r="FT121" s="1253">
        <f>IF($E114&gt;0,FT119/$E114,"-")</f>
        <v>0</v>
      </c>
      <c r="FU121" s="1253"/>
      <c r="FV121" s="1253">
        <f>IF($E114&gt;0,FV119/$E114,"-")</f>
        <v>0</v>
      </c>
      <c r="FW121" s="1253"/>
      <c r="FX121" s="1253">
        <f>IF($E114&gt;0,FX119/$E114,"-")</f>
        <v>0</v>
      </c>
      <c r="FY121" s="1253"/>
      <c r="FZ121" s="1253">
        <f>IF($E114&gt;0,FZ119/$E114,"-")</f>
        <v>0</v>
      </c>
      <c r="GA121" s="1253"/>
      <c r="GB121" s="1253">
        <f>IF($E114&gt;0,GB119/$E114,"-")</f>
        <v>0</v>
      </c>
      <c r="GC121" s="1253"/>
      <c r="GD121" s="1253">
        <f>IF($E114&gt;0,GD119/$E114,"-")</f>
        <v>0</v>
      </c>
      <c r="GE121" s="1253"/>
      <c r="GF121" s="1253">
        <f>IF($E114&gt;0,GF119/$E114,"-")</f>
        <v>0</v>
      </c>
      <c r="GG121" s="1253"/>
      <c r="GH121" s="1253">
        <f>IF($E114&gt;0,GH119/$E114,"-")</f>
        <v>0</v>
      </c>
      <c r="GI121" s="1253"/>
      <c r="GJ121" s="1253">
        <f>IF($E114&gt;0,GJ119/$E114,"-")</f>
        <v>0</v>
      </c>
      <c r="GK121" s="1253"/>
      <c r="GL121" s="1253">
        <f>IF($E114&gt;0,GL119/$E114,"-")</f>
        <v>0</v>
      </c>
      <c r="GM121" s="1253"/>
      <c r="GN121" s="1253">
        <f>IF($E114&gt;0,GN119/$E114,"-")</f>
        <v>0</v>
      </c>
      <c r="GO121" s="1253"/>
      <c r="GP121" s="1253">
        <f>IF($E114&gt;0,GP119/$E114,"-")</f>
        <v>0</v>
      </c>
      <c r="GQ121" s="1253"/>
      <c r="GR121" s="1253">
        <f>IF($E114&gt;0,GR119/$E114,"-")</f>
        <v>0</v>
      </c>
      <c r="GS121" s="1253"/>
      <c r="GT121" s="1253">
        <f>IF($E114&gt;0,GT119/$E114,"-")</f>
        <v>0</v>
      </c>
      <c r="GU121" s="1253"/>
      <c r="GV121" s="1253">
        <f>IF($E114&gt;0,GV119/$E114,"-")</f>
        <v>0</v>
      </c>
      <c r="GW121" s="1253"/>
      <c r="GX121" s="1253">
        <f>IF($E114&gt;0,GX119/$E114,"-")</f>
        <v>0</v>
      </c>
      <c r="GY121" s="1253"/>
      <c r="GZ121" s="1253">
        <f>IF($E114&gt;0,GZ119/$E114,"-")</f>
        <v>0</v>
      </c>
      <c r="HA121" s="1253"/>
      <c r="HB121" s="1253">
        <f>IF($E114&gt;0,HB119/$E114,"-")</f>
        <v>0</v>
      </c>
      <c r="HC121" s="1253"/>
      <c r="HD121" s="1253">
        <f>IF($E114&gt;0,HD119/$E114,"-")</f>
        <v>0</v>
      </c>
      <c r="HE121" s="1253"/>
      <c r="HF121" s="1253">
        <f>IF($E114&gt;0,HF119/$E114,"-")</f>
        <v>0</v>
      </c>
      <c r="HG121" s="1253"/>
      <c r="HH121" s="1253">
        <f>IF($E114&gt;0,HH119/$E114,"-")</f>
        <v>0</v>
      </c>
      <c r="HI121" s="1253"/>
      <c r="HJ121" s="1253">
        <f>IF($E114&gt;0,HJ119/$E114,"-")</f>
        <v>0</v>
      </c>
      <c r="HK121" s="1253"/>
    </row>
    <row r="122" spans="1:219" s="5" customFormat="1" ht="14.4">
      <c r="A122" s="690"/>
      <c r="B122" s="691"/>
      <c r="C122" s="691"/>
      <c r="D122" s="692"/>
      <c r="E122" s="692"/>
      <c r="F122" s="691"/>
      <c r="G122" s="691"/>
      <c r="H122" s="691"/>
      <c r="I122" s="691"/>
      <c r="J122" s="691"/>
      <c r="K122" s="691"/>
      <c r="L122" s="1274"/>
      <c r="M122" s="1274"/>
      <c r="N122" s="1274"/>
      <c r="O122" s="1274"/>
      <c r="P122" s="1274"/>
      <c r="Q122" s="1274"/>
      <c r="R122" s="1274"/>
      <c r="S122" s="1362"/>
      <c r="T122" s="1276"/>
      <c r="U122" s="1274"/>
      <c r="V122" s="1274"/>
      <c r="W122" s="1274"/>
      <c r="X122" s="1274"/>
      <c r="Y122" s="1274"/>
      <c r="Z122" s="1274"/>
      <c r="AA122" s="1362"/>
      <c r="AB122" s="1276"/>
      <c r="AC122" s="1274"/>
      <c r="AD122" s="1274"/>
      <c r="AE122" s="1274"/>
      <c r="AF122" s="1274"/>
      <c r="AG122" s="1274"/>
      <c r="AH122" s="1274"/>
      <c r="AI122" s="1362"/>
      <c r="AJ122" s="1276"/>
      <c r="AK122" s="1274"/>
      <c r="AL122" s="1274"/>
      <c r="AM122" s="1274"/>
      <c r="AN122" s="1274"/>
      <c r="AO122" s="1274"/>
      <c r="AP122" s="1274"/>
      <c r="AQ122" s="1362"/>
      <c r="AR122" s="1276"/>
      <c r="AS122" s="1274"/>
      <c r="AT122" s="777"/>
      <c r="AU122" s="777"/>
      <c r="AV122" s="777"/>
      <c r="AW122" s="777"/>
      <c r="AX122" s="777"/>
      <c r="AY122" s="778"/>
      <c r="AZ122" s="779"/>
      <c r="BA122" s="777"/>
      <c r="BB122" s="777"/>
      <c r="BC122" s="777"/>
      <c r="BD122" s="777"/>
      <c r="BE122" s="777"/>
      <c r="BF122" s="777"/>
      <c r="BG122" s="778"/>
      <c r="BH122" s="779"/>
      <c r="BI122" s="777"/>
      <c r="BJ122" s="777"/>
      <c r="BK122" s="777"/>
      <c r="BL122" s="777"/>
      <c r="BM122" s="777"/>
      <c r="BN122" s="777"/>
      <c r="BO122" s="778"/>
      <c r="BP122" s="779"/>
      <c r="BQ122" s="777"/>
      <c r="BR122" s="777"/>
      <c r="BS122" s="777"/>
      <c r="BT122" s="777"/>
      <c r="BU122" s="777"/>
      <c r="BV122" s="777"/>
      <c r="BW122" s="778"/>
      <c r="BX122" s="779"/>
      <c r="BY122" s="777"/>
      <c r="BZ122" s="777"/>
      <c r="CA122" s="777"/>
      <c r="CB122" s="777"/>
      <c r="CC122" s="777"/>
      <c r="CD122" s="1274"/>
      <c r="CE122" s="1275"/>
      <c r="CF122" s="1276"/>
      <c r="CG122" s="1277"/>
      <c r="CH122" s="1274"/>
      <c r="CI122" s="1277"/>
      <c r="CJ122" s="1274"/>
      <c r="CK122" s="1277"/>
      <c r="CL122" s="1274"/>
      <c r="CM122" s="1275"/>
      <c r="CN122" s="1276"/>
      <c r="CO122" s="1277"/>
      <c r="CP122" s="1296"/>
      <c r="CQ122" s="1297"/>
      <c r="CR122" s="1296"/>
      <c r="CS122" s="1297"/>
      <c r="CT122" s="780"/>
      <c r="CU122" s="781"/>
      <c r="CV122" s="782"/>
      <c r="CW122" s="780"/>
      <c r="CX122" s="780"/>
      <c r="CY122" s="780"/>
      <c r="CZ122" s="780"/>
      <c r="DA122" s="780"/>
      <c r="DB122" s="780"/>
      <c r="DC122" s="781"/>
      <c r="DD122" s="782"/>
      <c r="DE122" s="780"/>
      <c r="DF122" s="780"/>
      <c r="DG122" s="780"/>
      <c r="DH122" s="780"/>
      <c r="DI122" s="780"/>
      <c r="DJ122" s="783"/>
      <c r="DK122" s="784"/>
      <c r="DL122" s="782"/>
      <c r="DM122" s="780"/>
      <c r="DN122" s="780"/>
      <c r="DO122" s="780"/>
      <c r="DP122" s="780"/>
      <c r="DQ122" s="780"/>
      <c r="DR122" s="780"/>
      <c r="DS122" s="781"/>
      <c r="DT122" s="782"/>
      <c r="DU122" s="780"/>
      <c r="DV122" s="780"/>
      <c r="DW122" s="780"/>
      <c r="DX122" s="780"/>
      <c r="DY122" s="780"/>
      <c r="DZ122" s="780"/>
      <c r="EA122" s="781"/>
      <c r="EB122" s="782"/>
      <c r="EC122" s="780"/>
      <c r="ED122" s="780"/>
      <c r="EE122" s="780"/>
      <c r="EF122" s="780"/>
      <c r="EG122" s="780"/>
      <c r="EH122" s="780"/>
      <c r="EI122" s="781"/>
      <c r="EJ122" s="782"/>
      <c r="EK122" s="780"/>
      <c r="EL122" s="780"/>
      <c r="EM122" s="780"/>
      <c r="EN122" s="780"/>
      <c r="EO122" s="780"/>
      <c r="EP122" s="780"/>
      <c r="EQ122" s="781"/>
      <c r="ER122" s="782"/>
      <c r="ES122" s="780"/>
      <c r="ET122" s="780"/>
      <c r="EU122" s="780"/>
      <c r="EV122" s="780"/>
      <c r="EW122" s="780"/>
      <c r="EX122" s="780"/>
      <c r="EY122" s="781"/>
      <c r="EZ122" s="782"/>
      <c r="FA122" s="780"/>
      <c r="FB122" s="780"/>
      <c r="FC122" s="780"/>
      <c r="FD122" s="780"/>
      <c r="FE122" s="780"/>
      <c r="FF122" s="780"/>
      <c r="FG122" s="781"/>
      <c r="FH122" s="782"/>
      <c r="FI122" s="780"/>
      <c r="FJ122" s="780"/>
      <c r="FK122" s="780"/>
      <c r="FL122" s="780"/>
      <c r="FM122" s="780"/>
      <c r="FN122" s="780"/>
      <c r="FO122" s="781"/>
      <c r="FP122" s="782"/>
      <c r="FQ122" s="780"/>
      <c r="FR122" s="780"/>
      <c r="FS122" s="780"/>
      <c r="FT122" s="780"/>
      <c r="FU122" s="780"/>
      <c r="FV122" s="780"/>
      <c r="FW122" s="781"/>
      <c r="FX122" s="782"/>
      <c r="FY122" s="780"/>
      <c r="FZ122" s="780"/>
      <c r="GA122" s="780"/>
      <c r="GB122" s="780"/>
      <c r="GC122" s="780"/>
      <c r="GD122" s="780"/>
      <c r="GE122" s="781"/>
      <c r="GF122" s="782"/>
      <c r="GG122" s="780"/>
      <c r="GH122" s="780"/>
      <c r="GI122" s="780"/>
      <c r="GJ122" s="780"/>
      <c r="GK122" s="780"/>
      <c r="GL122" s="780"/>
      <c r="GM122" s="781"/>
      <c r="GN122" s="782"/>
      <c r="GO122" s="780"/>
      <c r="GP122" s="780"/>
      <c r="GQ122" s="780"/>
      <c r="GR122" s="780"/>
      <c r="GS122" s="780"/>
      <c r="GT122" s="780"/>
      <c r="GU122" s="781"/>
      <c r="GV122" s="780"/>
      <c r="GW122" s="781"/>
      <c r="GX122" s="780"/>
      <c r="GY122" s="781"/>
      <c r="GZ122" s="780"/>
      <c r="HA122" s="781"/>
      <c r="HB122" s="780"/>
      <c r="HC122" s="781"/>
      <c r="HD122" s="780"/>
      <c r="HE122" s="781"/>
      <c r="HF122" s="780"/>
      <c r="HG122" s="781"/>
      <c r="HH122" s="780"/>
      <c r="HI122" s="781"/>
      <c r="HJ122" s="780"/>
      <c r="HK122" s="781"/>
    </row>
    <row r="123" spans="1:219" ht="13.8" hidden="1" thickBot="1">
      <c r="A123" s="175">
        <v>2</v>
      </c>
      <c r="B123" s="176" t="e">
        <f>PLANEJAMENTO!#REF!</f>
        <v>#REF!</v>
      </c>
      <c r="C123" s="728"/>
      <c r="D123" s="730"/>
      <c r="E123" s="730"/>
      <c r="F123" s="730"/>
      <c r="G123" s="728"/>
      <c r="H123" s="775"/>
      <c r="I123" s="776"/>
      <c r="J123" s="776"/>
      <c r="K123" s="776"/>
      <c r="L123" s="1396"/>
      <c r="M123" s="1397"/>
      <c r="N123" s="1397"/>
      <c r="O123" s="1397"/>
      <c r="P123" s="1397"/>
      <c r="Q123" s="1397"/>
      <c r="R123" s="1397"/>
      <c r="S123" s="1398"/>
      <c r="T123" s="1396"/>
      <c r="U123" s="1397"/>
      <c r="V123" s="1397"/>
      <c r="W123" s="1397"/>
      <c r="X123" s="1397"/>
      <c r="Y123" s="1397"/>
      <c r="Z123" s="1397"/>
      <c r="AA123" s="1398"/>
      <c r="AB123" s="1396"/>
      <c r="AC123" s="1397"/>
      <c r="AD123" s="1397"/>
      <c r="AE123" s="1397"/>
      <c r="AF123" s="1397"/>
      <c r="AG123" s="1397"/>
      <c r="AH123" s="1397"/>
      <c r="AI123" s="1397"/>
      <c r="AJ123" s="1291"/>
      <c r="AK123" s="1292"/>
      <c r="AL123" s="1292"/>
      <c r="AM123" s="1292"/>
      <c r="AN123" s="1292"/>
      <c r="AO123" s="1292"/>
      <c r="AP123" s="1292"/>
      <c r="AQ123" s="1292"/>
      <c r="AR123" s="1292"/>
      <c r="AS123" s="1293"/>
      <c r="AT123" s="1291"/>
      <c r="AU123" s="1292"/>
      <c r="AV123" s="1292"/>
      <c r="AW123" s="1292"/>
      <c r="AX123" s="1292"/>
      <c r="AY123" s="1292"/>
      <c r="AZ123" s="1292"/>
      <c r="BA123" s="1399"/>
      <c r="BB123" s="1349"/>
      <c r="BC123" s="1292"/>
      <c r="BD123" s="1292"/>
      <c r="BE123" s="1292"/>
      <c r="BF123" s="1292"/>
      <c r="BG123" s="1292"/>
      <c r="BH123" s="1292"/>
      <c r="BI123" s="1293"/>
      <c r="BJ123" s="1291"/>
      <c r="BK123" s="1292"/>
      <c r="BL123" s="1292"/>
      <c r="BM123" s="1292"/>
      <c r="BN123" s="1292"/>
      <c r="BO123" s="1292"/>
      <c r="BP123" s="1292"/>
      <c r="BQ123" s="1292"/>
      <c r="BR123" s="1292"/>
      <c r="BS123" s="1293"/>
      <c r="BT123" s="1291"/>
      <c r="BU123" s="1292"/>
      <c r="BV123" s="1292"/>
      <c r="BW123" s="1292"/>
      <c r="BX123" s="1292"/>
      <c r="BY123" s="1292"/>
      <c r="BZ123" s="1292"/>
      <c r="CA123" s="1293"/>
      <c r="CB123" s="1291"/>
      <c r="CC123" s="1292"/>
      <c r="CD123" s="1292"/>
      <c r="CE123" s="1292"/>
      <c r="CF123" s="1292"/>
      <c r="CG123" s="1292"/>
      <c r="CH123" s="1292"/>
      <c r="CI123" s="1293"/>
      <c r="CJ123" s="1291"/>
      <c r="CK123" s="1292"/>
      <c r="CL123" s="1292"/>
      <c r="CM123" s="1292"/>
      <c r="CN123" s="1292"/>
      <c r="CO123" s="1292"/>
      <c r="CP123" s="1292"/>
      <c r="CQ123" s="1292"/>
      <c r="CR123" s="1292"/>
      <c r="CS123" s="1293"/>
      <c r="CT123" s="1291"/>
      <c r="CU123" s="1292"/>
      <c r="CV123" s="1292"/>
      <c r="CW123" s="1292"/>
      <c r="CX123" s="1292"/>
      <c r="CY123" s="1292"/>
      <c r="CZ123" s="1292"/>
      <c r="DA123" s="1293"/>
      <c r="DB123" s="1291"/>
      <c r="DC123" s="1292"/>
      <c r="DD123" s="1292"/>
      <c r="DE123" s="1292"/>
      <c r="DF123" s="1292"/>
      <c r="DG123" s="1292"/>
      <c r="DH123" s="1292"/>
      <c r="DI123" s="1292"/>
      <c r="DJ123" s="1292"/>
      <c r="DK123" s="1293"/>
      <c r="DL123" s="1291"/>
      <c r="DM123" s="1292"/>
      <c r="DN123" s="1292"/>
      <c r="DO123" s="1292"/>
      <c r="DP123" s="1292"/>
      <c r="DQ123" s="1292"/>
      <c r="DR123" s="1292"/>
      <c r="DS123" s="1293"/>
      <c r="DT123" s="1291"/>
      <c r="DU123" s="1292"/>
      <c r="DV123" s="1292"/>
      <c r="DW123" s="1292"/>
      <c r="DX123" s="1292"/>
      <c r="DY123" s="1292"/>
      <c r="DZ123" s="1292"/>
      <c r="EA123" s="1292"/>
      <c r="EB123" s="1291"/>
      <c r="EC123" s="1292"/>
      <c r="ED123" s="1292"/>
      <c r="EE123" s="1292"/>
      <c r="EF123" s="1292"/>
      <c r="EG123" s="1292"/>
      <c r="EH123" s="1292"/>
      <c r="EI123" s="1292"/>
      <c r="EJ123" s="1291"/>
      <c r="EK123" s="1292"/>
      <c r="EL123" s="1292"/>
      <c r="EM123" s="1292"/>
      <c r="EN123" s="1292"/>
      <c r="EO123" s="1292"/>
      <c r="EP123" s="1292"/>
      <c r="EQ123" s="1292"/>
      <c r="ER123" s="1292"/>
      <c r="ES123" s="1292"/>
      <c r="ET123" s="1291"/>
      <c r="EU123" s="1292"/>
      <c r="EV123" s="1292"/>
      <c r="EW123" s="1292"/>
      <c r="EX123" s="1292"/>
      <c r="EY123" s="1292"/>
      <c r="EZ123" s="1292"/>
      <c r="FA123" s="1292"/>
      <c r="FB123" s="1291"/>
      <c r="FC123" s="1292"/>
      <c r="FD123" s="1292"/>
      <c r="FE123" s="1292"/>
      <c r="FF123" s="1292"/>
      <c r="FG123" s="1292"/>
      <c r="FH123" s="1292"/>
      <c r="FI123" s="1292"/>
      <c r="FJ123" s="1292"/>
      <c r="FK123" s="1292"/>
      <c r="FL123" s="1291"/>
      <c r="FM123" s="1292"/>
      <c r="FN123" s="1292"/>
      <c r="FO123" s="1292"/>
      <c r="FP123" s="1292"/>
      <c r="FQ123" s="1292"/>
      <c r="FR123" s="1292"/>
      <c r="FS123" s="1292"/>
      <c r="FT123" s="1291"/>
      <c r="FU123" s="1292"/>
      <c r="FV123" s="1292"/>
      <c r="FW123" s="1292"/>
      <c r="FX123" s="1292"/>
      <c r="FY123" s="1292"/>
      <c r="FZ123" s="1292"/>
      <c r="GA123" s="1292"/>
      <c r="GB123" s="1292"/>
      <c r="GC123" s="1293"/>
      <c r="GD123" s="1291"/>
      <c r="GE123" s="1292"/>
      <c r="GF123" s="1292"/>
      <c r="GG123" s="1292"/>
      <c r="GH123" s="1292"/>
      <c r="GI123" s="1292"/>
      <c r="GJ123" s="1292"/>
      <c r="GK123" s="1293"/>
      <c r="GL123" s="1291"/>
      <c r="GM123" s="1292"/>
      <c r="GN123" s="1292"/>
      <c r="GO123" s="1292"/>
      <c r="GP123" s="1292"/>
      <c r="GQ123" s="1292"/>
      <c r="GR123" s="1292"/>
      <c r="GS123" s="1293"/>
      <c r="GT123" s="1291"/>
      <c r="GU123" s="1292"/>
      <c r="GV123" s="1292"/>
      <c r="GW123" s="1292"/>
      <c r="GX123" s="1292"/>
      <c r="GY123" s="1292"/>
      <c r="GZ123" s="1292"/>
      <c r="HA123" s="1293"/>
      <c r="HB123" s="1291"/>
      <c r="HC123" s="1292"/>
      <c r="HD123" s="1292"/>
      <c r="HE123" s="1292"/>
      <c r="HF123" s="1292"/>
      <c r="HG123" s="1292"/>
      <c r="HH123" s="1292"/>
      <c r="HI123" s="1293"/>
      <c r="HJ123" s="1291"/>
      <c r="HK123" s="1293"/>
    </row>
    <row r="124" spans="1:219" s="947" customFormat="1" ht="14.4" hidden="1">
      <c r="A124" s="937"/>
      <c r="B124" s="938" t="e">
        <f>PLANEJAMENTO!#REF!</f>
        <v>#REF!</v>
      </c>
      <c r="C124" s="939"/>
      <c r="D124" s="940"/>
      <c r="E124" s="940"/>
      <c r="F124" s="939"/>
      <c r="G124" s="939"/>
      <c r="H124" s="939"/>
      <c r="I124" s="939"/>
      <c r="J124" s="939"/>
      <c r="K124" s="939"/>
      <c r="L124" s="1278"/>
      <c r="M124" s="1278"/>
      <c r="N124" s="1278"/>
      <c r="O124" s="1278"/>
      <c r="P124" s="1278"/>
      <c r="Q124" s="1278"/>
      <c r="R124" s="1278"/>
      <c r="S124" s="1279"/>
      <c r="T124" s="1280"/>
      <c r="U124" s="1278"/>
      <c r="V124" s="1278"/>
      <c r="W124" s="1278"/>
      <c r="X124" s="1278"/>
      <c r="Y124" s="1278"/>
      <c r="Z124" s="1278"/>
      <c r="AA124" s="1279"/>
      <c r="AB124" s="1280"/>
      <c r="AC124" s="1278"/>
      <c r="AD124" s="1278"/>
      <c r="AE124" s="1278"/>
      <c r="AF124" s="1278"/>
      <c r="AG124" s="1278"/>
      <c r="AH124" s="1278"/>
      <c r="AI124" s="1279"/>
      <c r="AJ124" s="1280"/>
      <c r="AK124" s="1278"/>
      <c r="AL124" s="1278"/>
      <c r="AM124" s="1278"/>
      <c r="AN124" s="1278"/>
      <c r="AO124" s="1278"/>
      <c r="AP124" s="1278"/>
      <c r="AQ124" s="1279"/>
      <c r="AR124" s="1280"/>
      <c r="AS124" s="1278"/>
      <c r="AT124" s="941"/>
      <c r="AU124" s="941"/>
      <c r="AV124" s="941"/>
      <c r="AW124" s="941"/>
      <c r="AX124" s="941"/>
      <c r="AY124" s="942"/>
      <c r="AZ124" s="943"/>
      <c r="BA124" s="941"/>
      <c r="BB124" s="941"/>
      <c r="BC124" s="941"/>
      <c r="BD124" s="941"/>
      <c r="BE124" s="941"/>
      <c r="BF124" s="941"/>
      <c r="BG124" s="942"/>
      <c r="BH124" s="943"/>
      <c r="BI124" s="941"/>
      <c r="BJ124" s="941"/>
      <c r="BK124" s="941"/>
      <c r="BL124" s="941"/>
      <c r="BM124" s="941"/>
      <c r="BN124" s="941"/>
      <c r="BO124" s="942"/>
      <c r="BP124" s="943"/>
      <c r="BQ124" s="941"/>
      <c r="BR124" s="941"/>
      <c r="BS124" s="941"/>
      <c r="BT124" s="941"/>
      <c r="BU124" s="941"/>
      <c r="BV124" s="941"/>
      <c r="BW124" s="942"/>
      <c r="BX124" s="943"/>
      <c r="BY124" s="941"/>
      <c r="BZ124" s="941"/>
      <c r="CA124" s="941"/>
      <c r="CB124" s="941"/>
      <c r="CC124" s="941"/>
      <c r="CD124" s="1278"/>
      <c r="CE124" s="1281"/>
      <c r="CF124" s="1280"/>
      <c r="CG124" s="1282"/>
      <c r="CH124" s="1278"/>
      <c r="CI124" s="1282"/>
      <c r="CJ124" s="1278"/>
      <c r="CK124" s="1282"/>
      <c r="CL124" s="1278"/>
      <c r="CM124" s="1281"/>
      <c r="CN124" s="1280"/>
      <c r="CO124" s="1282"/>
      <c r="CP124" s="1342"/>
      <c r="CQ124" s="1343"/>
      <c r="CR124" s="1342"/>
      <c r="CS124" s="1343"/>
      <c r="CT124" s="944"/>
      <c r="CU124" s="945"/>
      <c r="CV124" s="946"/>
      <c r="CW124" s="944"/>
      <c r="CX124" s="944"/>
      <c r="CY124" s="944"/>
      <c r="CZ124" s="944"/>
      <c r="DA124" s="944"/>
      <c r="DB124" s="944"/>
      <c r="DC124" s="945"/>
      <c r="DD124" s="946"/>
      <c r="DE124" s="944"/>
      <c r="DF124" s="944"/>
      <c r="DG124" s="944"/>
      <c r="DH124" s="944"/>
      <c r="DI124" s="944"/>
      <c r="DJ124" s="944"/>
      <c r="DK124" s="945"/>
      <c r="DL124" s="946"/>
      <c r="DM124" s="944"/>
      <c r="DN124" s="944"/>
      <c r="DO124" s="944"/>
      <c r="DP124" s="944"/>
      <c r="DQ124" s="944"/>
      <c r="DR124" s="944"/>
      <c r="DS124" s="945"/>
      <c r="DT124" s="946"/>
      <c r="DU124" s="944"/>
      <c r="DV124" s="944"/>
      <c r="DW124" s="944"/>
      <c r="DX124" s="944"/>
      <c r="DY124" s="944"/>
      <c r="DZ124" s="944"/>
      <c r="EA124" s="945"/>
      <c r="EB124" s="946"/>
      <c r="EC124" s="944"/>
      <c r="ED124" s="944"/>
      <c r="EE124" s="944"/>
      <c r="EF124" s="944"/>
      <c r="EG124" s="944"/>
      <c r="EH124" s="944"/>
      <c r="EI124" s="945"/>
      <c r="EJ124" s="946"/>
      <c r="EK124" s="944"/>
      <c r="EL124" s="944"/>
      <c r="EM124" s="944"/>
      <c r="EN124" s="944"/>
      <c r="EO124" s="944"/>
      <c r="EP124" s="944"/>
      <c r="EQ124" s="945"/>
      <c r="ER124" s="946"/>
      <c r="ES124" s="944"/>
      <c r="ET124" s="944"/>
      <c r="EU124" s="944"/>
      <c r="EV124" s="944"/>
      <c r="EW124" s="944"/>
      <c r="EX124" s="944"/>
      <c r="EY124" s="945"/>
      <c r="EZ124" s="946"/>
      <c r="FA124" s="944"/>
      <c r="FB124" s="944"/>
      <c r="FC124" s="944"/>
      <c r="FD124" s="944"/>
      <c r="FE124" s="944"/>
      <c r="FF124" s="944"/>
      <c r="FG124" s="945"/>
      <c r="FH124" s="946"/>
      <c r="FI124" s="944"/>
      <c r="FJ124" s="944"/>
      <c r="FK124" s="944"/>
      <c r="FL124" s="944"/>
      <c r="FM124" s="944"/>
      <c r="FN124" s="944"/>
      <c r="FO124" s="945"/>
      <c r="FP124" s="946"/>
      <c r="FQ124" s="944"/>
      <c r="FR124" s="944"/>
      <c r="FS124" s="944"/>
      <c r="FT124" s="944"/>
      <c r="FU124" s="944"/>
      <c r="FV124" s="944"/>
      <c r="FW124" s="945"/>
      <c r="FX124" s="946"/>
      <c r="FY124" s="944"/>
      <c r="FZ124" s="944"/>
      <c r="GA124" s="944"/>
      <c r="GB124" s="944"/>
      <c r="GC124" s="944"/>
      <c r="GD124" s="944"/>
      <c r="GE124" s="945"/>
      <c r="GF124" s="946"/>
      <c r="GG124" s="944"/>
      <c r="GH124" s="944"/>
      <c r="GI124" s="944"/>
      <c r="GJ124" s="944"/>
      <c r="GK124" s="944"/>
      <c r="GL124" s="944"/>
      <c r="GM124" s="945"/>
      <c r="GN124" s="946"/>
      <c r="GO124" s="944"/>
      <c r="GP124" s="944"/>
      <c r="GQ124" s="944"/>
      <c r="GR124" s="944"/>
      <c r="GS124" s="944"/>
      <c r="GT124" s="944"/>
      <c r="GU124" s="945"/>
      <c r="GV124" s="944"/>
      <c r="GW124" s="945"/>
      <c r="GX124" s="944"/>
      <c r="GY124" s="945"/>
      <c r="GZ124" s="944"/>
      <c r="HA124" s="945"/>
      <c r="HB124" s="944"/>
      <c r="HC124" s="945"/>
      <c r="HD124" s="944"/>
      <c r="HE124" s="945"/>
      <c r="HF124" s="944"/>
      <c r="HG124" s="945"/>
      <c r="HH124" s="944"/>
      <c r="HI124" s="945"/>
      <c r="HJ124" s="944"/>
      <c r="HK124" s="945"/>
    </row>
    <row r="125" spans="1:219" hidden="1">
      <c r="A125" s="1299"/>
      <c r="B125" s="1300" t="e">
        <f>VLOOKUP(A125,PLANEJAMENTO!$B$10:$C$70,2,FALSE)</f>
        <v>#N/A</v>
      </c>
      <c r="C125" s="1299" t="e">
        <f>VLOOKUP(A125,PLANEJAMENTO!$B$10:$D$70,3,FALSE)</f>
        <v>#N/A</v>
      </c>
      <c r="D125" s="1301" t="e">
        <f>VLOOKUP(A125,PLANEJAMENTO!$B$10:$E$70,4,FALSE)</f>
        <v>#N/A</v>
      </c>
      <c r="E125" s="1301" t="e">
        <f>D125</f>
        <v>#N/A</v>
      </c>
      <c r="F125" s="1302">
        <f>PRODUÇÕES!$D$10</f>
        <v>400</v>
      </c>
      <c r="G125" s="1301">
        <f>F125*8</f>
        <v>3200</v>
      </c>
      <c r="H125" s="726"/>
      <c r="I125" s="1303"/>
      <c r="J125" s="1304"/>
      <c r="K125" s="727" t="s">
        <v>291</v>
      </c>
      <c r="L125" s="1285"/>
      <c r="M125" s="1286"/>
      <c r="N125" s="1285"/>
      <c r="O125" s="1286"/>
      <c r="P125" s="1285"/>
      <c r="Q125" s="1286"/>
      <c r="R125" s="1285"/>
      <c r="S125" s="1286"/>
      <c r="T125" s="1285"/>
      <c r="U125" s="1286"/>
      <c r="V125" s="1285"/>
      <c r="W125" s="1286"/>
      <c r="X125" s="1285"/>
      <c r="Y125" s="1286"/>
      <c r="Z125" s="1285"/>
      <c r="AA125" s="1286"/>
      <c r="AB125" s="1309"/>
      <c r="AC125" s="1310"/>
      <c r="AD125" s="1285"/>
      <c r="AE125" s="1286"/>
      <c r="AF125" s="1285"/>
      <c r="AG125" s="1286"/>
      <c r="AH125" s="1285"/>
      <c r="AI125" s="1286"/>
      <c r="AJ125" s="1285"/>
      <c r="AK125" s="1286"/>
      <c r="AL125" s="1285"/>
      <c r="AM125" s="1286"/>
      <c r="AN125" s="1285"/>
      <c r="AO125" s="1286"/>
      <c r="AP125" s="1285"/>
      <c r="AQ125" s="1286"/>
      <c r="AR125" s="1285"/>
      <c r="AS125" s="1286"/>
      <c r="AT125" s="1285"/>
      <c r="AU125" s="1286"/>
      <c r="AV125" s="1350">
        <f>6-AV78</f>
        <v>0</v>
      </c>
      <c r="AW125" s="1351"/>
      <c r="AX125" s="1350">
        <v>2.7292890282131665</v>
      </c>
      <c r="AY125" s="1351"/>
      <c r="AZ125" s="1285"/>
      <c r="BA125" s="1286"/>
      <c r="BB125" s="1285"/>
      <c r="BC125" s="1286"/>
      <c r="BD125" s="1285"/>
      <c r="BE125" s="1286"/>
      <c r="BF125" s="1347"/>
      <c r="BG125" s="1348"/>
      <c r="BH125" s="1285"/>
      <c r="BI125" s="1286"/>
      <c r="BJ125" s="1285"/>
      <c r="BK125" s="1286"/>
      <c r="BL125" s="1285"/>
      <c r="BM125" s="1286"/>
      <c r="BN125" s="1285"/>
      <c r="BO125" s="1286"/>
      <c r="BP125" s="1285"/>
      <c r="BQ125" s="1286"/>
      <c r="BR125" s="1285"/>
      <c r="BS125" s="1286"/>
      <c r="BT125" s="1263"/>
      <c r="BU125" s="1263"/>
      <c r="BV125" s="1285"/>
      <c r="BW125" s="1286"/>
      <c r="BX125" s="1285"/>
      <c r="BY125" s="1286"/>
      <c r="BZ125" s="1285"/>
      <c r="CA125" s="1286"/>
      <c r="CB125" s="1263"/>
      <c r="CC125" s="1263"/>
      <c r="CD125" s="1315"/>
      <c r="CE125" s="1315"/>
      <c r="CF125" s="1315"/>
      <c r="CG125" s="1315"/>
      <c r="CH125" s="1263"/>
      <c r="CI125" s="1263"/>
      <c r="CJ125" s="1263"/>
      <c r="CK125" s="1263"/>
      <c r="CL125" s="1263"/>
      <c r="CM125" s="1263"/>
      <c r="CN125" s="1263"/>
      <c r="CO125" s="1263"/>
      <c r="CP125" s="1263"/>
      <c r="CQ125" s="1263"/>
      <c r="CR125" s="1263"/>
      <c r="CS125" s="1263"/>
      <c r="CT125" s="1263"/>
      <c r="CU125" s="1263"/>
      <c r="CV125" s="1263"/>
      <c r="CW125" s="1263"/>
      <c r="CX125" s="1263"/>
      <c r="CY125" s="1263"/>
      <c r="CZ125" s="1263"/>
      <c r="DA125" s="1263"/>
      <c r="DB125" s="1263"/>
      <c r="DC125" s="1263"/>
      <c r="DD125" s="1263"/>
      <c r="DE125" s="1263"/>
      <c r="DF125" s="1263"/>
      <c r="DG125" s="1263"/>
      <c r="DH125" s="1263"/>
      <c r="DI125" s="1263"/>
      <c r="DJ125" s="1327"/>
      <c r="DK125" s="1327"/>
      <c r="DL125" s="1263"/>
      <c r="DM125" s="1263"/>
      <c r="DN125" s="1263"/>
      <c r="DO125" s="1263"/>
      <c r="DP125" s="1263"/>
      <c r="DQ125" s="1263"/>
      <c r="DR125" s="1263"/>
      <c r="DS125" s="1263"/>
      <c r="DT125" s="1263"/>
      <c r="DU125" s="1263"/>
      <c r="DV125" s="1263"/>
      <c r="DW125" s="1263"/>
      <c r="DX125" s="1263"/>
      <c r="DY125" s="1263"/>
      <c r="DZ125" s="1263"/>
      <c r="EA125" s="1263"/>
      <c r="EB125" s="1263"/>
      <c r="EC125" s="1263"/>
      <c r="ED125" s="1315"/>
      <c r="EE125" s="1315"/>
      <c r="EF125" s="1315"/>
      <c r="EG125" s="1315"/>
      <c r="EH125" s="1263"/>
      <c r="EI125" s="1263"/>
      <c r="EJ125" s="1263"/>
      <c r="EK125" s="1263"/>
      <c r="EL125" s="1263"/>
      <c r="EM125" s="1263"/>
      <c r="EN125" s="1263"/>
      <c r="EO125" s="1263"/>
      <c r="EP125" s="1263"/>
      <c r="EQ125" s="1263"/>
      <c r="ER125" s="1263"/>
      <c r="ES125" s="1263"/>
      <c r="ET125" s="1263"/>
      <c r="EU125" s="1263"/>
      <c r="EV125" s="1263"/>
      <c r="EW125" s="1263"/>
      <c r="EX125" s="1263"/>
      <c r="EY125" s="1263"/>
      <c r="EZ125" s="1263"/>
      <c r="FA125" s="1263"/>
      <c r="FB125" s="1263"/>
      <c r="FC125" s="1263"/>
      <c r="FD125" s="1263"/>
      <c r="FE125" s="1263"/>
      <c r="FF125" s="1263"/>
      <c r="FG125" s="1263"/>
      <c r="FH125" s="1263"/>
      <c r="FI125" s="1263"/>
      <c r="FJ125" s="1263"/>
      <c r="FK125" s="1263"/>
      <c r="FL125" s="1263"/>
      <c r="FM125" s="1263"/>
      <c r="FN125" s="1263"/>
      <c r="FO125" s="1263"/>
      <c r="FP125" s="1263"/>
      <c r="FQ125" s="1263"/>
      <c r="FR125" s="1263"/>
      <c r="FS125" s="1263"/>
      <c r="FT125" s="1263"/>
      <c r="FU125" s="1263"/>
      <c r="FV125" s="1263"/>
      <c r="FW125" s="1263"/>
      <c r="FX125" s="1263"/>
      <c r="FY125" s="1263"/>
      <c r="FZ125" s="1263"/>
      <c r="GA125" s="1263"/>
      <c r="GB125" s="1263"/>
      <c r="GC125" s="1263"/>
      <c r="GD125" s="1263"/>
      <c r="GE125" s="1263"/>
      <c r="GF125" s="1263"/>
      <c r="GG125" s="1263"/>
      <c r="GH125" s="1263"/>
      <c r="GI125" s="1263"/>
      <c r="GJ125" s="1263"/>
      <c r="GK125" s="1263"/>
      <c r="GL125" s="1263"/>
      <c r="GM125" s="1263"/>
      <c r="GN125" s="1263"/>
      <c r="GO125" s="1263"/>
      <c r="GP125" s="1263"/>
      <c r="GQ125" s="1263"/>
      <c r="GR125" s="1263"/>
      <c r="GS125" s="1263"/>
      <c r="GT125" s="1263"/>
      <c r="GU125" s="1263"/>
      <c r="GV125" s="1263"/>
      <c r="GW125" s="1263"/>
      <c r="GX125" s="1263"/>
      <c r="GY125" s="1263"/>
      <c r="GZ125" s="1263"/>
      <c r="HA125" s="1263"/>
      <c r="HB125" s="1263"/>
      <c r="HC125" s="1263"/>
      <c r="HD125" s="1263"/>
      <c r="HE125" s="1263"/>
      <c r="HF125" s="1263"/>
      <c r="HG125" s="1263"/>
      <c r="HH125" s="1263"/>
      <c r="HI125" s="1263"/>
      <c r="HJ125" s="1263"/>
      <c r="HK125" s="1263"/>
    </row>
    <row r="126" spans="1:219" hidden="1">
      <c r="A126" s="1299"/>
      <c r="B126" s="1300"/>
      <c r="C126" s="1299"/>
      <c r="D126" s="1301"/>
      <c r="E126" s="1301"/>
      <c r="F126" s="1302"/>
      <c r="G126" s="1301"/>
      <c r="H126" s="726"/>
      <c r="I126" s="1303"/>
      <c r="J126" s="1304"/>
      <c r="K126" s="785" t="s">
        <v>292</v>
      </c>
      <c r="L126" s="1283"/>
      <c r="M126" s="1284"/>
      <c r="N126" s="1283"/>
      <c r="O126" s="1284"/>
      <c r="P126" s="1283"/>
      <c r="Q126" s="1284"/>
      <c r="R126" s="1283"/>
      <c r="S126" s="1284"/>
      <c r="T126" s="1283"/>
      <c r="U126" s="1284"/>
      <c r="V126" s="1283"/>
      <c r="W126" s="1284"/>
      <c r="X126" s="1283"/>
      <c r="Y126" s="1284"/>
      <c r="Z126" s="1283"/>
      <c r="AA126" s="1284"/>
      <c r="AB126" s="1283"/>
      <c r="AC126" s="1284"/>
      <c r="AD126" s="1283"/>
      <c r="AE126" s="1284"/>
      <c r="AF126" s="1283"/>
      <c r="AG126" s="1284"/>
      <c r="AH126" s="1283"/>
      <c r="AI126" s="1284"/>
      <c r="AJ126" s="1283"/>
      <c r="AK126" s="1284"/>
      <c r="AL126" s="1283"/>
      <c r="AM126" s="1284"/>
      <c r="AN126" s="1283"/>
      <c r="AO126" s="1284"/>
      <c r="AP126" s="1283"/>
      <c r="AQ126" s="1284"/>
      <c r="AR126" s="1283"/>
      <c r="AS126" s="1284"/>
      <c r="AT126" s="1283"/>
      <c r="AU126" s="1284"/>
      <c r="AV126" s="1283">
        <v>1</v>
      </c>
      <c r="AW126" s="1284"/>
      <c r="AX126" s="1283">
        <v>1</v>
      </c>
      <c r="AY126" s="1284"/>
      <c r="AZ126" s="1283"/>
      <c r="BA126" s="1284"/>
      <c r="BB126" s="1283"/>
      <c r="BC126" s="1284"/>
      <c r="BD126" s="1283"/>
      <c r="BE126" s="1284"/>
      <c r="BF126" s="1283"/>
      <c r="BG126" s="1284"/>
      <c r="BH126" s="1283"/>
      <c r="BI126" s="1284"/>
      <c r="BJ126" s="1283"/>
      <c r="BK126" s="1284"/>
      <c r="BL126" s="1283"/>
      <c r="BM126" s="1284"/>
      <c r="BN126" s="1283"/>
      <c r="BO126" s="1284"/>
      <c r="BP126" s="1283"/>
      <c r="BQ126" s="1284"/>
      <c r="BR126" s="1283"/>
      <c r="BS126" s="1284"/>
      <c r="BT126" s="1264"/>
      <c r="BU126" s="1264"/>
      <c r="BV126" s="1283"/>
      <c r="BW126" s="1284"/>
      <c r="BX126" s="1283"/>
      <c r="BY126" s="1284"/>
      <c r="BZ126" s="1283"/>
      <c r="CA126" s="1284"/>
      <c r="CB126" s="1264"/>
      <c r="CC126" s="1264"/>
      <c r="CD126" s="1264"/>
      <c r="CE126" s="1264"/>
      <c r="CF126" s="1264"/>
      <c r="CG126" s="1264"/>
      <c r="CH126" s="1264"/>
      <c r="CI126" s="1264"/>
      <c r="CJ126" s="1264"/>
      <c r="CK126" s="1264"/>
      <c r="CL126" s="1264"/>
      <c r="CM126" s="1264"/>
      <c r="CN126" s="1264"/>
      <c r="CO126" s="1264"/>
      <c r="CP126" s="1264"/>
      <c r="CQ126" s="1264"/>
      <c r="CR126" s="1264"/>
      <c r="CS126" s="1264"/>
      <c r="CT126" s="1264"/>
      <c r="CU126" s="1264"/>
      <c r="CV126" s="1264"/>
      <c r="CW126" s="1264"/>
      <c r="CX126" s="1264"/>
      <c r="CY126" s="1264"/>
      <c r="CZ126" s="1264"/>
      <c r="DA126" s="1264"/>
      <c r="DB126" s="1264"/>
      <c r="DC126" s="1264"/>
      <c r="DD126" s="1264"/>
      <c r="DE126" s="1264"/>
      <c r="DF126" s="1264"/>
      <c r="DG126" s="1264"/>
      <c r="DH126" s="1264"/>
      <c r="DI126" s="1264"/>
      <c r="DJ126" s="1265"/>
      <c r="DK126" s="1265"/>
      <c r="DL126" s="1264"/>
      <c r="DM126" s="1264"/>
      <c r="DN126" s="1264"/>
      <c r="DO126" s="1264"/>
      <c r="DP126" s="1264"/>
      <c r="DQ126" s="1264"/>
      <c r="DR126" s="1264"/>
      <c r="DS126" s="1264"/>
      <c r="DT126" s="1264"/>
      <c r="DU126" s="1264"/>
      <c r="DV126" s="1264"/>
      <c r="DW126" s="1264"/>
      <c r="DX126" s="1264"/>
      <c r="DY126" s="1264"/>
      <c r="DZ126" s="1264"/>
      <c r="EA126" s="1264"/>
      <c r="EB126" s="1264"/>
      <c r="EC126" s="1264"/>
      <c r="ED126" s="1264"/>
      <c r="EE126" s="1264"/>
      <c r="EF126" s="1264"/>
      <c r="EG126" s="1264"/>
      <c r="EH126" s="1264"/>
      <c r="EI126" s="1264"/>
      <c r="EJ126" s="1264"/>
      <c r="EK126" s="1264"/>
      <c r="EL126" s="1264"/>
      <c r="EM126" s="1264"/>
      <c r="EN126" s="1264"/>
      <c r="EO126" s="1264"/>
      <c r="EP126" s="1264"/>
      <c r="EQ126" s="1264"/>
      <c r="ER126" s="1264"/>
      <c r="ES126" s="1264"/>
      <c r="ET126" s="1264"/>
      <c r="EU126" s="1264"/>
      <c r="EV126" s="1264"/>
      <c r="EW126" s="1264"/>
      <c r="EX126" s="1264"/>
      <c r="EY126" s="1264"/>
      <c r="EZ126" s="1264"/>
      <c r="FA126" s="1264"/>
      <c r="FB126" s="1264"/>
      <c r="FC126" s="1264"/>
      <c r="FD126" s="1264"/>
      <c r="FE126" s="1264"/>
      <c r="FF126" s="1264"/>
      <c r="FG126" s="1264"/>
      <c r="FH126" s="1264"/>
      <c r="FI126" s="1264"/>
      <c r="FJ126" s="1264"/>
      <c r="FK126" s="1264"/>
      <c r="FL126" s="1264"/>
      <c r="FM126" s="1264"/>
      <c r="FN126" s="1264"/>
      <c r="FO126" s="1264"/>
      <c r="FP126" s="1264"/>
      <c r="FQ126" s="1264"/>
      <c r="FR126" s="1264"/>
      <c r="FS126" s="1264"/>
      <c r="FT126" s="1264"/>
      <c r="FU126" s="1264"/>
      <c r="FV126" s="1264"/>
      <c r="FW126" s="1264"/>
      <c r="FX126" s="1264"/>
      <c r="FY126" s="1264"/>
      <c r="FZ126" s="1264"/>
      <c r="GA126" s="1264"/>
      <c r="GB126" s="1264"/>
      <c r="GC126" s="1264"/>
      <c r="GD126" s="1264"/>
      <c r="GE126" s="1264"/>
      <c r="GF126" s="1264"/>
      <c r="GG126" s="1264"/>
      <c r="GH126" s="1264"/>
      <c r="GI126" s="1264"/>
      <c r="GJ126" s="1264"/>
      <c r="GK126" s="1264"/>
      <c r="GL126" s="1264"/>
      <c r="GM126" s="1264"/>
      <c r="GN126" s="1264"/>
      <c r="GO126" s="1264"/>
      <c r="GP126" s="1264"/>
      <c r="GQ126" s="1264"/>
      <c r="GR126" s="1264"/>
      <c r="GS126" s="1264"/>
      <c r="GT126" s="1264"/>
      <c r="GU126" s="1264"/>
      <c r="GV126" s="1264"/>
      <c r="GW126" s="1264"/>
      <c r="GX126" s="1264"/>
      <c r="GY126" s="1264"/>
      <c r="GZ126" s="1264"/>
      <c r="HA126" s="1264"/>
      <c r="HB126" s="1264"/>
      <c r="HC126" s="1264"/>
      <c r="HD126" s="1264"/>
      <c r="HE126" s="1264"/>
      <c r="HF126" s="1264"/>
      <c r="HG126" s="1264"/>
      <c r="HH126" s="1264"/>
      <c r="HI126" s="1264"/>
      <c r="HJ126" s="1264"/>
      <c r="HK126" s="1264"/>
    </row>
    <row r="127" spans="1:219" hidden="1">
      <c r="A127" s="1299"/>
      <c r="B127" s="1300"/>
      <c r="C127" s="1299"/>
      <c r="D127" s="1301"/>
      <c r="E127" s="1301"/>
      <c r="F127" s="1302"/>
      <c r="G127" s="1301"/>
      <c r="H127" s="726"/>
      <c r="I127" s="1303"/>
      <c r="J127" s="1304"/>
      <c r="K127" s="786" t="s">
        <v>293</v>
      </c>
      <c r="L127" s="1255">
        <f>(L125*L126*$G125)*$L$8</f>
        <v>0</v>
      </c>
      <c r="M127" s="1256"/>
      <c r="N127" s="1255">
        <f>(N125*N126*$G125)*$L$8</f>
        <v>0</v>
      </c>
      <c r="O127" s="1256"/>
      <c r="P127" s="1255">
        <f>(P125*P126*$G125)*$L$8</f>
        <v>0</v>
      </c>
      <c r="Q127" s="1256"/>
      <c r="R127" s="1255">
        <f>(R125*R126*$G125)*$L$8</f>
        <v>0</v>
      </c>
      <c r="S127" s="1256"/>
      <c r="T127" s="1255">
        <f>(T125*T126*$G125)*$T$8</f>
        <v>0</v>
      </c>
      <c r="U127" s="1256"/>
      <c r="V127" s="1255">
        <f>(V125*V126*$G125)*$T$8</f>
        <v>0</v>
      </c>
      <c r="W127" s="1256"/>
      <c r="X127" s="1255">
        <f>(X125*X126*$G125)*$T$8</f>
        <v>0</v>
      </c>
      <c r="Y127" s="1256"/>
      <c r="Z127" s="1255">
        <f>(Z125*Z126*$G125)*$T$8</f>
        <v>0</v>
      </c>
      <c r="AA127" s="1256"/>
      <c r="AB127" s="1255">
        <f>(AB125*AB126*$G125)*$AB$8</f>
        <v>0</v>
      </c>
      <c r="AC127" s="1256"/>
      <c r="AD127" s="1255">
        <f>(AD125*AD126*$G125)*$AB$8</f>
        <v>0</v>
      </c>
      <c r="AE127" s="1256"/>
      <c r="AF127" s="1255">
        <f>(AF125*AF126*$G125)*$AB$8</f>
        <v>0</v>
      </c>
      <c r="AG127" s="1256"/>
      <c r="AH127" s="1255">
        <f>(AH125*AH126*$G125)*$AB$8</f>
        <v>0</v>
      </c>
      <c r="AI127" s="1256"/>
      <c r="AJ127" s="1255">
        <f>(AJ125*AJ126*$G125)*$AJ$8</f>
        <v>0</v>
      </c>
      <c r="AK127" s="1256"/>
      <c r="AL127" s="1255">
        <f>(AL125*AL126*$G125)*$AJ$8</f>
        <v>0</v>
      </c>
      <c r="AM127" s="1256"/>
      <c r="AN127" s="1255">
        <f>(AN125*AN126*$G125)*$AJ$8</f>
        <v>0</v>
      </c>
      <c r="AO127" s="1256"/>
      <c r="AP127" s="1255">
        <f>(AP125*AP126*$G125)*$AJ$8</f>
        <v>0</v>
      </c>
      <c r="AQ127" s="1256"/>
      <c r="AR127" s="1255">
        <f>(AR125*AR126*$G125)*$AT$8</f>
        <v>0</v>
      </c>
      <c r="AS127" s="1256"/>
      <c r="AT127" s="1255">
        <f>(AT125*AT126*$G125)*$AT$8</f>
        <v>0</v>
      </c>
      <c r="AU127" s="1256"/>
      <c r="AV127" s="1255">
        <f>(AV125*AV126*$G125)*$AT$8</f>
        <v>0</v>
      </c>
      <c r="AW127" s="1256"/>
      <c r="AX127" s="1255">
        <f>(AX125*AX126*$G125)*$AT$8</f>
        <v>8451.9918293052906</v>
      </c>
      <c r="AY127" s="1256"/>
      <c r="AZ127" s="1255">
        <f>(AZ125*AZ126*$G125)*$BB$8</f>
        <v>0</v>
      </c>
      <c r="BA127" s="1256"/>
      <c r="BB127" s="1255">
        <f>(BB125*BB126*$G125)*$BB$8</f>
        <v>0</v>
      </c>
      <c r="BC127" s="1256"/>
      <c r="BD127" s="1255">
        <f>(BD125*BD126*$G125)*$BB$8</f>
        <v>0</v>
      </c>
      <c r="BE127" s="1256"/>
      <c r="BF127" s="1255">
        <f>(BF125*BF126*$G125)*$BB$8</f>
        <v>0</v>
      </c>
      <c r="BG127" s="1256"/>
      <c r="BH127" s="1255">
        <f>(BH125*BH126*$G125)*$BJ$8</f>
        <v>0</v>
      </c>
      <c r="BI127" s="1256"/>
      <c r="BJ127" s="1255">
        <f>(BJ125*BJ126*$G125)*$BJ$8</f>
        <v>0</v>
      </c>
      <c r="BK127" s="1256"/>
      <c r="BL127" s="1255">
        <f>(BL125*BL126*$G125)*$BJ$8</f>
        <v>0</v>
      </c>
      <c r="BM127" s="1256"/>
      <c r="BN127" s="1255">
        <f>(BN125*BN126*$G125)*$BJ$8</f>
        <v>0</v>
      </c>
      <c r="BO127" s="1256"/>
      <c r="BP127" s="1255">
        <f>(BP125*BP126*$G125)*$BT$8</f>
        <v>0</v>
      </c>
      <c r="BQ127" s="1256"/>
      <c r="BR127" s="1255">
        <f>(BR125*BR126*$G125)*$BT$8</f>
        <v>0</v>
      </c>
      <c r="BS127" s="1256"/>
      <c r="BT127" s="1255">
        <f>(BT125*BT126*$G125)*$BT$8</f>
        <v>0</v>
      </c>
      <c r="BU127" s="1256"/>
      <c r="BV127" s="1255">
        <f>(BV125*BV126*$G125)*$BT$8</f>
        <v>0</v>
      </c>
      <c r="BW127" s="1256"/>
      <c r="BX127" s="1255">
        <f>(BX125*BX126*$G125)*$BT$8</f>
        <v>0</v>
      </c>
      <c r="BY127" s="1256"/>
      <c r="BZ127" s="1255">
        <f>(BZ125*BZ126*$G125)*$CB$8</f>
        <v>0</v>
      </c>
      <c r="CA127" s="1256"/>
      <c r="CB127" s="1255">
        <f>(CB125*CB126*$G125)*$CB$8</f>
        <v>0</v>
      </c>
      <c r="CC127" s="1256"/>
      <c r="CD127" s="1255">
        <f>(CD125*CD126*$G125)*$CB$8</f>
        <v>0</v>
      </c>
      <c r="CE127" s="1256"/>
      <c r="CF127" s="1255">
        <f>(CF125*CF126*$G125)*$CJ$8</f>
        <v>0</v>
      </c>
      <c r="CG127" s="1256"/>
      <c r="CH127" s="1255">
        <f>(CH125*CH126*$G125)*$CJ$8</f>
        <v>0</v>
      </c>
      <c r="CI127" s="1256"/>
      <c r="CJ127" s="1255">
        <f>(CJ125*CJ126*$G125)*$CJ$8</f>
        <v>0</v>
      </c>
      <c r="CK127" s="1256"/>
      <c r="CL127" s="1255">
        <f>(CL125*CL126*$G125)*$CJ$8</f>
        <v>0</v>
      </c>
      <c r="CM127" s="1256"/>
      <c r="CN127" s="1255">
        <f>(CN125*CN126*$G125)*$CB$8</f>
        <v>0</v>
      </c>
      <c r="CO127" s="1256"/>
      <c r="CP127" s="1255">
        <f>(CP125*CP126*$G125)*$CB$8</f>
        <v>0</v>
      </c>
      <c r="CQ127" s="1256"/>
      <c r="CR127" s="1255">
        <f>(CR125*CR126*$G125)*$CB$8</f>
        <v>0</v>
      </c>
      <c r="CS127" s="1256"/>
      <c r="CT127" s="1255">
        <f>(CT125*CT126*$G125)*$CB$8</f>
        <v>0</v>
      </c>
      <c r="CU127" s="1256"/>
      <c r="CV127" s="1255">
        <f>(CV125*CV126*$G125)*$CB$8</f>
        <v>0</v>
      </c>
      <c r="CW127" s="1256"/>
      <c r="CX127" s="1255">
        <f>(CX125*CX126*$G125)*$CB$8</f>
        <v>0</v>
      </c>
      <c r="CY127" s="1256"/>
      <c r="CZ127" s="1255">
        <f>(CZ125*CZ126*$G125)*$DB$8</f>
        <v>0</v>
      </c>
      <c r="DA127" s="1256"/>
      <c r="DB127" s="1255">
        <f>(DB125*DB126*$G125)*$DB$8</f>
        <v>0</v>
      </c>
      <c r="DC127" s="1256"/>
      <c r="DD127" s="1255">
        <f>(DD125*DD126*$G125)*$DL$8</f>
        <v>0</v>
      </c>
      <c r="DE127" s="1256"/>
      <c r="DF127" s="1313">
        <f>(DF125*DF126*$G125)*$DL$8</f>
        <v>0</v>
      </c>
      <c r="DG127" s="1314"/>
      <c r="DH127" s="1313">
        <f>(DH125*DH126*$G125)*$DL$8</f>
        <v>0</v>
      </c>
      <c r="DI127" s="1314"/>
      <c r="DJ127" s="1328">
        <f>(DJ125*DJ126*$G125)*$DL$8</f>
        <v>0</v>
      </c>
      <c r="DK127" s="1329"/>
      <c r="DL127" s="1313">
        <f>(DL125*DL126*$G125)*$DT$8</f>
        <v>0</v>
      </c>
      <c r="DM127" s="1314"/>
      <c r="DN127" s="1313">
        <f>(DN125*DN126*$G125)*$DT$8</f>
        <v>0</v>
      </c>
      <c r="DO127" s="1314"/>
      <c r="DP127" s="1313">
        <f>(DP125*DP126*$G125)*$DT$8</f>
        <v>0</v>
      </c>
      <c r="DQ127" s="1314"/>
      <c r="DR127" s="1313">
        <f>(DR125*DR126*$G125)*$DT$8</f>
        <v>0</v>
      </c>
      <c r="DS127" s="1314"/>
      <c r="DT127" s="1313">
        <f>(DT125*DT126*$G125)*$DT$8</f>
        <v>0</v>
      </c>
      <c r="DU127" s="1314"/>
      <c r="DV127" s="1313">
        <f>(DV125*DV126*$G125)*$DT$8</f>
        <v>0</v>
      </c>
      <c r="DW127" s="1314"/>
      <c r="DX127" s="1313">
        <f>(DX125*DX126*$G125)*$DT$8</f>
        <v>0</v>
      </c>
      <c r="DY127" s="1314"/>
      <c r="DZ127" s="1313">
        <f>(DZ125*DZ126*$G125)*$DT$8</f>
        <v>0</v>
      </c>
      <c r="EA127" s="1314"/>
      <c r="EB127" s="1313">
        <f>(EB125*EB126*$G125)*$DT$8</f>
        <v>0</v>
      </c>
      <c r="EC127" s="1314"/>
      <c r="ED127" s="1313">
        <f>(ED125*ED126*$G125)*$EB$8</f>
        <v>0</v>
      </c>
      <c r="EE127" s="1314"/>
      <c r="EF127" s="1313">
        <f>(EF125*EF126*$G125)*$EJ$8</f>
        <v>0</v>
      </c>
      <c r="EG127" s="1314"/>
      <c r="EH127" s="1313">
        <f>(EH125*EH126*$G125)*$EJ$8</f>
        <v>0</v>
      </c>
      <c r="EI127" s="1314"/>
      <c r="EJ127" s="1313">
        <f>(EJ125*EJ126*$G125)*$EJ$8</f>
        <v>0</v>
      </c>
      <c r="EK127" s="1314"/>
      <c r="EL127" s="1313">
        <f>(EL125*EL126*$G125)*$EJ$8</f>
        <v>0</v>
      </c>
      <c r="EM127" s="1314"/>
      <c r="EN127" s="1313">
        <f>(EN125*EN126*$G125)*$EJ$8</f>
        <v>0</v>
      </c>
      <c r="EO127" s="1314"/>
      <c r="EP127" s="1313">
        <f>(EP125*EP126*$G125)*$EJ$8</f>
        <v>0</v>
      </c>
      <c r="EQ127" s="1314"/>
      <c r="ER127" s="1313">
        <f>(ER125*ER126*$G125)*$EJ$8</f>
        <v>0</v>
      </c>
      <c r="ES127" s="1314"/>
      <c r="ET127" s="1313">
        <f>(ET125*ET126*$G125)*$ET$8</f>
        <v>0</v>
      </c>
      <c r="EU127" s="1314"/>
      <c r="EV127" s="1313">
        <f>(EV125*EV126*$G125)*$ET$8</f>
        <v>0</v>
      </c>
      <c r="EW127" s="1314"/>
      <c r="EX127" s="1313">
        <f>(EX125*EX126*$G125)*$ET$8</f>
        <v>0</v>
      </c>
      <c r="EY127" s="1314"/>
      <c r="EZ127" s="1313">
        <f>(EZ125*EZ126*$G125)*$ET$8</f>
        <v>0</v>
      </c>
      <c r="FA127" s="1314"/>
      <c r="FB127" s="1313">
        <f>(FB125*FB126*$G125)*$FB$8</f>
        <v>0</v>
      </c>
      <c r="FC127" s="1314"/>
      <c r="FD127" s="1313">
        <f>(FD125*FD126*$G125)*$FL$8</f>
        <v>0</v>
      </c>
      <c r="FE127" s="1314"/>
      <c r="FF127" s="1313">
        <f>(FF125*FF126*$G125)*$FL$8</f>
        <v>0</v>
      </c>
      <c r="FG127" s="1314"/>
      <c r="FH127" s="1313">
        <f>(FH125*FH126*$G125)*$FT$8</f>
        <v>0</v>
      </c>
      <c r="FI127" s="1314"/>
      <c r="FJ127" s="1313">
        <f>(FJ125*FJ126*$G125)*$FT$8</f>
        <v>0</v>
      </c>
      <c r="FK127" s="1314"/>
      <c r="FL127" s="1313">
        <f>(FL125*FL126*$G125)*$FT$8</f>
        <v>0</v>
      </c>
      <c r="FM127" s="1314"/>
      <c r="FN127" s="1313">
        <f>(FN125*FN126*$G125)*$FT$8</f>
        <v>0</v>
      </c>
      <c r="FO127" s="1314"/>
      <c r="FP127" s="1313">
        <f>(FP125*FP126*$G125)*$GD$8</f>
        <v>0</v>
      </c>
      <c r="FQ127" s="1314"/>
      <c r="FR127" s="1313">
        <f>(FR125*FR126*$G125)*$GD$8</f>
        <v>0</v>
      </c>
      <c r="FS127" s="1314"/>
      <c r="FT127" s="1313">
        <f>(FT125*FT126*$G125)*$GD$8</f>
        <v>0</v>
      </c>
      <c r="FU127" s="1314"/>
      <c r="FV127" s="1313">
        <f>(FV125*FV126*$G125)*$GD$8</f>
        <v>0</v>
      </c>
      <c r="FW127" s="1314"/>
      <c r="FX127" s="1313">
        <f>(FX125*FX126*$G125)*$GL$8</f>
        <v>0</v>
      </c>
      <c r="FY127" s="1314"/>
      <c r="FZ127" s="1313">
        <f>(FZ125*FZ126*$G125)*$GL$8</f>
        <v>0</v>
      </c>
      <c r="GA127" s="1314"/>
      <c r="GB127" s="1313">
        <f>(GB125*GB126*$G125)*$GL$8</f>
        <v>0</v>
      </c>
      <c r="GC127" s="1314"/>
      <c r="GD127" s="1313">
        <f>(GD125*GD126*$G125)*$GD$8</f>
        <v>0</v>
      </c>
      <c r="GE127" s="1314"/>
      <c r="GF127" s="1313">
        <f>(GF125*GF126*$G125)*$GD$8</f>
        <v>0</v>
      </c>
      <c r="GG127" s="1314"/>
      <c r="GH127" s="1313">
        <f>(GH125*GH126*$G125)*$GD$8</f>
        <v>0</v>
      </c>
      <c r="GI127" s="1314"/>
      <c r="GJ127" s="1313">
        <f>(GJ125*GJ126*$G125)*$GD$8</f>
        <v>0</v>
      </c>
      <c r="GK127" s="1314"/>
      <c r="GL127" s="1313">
        <f>(GL125*GL126*$G125)*$GL$8</f>
        <v>0</v>
      </c>
      <c r="GM127" s="1314"/>
      <c r="GN127" s="1313">
        <f>(GN125*GN126*$G125)*$GL$8</f>
        <v>0</v>
      </c>
      <c r="GO127" s="1314"/>
      <c r="GP127" s="1313">
        <f>(GP125*GP126*$G125)*$GL$8</f>
        <v>0</v>
      </c>
      <c r="GQ127" s="1314"/>
      <c r="GR127" s="1313">
        <f>(GR125*GR126*$G125)*$GL$8</f>
        <v>0</v>
      </c>
      <c r="GS127" s="1314"/>
      <c r="GT127" s="1313">
        <f>(GT125*GT126*$G125)*$GN$8</f>
        <v>0</v>
      </c>
      <c r="GU127" s="1314"/>
      <c r="GV127" s="1313">
        <f>(GV125*GV126*$G125)*$GN$8</f>
        <v>0</v>
      </c>
      <c r="GW127" s="1314"/>
      <c r="GX127" s="1313">
        <f>(GX125*GX126*$G125)*$GN$8</f>
        <v>0</v>
      </c>
      <c r="GY127" s="1314"/>
      <c r="GZ127" s="1313">
        <f>(GZ125*GZ126*$G125)*$GN$8</f>
        <v>0</v>
      </c>
      <c r="HA127" s="1314"/>
      <c r="HB127" s="1313">
        <f>(HB125*HB126*$G125)*$GN$8</f>
        <v>0</v>
      </c>
      <c r="HC127" s="1314"/>
      <c r="HD127" s="1313">
        <f>(HD125*HD126*$G125)*$GN$8</f>
        <v>0</v>
      </c>
      <c r="HE127" s="1314"/>
      <c r="HF127" s="1313">
        <f>(HF125*HF126*$G125)*$GN$8</f>
        <v>0</v>
      </c>
      <c r="HG127" s="1314"/>
      <c r="HH127" s="1313">
        <f>(HH125*HH126*$G125)*$GN$8</f>
        <v>0</v>
      </c>
      <c r="HI127" s="1314"/>
      <c r="HJ127" s="1313">
        <f>(HJ125*HJ126*$G125)*$GN$8</f>
        <v>0</v>
      </c>
      <c r="HK127" s="1314"/>
    </row>
    <row r="128" spans="1:219" hidden="1">
      <c r="A128" s="1299"/>
      <c r="B128" s="1300"/>
      <c r="C128" s="1299"/>
      <c r="D128" s="1301"/>
      <c r="E128" s="1301"/>
      <c r="F128" s="1302"/>
      <c r="G128" s="1301"/>
      <c r="H128" s="726"/>
      <c r="I128" s="1303"/>
      <c r="J128" s="1304"/>
      <c r="K128" s="787" t="s">
        <v>294</v>
      </c>
      <c r="L128" s="1272">
        <f>L127</f>
        <v>0</v>
      </c>
      <c r="M128" s="1273"/>
      <c r="N128" s="1272">
        <f>L128+N127</f>
        <v>0</v>
      </c>
      <c r="O128" s="1273"/>
      <c r="P128" s="1272">
        <f>N128+P127</f>
        <v>0</v>
      </c>
      <c r="Q128" s="1273"/>
      <c r="R128" s="1272">
        <f>P128+R127</f>
        <v>0</v>
      </c>
      <c r="S128" s="1273"/>
      <c r="T128" s="1272">
        <f>R128+T127</f>
        <v>0</v>
      </c>
      <c r="U128" s="1273"/>
      <c r="V128" s="1272">
        <f>T128+V127</f>
        <v>0</v>
      </c>
      <c r="W128" s="1273"/>
      <c r="X128" s="1272">
        <f>V128+X127</f>
        <v>0</v>
      </c>
      <c r="Y128" s="1273"/>
      <c r="Z128" s="1272">
        <f>X128+Z127</f>
        <v>0</v>
      </c>
      <c r="AA128" s="1273"/>
      <c r="AB128" s="1272">
        <f>Z128+AB127</f>
        <v>0</v>
      </c>
      <c r="AC128" s="1273"/>
      <c r="AD128" s="1272">
        <f>AB128+AD127</f>
        <v>0</v>
      </c>
      <c r="AE128" s="1273"/>
      <c r="AF128" s="1272">
        <f>AD128+AF127</f>
        <v>0</v>
      </c>
      <c r="AG128" s="1273"/>
      <c r="AH128" s="1272">
        <f>AF128+AH127</f>
        <v>0</v>
      </c>
      <c r="AI128" s="1273"/>
      <c r="AJ128" s="1272">
        <f>AH128+AJ127</f>
        <v>0</v>
      </c>
      <c r="AK128" s="1273"/>
      <c r="AL128" s="1272">
        <f>AJ128+AL127</f>
        <v>0</v>
      </c>
      <c r="AM128" s="1273"/>
      <c r="AN128" s="1272">
        <f>AL128+AN127</f>
        <v>0</v>
      </c>
      <c r="AO128" s="1273"/>
      <c r="AP128" s="1272">
        <f>AN128+AP127</f>
        <v>0</v>
      </c>
      <c r="AQ128" s="1273"/>
      <c r="AR128" s="1272">
        <f>AP128+AR127</f>
        <v>0</v>
      </c>
      <c r="AS128" s="1273"/>
      <c r="AT128" s="1272">
        <f>AR128+AT127</f>
        <v>0</v>
      </c>
      <c r="AU128" s="1273"/>
      <c r="AV128" s="1272">
        <f>AT128+AV127</f>
        <v>0</v>
      </c>
      <c r="AW128" s="1273"/>
      <c r="AX128" s="1272">
        <f>AV128+AX127</f>
        <v>8451.9918293052906</v>
      </c>
      <c r="AY128" s="1273"/>
      <c r="AZ128" s="1272">
        <f>AX128+AZ127</f>
        <v>8451.9918293052906</v>
      </c>
      <c r="BA128" s="1273"/>
      <c r="BB128" s="1272">
        <f>AZ128+BB127</f>
        <v>8451.9918293052906</v>
      </c>
      <c r="BC128" s="1273"/>
      <c r="BD128" s="1272">
        <f>BB128+BD127</f>
        <v>8451.9918293052906</v>
      </c>
      <c r="BE128" s="1273"/>
      <c r="BF128" s="1272">
        <f>BD128+BF127</f>
        <v>8451.9918293052906</v>
      </c>
      <c r="BG128" s="1273"/>
      <c r="BH128" s="1272">
        <f>BF128+BH127</f>
        <v>8451.9918293052906</v>
      </c>
      <c r="BI128" s="1273"/>
      <c r="BJ128" s="1272">
        <f>BH128+BJ127</f>
        <v>8451.9918293052906</v>
      </c>
      <c r="BK128" s="1273"/>
      <c r="BL128" s="1272">
        <f>BJ128+BL127</f>
        <v>8451.9918293052906</v>
      </c>
      <c r="BM128" s="1273"/>
      <c r="BN128" s="1272">
        <f>BL128+BN127</f>
        <v>8451.9918293052906</v>
      </c>
      <c r="BO128" s="1273"/>
      <c r="BP128" s="1272">
        <f>BN128+BP127</f>
        <v>8451.9918293052906</v>
      </c>
      <c r="BQ128" s="1273"/>
      <c r="BR128" s="1272">
        <f>BP128+BR127</f>
        <v>8451.9918293052906</v>
      </c>
      <c r="BS128" s="1273"/>
      <c r="BT128" s="1272">
        <f>BR128+BT127</f>
        <v>8451.9918293052906</v>
      </c>
      <c r="BU128" s="1273"/>
      <c r="BV128" s="1272">
        <f>BT128+BV127</f>
        <v>8451.9918293052906</v>
      </c>
      <c r="BW128" s="1273"/>
      <c r="BX128" s="1272">
        <f>BV128+BX127</f>
        <v>8451.9918293052906</v>
      </c>
      <c r="BY128" s="1273"/>
      <c r="BZ128" s="1272">
        <f>BX128+BZ127</f>
        <v>8451.9918293052906</v>
      </c>
      <c r="CA128" s="1273"/>
      <c r="CB128" s="1272">
        <f>BZ128+CB127</f>
        <v>8451.9918293052906</v>
      </c>
      <c r="CC128" s="1273"/>
      <c r="CD128" s="1272">
        <f>CB128+CD127</f>
        <v>8451.9918293052906</v>
      </c>
      <c r="CE128" s="1273"/>
      <c r="CF128" s="1272">
        <f>CD128+CF127</f>
        <v>8451.9918293052906</v>
      </c>
      <c r="CG128" s="1273"/>
      <c r="CH128" s="1272">
        <f>CF128+CH127</f>
        <v>8451.9918293052906</v>
      </c>
      <c r="CI128" s="1273"/>
      <c r="CJ128" s="1272">
        <f>CH128+CJ127</f>
        <v>8451.9918293052906</v>
      </c>
      <c r="CK128" s="1273"/>
      <c r="CL128" s="1272">
        <f>CJ128+CL127</f>
        <v>8451.9918293052906</v>
      </c>
      <c r="CM128" s="1273"/>
      <c r="CN128" s="1272">
        <f>CL128+CN127</f>
        <v>8451.9918293052906</v>
      </c>
      <c r="CO128" s="1273"/>
      <c r="CP128" s="1272">
        <f>CN128+CP127</f>
        <v>8451.9918293052906</v>
      </c>
      <c r="CQ128" s="1273"/>
      <c r="CR128" s="1272">
        <f>CP128+CR127</f>
        <v>8451.9918293052906</v>
      </c>
      <c r="CS128" s="1273"/>
      <c r="CT128" s="1272">
        <f>CR128+CT127</f>
        <v>8451.9918293052906</v>
      </c>
      <c r="CU128" s="1273"/>
      <c r="CV128" s="1272">
        <f>CT128+CV127</f>
        <v>8451.9918293052906</v>
      </c>
      <c r="CW128" s="1273"/>
      <c r="CX128" s="1272">
        <f>CV128+CX127</f>
        <v>8451.9918293052906</v>
      </c>
      <c r="CY128" s="1273"/>
      <c r="CZ128" s="1272">
        <f>CX128+CZ127</f>
        <v>8451.9918293052906</v>
      </c>
      <c r="DA128" s="1273"/>
      <c r="DB128" s="1272">
        <f>CZ128+DB127</f>
        <v>8451.9918293052906</v>
      </c>
      <c r="DC128" s="1273"/>
      <c r="DD128" s="1272">
        <f>DB128+DD127</f>
        <v>8451.9918293052906</v>
      </c>
      <c r="DE128" s="1273"/>
      <c r="DF128" s="1272">
        <f>DD128+DF127</f>
        <v>8451.9918293052906</v>
      </c>
      <c r="DG128" s="1273"/>
      <c r="DH128" s="1272">
        <f>DF128+DH127</f>
        <v>8451.9918293052906</v>
      </c>
      <c r="DI128" s="1273"/>
      <c r="DJ128" s="1323">
        <f>DH128+DJ127</f>
        <v>8451.9918293052906</v>
      </c>
      <c r="DK128" s="1324"/>
      <c r="DL128" s="1272">
        <f>DJ128+DL127</f>
        <v>8451.9918293052906</v>
      </c>
      <c r="DM128" s="1273"/>
      <c r="DN128" s="1272">
        <f>DL128+DN127</f>
        <v>8451.9918293052906</v>
      </c>
      <c r="DO128" s="1273"/>
      <c r="DP128" s="1272">
        <f>DN128+DP127</f>
        <v>8451.9918293052906</v>
      </c>
      <c r="DQ128" s="1273"/>
      <c r="DR128" s="1272">
        <f>DP128+DR127</f>
        <v>8451.9918293052906</v>
      </c>
      <c r="DS128" s="1273"/>
      <c r="DT128" s="1272">
        <f>DR128+DT127</f>
        <v>8451.9918293052906</v>
      </c>
      <c r="DU128" s="1273"/>
      <c r="DV128" s="1272">
        <f>DT128+DV127</f>
        <v>8451.9918293052906</v>
      </c>
      <c r="DW128" s="1273"/>
      <c r="DX128" s="1272">
        <f>DV128+DX127</f>
        <v>8451.9918293052906</v>
      </c>
      <c r="DY128" s="1273"/>
      <c r="DZ128" s="1272">
        <f>DX128+DZ127</f>
        <v>8451.9918293052906</v>
      </c>
      <c r="EA128" s="1273"/>
      <c r="EB128" s="1272">
        <f>DZ128+EB127</f>
        <v>8451.9918293052906</v>
      </c>
      <c r="EC128" s="1273"/>
      <c r="ED128" s="1272">
        <f>EB128+ED127</f>
        <v>8451.9918293052906</v>
      </c>
      <c r="EE128" s="1273"/>
      <c r="EF128" s="1272">
        <f>ED128+EF127</f>
        <v>8451.9918293052906</v>
      </c>
      <c r="EG128" s="1273"/>
      <c r="EH128" s="1272">
        <f>EF128+EH127</f>
        <v>8451.9918293052906</v>
      </c>
      <c r="EI128" s="1273"/>
      <c r="EJ128" s="1272">
        <f>EH128+EJ127</f>
        <v>8451.9918293052906</v>
      </c>
      <c r="EK128" s="1273"/>
      <c r="EL128" s="1272">
        <f>EJ128+EL127</f>
        <v>8451.9918293052906</v>
      </c>
      <c r="EM128" s="1273"/>
      <c r="EN128" s="1272">
        <f>EL128+EN127</f>
        <v>8451.9918293052906</v>
      </c>
      <c r="EO128" s="1273"/>
      <c r="EP128" s="1272">
        <f>EN128+EP127</f>
        <v>8451.9918293052906</v>
      </c>
      <c r="EQ128" s="1273"/>
      <c r="ER128" s="1272">
        <f>EP128+ER127</f>
        <v>8451.9918293052906</v>
      </c>
      <c r="ES128" s="1273"/>
      <c r="ET128" s="1272">
        <f>ER128+ET127</f>
        <v>8451.9918293052906</v>
      </c>
      <c r="EU128" s="1273"/>
      <c r="EV128" s="1272">
        <f>ET128+EV127</f>
        <v>8451.9918293052906</v>
      </c>
      <c r="EW128" s="1273"/>
      <c r="EX128" s="1272">
        <f>EV128+EX127</f>
        <v>8451.9918293052906</v>
      </c>
      <c r="EY128" s="1273"/>
      <c r="EZ128" s="1272">
        <f>EX128+EZ127</f>
        <v>8451.9918293052906</v>
      </c>
      <c r="FA128" s="1273"/>
      <c r="FB128" s="1272">
        <f>EZ128+FB127</f>
        <v>8451.9918293052906</v>
      </c>
      <c r="FC128" s="1273"/>
      <c r="FD128" s="1272">
        <f>FB128+FD127</f>
        <v>8451.9918293052906</v>
      </c>
      <c r="FE128" s="1273"/>
      <c r="FF128" s="1272">
        <f>FD128+FF127</f>
        <v>8451.9918293052906</v>
      </c>
      <c r="FG128" s="1273"/>
      <c r="FH128" s="1272">
        <f>FF128+FH127</f>
        <v>8451.9918293052906</v>
      </c>
      <c r="FI128" s="1273"/>
      <c r="FJ128" s="1272">
        <f>FH128+FJ127</f>
        <v>8451.9918293052906</v>
      </c>
      <c r="FK128" s="1273"/>
      <c r="FL128" s="1272">
        <f>FJ128+FL127</f>
        <v>8451.9918293052906</v>
      </c>
      <c r="FM128" s="1273"/>
      <c r="FN128" s="1272">
        <f>FL128+FN127</f>
        <v>8451.9918293052906</v>
      </c>
      <c r="FO128" s="1273"/>
      <c r="FP128" s="1272">
        <f>FN128+FP127</f>
        <v>8451.9918293052906</v>
      </c>
      <c r="FQ128" s="1273"/>
      <c r="FR128" s="1272">
        <f>FP128+FR127</f>
        <v>8451.9918293052906</v>
      </c>
      <c r="FS128" s="1273"/>
      <c r="FT128" s="1272">
        <f>FR128+FT127</f>
        <v>8451.9918293052906</v>
      </c>
      <c r="FU128" s="1273"/>
      <c r="FV128" s="1272">
        <f>FT128+FV127</f>
        <v>8451.9918293052906</v>
      </c>
      <c r="FW128" s="1273"/>
      <c r="FX128" s="1272">
        <f>FV128+FX127</f>
        <v>8451.9918293052906</v>
      </c>
      <c r="FY128" s="1273"/>
      <c r="FZ128" s="1272">
        <f>FX128+FZ127</f>
        <v>8451.9918293052906</v>
      </c>
      <c r="GA128" s="1273"/>
      <c r="GB128" s="1272">
        <f>FZ128+GB127</f>
        <v>8451.9918293052906</v>
      </c>
      <c r="GC128" s="1273"/>
      <c r="GD128" s="1272">
        <f>GB128+GD127</f>
        <v>8451.9918293052906</v>
      </c>
      <c r="GE128" s="1273"/>
      <c r="GF128" s="1272">
        <f>GD128+GF127</f>
        <v>8451.9918293052906</v>
      </c>
      <c r="GG128" s="1273"/>
      <c r="GH128" s="1272">
        <f>GF128+GH127</f>
        <v>8451.9918293052906</v>
      </c>
      <c r="GI128" s="1273"/>
      <c r="GJ128" s="1272">
        <f>GH128+GJ127</f>
        <v>8451.9918293052906</v>
      </c>
      <c r="GK128" s="1273"/>
      <c r="GL128" s="1272">
        <f>GJ128+GL127</f>
        <v>8451.9918293052906</v>
      </c>
      <c r="GM128" s="1273"/>
      <c r="GN128" s="1272">
        <f>GL128+GN127</f>
        <v>8451.9918293052906</v>
      </c>
      <c r="GO128" s="1273"/>
      <c r="GP128" s="1272">
        <f>GN128+GP127</f>
        <v>8451.9918293052906</v>
      </c>
      <c r="GQ128" s="1273"/>
      <c r="GR128" s="1272">
        <f>GP128+GR127</f>
        <v>8451.9918293052906</v>
      </c>
      <c r="GS128" s="1273"/>
      <c r="GT128" s="1272">
        <f>GR128+GT127</f>
        <v>8451.9918293052906</v>
      </c>
      <c r="GU128" s="1273"/>
      <c r="GV128" s="1272">
        <f>GT128+GV127</f>
        <v>8451.9918293052906</v>
      </c>
      <c r="GW128" s="1273"/>
      <c r="GX128" s="1272">
        <f>GV128+GX127</f>
        <v>8451.9918293052906</v>
      </c>
      <c r="GY128" s="1273"/>
      <c r="GZ128" s="1272">
        <f>GX128+GZ127</f>
        <v>8451.9918293052906</v>
      </c>
      <c r="HA128" s="1273"/>
      <c r="HB128" s="1272">
        <f>GZ128+HB127</f>
        <v>8451.9918293052906</v>
      </c>
      <c r="HC128" s="1273"/>
      <c r="HD128" s="1272">
        <f>HB128+HD127</f>
        <v>8451.9918293052906</v>
      </c>
      <c r="HE128" s="1273"/>
      <c r="HF128" s="1272">
        <f>HD128+HF127</f>
        <v>8451.9918293052906</v>
      </c>
      <c r="HG128" s="1273"/>
      <c r="HH128" s="1272">
        <f>HF128+HH127</f>
        <v>8451.9918293052906</v>
      </c>
      <c r="HI128" s="1273"/>
      <c r="HJ128" s="1272">
        <f>HH128+HJ127</f>
        <v>8451.9918293052906</v>
      </c>
      <c r="HK128" s="1273"/>
    </row>
    <row r="129" spans="1:219" s="19" customFormat="1" hidden="1">
      <c r="A129" s="1299"/>
      <c r="B129" s="1300"/>
      <c r="C129" s="1299"/>
      <c r="D129" s="1301"/>
      <c r="E129" s="1301"/>
      <c r="F129" s="1302"/>
      <c r="G129" s="1301"/>
      <c r="H129" s="788"/>
      <c r="I129" s="1303"/>
      <c r="J129" s="1304"/>
      <c r="K129" s="789" t="s">
        <v>295</v>
      </c>
      <c r="L129" s="1266"/>
      <c r="M129" s="1267"/>
      <c r="N129" s="1266"/>
      <c r="O129" s="1267"/>
      <c r="P129" s="1266"/>
      <c r="Q129" s="1267"/>
      <c r="R129" s="1266"/>
      <c r="S129" s="1267"/>
      <c r="T129" s="1266"/>
      <c r="U129" s="1267"/>
      <c r="V129" s="1266"/>
      <c r="W129" s="1267"/>
      <c r="X129" s="1266"/>
      <c r="Y129" s="1267"/>
      <c r="Z129" s="1266"/>
      <c r="AA129" s="1267"/>
      <c r="AB129" s="1266"/>
      <c r="AC129" s="1267"/>
      <c r="AD129" s="1266"/>
      <c r="AE129" s="1267"/>
      <c r="AF129" s="1266"/>
      <c r="AG129" s="1267"/>
      <c r="AH129" s="1266"/>
      <c r="AI129" s="1267"/>
      <c r="AJ129" s="1266"/>
      <c r="AK129" s="1267"/>
      <c r="AL129" s="1266"/>
      <c r="AM129" s="1267"/>
      <c r="AN129" s="1266"/>
      <c r="AO129" s="1267"/>
      <c r="AP129" s="1266"/>
      <c r="AQ129" s="1267"/>
      <c r="AR129" s="1266"/>
      <c r="AS129" s="1267"/>
      <c r="AT129" s="1266"/>
      <c r="AU129" s="1267"/>
      <c r="AV129" s="1266"/>
      <c r="AW129" s="1267"/>
      <c r="AX129" s="1266"/>
      <c r="AY129" s="1267"/>
      <c r="AZ129" s="1266"/>
      <c r="BA129" s="1267"/>
      <c r="BB129" s="1266"/>
      <c r="BC129" s="1267"/>
      <c r="BD129" s="1266"/>
      <c r="BE129" s="1267"/>
      <c r="BF129" s="1266"/>
      <c r="BG129" s="1267"/>
      <c r="BH129" s="1266"/>
      <c r="BI129" s="1267"/>
      <c r="BJ129" s="1266"/>
      <c r="BK129" s="1267"/>
      <c r="BL129" s="1266"/>
      <c r="BM129" s="1267"/>
      <c r="BN129" s="1266"/>
      <c r="BO129" s="1267"/>
      <c r="BP129" s="1266"/>
      <c r="BQ129" s="1267"/>
      <c r="BR129" s="1266"/>
      <c r="BS129" s="1267"/>
      <c r="BT129" s="1266"/>
      <c r="BU129" s="1267"/>
      <c r="BV129" s="1266"/>
      <c r="BW129" s="1267"/>
      <c r="BX129" s="1266"/>
      <c r="BY129" s="1267"/>
      <c r="BZ129" s="1266"/>
      <c r="CA129" s="1267"/>
      <c r="CB129" s="1266"/>
      <c r="CC129" s="1267"/>
      <c r="CD129" s="1266"/>
      <c r="CE129" s="1267"/>
      <c r="CF129" s="1266"/>
      <c r="CG129" s="1267"/>
      <c r="CH129" s="1266"/>
      <c r="CI129" s="1267"/>
      <c r="CJ129" s="1266"/>
      <c r="CK129" s="1267"/>
      <c r="CL129" s="1266"/>
      <c r="CM129" s="1267"/>
      <c r="CN129" s="1266"/>
      <c r="CO129" s="1267"/>
      <c r="CP129" s="1266"/>
      <c r="CQ129" s="1267"/>
      <c r="CR129" s="1266"/>
      <c r="CS129" s="1267"/>
      <c r="CT129" s="1266"/>
      <c r="CU129" s="1267"/>
      <c r="CV129" s="1266"/>
      <c r="CW129" s="1267"/>
      <c r="CX129" s="1266"/>
      <c r="CY129" s="1267"/>
      <c r="CZ129" s="1266"/>
      <c r="DA129" s="1267"/>
      <c r="DB129" s="1266"/>
      <c r="DC129" s="1267"/>
      <c r="DD129" s="1266"/>
      <c r="DE129" s="1267"/>
      <c r="DF129" s="1266"/>
      <c r="DG129" s="1267"/>
      <c r="DH129" s="1266"/>
      <c r="DI129" s="1267"/>
      <c r="DJ129" s="1268"/>
      <c r="DK129" s="1269"/>
      <c r="DL129" s="1266"/>
      <c r="DM129" s="1267"/>
      <c r="DN129" s="1266"/>
      <c r="DO129" s="1267"/>
      <c r="DP129" s="1266"/>
      <c r="DQ129" s="1267"/>
      <c r="DR129" s="1266"/>
      <c r="DS129" s="1267"/>
      <c r="DT129" s="1266"/>
      <c r="DU129" s="1267"/>
      <c r="DV129" s="1266"/>
      <c r="DW129" s="1267"/>
      <c r="DX129" s="1266"/>
      <c r="DY129" s="1267"/>
      <c r="DZ129" s="1266"/>
      <c r="EA129" s="1267"/>
      <c r="EB129" s="1266"/>
      <c r="EC129" s="1267"/>
      <c r="ED129" s="1266"/>
      <c r="EE129" s="1267"/>
      <c r="EF129" s="1266"/>
      <c r="EG129" s="1267"/>
      <c r="EH129" s="1266"/>
      <c r="EI129" s="1267"/>
      <c r="EJ129" s="1266"/>
      <c r="EK129" s="1267"/>
      <c r="EL129" s="1266"/>
      <c r="EM129" s="1267"/>
      <c r="EN129" s="1266"/>
      <c r="EO129" s="1267"/>
      <c r="EP129" s="1266"/>
      <c r="EQ129" s="1267"/>
      <c r="ER129" s="1266"/>
      <c r="ES129" s="1267"/>
      <c r="ET129" s="1266"/>
      <c r="EU129" s="1267"/>
      <c r="EV129" s="1266"/>
      <c r="EW129" s="1267"/>
      <c r="EX129" s="1266"/>
      <c r="EY129" s="1267"/>
      <c r="EZ129" s="1266"/>
      <c r="FA129" s="1267"/>
      <c r="FB129" s="1266"/>
      <c r="FC129" s="1267"/>
      <c r="FD129" s="1266"/>
      <c r="FE129" s="1267"/>
      <c r="FF129" s="1266"/>
      <c r="FG129" s="1267"/>
      <c r="FH129" s="1266"/>
      <c r="FI129" s="1267"/>
      <c r="FJ129" s="1266"/>
      <c r="FK129" s="1267"/>
      <c r="FL129" s="1266"/>
      <c r="FM129" s="1267"/>
      <c r="FN129" s="1266"/>
      <c r="FO129" s="1267"/>
      <c r="FP129" s="1266"/>
      <c r="FQ129" s="1267"/>
      <c r="FR129" s="1266"/>
      <c r="FS129" s="1267"/>
      <c r="FT129" s="1266"/>
      <c r="FU129" s="1267"/>
      <c r="FV129" s="1266"/>
      <c r="FW129" s="1267"/>
      <c r="FX129" s="1266"/>
      <c r="FY129" s="1267"/>
      <c r="FZ129" s="1266"/>
      <c r="GA129" s="1267"/>
      <c r="GB129" s="1266"/>
      <c r="GC129" s="1267"/>
      <c r="GD129" s="1266"/>
      <c r="GE129" s="1267"/>
      <c r="GF129" s="1266"/>
      <c r="GG129" s="1267"/>
      <c r="GH129" s="1266"/>
      <c r="GI129" s="1267"/>
      <c r="GJ129" s="1266"/>
      <c r="GK129" s="1267"/>
      <c r="GL129" s="1266"/>
      <c r="GM129" s="1267"/>
      <c r="GN129" s="1266"/>
      <c r="GO129" s="1267"/>
      <c r="GP129" s="1266"/>
      <c r="GQ129" s="1267"/>
      <c r="GR129" s="1266"/>
      <c r="GS129" s="1267"/>
      <c r="GT129" s="1266"/>
      <c r="GU129" s="1267"/>
      <c r="GV129" s="1266"/>
      <c r="GW129" s="1267"/>
      <c r="GX129" s="1266"/>
      <c r="GY129" s="1267"/>
      <c r="GZ129" s="1266"/>
      <c r="HA129" s="1267"/>
      <c r="HB129" s="1266"/>
      <c r="HC129" s="1267"/>
      <c r="HD129" s="1266"/>
      <c r="HE129" s="1267"/>
      <c r="HF129" s="1266"/>
      <c r="HG129" s="1267"/>
      <c r="HH129" s="1266"/>
      <c r="HI129" s="1267"/>
      <c r="HJ129" s="1266"/>
      <c r="HK129" s="1267"/>
    </row>
    <row r="130" spans="1:219" s="20" customFormat="1" hidden="1">
      <c r="A130" s="1299"/>
      <c r="B130" s="1300"/>
      <c r="C130" s="1299"/>
      <c r="D130" s="1301"/>
      <c r="E130" s="1301"/>
      <c r="F130" s="1302"/>
      <c r="G130" s="1301"/>
      <c r="H130" s="790"/>
      <c r="I130" s="1303"/>
      <c r="J130" s="1304"/>
      <c r="K130" s="791" t="s">
        <v>296</v>
      </c>
      <c r="L130" s="1259">
        <f>L129</f>
        <v>0</v>
      </c>
      <c r="M130" s="1260"/>
      <c r="N130" s="1259">
        <f>N129+L130</f>
        <v>0</v>
      </c>
      <c r="O130" s="1260"/>
      <c r="P130" s="1259">
        <f>P129+N130</f>
        <v>0</v>
      </c>
      <c r="Q130" s="1260"/>
      <c r="R130" s="1259">
        <f>R129+P130</f>
        <v>0</v>
      </c>
      <c r="S130" s="1260"/>
      <c r="T130" s="1259">
        <f>T129+R130</f>
        <v>0</v>
      </c>
      <c r="U130" s="1260"/>
      <c r="V130" s="1259">
        <f>V129+T130</f>
        <v>0</v>
      </c>
      <c r="W130" s="1260"/>
      <c r="X130" s="1259">
        <f>X129+V130</f>
        <v>0</v>
      </c>
      <c r="Y130" s="1260"/>
      <c r="Z130" s="1259">
        <f>Z129+X130</f>
        <v>0</v>
      </c>
      <c r="AA130" s="1260"/>
      <c r="AB130" s="1259">
        <f>AB129+Z130</f>
        <v>0</v>
      </c>
      <c r="AC130" s="1260"/>
      <c r="AD130" s="1259">
        <f>AD129+AB130</f>
        <v>0</v>
      </c>
      <c r="AE130" s="1260"/>
      <c r="AF130" s="1259">
        <f>AF129+AD130</f>
        <v>0</v>
      </c>
      <c r="AG130" s="1260"/>
      <c r="AH130" s="1259">
        <f>AH129+AF130</f>
        <v>0</v>
      </c>
      <c r="AI130" s="1260"/>
      <c r="AJ130" s="1259">
        <f>AJ129+AH130</f>
        <v>0</v>
      </c>
      <c r="AK130" s="1260"/>
      <c r="AL130" s="1259">
        <f>AL129+AJ130</f>
        <v>0</v>
      </c>
      <c r="AM130" s="1260"/>
      <c r="AN130" s="1259">
        <f>AN129+AL130</f>
        <v>0</v>
      </c>
      <c r="AO130" s="1260"/>
      <c r="AP130" s="1259">
        <f>AP129+AN130</f>
        <v>0</v>
      </c>
      <c r="AQ130" s="1260"/>
      <c r="AR130" s="1259">
        <f>AR129+AP130</f>
        <v>0</v>
      </c>
      <c r="AS130" s="1260"/>
      <c r="AT130" s="1259">
        <f>AT129+AR130</f>
        <v>0</v>
      </c>
      <c r="AU130" s="1260"/>
      <c r="AV130" s="1259">
        <f>AV129+AT130</f>
        <v>0</v>
      </c>
      <c r="AW130" s="1260"/>
      <c r="AX130" s="1259">
        <f>AX129+AV130</f>
        <v>0</v>
      </c>
      <c r="AY130" s="1260"/>
      <c r="AZ130" s="1259">
        <f>AZ129+AX130</f>
        <v>0</v>
      </c>
      <c r="BA130" s="1260"/>
      <c r="BB130" s="1259">
        <f>BB129+AZ130</f>
        <v>0</v>
      </c>
      <c r="BC130" s="1260"/>
      <c r="BD130" s="1259">
        <f>BD129+BB130</f>
        <v>0</v>
      </c>
      <c r="BE130" s="1260"/>
      <c r="BF130" s="1259">
        <f>BF129+BD130</f>
        <v>0</v>
      </c>
      <c r="BG130" s="1260"/>
      <c r="BH130" s="1259">
        <f>BH129+BF130</f>
        <v>0</v>
      </c>
      <c r="BI130" s="1260"/>
      <c r="BJ130" s="1259">
        <f>BJ129+BH130</f>
        <v>0</v>
      </c>
      <c r="BK130" s="1260"/>
      <c r="BL130" s="1259">
        <f>BL129+BJ130</f>
        <v>0</v>
      </c>
      <c r="BM130" s="1260"/>
      <c r="BN130" s="1259">
        <f>BN129+BL130</f>
        <v>0</v>
      </c>
      <c r="BO130" s="1260"/>
      <c r="BP130" s="1259">
        <f>BP129+BN130</f>
        <v>0</v>
      </c>
      <c r="BQ130" s="1260"/>
      <c r="BR130" s="1259">
        <f>BR129+BP130</f>
        <v>0</v>
      </c>
      <c r="BS130" s="1260"/>
      <c r="BT130" s="1259">
        <f>BT129+BR130</f>
        <v>0</v>
      </c>
      <c r="BU130" s="1260"/>
      <c r="BV130" s="1259">
        <f>BV129+BT130</f>
        <v>0</v>
      </c>
      <c r="BW130" s="1260"/>
      <c r="BX130" s="1259">
        <f>BX129+BV130</f>
        <v>0</v>
      </c>
      <c r="BY130" s="1260"/>
      <c r="BZ130" s="1259">
        <f>BZ129+BX130</f>
        <v>0</v>
      </c>
      <c r="CA130" s="1260"/>
      <c r="CB130" s="1259">
        <f>CB129+BZ130</f>
        <v>0</v>
      </c>
      <c r="CC130" s="1260"/>
      <c r="CD130" s="1259">
        <f>CD129+CB130</f>
        <v>0</v>
      </c>
      <c r="CE130" s="1260"/>
      <c r="CF130" s="1259">
        <f>CF129+CD130</f>
        <v>0</v>
      </c>
      <c r="CG130" s="1260"/>
      <c r="CH130" s="1259">
        <f>CH129+CF130</f>
        <v>0</v>
      </c>
      <c r="CI130" s="1260"/>
      <c r="CJ130" s="1259">
        <f>CJ129+CH130</f>
        <v>0</v>
      </c>
      <c r="CK130" s="1260"/>
      <c r="CL130" s="1259">
        <f>CL129+CJ130</f>
        <v>0</v>
      </c>
      <c r="CM130" s="1260"/>
      <c r="CN130" s="1259">
        <f>CN129+CL130</f>
        <v>0</v>
      </c>
      <c r="CO130" s="1260"/>
      <c r="CP130" s="1259">
        <f>CP129+CN130</f>
        <v>0</v>
      </c>
      <c r="CQ130" s="1260"/>
      <c r="CR130" s="1259">
        <f>CR129+CP130</f>
        <v>0</v>
      </c>
      <c r="CS130" s="1260"/>
      <c r="CT130" s="1259">
        <f>CT129+CR130</f>
        <v>0</v>
      </c>
      <c r="CU130" s="1260"/>
      <c r="CV130" s="1259">
        <f>CV129+CT130</f>
        <v>0</v>
      </c>
      <c r="CW130" s="1260"/>
      <c r="CX130" s="1259">
        <f>CX129+CV130</f>
        <v>0</v>
      </c>
      <c r="CY130" s="1260"/>
      <c r="CZ130" s="1259">
        <f>CZ129+CX130</f>
        <v>0</v>
      </c>
      <c r="DA130" s="1260"/>
      <c r="DB130" s="1259">
        <f>DB129+CZ130</f>
        <v>0</v>
      </c>
      <c r="DC130" s="1260"/>
      <c r="DD130" s="1259">
        <f>DD129+DB130</f>
        <v>0</v>
      </c>
      <c r="DE130" s="1260"/>
      <c r="DF130" s="1259">
        <f>DF129+DD130</f>
        <v>0</v>
      </c>
      <c r="DG130" s="1260"/>
      <c r="DH130" s="1259">
        <f>DH129+DF130</f>
        <v>0</v>
      </c>
      <c r="DI130" s="1260"/>
      <c r="DJ130" s="1261">
        <f>DJ129+DH130</f>
        <v>0</v>
      </c>
      <c r="DK130" s="1262"/>
      <c r="DL130" s="1259">
        <f>DL129+DJ130</f>
        <v>0</v>
      </c>
      <c r="DM130" s="1260"/>
      <c r="DN130" s="1259">
        <f>DN129+DL130</f>
        <v>0</v>
      </c>
      <c r="DO130" s="1260"/>
      <c r="DP130" s="1259">
        <f>DP129+DN130</f>
        <v>0</v>
      </c>
      <c r="DQ130" s="1260"/>
      <c r="DR130" s="1259">
        <f>DR129+DP130</f>
        <v>0</v>
      </c>
      <c r="DS130" s="1260"/>
      <c r="DT130" s="1259">
        <f>DT129+DR130</f>
        <v>0</v>
      </c>
      <c r="DU130" s="1260"/>
      <c r="DV130" s="1259">
        <f>DV129+DT130</f>
        <v>0</v>
      </c>
      <c r="DW130" s="1260"/>
      <c r="DX130" s="1259">
        <f>DX129+DV130</f>
        <v>0</v>
      </c>
      <c r="DY130" s="1260"/>
      <c r="DZ130" s="1259">
        <f>DZ129+DX130</f>
        <v>0</v>
      </c>
      <c r="EA130" s="1260"/>
      <c r="EB130" s="1259">
        <f>EB129+DZ130</f>
        <v>0</v>
      </c>
      <c r="EC130" s="1260"/>
      <c r="ED130" s="1259">
        <f>ED129+EB130</f>
        <v>0</v>
      </c>
      <c r="EE130" s="1260"/>
      <c r="EF130" s="1259">
        <f>EF129+ED130</f>
        <v>0</v>
      </c>
      <c r="EG130" s="1260"/>
      <c r="EH130" s="1259">
        <f>EH129+EF130</f>
        <v>0</v>
      </c>
      <c r="EI130" s="1260"/>
      <c r="EJ130" s="1259">
        <f>EJ129+EH130</f>
        <v>0</v>
      </c>
      <c r="EK130" s="1260"/>
      <c r="EL130" s="1259">
        <f>EL129+EJ130</f>
        <v>0</v>
      </c>
      <c r="EM130" s="1260"/>
      <c r="EN130" s="1259">
        <f>EN129+EL130</f>
        <v>0</v>
      </c>
      <c r="EO130" s="1260"/>
      <c r="EP130" s="1259">
        <f>EP129+EN130</f>
        <v>0</v>
      </c>
      <c r="EQ130" s="1260"/>
      <c r="ER130" s="1259">
        <f>ER129+EP130</f>
        <v>0</v>
      </c>
      <c r="ES130" s="1260"/>
      <c r="ET130" s="1259">
        <f>ET129+ER130</f>
        <v>0</v>
      </c>
      <c r="EU130" s="1260"/>
      <c r="EV130" s="1259">
        <f>EV129+ET130</f>
        <v>0</v>
      </c>
      <c r="EW130" s="1260"/>
      <c r="EX130" s="1259">
        <f>EX129+EV130</f>
        <v>0</v>
      </c>
      <c r="EY130" s="1260"/>
      <c r="EZ130" s="1259">
        <f>EZ129+EX130</f>
        <v>0</v>
      </c>
      <c r="FA130" s="1260"/>
      <c r="FB130" s="1259">
        <f>FB129+EZ130</f>
        <v>0</v>
      </c>
      <c r="FC130" s="1260"/>
      <c r="FD130" s="1259">
        <f>FD129+FB130</f>
        <v>0</v>
      </c>
      <c r="FE130" s="1260"/>
      <c r="FF130" s="1259">
        <f>FF129+FD130</f>
        <v>0</v>
      </c>
      <c r="FG130" s="1260"/>
      <c r="FH130" s="1259">
        <f>FH129+FF130</f>
        <v>0</v>
      </c>
      <c r="FI130" s="1260"/>
      <c r="FJ130" s="1259">
        <f>FJ129+FH130</f>
        <v>0</v>
      </c>
      <c r="FK130" s="1260"/>
      <c r="FL130" s="1259">
        <f>FL129+FJ130</f>
        <v>0</v>
      </c>
      <c r="FM130" s="1260"/>
      <c r="FN130" s="1259">
        <f>FN129+FL130</f>
        <v>0</v>
      </c>
      <c r="FO130" s="1260"/>
      <c r="FP130" s="1259">
        <f>FP129+FN130</f>
        <v>0</v>
      </c>
      <c r="FQ130" s="1260"/>
      <c r="FR130" s="1259">
        <f>FR129+FP130</f>
        <v>0</v>
      </c>
      <c r="FS130" s="1260"/>
      <c r="FT130" s="1259">
        <f>FT129+FR130</f>
        <v>0</v>
      </c>
      <c r="FU130" s="1260"/>
      <c r="FV130" s="1259">
        <f>FV129+FT130</f>
        <v>0</v>
      </c>
      <c r="FW130" s="1260"/>
      <c r="FX130" s="1259">
        <f>FX129+FV130</f>
        <v>0</v>
      </c>
      <c r="FY130" s="1260"/>
      <c r="FZ130" s="1259">
        <f>FZ129+FX130</f>
        <v>0</v>
      </c>
      <c r="GA130" s="1260"/>
      <c r="GB130" s="1259">
        <f>GB129+FZ130</f>
        <v>0</v>
      </c>
      <c r="GC130" s="1260"/>
      <c r="GD130" s="1259">
        <f>GD129+GB130</f>
        <v>0</v>
      </c>
      <c r="GE130" s="1260"/>
      <c r="GF130" s="1259">
        <f>GF129+GD130</f>
        <v>0</v>
      </c>
      <c r="GG130" s="1260"/>
      <c r="GH130" s="1259">
        <f>GH129+GF130</f>
        <v>0</v>
      </c>
      <c r="GI130" s="1260"/>
      <c r="GJ130" s="1259">
        <f>GJ129+GH130</f>
        <v>0</v>
      </c>
      <c r="GK130" s="1260"/>
      <c r="GL130" s="1259">
        <f>GL129+GJ130</f>
        <v>0</v>
      </c>
      <c r="GM130" s="1260"/>
      <c r="GN130" s="1259">
        <f>GN129+GL130</f>
        <v>0</v>
      </c>
      <c r="GO130" s="1260"/>
      <c r="GP130" s="1259">
        <f>GP129+GN130</f>
        <v>0</v>
      </c>
      <c r="GQ130" s="1260"/>
      <c r="GR130" s="1259">
        <f>GR129+GP130</f>
        <v>0</v>
      </c>
      <c r="GS130" s="1260"/>
      <c r="GT130" s="1259">
        <f>GT129+GR130</f>
        <v>0</v>
      </c>
      <c r="GU130" s="1260"/>
      <c r="GV130" s="1259">
        <f>GV129+GT130</f>
        <v>0</v>
      </c>
      <c r="GW130" s="1260"/>
      <c r="GX130" s="1259">
        <f>GX129+GV130</f>
        <v>0</v>
      </c>
      <c r="GY130" s="1260"/>
      <c r="GZ130" s="1259">
        <f>GZ129+GX130</f>
        <v>0</v>
      </c>
      <c r="HA130" s="1260"/>
      <c r="HB130" s="1259">
        <f>HB129+GZ130</f>
        <v>0</v>
      </c>
      <c r="HC130" s="1260"/>
      <c r="HD130" s="1259">
        <f>HD129+HB130</f>
        <v>0</v>
      </c>
      <c r="HE130" s="1260"/>
      <c r="HF130" s="1259">
        <f>HF129+HD130</f>
        <v>0</v>
      </c>
      <c r="HG130" s="1260"/>
      <c r="HH130" s="1259">
        <f>HH129+HF130</f>
        <v>0</v>
      </c>
      <c r="HI130" s="1260"/>
      <c r="HJ130" s="1259">
        <f>HJ129+HH130</f>
        <v>0</v>
      </c>
      <c r="HK130" s="1260"/>
    </row>
    <row r="131" spans="1:219" s="21" customFormat="1" hidden="1">
      <c r="A131" s="1299"/>
      <c r="B131" s="1300"/>
      <c r="C131" s="1299"/>
      <c r="D131" s="1301"/>
      <c r="E131" s="1301"/>
      <c r="F131" s="1302"/>
      <c r="G131" s="1301"/>
      <c r="H131" s="792"/>
      <c r="I131" s="1303"/>
      <c r="J131" s="1304"/>
      <c r="K131" s="793" t="s">
        <v>297</v>
      </c>
      <c r="L131" s="1270" t="e">
        <f>IF($E125&gt;0,L128/$E125,"-")</f>
        <v>#N/A</v>
      </c>
      <c r="M131" s="1271"/>
      <c r="N131" s="1270" t="e">
        <f>IF($E125&gt;0,N128/$E125,"-")</f>
        <v>#N/A</v>
      </c>
      <c r="O131" s="1271"/>
      <c r="P131" s="1270" t="e">
        <f>IF($E125&gt;0,P128/$E125,"-")</f>
        <v>#N/A</v>
      </c>
      <c r="Q131" s="1271"/>
      <c r="R131" s="1270" t="e">
        <f>IF($E125&gt;0,R128/$E125,"-")</f>
        <v>#N/A</v>
      </c>
      <c r="S131" s="1271"/>
      <c r="T131" s="1270" t="e">
        <f>IF($E125&gt;0,T128/$E125,"-")</f>
        <v>#N/A</v>
      </c>
      <c r="U131" s="1271"/>
      <c r="V131" s="1270" t="e">
        <f>IF($E125&gt;0,V128/$E125,"-")</f>
        <v>#N/A</v>
      </c>
      <c r="W131" s="1271"/>
      <c r="X131" s="1270" t="e">
        <f>IF($E125&gt;0,X128/$E125,"-")</f>
        <v>#N/A</v>
      </c>
      <c r="Y131" s="1271"/>
      <c r="Z131" s="1270" t="e">
        <f>IF($E125&gt;0,Z128/$E125,"-")</f>
        <v>#N/A</v>
      </c>
      <c r="AA131" s="1271"/>
      <c r="AB131" s="1270" t="e">
        <f>IF($E125&gt;0,AB128/$E125,"-")</f>
        <v>#N/A</v>
      </c>
      <c r="AC131" s="1271"/>
      <c r="AD131" s="1270" t="e">
        <f>IF($E125&gt;0,AD128/$E125,"-")</f>
        <v>#N/A</v>
      </c>
      <c r="AE131" s="1271"/>
      <c r="AF131" s="1270" t="e">
        <f>IF($E125&gt;0,AF128/$E125,"-")</f>
        <v>#N/A</v>
      </c>
      <c r="AG131" s="1271"/>
      <c r="AH131" s="1270" t="e">
        <f>IF($E125&gt;0,AH128/$E125,"-")</f>
        <v>#N/A</v>
      </c>
      <c r="AI131" s="1271"/>
      <c r="AJ131" s="1270" t="e">
        <f>IF($E125&gt;0,AJ128/$E125,"-")</f>
        <v>#N/A</v>
      </c>
      <c r="AK131" s="1271"/>
      <c r="AL131" s="1270" t="e">
        <f>IF($E125&gt;0,AL128/$E125,"-")</f>
        <v>#N/A</v>
      </c>
      <c r="AM131" s="1271"/>
      <c r="AN131" s="1270" t="e">
        <f>IF($E125&gt;0,AN128/$E125,"-")</f>
        <v>#N/A</v>
      </c>
      <c r="AO131" s="1271"/>
      <c r="AP131" s="1270" t="e">
        <f>IF($E125&gt;0,AP128/$E125,"-")</f>
        <v>#N/A</v>
      </c>
      <c r="AQ131" s="1271"/>
      <c r="AR131" s="1270" t="e">
        <f>IF($E125&gt;0,AR128/$E125,"-")</f>
        <v>#N/A</v>
      </c>
      <c r="AS131" s="1271"/>
      <c r="AT131" s="1270" t="e">
        <f>IF($E125&gt;0,AT128/$E125,"-")</f>
        <v>#N/A</v>
      </c>
      <c r="AU131" s="1271"/>
      <c r="AV131" s="1270" t="e">
        <f>IF($E125&gt;0,AV128/$E125,"-")</f>
        <v>#N/A</v>
      </c>
      <c r="AW131" s="1271"/>
      <c r="AX131" s="1270" t="e">
        <f>IF($E125&gt;0,AX128/$E125,"-")</f>
        <v>#N/A</v>
      </c>
      <c r="AY131" s="1271"/>
      <c r="AZ131" s="1270" t="e">
        <f>IF($E125&gt;0,AZ128/$E125,"-")</f>
        <v>#N/A</v>
      </c>
      <c r="BA131" s="1271"/>
      <c r="BB131" s="1270" t="e">
        <f>IF($E125&gt;0,BB128/$E125,"-")</f>
        <v>#N/A</v>
      </c>
      <c r="BC131" s="1271"/>
      <c r="BD131" s="1270" t="e">
        <f>IF($E125&gt;0,BD128/$E125,"-")</f>
        <v>#N/A</v>
      </c>
      <c r="BE131" s="1271"/>
      <c r="BF131" s="1270" t="e">
        <f>IF($E125&gt;0,BF128/$E125,"-")</f>
        <v>#N/A</v>
      </c>
      <c r="BG131" s="1271"/>
      <c r="BH131" s="1270" t="e">
        <f>IF($E125&gt;0,BH128/$E125,"-")</f>
        <v>#N/A</v>
      </c>
      <c r="BI131" s="1271"/>
      <c r="BJ131" s="1270" t="e">
        <f>IF($E125&gt;0,BJ128/$E125,"-")</f>
        <v>#N/A</v>
      </c>
      <c r="BK131" s="1271"/>
      <c r="BL131" s="1270" t="e">
        <f>IF($E125&gt;0,BL128/$E125,"-")</f>
        <v>#N/A</v>
      </c>
      <c r="BM131" s="1271"/>
      <c r="BN131" s="1270" t="e">
        <f>IF($E125&gt;0,BN128/$E125,"-")</f>
        <v>#N/A</v>
      </c>
      <c r="BO131" s="1271"/>
      <c r="BP131" s="1270" t="e">
        <f>IF($E125&gt;0,BP128/$E125,"-")</f>
        <v>#N/A</v>
      </c>
      <c r="BQ131" s="1271"/>
      <c r="BR131" s="1270" t="e">
        <f>IF($E125&gt;0,BR128/$E125,"-")</f>
        <v>#N/A</v>
      </c>
      <c r="BS131" s="1271"/>
      <c r="BT131" s="1270" t="e">
        <f>IF($E125&gt;0,BT128/$E125,"-")</f>
        <v>#N/A</v>
      </c>
      <c r="BU131" s="1271"/>
      <c r="BV131" s="1270" t="e">
        <f>IF($E125&gt;0,BV128/$E125,"-")</f>
        <v>#N/A</v>
      </c>
      <c r="BW131" s="1271"/>
      <c r="BX131" s="1270" t="e">
        <f>IF($E125&gt;0,BX128/$E125,"-")</f>
        <v>#N/A</v>
      </c>
      <c r="BY131" s="1271"/>
      <c r="BZ131" s="1270" t="e">
        <f>IF($E125&gt;0,BZ128/$E125,"-")</f>
        <v>#N/A</v>
      </c>
      <c r="CA131" s="1271"/>
      <c r="CB131" s="1270" t="e">
        <f>IF($E125&gt;0,CB128/$E125,"-")</f>
        <v>#N/A</v>
      </c>
      <c r="CC131" s="1271"/>
      <c r="CD131" s="1270" t="e">
        <f>IF($E125&gt;0,CD128/$E125,"-")</f>
        <v>#N/A</v>
      </c>
      <c r="CE131" s="1271"/>
      <c r="CF131" s="1270" t="e">
        <f>IF($E125&gt;0,CF128/$E125,"-")</f>
        <v>#N/A</v>
      </c>
      <c r="CG131" s="1271"/>
      <c r="CH131" s="1270" t="e">
        <f>IF($E125&gt;0,CH128/$E125,"-")</f>
        <v>#N/A</v>
      </c>
      <c r="CI131" s="1271"/>
      <c r="CJ131" s="1270" t="e">
        <f>IF($E125&gt;0,CJ128/$E125,"-")</f>
        <v>#N/A</v>
      </c>
      <c r="CK131" s="1271"/>
      <c r="CL131" s="1270" t="e">
        <f>IF($E125&gt;0,CL128/$E125,"-")</f>
        <v>#N/A</v>
      </c>
      <c r="CM131" s="1271"/>
      <c r="CN131" s="1270" t="e">
        <f>IF($E125&gt;0,CN128/$E125,"-")</f>
        <v>#N/A</v>
      </c>
      <c r="CO131" s="1271"/>
      <c r="CP131" s="1270" t="e">
        <f>IF($E125&gt;0,CP128/$E125,"-")</f>
        <v>#N/A</v>
      </c>
      <c r="CQ131" s="1271"/>
      <c r="CR131" s="1270" t="e">
        <f>IF($E125&gt;0,CR128/$E125,"-")</f>
        <v>#N/A</v>
      </c>
      <c r="CS131" s="1271"/>
      <c r="CT131" s="1270" t="e">
        <f>IF($E125&gt;0,CT128/$E125,"-")</f>
        <v>#N/A</v>
      </c>
      <c r="CU131" s="1271"/>
      <c r="CV131" s="1270" t="e">
        <f>IF($E125&gt;0,CV128/$E125,"-")</f>
        <v>#N/A</v>
      </c>
      <c r="CW131" s="1271"/>
      <c r="CX131" s="1270" t="e">
        <f>IF($E125&gt;0,CX128/$E125,"-")</f>
        <v>#N/A</v>
      </c>
      <c r="CY131" s="1271"/>
      <c r="CZ131" s="1270" t="e">
        <f>IF($E125&gt;0,CZ128/$E125,"-")</f>
        <v>#N/A</v>
      </c>
      <c r="DA131" s="1271"/>
      <c r="DB131" s="1270" t="e">
        <f>IF($E125&gt;0,DB128/$E125,"-")</f>
        <v>#N/A</v>
      </c>
      <c r="DC131" s="1271"/>
      <c r="DD131" s="1270" t="e">
        <f>IF($E125&gt;0,DD128/$E125,"-")</f>
        <v>#N/A</v>
      </c>
      <c r="DE131" s="1271"/>
      <c r="DF131" s="1270" t="e">
        <f>IF($E125&gt;0,DF128/$E125,"-")</f>
        <v>#N/A</v>
      </c>
      <c r="DG131" s="1271"/>
      <c r="DH131" s="1270" t="e">
        <f>IF($E125&gt;0,DH128/$E125,"-")</f>
        <v>#N/A</v>
      </c>
      <c r="DI131" s="1271"/>
      <c r="DJ131" s="1325" t="e">
        <f>IF($E125&gt;0,DJ128/$E125,"-")</f>
        <v>#N/A</v>
      </c>
      <c r="DK131" s="1326"/>
      <c r="DL131" s="1270" t="e">
        <f>IF($E125&gt;0,DL128/$E125,"-")</f>
        <v>#N/A</v>
      </c>
      <c r="DM131" s="1271"/>
      <c r="DN131" s="1270" t="e">
        <f>IF($E125&gt;0,DN128/$E125,"-")</f>
        <v>#N/A</v>
      </c>
      <c r="DO131" s="1271"/>
      <c r="DP131" s="1270" t="e">
        <f>IF($E125&gt;0,DP128/$E125,"-")</f>
        <v>#N/A</v>
      </c>
      <c r="DQ131" s="1271"/>
      <c r="DR131" s="1270" t="e">
        <f>IF($E125&gt;0,DR128/$E125,"-")</f>
        <v>#N/A</v>
      </c>
      <c r="DS131" s="1271"/>
      <c r="DT131" s="1270" t="e">
        <f>IF($E125&gt;0,DT128/$E125,"-")</f>
        <v>#N/A</v>
      </c>
      <c r="DU131" s="1271"/>
      <c r="DV131" s="1270" t="e">
        <f>IF($E125&gt;0,DV128/$E125,"-")</f>
        <v>#N/A</v>
      </c>
      <c r="DW131" s="1271"/>
      <c r="DX131" s="1270" t="e">
        <f>IF($E125&gt;0,DX128/$E125,"-")</f>
        <v>#N/A</v>
      </c>
      <c r="DY131" s="1271"/>
      <c r="DZ131" s="1270" t="e">
        <f>IF($E125&gt;0,DZ128/$E125,"-")</f>
        <v>#N/A</v>
      </c>
      <c r="EA131" s="1271"/>
      <c r="EB131" s="1270" t="e">
        <f>IF($E125&gt;0,EB128/$E125,"-")</f>
        <v>#N/A</v>
      </c>
      <c r="EC131" s="1271"/>
      <c r="ED131" s="1270" t="e">
        <f>IF($E125&gt;0,ED128/$E125,"-")</f>
        <v>#N/A</v>
      </c>
      <c r="EE131" s="1271"/>
      <c r="EF131" s="1270" t="e">
        <f>IF($E125&gt;0,EF128/$E125,"-")</f>
        <v>#N/A</v>
      </c>
      <c r="EG131" s="1271"/>
      <c r="EH131" s="1270" t="e">
        <f>IF($E125&gt;0,EH128/$E125,"-")</f>
        <v>#N/A</v>
      </c>
      <c r="EI131" s="1271"/>
      <c r="EJ131" s="1270" t="e">
        <f>IF($E125&gt;0,EJ128/$E125,"-")</f>
        <v>#N/A</v>
      </c>
      <c r="EK131" s="1271"/>
      <c r="EL131" s="1270" t="e">
        <f>IF($E125&gt;0,EL128/$E125,"-")</f>
        <v>#N/A</v>
      </c>
      <c r="EM131" s="1271"/>
      <c r="EN131" s="1270" t="e">
        <f>IF($E125&gt;0,EN128/$E125,"-")</f>
        <v>#N/A</v>
      </c>
      <c r="EO131" s="1271"/>
      <c r="EP131" s="1270" t="e">
        <f>IF($E125&gt;0,EP128/$E125,"-")</f>
        <v>#N/A</v>
      </c>
      <c r="EQ131" s="1271"/>
      <c r="ER131" s="1270" t="e">
        <f>IF($E125&gt;0,ER128/$E125,"-")</f>
        <v>#N/A</v>
      </c>
      <c r="ES131" s="1271"/>
      <c r="ET131" s="1270" t="e">
        <f>IF($E125&gt;0,ET128/$E125,"-")</f>
        <v>#N/A</v>
      </c>
      <c r="EU131" s="1271"/>
      <c r="EV131" s="1270" t="e">
        <f>IF($E125&gt;0,EV128/$E125,"-")</f>
        <v>#N/A</v>
      </c>
      <c r="EW131" s="1271"/>
      <c r="EX131" s="1270" t="e">
        <f>IF($E125&gt;0,EX128/$E125,"-")</f>
        <v>#N/A</v>
      </c>
      <c r="EY131" s="1271"/>
      <c r="EZ131" s="1270" t="e">
        <f>IF($E125&gt;0,EZ128/$E125,"-")</f>
        <v>#N/A</v>
      </c>
      <c r="FA131" s="1271"/>
      <c r="FB131" s="1270" t="e">
        <f>IF($E125&gt;0,FB128/$E125,"-")</f>
        <v>#N/A</v>
      </c>
      <c r="FC131" s="1271"/>
      <c r="FD131" s="1270" t="e">
        <f>IF($E125&gt;0,FD128/$E125,"-")</f>
        <v>#N/A</v>
      </c>
      <c r="FE131" s="1271"/>
      <c r="FF131" s="1270" t="e">
        <f>IF($E125&gt;0,FF128/$E125,"-")</f>
        <v>#N/A</v>
      </c>
      <c r="FG131" s="1271"/>
      <c r="FH131" s="1270" t="e">
        <f>IF($E125&gt;0,FH128/$E125,"-")</f>
        <v>#N/A</v>
      </c>
      <c r="FI131" s="1271"/>
      <c r="FJ131" s="1270" t="e">
        <f>IF($E125&gt;0,FJ128/$E125,"-")</f>
        <v>#N/A</v>
      </c>
      <c r="FK131" s="1271"/>
      <c r="FL131" s="1270" t="e">
        <f>IF($E125&gt;0,FL128/$E125,"-")</f>
        <v>#N/A</v>
      </c>
      <c r="FM131" s="1271"/>
      <c r="FN131" s="1270" t="e">
        <f>IF($E125&gt;0,FN128/$E125,"-")</f>
        <v>#N/A</v>
      </c>
      <c r="FO131" s="1271"/>
      <c r="FP131" s="1270" t="e">
        <f>IF($E125&gt;0,FP128/$E125,"-")</f>
        <v>#N/A</v>
      </c>
      <c r="FQ131" s="1271"/>
      <c r="FR131" s="1270" t="e">
        <f>IF($E125&gt;0,FR128/$E125,"-")</f>
        <v>#N/A</v>
      </c>
      <c r="FS131" s="1271"/>
      <c r="FT131" s="1270" t="e">
        <f>IF($E125&gt;0,FT128/$E125,"-")</f>
        <v>#N/A</v>
      </c>
      <c r="FU131" s="1271"/>
      <c r="FV131" s="1270" t="e">
        <f>IF($E125&gt;0,FV128/$E125,"-")</f>
        <v>#N/A</v>
      </c>
      <c r="FW131" s="1271"/>
      <c r="FX131" s="1270" t="e">
        <f>IF($E125&gt;0,FX128/$E125,"-")</f>
        <v>#N/A</v>
      </c>
      <c r="FY131" s="1271"/>
      <c r="FZ131" s="1270" t="e">
        <f>IF($E125&gt;0,FZ128/$E125,"-")</f>
        <v>#N/A</v>
      </c>
      <c r="GA131" s="1271"/>
      <c r="GB131" s="1270" t="e">
        <f>IF($E125&gt;0,GB128/$E125,"-")</f>
        <v>#N/A</v>
      </c>
      <c r="GC131" s="1271"/>
      <c r="GD131" s="1270" t="e">
        <f>IF($E125&gt;0,GD128/$E125,"-")</f>
        <v>#N/A</v>
      </c>
      <c r="GE131" s="1271"/>
      <c r="GF131" s="1270" t="e">
        <f>IF($E125&gt;0,GF128/$E125,"-")</f>
        <v>#N/A</v>
      </c>
      <c r="GG131" s="1271"/>
      <c r="GH131" s="1270" t="e">
        <f>IF($E125&gt;0,GH128/$E125,"-")</f>
        <v>#N/A</v>
      </c>
      <c r="GI131" s="1271"/>
      <c r="GJ131" s="1270" t="e">
        <f>IF($E125&gt;0,GJ128/$E125,"-")</f>
        <v>#N/A</v>
      </c>
      <c r="GK131" s="1271"/>
      <c r="GL131" s="1270" t="e">
        <f>IF($E125&gt;0,GL128/$E125,"-")</f>
        <v>#N/A</v>
      </c>
      <c r="GM131" s="1271"/>
      <c r="GN131" s="1270" t="e">
        <f>IF($E125&gt;0,GN128/$E125,"-")</f>
        <v>#N/A</v>
      </c>
      <c r="GO131" s="1271"/>
      <c r="GP131" s="1270" t="e">
        <f>IF($E125&gt;0,GP128/$E125,"-")</f>
        <v>#N/A</v>
      </c>
      <c r="GQ131" s="1271"/>
      <c r="GR131" s="1270" t="e">
        <f>IF($E125&gt;0,GR128/$E125,"-")</f>
        <v>#N/A</v>
      </c>
      <c r="GS131" s="1271"/>
      <c r="GT131" s="1270" t="e">
        <f>IF($E125&gt;0,GT128/$E125,"-")</f>
        <v>#N/A</v>
      </c>
      <c r="GU131" s="1271"/>
      <c r="GV131" s="1270" t="e">
        <f>IF($E125&gt;0,GV128/$E125,"-")</f>
        <v>#N/A</v>
      </c>
      <c r="GW131" s="1271"/>
      <c r="GX131" s="1270" t="e">
        <f>IF($E125&gt;0,GX128/$E125,"-")</f>
        <v>#N/A</v>
      </c>
      <c r="GY131" s="1271"/>
      <c r="GZ131" s="1270" t="e">
        <f>IF($E125&gt;0,GZ128/$E125,"-")</f>
        <v>#N/A</v>
      </c>
      <c r="HA131" s="1271"/>
      <c r="HB131" s="1270" t="e">
        <f>IF($E125&gt;0,HB128/$E125,"-")</f>
        <v>#N/A</v>
      </c>
      <c r="HC131" s="1271"/>
      <c r="HD131" s="1270" t="e">
        <f>IF($E125&gt;0,HD128/$E125,"-")</f>
        <v>#N/A</v>
      </c>
      <c r="HE131" s="1271"/>
      <c r="HF131" s="1270" t="e">
        <f>IF($E125&gt;0,HF128/$E125,"-")</f>
        <v>#N/A</v>
      </c>
      <c r="HG131" s="1271"/>
      <c r="HH131" s="1270" t="e">
        <f>IF($E125&gt;0,HH128/$E125,"-")</f>
        <v>#N/A</v>
      </c>
      <c r="HI131" s="1271"/>
      <c r="HJ131" s="1270" t="e">
        <f>IF($E125&gt;0,HJ128/$E125,"-")</f>
        <v>#N/A</v>
      </c>
      <c r="HK131" s="1271"/>
    </row>
    <row r="132" spans="1:219" hidden="1">
      <c r="A132" s="1299"/>
      <c r="B132" s="1300"/>
      <c r="C132" s="1299"/>
      <c r="D132" s="1301"/>
      <c r="E132" s="1301"/>
      <c r="F132" s="1302"/>
      <c r="G132" s="1301"/>
      <c r="H132" s="726"/>
      <c r="I132" s="1303"/>
      <c r="J132" s="1304"/>
      <c r="K132" s="794" t="s">
        <v>298</v>
      </c>
      <c r="L132" s="1294" t="e">
        <f>IF($E125&gt;0,L130/$E125,"-")</f>
        <v>#N/A</v>
      </c>
      <c r="M132" s="1295"/>
      <c r="N132" s="1294" t="e">
        <f>IF($E125&gt;0,N130/$E125,"-")</f>
        <v>#N/A</v>
      </c>
      <c r="O132" s="1295"/>
      <c r="P132" s="1294" t="e">
        <f>IF($E125&gt;0,P130/$E125,"-")</f>
        <v>#N/A</v>
      </c>
      <c r="Q132" s="1295"/>
      <c r="R132" s="1294" t="e">
        <f>IF($E125&gt;0,R130/$E125,"-")</f>
        <v>#N/A</v>
      </c>
      <c r="S132" s="1295"/>
      <c r="T132" s="1294" t="e">
        <f>IF($E125&gt;0,T130/$E125,"-")</f>
        <v>#N/A</v>
      </c>
      <c r="U132" s="1295"/>
      <c r="V132" s="1294" t="e">
        <f>IF($E125&gt;0,V130/$E125,"-")</f>
        <v>#N/A</v>
      </c>
      <c r="W132" s="1295"/>
      <c r="X132" s="1294" t="e">
        <f>IF($E125&gt;0,X130/$E125,"-")</f>
        <v>#N/A</v>
      </c>
      <c r="Y132" s="1295"/>
      <c r="Z132" s="1294" t="e">
        <f>IF($E125&gt;0,Z130/$E125,"-")</f>
        <v>#N/A</v>
      </c>
      <c r="AA132" s="1295"/>
      <c r="AB132" s="1294" t="e">
        <f>IF($E125&gt;0,AB130/$E125,"-")</f>
        <v>#N/A</v>
      </c>
      <c r="AC132" s="1295"/>
      <c r="AD132" s="1294" t="e">
        <f>IF($E125&gt;0,AD130/$E125,"-")</f>
        <v>#N/A</v>
      </c>
      <c r="AE132" s="1295"/>
      <c r="AF132" s="1294" t="e">
        <f>IF($E125&gt;0,AF130/$E125,"-")</f>
        <v>#N/A</v>
      </c>
      <c r="AG132" s="1295"/>
      <c r="AH132" s="1294" t="e">
        <f>IF($E125&gt;0,AH130/$E125,"-")</f>
        <v>#N/A</v>
      </c>
      <c r="AI132" s="1295"/>
      <c r="AJ132" s="1294" t="e">
        <f>IF($E125&gt;0,AJ130/$E125,"-")</f>
        <v>#N/A</v>
      </c>
      <c r="AK132" s="1295"/>
      <c r="AL132" s="1294" t="e">
        <f>IF($E125&gt;0,AL130/$E125,"-")</f>
        <v>#N/A</v>
      </c>
      <c r="AM132" s="1295"/>
      <c r="AN132" s="1294" t="e">
        <f>IF($E125&gt;0,AN130/$E125,"-")</f>
        <v>#N/A</v>
      </c>
      <c r="AO132" s="1295"/>
      <c r="AP132" s="1294" t="e">
        <f>IF($E125&gt;0,AP130/$E125,"-")</f>
        <v>#N/A</v>
      </c>
      <c r="AQ132" s="1295"/>
      <c r="AR132" s="1294" t="e">
        <f>IF($E125&gt;0,AR130/$E125,"-")</f>
        <v>#N/A</v>
      </c>
      <c r="AS132" s="1295"/>
      <c r="AT132" s="1294" t="e">
        <f>IF($E125&gt;0,AT130/$E125,"-")</f>
        <v>#N/A</v>
      </c>
      <c r="AU132" s="1295"/>
      <c r="AV132" s="1294" t="e">
        <f>IF($E125&gt;0,AV130/$E125,"-")</f>
        <v>#N/A</v>
      </c>
      <c r="AW132" s="1295"/>
      <c r="AX132" s="1294" t="e">
        <f>IF($E125&gt;0,AX130/$E125,"-")</f>
        <v>#N/A</v>
      </c>
      <c r="AY132" s="1295"/>
      <c r="AZ132" s="1294" t="e">
        <f>IF($E125&gt;0,AZ130/$E125,"-")</f>
        <v>#N/A</v>
      </c>
      <c r="BA132" s="1295"/>
      <c r="BB132" s="1294" t="e">
        <f>IF($E125&gt;0,BB130/$E125,"-")</f>
        <v>#N/A</v>
      </c>
      <c r="BC132" s="1295"/>
      <c r="BD132" s="1294" t="e">
        <f>IF($E125&gt;0,BD130/$E125,"-")</f>
        <v>#N/A</v>
      </c>
      <c r="BE132" s="1295"/>
      <c r="BF132" s="1294" t="e">
        <f>IF($E125&gt;0,BF130/$E125,"-")</f>
        <v>#N/A</v>
      </c>
      <c r="BG132" s="1295"/>
      <c r="BH132" s="1294" t="e">
        <f>IF($E125&gt;0,BH130/$E125,"-")</f>
        <v>#N/A</v>
      </c>
      <c r="BI132" s="1295"/>
      <c r="BJ132" s="1294" t="e">
        <f>IF($E125&gt;0,BJ130/$E125,"-")</f>
        <v>#N/A</v>
      </c>
      <c r="BK132" s="1295"/>
      <c r="BL132" s="1294" t="e">
        <f>IF($E125&gt;0,BL130/$E125,"-")</f>
        <v>#N/A</v>
      </c>
      <c r="BM132" s="1295"/>
      <c r="BN132" s="1294" t="e">
        <f>IF($E125&gt;0,BN130/$E125,"-")</f>
        <v>#N/A</v>
      </c>
      <c r="BO132" s="1295"/>
      <c r="BP132" s="1294" t="e">
        <f>IF($E125&gt;0,BP130/$E125,"-")</f>
        <v>#N/A</v>
      </c>
      <c r="BQ132" s="1295"/>
      <c r="BR132" s="1253" t="e">
        <f>IF($E125&gt;0,BR130/$E125,"-")</f>
        <v>#N/A</v>
      </c>
      <c r="BS132" s="1253"/>
      <c r="BT132" s="1253" t="e">
        <f>IF($E125&gt;0,BT130/$E125,"-")</f>
        <v>#N/A</v>
      </c>
      <c r="BU132" s="1253"/>
      <c r="BV132" s="1253" t="e">
        <f>IF($E125&gt;0,BV130/$E125,"-")</f>
        <v>#N/A</v>
      </c>
      <c r="BW132" s="1253"/>
      <c r="BX132" s="1253" t="e">
        <f>IF($E125&gt;0,BX130/$E125,"-")</f>
        <v>#N/A</v>
      </c>
      <c r="BY132" s="1253"/>
      <c r="BZ132" s="1253" t="e">
        <f>IF($E125&gt;0,BZ130/$E125,"-")</f>
        <v>#N/A</v>
      </c>
      <c r="CA132" s="1253"/>
      <c r="CB132" s="1253" t="e">
        <f>IF($E125&gt;0,CB130/$E125,"-")</f>
        <v>#N/A</v>
      </c>
      <c r="CC132" s="1253"/>
      <c r="CD132" s="1253" t="e">
        <f>IF($E125&gt;0,CD130/$E125,"-")</f>
        <v>#N/A</v>
      </c>
      <c r="CE132" s="1253"/>
      <c r="CF132" s="1253" t="e">
        <f>IF($E125&gt;0,CF130/$E125,"-")</f>
        <v>#N/A</v>
      </c>
      <c r="CG132" s="1253"/>
      <c r="CH132" s="1253" t="e">
        <f>IF($E125&gt;0,CH130/$E125,"-")</f>
        <v>#N/A</v>
      </c>
      <c r="CI132" s="1253"/>
      <c r="CJ132" s="1253" t="e">
        <f>IF($E125&gt;0,CJ130/$E125,"-")</f>
        <v>#N/A</v>
      </c>
      <c r="CK132" s="1253"/>
      <c r="CL132" s="1253" t="e">
        <f>IF($E125&gt;0,CL130/$E125,"-")</f>
        <v>#N/A</v>
      </c>
      <c r="CM132" s="1253"/>
      <c r="CN132" s="1253" t="e">
        <f>IF($E125&gt;0,CN130/$E125,"-")</f>
        <v>#N/A</v>
      </c>
      <c r="CO132" s="1253"/>
      <c r="CP132" s="1253" t="e">
        <f>IF($E125&gt;0,CP130/$E125,"-")</f>
        <v>#N/A</v>
      </c>
      <c r="CQ132" s="1253"/>
      <c r="CR132" s="1253" t="e">
        <f>IF($E125&gt;0,CR130/$E125,"-")</f>
        <v>#N/A</v>
      </c>
      <c r="CS132" s="1253"/>
      <c r="CT132" s="1253" t="e">
        <f>IF($E125&gt;0,CT130/$E125,"-")</f>
        <v>#N/A</v>
      </c>
      <c r="CU132" s="1253"/>
      <c r="CV132" s="1253" t="e">
        <f>IF($E125&gt;0,CV130/$E125,"-")</f>
        <v>#N/A</v>
      </c>
      <c r="CW132" s="1253"/>
      <c r="CX132" s="1253" t="e">
        <f>IF($E125&gt;0,CX130/$E125,"-")</f>
        <v>#N/A</v>
      </c>
      <c r="CY132" s="1253"/>
      <c r="CZ132" s="1253" t="e">
        <f>IF($E125&gt;0,CZ130/$E125,"-")</f>
        <v>#N/A</v>
      </c>
      <c r="DA132" s="1253"/>
      <c r="DB132" s="1253" t="e">
        <f>IF($E125&gt;0,DB130/$E125,"-")</f>
        <v>#N/A</v>
      </c>
      <c r="DC132" s="1253"/>
      <c r="DD132" s="1253" t="e">
        <f>IF($E125&gt;0,DD130/$E125,"-")</f>
        <v>#N/A</v>
      </c>
      <c r="DE132" s="1253"/>
      <c r="DF132" s="1253" t="e">
        <f>IF($E125&gt;0,DF130/$E125,"-")</f>
        <v>#N/A</v>
      </c>
      <c r="DG132" s="1253"/>
      <c r="DH132" s="1253" t="e">
        <f>IF($E125&gt;0,DH130/$E125,"-")</f>
        <v>#N/A</v>
      </c>
      <c r="DI132" s="1253"/>
      <c r="DJ132" s="1254" t="e">
        <f>IF($E125&gt;0,DJ130/$E125,"-")</f>
        <v>#N/A</v>
      </c>
      <c r="DK132" s="1254"/>
      <c r="DL132" s="1253" t="e">
        <f>IF($E125&gt;0,DL130/$E125,"-")</f>
        <v>#N/A</v>
      </c>
      <c r="DM132" s="1253"/>
      <c r="DN132" s="1253" t="e">
        <f>IF($E125&gt;0,DN130/$E125,"-")</f>
        <v>#N/A</v>
      </c>
      <c r="DO132" s="1253"/>
      <c r="DP132" s="1253" t="e">
        <f>IF($E125&gt;0,DP130/$E125,"-")</f>
        <v>#N/A</v>
      </c>
      <c r="DQ132" s="1253"/>
      <c r="DR132" s="1253" t="e">
        <f>IF($E125&gt;0,DR130/$E125,"-")</f>
        <v>#N/A</v>
      </c>
      <c r="DS132" s="1253"/>
      <c r="DT132" s="1253" t="e">
        <f>IF($E125&gt;0,DT130/$E125,"-")</f>
        <v>#N/A</v>
      </c>
      <c r="DU132" s="1253"/>
      <c r="DV132" s="1253" t="e">
        <f>IF($E125&gt;0,DV130/$E125,"-")</f>
        <v>#N/A</v>
      </c>
      <c r="DW132" s="1253"/>
      <c r="DX132" s="1253" t="e">
        <f>IF($E125&gt;0,DX130/$E125,"-")</f>
        <v>#N/A</v>
      </c>
      <c r="DY132" s="1253"/>
      <c r="DZ132" s="1253" t="e">
        <f>IF($E125&gt;0,DZ130/$E125,"-")</f>
        <v>#N/A</v>
      </c>
      <c r="EA132" s="1253"/>
      <c r="EB132" s="1253" t="e">
        <f>IF($E125&gt;0,EB130/$E125,"-")</f>
        <v>#N/A</v>
      </c>
      <c r="EC132" s="1253"/>
      <c r="ED132" s="1253" t="e">
        <f>IF($E125&gt;0,ED130/$E125,"-")</f>
        <v>#N/A</v>
      </c>
      <c r="EE132" s="1253"/>
      <c r="EF132" s="1253" t="e">
        <f>IF($E125&gt;0,EF130/$E125,"-")</f>
        <v>#N/A</v>
      </c>
      <c r="EG132" s="1253"/>
      <c r="EH132" s="1253" t="e">
        <f>IF($E125&gt;0,EH130/$E125,"-")</f>
        <v>#N/A</v>
      </c>
      <c r="EI132" s="1253"/>
      <c r="EJ132" s="1253" t="e">
        <f>IF($E125&gt;0,EJ130/$E125,"-")</f>
        <v>#N/A</v>
      </c>
      <c r="EK132" s="1253"/>
      <c r="EL132" s="1253" t="e">
        <f>IF($E125&gt;0,EL130/$E125,"-")</f>
        <v>#N/A</v>
      </c>
      <c r="EM132" s="1253"/>
      <c r="EN132" s="1253" t="e">
        <f>IF($E125&gt;0,EN130/$E125,"-")</f>
        <v>#N/A</v>
      </c>
      <c r="EO132" s="1253"/>
      <c r="EP132" s="1253" t="e">
        <f>IF($E125&gt;0,EP130/$E125,"-")</f>
        <v>#N/A</v>
      </c>
      <c r="EQ132" s="1253"/>
      <c r="ER132" s="1253" t="e">
        <f>IF($E125&gt;0,ER130/$E125,"-")</f>
        <v>#N/A</v>
      </c>
      <c r="ES132" s="1253"/>
      <c r="ET132" s="1253" t="e">
        <f>IF($E125&gt;0,ET130/$E125,"-")</f>
        <v>#N/A</v>
      </c>
      <c r="EU132" s="1253"/>
      <c r="EV132" s="1253" t="e">
        <f>IF($E125&gt;0,EV130/$E125,"-")</f>
        <v>#N/A</v>
      </c>
      <c r="EW132" s="1253"/>
      <c r="EX132" s="1253" t="e">
        <f>IF($E125&gt;0,EX130/$E125,"-")</f>
        <v>#N/A</v>
      </c>
      <c r="EY132" s="1253"/>
      <c r="EZ132" s="1253" t="e">
        <f>IF($E125&gt;0,EZ130/$E125,"-")</f>
        <v>#N/A</v>
      </c>
      <c r="FA132" s="1253"/>
      <c r="FB132" s="1253" t="e">
        <f>IF($E125&gt;0,FB130/$E125,"-")</f>
        <v>#N/A</v>
      </c>
      <c r="FC132" s="1253"/>
      <c r="FD132" s="1253" t="e">
        <f>IF($E125&gt;0,FD130/$E125,"-")</f>
        <v>#N/A</v>
      </c>
      <c r="FE132" s="1253"/>
      <c r="FF132" s="1253" t="e">
        <f>IF($E125&gt;0,FF130/$E125,"-")</f>
        <v>#N/A</v>
      </c>
      <c r="FG132" s="1253"/>
      <c r="FH132" s="1253" t="e">
        <f>IF($E125&gt;0,FH130/$E125,"-")</f>
        <v>#N/A</v>
      </c>
      <c r="FI132" s="1253"/>
      <c r="FJ132" s="1253" t="e">
        <f>IF($E125&gt;0,FJ130/$E125,"-")</f>
        <v>#N/A</v>
      </c>
      <c r="FK132" s="1253"/>
      <c r="FL132" s="1253" t="e">
        <f>IF($E125&gt;0,FL130/$E125,"-")</f>
        <v>#N/A</v>
      </c>
      <c r="FM132" s="1253"/>
      <c r="FN132" s="1253" t="e">
        <f>IF($E125&gt;0,FN130/$E125,"-")</f>
        <v>#N/A</v>
      </c>
      <c r="FO132" s="1253"/>
      <c r="FP132" s="1253" t="e">
        <f>IF($E125&gt;0,FP130/$E125,"-")</f>
        <v>#N/A</v>
      </c>
      <c r="FQ132" s="1253"/>
      <c r="FR132" s="1253" t="e">
        <f>IF($E125&gt;0,FR130/$E125,"-")</f>
        <v>#N/A</v>
      </c>
      <c r="FS132" s="1253"/>
      <c r="FT132" s="1253" t="e">
        <f>IF($E125&gt;0,FT130/$E125,"-")</f>
        <v>#N/A</v>
      </c>
      <c r="FU132" s="1253"/>
      <c r="FV132" s="1253" t="e">
        <f>IF($E125&gt;0,FV130/$E125,"-")</f>
        <v>#N/A</v>
      </c>
      <c r="FW132" s="1253"/>
      <c r="FX132" s="1253" t="e">
        <f>IF($E125&gt;0,FX130/$E125,"-")</f>
        <v>#N/A</v>
      </c>
      <c r="FY132" s="1253"/>
      <c r="FZ132" s="1253" t="e">
        <f>IF($E125&gt;0,FZ130/$E125,"-")</f>
        <v>#N/A</v>
      </c>
      <c r="GA132" s="1253"/>
      <c r="GB132" s="1253" t="e">
        <f>IF($E125&gt;0,GB130/$E125,"-")</f>
        <v>#N/A</v>
      </c>
      <c r="GC132" s="1253"/>
      <c r="GD132" s="1253" t="e">
        <f>IF($E125&gt;0,GD130/$E125,"-")</f>
        <v>#N/A</v>
      </c>
      <c r="GE132" s="1253"/>
      <c r="GF132" s="1253" t="e">
        <f>IF($E125&gt;0,GF130/$E125,"-")</f>
        <v>#N/A</v>
      </c>
      <c r="GG132" s="1253"/>
      <c r="GH132" s="1253" t="e">
        <f>IF($E125&gt;0,GH130/$E125,"-")</f>
        <v>#N/A</v>
      </c>
      <c r="GI132" s="1253"/>
      <c r="GJ132" s="1253" t="e">
        <f>IF($E125&gt;0,GJ130/$E125,"-")</f>
        <v>#N/A</v>
      </c>
      <c r="GK132" s="1253"/>
      <c r="GL132" s="1253" t="e">
        <f>IF($E125&gt;0,GL130/$E125,"-")</f>
        <v>#N/A</v>
      </c>
      <c r="GM132" s="1253"/>
      <c r="GN132" s="1253" t="e">
        <f>IF($E125&gt;0,GN130/$E125,"-")</f>
        <v>#N/A</v>
      </c>
      <c r="GO132" s="1253"/>
      <c r="GP132" s="1253" t="e">
        <f>IF($E125&gt;0,GP130/$E125,"-")</f>
        <v>#N/A</v>
      </c>
      <c r="GQ132" s="1253"/>
      <c r="GR132" s="1253" t="e">
        <f>IF($E125&gt;0,GR130/$E125,"-")</f>
        <v>#N/A</v>
      </c>
      <c r="GS132" s="1253"/>
      <c r="GT132" s="1253" t="e">
        <f>IF($E125&gt;0,GT130/$E125,"-")</f>
        <v>#N/A</v>
      </c>
      <c r="GU132" s="1253"/>
      <c r="GV132" s="1253" t="e">
        <f>IF($E125&gt;0,GV130/$E125,"-")</f>
        <v>#N/A</v>
      </c>
      <c r="GW132" s="1253"/>
      <c r="GX132" s="1253" t="e">
        <f>IF($E125&gt;0,GX130/$E125,"-")</f>
        <v>#N/A</v>
      </c>
      <c r="GY132" s="1253"/>
      <c r="GZ132" s="1253" t="e">
        <f>IF($E125&gt;0,GZ130/$E125,"-")</f>
        <v>#N/A</v>
      </c>
      <c r="HA132" s="1253"/>
      <c r="HB132" s="1253" t="e">
        <f>IF($E125&gt;0,HB130/$E125,"-")</f>
        <v>#N/A</v>
      </c>
      <c r="HC132" s="1253"/>
      <c r="HD132" s="1253" t="e">
        <f>IF($E125&gt;0,HD130/$E125,"-")</f>
        <v>#N/A</v>
      </c>
      <c r="HE132" s="1253"/>
      <c r="HF132" s="1253" t="e">
        <f>IF($E125&gt;0,HF130/$E125,"-")</f>
        <v>#N/A</v>
      </c>
      <c r="HG132" s="1253"/>
      <c r="HH132" s="1253" t="e">
        <f>IF($E125&gt;0,HH130/$E125,"-")</f>
        <v>#N/A</v>
      </c>
      <c r="HI132" s="1253"/>
      <c r="HJ132" s="1253" t="e">
        <f>IF($E125&gt;0,HJ130/$E125,"-")</f>
        <v>#N/A</v>
      </c>
      <c r="HK132" s="1253"/>
    </row>
    <row r="133" spans="1:219" s="5" customFormat="1" ht="14.4" hidden="1">
      <c r="A133" s="690"/>
      <c r="B133" s="691"/>
      <c r="C133" s="691"/>
      <c r="D133" s="692"/>
      <c r="E133" s="692"/>
      <c r="F133" s="691"/>
      <c r="G133" s="691"/>
      <c r="H133" s="691"/>
      <c r="I133" s="691"/>
      <c r="J133" s="691"/>
      <c r="K133" s="691"/>
      <c r="L133" s="1274"/>
      <c r="M133" s="1274"/>
      <c r="N133" s="1274"/>
      <c r="O133" s="1274"/>
      <c r="P133" s="1274"/>
      <c r="Q133" s="1274"/>
      <c r="R133" s="1274"/>
      <c r="S133" s="1362"/>
      <c r="T133" s="1276"/>
      <c r="U133" s="1274"/>
      <c r="V133" s="1274"/>
      <c r="W133" s="1274"/>
      <c r="X133" s="1274"/>
      <c r="Y133" s="1274"/>
      <c r="Z133" s="1274"/>
      <c r="AA133" s="1362"/>
      <c r="AB133" s="1276"/>
      <c r="AC133" s="1274"/>
      <c r="AD133" s="1274"/>
      <c r="AE133" s="1274"/>
      <c r="AF133" s="1274"/>
      <c r="AG133" s="1274"/>
      <c r="AH133" s="1274"/>
      <c r="AI133" s="1362"/>
      <c r="AJ133" s="1276"/>
      <c r="AK133" s="1274"/>
      <c r="AL133" s="1274"/>
      <c r="AM133" s="1274"/>
      <c r="AN133" s="1274"/>
      <c r="AO133" s="1274"/>
      <c r="AP133" s="1274"/>
      <c r="AQ133" s="1362"/>
      <c r="AR133" s="1276"/>
      <c r="AS133" s="1274"/>
      <c r="AT133" s="777"/>
      <c r="AU133" s="777"/>
      <c r="AV133" s="777"/>
      <c r="AW133" s="777"/>
      <c r="AX133" s="777"/>
      <c r="AY133" s="778"/>
      <c r="AZ133" s="779"/>
      <c r="BA133" s="777"/>
      <c r="BB133" s="777"/>
      <c r="BC133" s="777"/>
      <c r="BD133" s="777"/>
      <c r="BE133" s="777"/>
      <c r="BF133" s="777"/>
      <c r="BG133" s="778"/>
      <c r="BH133" s="779"/>
      <c r="BI133" s="777"/>
      <c r="BJ133" s="777"/>
      <c r="BK133" s="777"/>
      <c r="BL133" s="777"/>
      <c r="BM133" s="777"/>
      <c r="BN133" s="777"/>
      <c r="BO133" s="778"/>
      <c r="BP133" s="779"/>
      <c r="BQ133" s="777"/>
      <c r="BR133" s="777"/>
      <c r="BS133" s="777"/>
      <c r="BT133" s="777"/>
      <c r="BU133" s="777"/>
      <c r="BV133" s="777"/>
      <c r="BW133" s="778"/>
      <c r="BX133" s="779"/>
      <c r="BY133" s="777"/>
      <c r="BZ133" s="777"/>
      <c r="CA133" s="777"/>
      <c r="CB133" s="777"/>
      <c r="CC133" s="777"/>
      <c r="CD133" s="1274"/>
      <c r="CE133" s="1275"/>
      <c r="CF133" s="1276"/>
      <c r="CG133" s="1277"/>
      <c r="CH133" s="1274"/>
      <c r="CI133" s="1277"/>
      <c r="CJ133" s="1274"/>
      <c r="CK133" s="1277"/>
      <c r="CL133" s="1274"/>
      <c r="CM133" s="1275"/>
      <c r="CN133" s="1276"/>
      <c r="CO133" s="1277"/>
      <c r="CP133" s="1296"/>
      <c r="CQ133" s="1297"/>
      <c r="CR133" s="1296"/>
      <c r="CS133" s="1297"/>
      <c r="CT133" s="780"/>
      <c r="CU133" s="781"/>
      <c r="CV133" s="782"/>
      <c r="CW133" s="780"/>
      <c r="CX133" s="780"/>
      <c r="CY133" s="780"/>
      <c r="CZ133" s="780"/>
      <c r="DA133" s="780"/>
      <c r="DB133" s="780"/>
      <c r="DC133" s="781"/>
      <c r="DD133" s="782"/>
      <c r="DE133" s="780"/>
      <c r="DF133" s="780"/>
      <c r="DG133" s="780"/>
      <c r="DH133" s="780"/>
      <c r="DI133" s="780"/>
      <c r="DJ133" s="783"/>
      <c r="DK133" s="784"/>
      <c r="DL133" s="782"/>
      <c r="DM133" s="780"/>
      <c r="DN133" s="780"/>
      <c r="DO133" s="780"/>
      <c r="DP133" s="780"/>
      <c r="DQ133" s="780"/>
      <c r="DR133" s="780"/>
      <c r="DS133" s="781"/>
      <c r="DT133" s="782"/>
      <c r="DU133" s="780"/>
      <c r="DV133" s="780"/>
      <c r="DW133" s="780"/>
      <c r="DX133" s="780"/>
      <c r="DY133" s="780"/>
      <c r="DZ133" s="780"/>
      <c r="EA133" s="781"/>
      <c r="EB133" s="782"/>
      <c r="EC133" s="780"/>
      <c r="ED133" s="780"/>
      <c r="EE133" s="780"/>
      <c r="EF133" s="780"/>
      <c r="EG133" s="780"/>
      <c r="EH133" s="780"/>
      <c r="EI133" s="781"/>
      <c r="EJ133" s="782"/>
      <c r="EK133" s="780"/>
      <c r="EL133" s="780"/>
      <c r="EM133" s="780"/>
      <c r="EN133" s="780"/>
      <c r="EO133" s="780"/>
      <c r="EP133" s="780"/>
      <c r="EQ133" s="781"/>
      <c r="ER133" s="782"/>
      <c r="ES133" s="780"/>
      <c r="ET133" s="780"/>
      <c r="EU133" s="780"/>
      <c r="EV133" s="780"/>
      <c r="EW133" s="780"/>
      <c r="EX133" s="780"/>
      <c r="EY133" s="781"/>
      <c r="EZ133" s="782"/>
      <c r="FA133" s="780"/>
      <c r="FB133" s="780"/>
      <c r="FC133" s="780"/>
      <c r="FD133" s="780"/>
      <c r="FE133" s="780"/>
      <c r="FF133" s="780"/>
      <c r="FG133" s="781"/>
      <c r="FH133" s="782"/>
      <c r="FI133" s="780"/>
      <c r="FJ133" s="780"/>
      <c r="FK133" s="780"/>
      <c r="FL133" s="780"/>
      <c r="FM133" s="780"/>
      <c r="FN133" s="780"/>
      <c r="FO133" s="781"/>
      <c r="FP133" s="782"/>
      <c r="FQ133" s="780"/>
      <c r="FR133" s="780"/>
      <c r="FS133" s="780"/>
      <c r="FT133" s="780"/>
      <c r="FU133" s="780"/>
      <c r="FV133" s="780"/>
      <c r="FW133" s="781"/>
      <c r="FX133" s="782"/>
      <c r="FY133" s="780"/>
      <c r="FZ133" s="780"/>
      <c r="GA133" s="780"/>
      <c r="GB133" s="780"/>
      <c r="GC133" s="780"/>
      <c r="GD133" s="780"/>
      <c r="GE133" s="781"/>
      <c r="GF133" s="782"/>
      <c r="GG133" s="780"/>
      <c r="GH133" s="780"/>
      <c r="GI133" s="780"/>
      <c r="GJ133" s="780"/>
      <c r="GK133" s="780"/>
      <c r="GL133" s="780"/>
      <c r="GM133" s="781"/>
      <c r="GN133" s="782"/>
      <c r="GO133" s="780"/>
      <c r="GP133" s="780"/>
      <c r="GQ133" s="780"/>
      <c r="GR133" s="780"/>
      <c r="GS133" s="780"/>
      <c r="GT133" s="780"/>
      <c r="GU133" s="781"/>
      <c r="GV133" s="780"/>
      <c r="GW133" s="781"/>
      <c r="GX133" s="780"/>
      <c r="GY133" s="781"/>
      <c r="GZ133" s="780"/>
      <c r="HA133" s="781"/>
      <c r="HB133" s="780"/>
      <c r="HC133" s="781"/>
      <c r="HD133" s="780"/>
      <c r="HE133" s="781"/>
      <c r="HF133" s="780"/>
      <c r="HG133" s="781"/>
      <c r="HH133" s="780"/>
      <c r="HI133" s="781"/>
      <c r="HJ133" s="780"/>
      <c r="HK133" s="781"/>
    </row>
    <row r="134" spans="1:219" hidden="1">
      <c r="A134" s="1299"/>
      <c r="B134" s="1300" t="e">
        <f>VLOOKUP(A134,PLANEJAMENTO!$B$10:$C$70,2,FALSE)</f>
        <v>#N/A</v>
      </c>
      <c r="C134" s="1299" t="e">
        <f>VLOOKUP(A134,PLANEJAMENTO!$B$10:$D$70,3,FALSE)</f>
        <v>#N/A</v>
      </c>
      <c r="D134" s="1301" t="e">
        <f>VLOOKUP(A134,PLANEJAMENTO!$B$10:$E$70,4,FALSE)</f>
        <v>#N/A</v>
      </c>
      <c r="E134" s="1301" t="e">
        <f>D134</f>
        <v>#N/A</v>
      </c>
      <c r="F134" s="1302">
        <f>PRODUÇÕES!$D$18</f>
        <v>180</v>
      </c>
      <c r="G134" s="1301">
        <f>F134*8</f>
        <v>1440</v>
      </c>
      <c r="H134" s="726"/>
      <c r="I134" s="1303"/>
      <c r="J134" s="1304"/>
      <c r="K134" s="727" t="s">
        <v>291</v>
      </c>
      <c r="L134" s="1285"/>
      <c r="M134" s="1286"/>
      <c r="N134" s="1285"/>
      <c r="O134" s="1286"/>
      <c r="P134" s="1285"/>
      <c r="Q134" s="1286"/>
      <c r="R134" s="1285"/>
      <c r="S134" s="1286"/>
      <c r="T134" s="1319"/>
      <c r="U134" s="1320"/>
      <c r="V134" s="1319"/>
      <c r="W134" s="1320"/>
      <c r="X134" s="1319"/>
      <c r="Y134" s="1320"/>
      <c r="Z134" s="1319"/>
      <c r="AA134" s="1320"/>
      <c r="AB134" s="1377"/>
      <c r="AC134" s="1378"/>
      <c r="AD134" s="1319"/>
      <c r="AE134" s="1320"/>
      <c r="AF134" s="1319"/>
      <c r="AG134" s="1320"/>
      <c r="AH134" s="1319"/>
      <c r="AI134" s="1320"/>
      <c r="AJ134" s="1319"/>
      <c r="AK134" s="1320"/>
      <c r="AL134" s="1319"/>
      <c r="AM134" s="1320"/>
      <c r="AN134" s="1377"/>
      <c r="AO134" s="1378"/>
      <c r="AP134" s="1377"/>
      <c r="AQ134" s="1378"/>
      <c r="AR134" s="1377"/>
      <c r="AS134" s="1378"/>
      <c r="AT134" s="1285"/>
      <c r="AU134" s="1286"/>
      <c r="AV134" s="1285"/>
      <c r="AW134" s="1286"/>
      <c r="AX134" s="1345" t="e">
        <f>6-#REF!-BL87-#REF!</f>
        <v>#REF!</v>
      </c>
      <c r="AY134" s="1346"/>
      <c r="AZ134" s="1345">
        <v>2.5887424740011005</v>
      </c>
      <c r="BA134" s="1346"/>
      <c r="BB134" s="1285"/>
      <c r="BC134" s="1286"/>
      <c r="BD134" s="1285"/>
      <c r="BE134" s="1286"/>
      <c r="BF134" s="1285"/>
      <c r="BG134" s="1286"/>
      <c r="BH134" s="1285"/>
      <c r="BI134" s="1286"/>
      <c r="BJ134" s="1285"/>
      <c r="BK134" s="1286"/>
      <c r="BL134" s="1285"/>
      <c r="BM134" s="1286"/>
      <c r="BN134" s="1285"/>
      <c r="BO134" s="1286"/>
      <c r="BP134" s="1285"/>
      <c r="BQ134" s="1286"/>
      <c r="BR134" s="1263"/>
      <c r="BS134" s="1263"/>
      <c r="BT134" s="1263"/>
      <c r="BU134" s="1263"/>
      <c r="BV134" s="1263"/>
      <c r="BW134" s="1263"/>
      <c r="BX134" s="1263"/>
      <c r="BY134" s="1263"/>
      <c r="BZ134" s="1263"/>
      <c r="CA134" s="1263"/>
      <c r="CB134" s="1263"/>
      <c r="CC134" s="1263"/>
      <c r="CD134" s="1263"/>
      <c r="CE134" s="1263"/>
      <c r="CF134" s="1263"/>
      <c r="CG134" s="1263"/>
      <c r="CH134" s="1263"/>
      <c r="CI134" s="1263"/>
      <c r="CJ134" s="1263"/>
      <c r="CK134" s="1263"/>
      <c r="CL134" s="1263"/>
      <c r="CM134" s="1263"/>
      <c r="CN134" s="1263"/>
      <c r="CO134" s="1263"/>
      <c r="CP134" s="1263"/>
      <c r="CQ134" s="1263"/>
      <c r="CR134" s="1263"/>
      <c r="CS134" s="1263"/>
      <c r="CT134" s="1263"/>
      <c r="CU134" s="1263"/>
      <c r="CV134" s="1263"/>
      <c r="CW134" s="1263"/>
      <c r="CX134" s="1263"/>
      <c r="CY134" s="1263"/>
      <c r="CZ134" s="1263"/>
      <c r="DA134" s="1263"/>
      <c r="DB134" s="1263"/>
      <c r="DC134" s="1263"/>
      <c r="DD134" s="1263"/>
      <c r="DE134" s="1263"/>
      <c r="DF134" s="1263"/>
      <c r="DG134" s="1263"/>
      <c r="DH134" s="1263"/>
      <c r="DI134" s="1263"/>
      <c r="DJ134" s="1327"/>
      <c r="DK134" s="1327"/>
      <c r="DL134" s="1263"/>
      <c r="DM134" s="1263"/>
      <c r="DN134" s="1263"/>
      <c r="DO134" s="1263"/>
      <c r="DP134" s="1263"/>
      <c r="DQ134" s="1263"/>
      <c r="DR134" s="1263"/>
      <c r="DS134" s="1263"/>
      <c r="DT134" s="1263"/>
      <c r="DU134" s="1263"/>
      <c r="DV134" s="1263"/>
      <c r="DW134" s="1263"/>
      <c r="DX134" s="1263"/>
      <c r="DY134" s="1263"/>
      <c r="DZ134" s="1263"/>
      <c r="EA134" s="1263"/>
      <c r="EB134" s="1263"/>
      <c r="EC134" s="1263"/>
      <c r="ED134" s="1263"/>
      <c r="EE134" s="1263"/>
      <c r="EF134" s="1315"/>
      <c r="EG134" s="1315"/>
      <c r="EH134" s="1263"/>
      <c r="EI134" s="1263"/>
      <c r="EJ134" s="1263"/>
      <c r="EK134" s="1263"/>
      <c r="EL134" s="1263"/>
      <c r="EM134" s="1263"/>
      <c r="EN134" s="1263"/>
      <c r="EO134" s="1263"/>
      <c r="EP134" s="1263"/>
      <c r="EQ134" s="1263"/>
      <c r="ER134" s="1263"/>
      <c r="ES134" s="1263"/>
      <c r="ET134" s="1263"/>
      <c r="EU134" s="1263"/>
      <c r="EV134" s="1263"/>
      <c r="EW134" s="1263"/>
      <c r="EX134" s="1263"/>
      <c r="EY134" s="1263"/>
      <c r="EZ134" s="1263"/>
      <c r="FA134" s="1263"/>
      <c r="FB134" s="1263"/>
      <c r="FC134" s="1263"/>
      <c r="FD134" s="1263"/>
      <c r="FE134" s="1263"/>
      <c r="FF134" s="1263"/>
      <c r="FG134" s="1263"/>
      <c r="FH134" s="1263"/>
      <c r="FI134" s="1263"/>
      <c r="FJ134" s="1263"/>
      <c r="FK134" s="1263"/>
      <c r="FL134" s="1263"/>
      <c r="FM134" s="1263"/>
      <c r="FN134" s="1263"/>
      <c r="FO134" s="1263"/>
      <c r="FP134" s="1263"/>
      <c r="FQ134" s="1263"/>
      <c r="FR134" s="1263"/>
      <c r="FS134" s="1263"/>
      <c r="FT134" s="1263"/>
      <c r="FU134" s="1263"/>
      <c r="FV134" s="1263"/>
      <c r="FW134" s="1263"/>
      <c r="FX134" s="1263"/>
      <c r="FY134" s="1263"/>
      <c r="FZ134" s="1263"/>
      <c r="GA134" s="1263"/>
      <c r="GB134" s="1263"/>
      <c r="GC134" s="1263"/>
      <c r="GD134" s="1263"/>
      <c r="GE134" s="1263"/>
      <c r="GF134" s="1263"/>
      <c r="GG134" s="1263"/>
      <c r="GH134" s="1263"/>
      <c r="GI134" s="1263"/>
      <c r="GJ134" s="1263"/>
      <c r="GK134" s="1263"/>
      <c r="GL134" s="1263"/>
      <c r="GM134" s="1263"/>
      <c r="GN134" s="1263"/>
      <c r="GO134" s="1263"/>
      <c r="GP134" s="1263"/>
      <c r="GQ134" s="1263"/>
      <c r="GR134" s="1263"/>
      <c r="GS134" s="1263"/>
      <c r="GT134" s="1263"/>
      <c r="GU134" s="1263"/>
      <c r="GV134" s="1263"/>
      <c r="GW134" s="1263"/>
      <c r="GX134" s="1263"/>
      <c r="GY134" s="1263"/>
      <c r="GZ134" s="1263"/>
      <c r="HA134" s="1263"/>
      <c r="HB134" s="1263"/>
      <c r="HC134" s="1263"/>
      <c r="HD134" s="1263"/>
      <c r="HE134" s="1263"/>
      <c r="HF134" s="1263"/>
      <c r="HG134" s="1263"/>
      <c r="HH134" s="1263"/>
      <c r="HI134" s="1263"/>
      <c r="HJ134" s="1263"/>
      <c r="HK134" s="1263"/>
    </row>
    <row r="135" spans="1:219" hidden="1">
      <c r="A135" s="1299"/>
      <c r="B135" s="1300"/>
      <c r="C135" s="1299"/>
      <c r="D135" s="1301"/>
      <c r="E135" s="1301"/>
      <c r="F135" s="1302"/>
      <c r="G135" s="1301"/>
      <c r="H135" s="726"/>
      <c r="I135" s="1303"/>
      <c r="J135" s="1304"/>
      <c r="K135" s="785" t="s">
        <v>292</v>
      </c>
      <c r="L135" s="1283"/>
      <c r="M135" s="1284"/>
      <c r="N135" s="1283"/>
      <c r="O135" s="1284"/>
      <c r="P135" s="1283"/>
      <c r="Q135" s="1284"/>
      <c r="R135" s="1283"/>
      <c r="S135" s="1284"/>
      <c r="T135" s="1283"/>
      <c r="U135" s="1284"/>
      <c r="V135" s="1283"/>
      <c r="W135" s="1284"/>
      <c r="X135" s="1283"/>
      <c r="Y135" s="1284"/>
      <c r="Z135" s="1283"/>
      <c r="AA135" s="1284"/>
      <c r="AB135" s="1283"/>
      <c r="AC135" s="1284"/>
      <c r="AD135" s="1283"/>
      <c r="AE135" s="1284"/>
      <c r="AF135" s="1283"/>
      <c r="AG135" s="1284"/>
      <c r="AH135" s="1283"/>
      <c r="AI135" s="1284"/>
      <c r="AJ135" s="1283"/>
      <c r="AK135" s="1284"/>
      <c r="AL135" s="1283"/>
      <c r="AM135" s="1284"/>
      <c r="AN135" s="1283"/>
      <c r="AO135" s="1284"/>
      <c r="AP135" s="1283"/>
      <c r="AQ135" s="1284"/>
      <c r="AR135" s="1283"/>
      <c r="AS135" s="1284"/>
      <c r="AT135" s="1283"/>
      <c r="AU135" s="1284"/>
      <c r="AV135" s="1283"/>
      <c r="AW135" s="1284"/>
      <c r="AX135" s="1283">
        <v>1</v>
      </c>
      <c r="AY135" s="1284"/>
      <c r="AZ135" s="1283">
        <v>1</v>
      </c>
      <c r="BA135" s="1284"/>
      <c r="BB135" s="1283"/>
      <c r="BC135" s="1284"/>
      <c r="BD135" s="1283"/>
      <c r="BE135" s="1284"/>
      <c r="BF135" s="1283"/>
      <c r="BG135" s="1284"/>
      <c r="BH135" s="1283"/>
      <c r="BI135" s="1284"/>
      <c r="BJ135" s="1283"/>
      <c r="BK135" s="1284"/>
      <c r="BL135" s="1283"/>
      <c r="BM135" s="1284"/>
      <c r="BN135" s="1283"/>
      <c r="BO135" s="1284"/>
      <c r="BP135" s="1283"/>
      <c r="BQ135" s="1284"/>
      <c r="BR135" s="1264"/>
      <c r="BS135" s="1264"/>
      <c r="BT135" s="1264"/>
      <c r="BU135" s="1264"/>
      <c r="BV135" s="1264"/>
      <c r="BW135" s="1264"/>
      <c r="BX135" s="1264"/>
      <c r="BY135" s="1264"/>
      <c r="BZ135" s="1264"/>
      <c r="CA135" s="1264"/>
      <c r="CB135" s="1264"/>
      <c r="CC135" s="1264"/>
      <c r="CD135" s="1264"/>
      <c r="CE135" s="1264"/>
      <c r="CF135" s="1264"/>
      <c r="CG135" s="1264"/>
      <c r="CH135" s="1264"/>
      <c r="CI135" s="1264"/>
      <c r="CJ135" s="1264"/>
      <c r="CK135" s="1264"/>
      <c r="CL135" s="1264"/>
      <c r="CM135" s="1264"/>
      <c r="CN135" s="1264"/>
      <c r="CO135" s="1264"/>
      <c r="CP135" s="1264"/>
      <c r="CQ135" s="1264"/>
      <c r="CR135" s="1264"/>
      <c r="CS135" s="1264"/>
      <c r="CT135" s="1264"/>
      <c r="CU135" s="1264"/>
      <c r="CV135" s="1264"/>
      <c r="CW135" s="1264"/>
      <c r="CX135" s="1264"/>
      <c r="CY135" s="1264"/>
      <c r="CZ135" s="1264"/>
      <c r="DA135" s="1264"/>
      <c r="DB135" s="1264"/>
      <c r="DC135" s="1264"/>
      <c r="DD135" s="1264"/>
      <c r="DE135" s="1264"/>
      <c r="DF135" s="1264"/>
      <c r="DG135" s="1264"/>
      <c r="DH135" s="1264"/>
      <c r="DI135" s="1264"/>
      <c r="DJ135" s="1265"/>
      <c r="DK135" s="1265"/>
      <c r="DL135" s="1264"/>
      <c r="DM135" s="1264"/>
      <c r="DN135" s="1264"/>
      <c r="DO135" s="1264"/>
      <c r="DP135" s="1264"/>
      <c r="DQ135" s="1264"/>
      <c r="DR135" s="1264"/>
      <c r="DS135" s="1264"/>
      <c r="DT135" s="1264"/>
      <c r="DU135" s="1264"/>
      <c r="DV135" s="1264"/>
      <c r="DW135" s="1264"/>
      <c r="DX135" s="1264"/>
      <c r="DY135" s="1264"/>
      <c r="DZ135" s="1264"/>
      <c r="EA135" s="1264"/>
      <c r="EB135" s="1264"/>
      <c r="EC135" s="1264"/>
      <c r="ED135" s="1264"/>
      <c r="EE135" s="1264"/>
      <c r="EF135" s="1264"/>
      <c r="EG135" s="1264"/>
      <c r="EH135" s="1264"/>
      <c r="EI135" s="1264"/>
      <c r="EJ135" s="1264"/>
      <c r="EK135" s="1264"/>
      <c r="EL135" s="1264"/>
      <c r="EM135" s="1264"/>
      <c r="EN135" s="1264"/>
      <c r="EO135" s="1264"/>
      <c r="EP135" s="1264"/>
      <c r="EQ135" s="1264"/>
      <c r="ER135" s="1264"/>
      <c r="ES135" s="1264"/>
      <c r="ET135" s="1264"/>
      <c r="EU135" s="1264"/>
      <c r="EV135" s="1264"/>
      <c r="EW135" s="1264"/>
      <c r="EX135" s="1264"/>
      <c r="EY135" s="1264"/>
      <c r="EZ135" s="1264"/>
      <c r="FA135" s="1264"/>
      <c r="FB135" s="1264"/>
      <c r="FC135" s="1264"/>
      <c r="FD135" s="1264"/>
      <c r="FE135" s="1264"/>
      <c r="FF135" s="1264"/>
      <c r="FG135" s="1264"/>
      <c r="FH135" s="1264"/>
      <c r="FI135" s="1264"/>
      <c r="FJ135" s="1264"/>
      <c r="FK135" s="1264"/>
      <c r="FL135" s="1264"/>
      <c r="FM135" s="1264"/>
      <c r="FN135" s="1264"/>
      <c r="FO135" s="1264"/>
      <c r="FP135" s="1264"/>
      <c r="FQ135" s="1264"/>
      <c r="FR135" s="1264"/>
      <c r="FS135" s="1264"/>
      <c r="FT135" s="1264"/>
      <c r="FU135" s="1264"/>
      <c r="FV135" s="1264"/>
      <c r="FW135" s="1264"/>
      <c r="FX135" s="1264"/>
      <c r="FY135" s="1264"/>
      <c r="FZ135" s="1264"/>
      <c r="GA135" s="1264"/>
      <c r="GB135" s="1264"/>
      <c r="GC135" s="1264"/>
      <c r="GD135" s="1264"/>
      <c r="GE135" s="1264"/>
      <c r="GF135" s="1264"/>
      <c r="GG135" s="1264"/>
      <c r="GH135" s="1264"/>
      <c r="GI135" s="1264"/>
      <c r="GJ135" s="1264"/>
      <c r="GK135" s="1264"/>
      <c r="GL135" s="1264"/>
      <c r="GM135" s="1264"/>
      <c r="GN135" s="1264"/>
      <c r="GO135" s="1264"/>
      <c r="GP135" s="1264"/>
      <c r="GQ135" s="1264"/>
      <c r="GR135" s="1264"/>
      <c r="GS135" s="1264"/>
      <c r="GT135" s="1264"/>
      <c r="GU135" s="1264"/>
      <c r="GV135" s="1264"/>
      <c r="GW135" s="1264"/>
      <c r="GX135" s="1264"/>
      <c r="GY135" s="1264"/>
      <c r="GZ135" s="1264"/>
      <c r="HA135" s="1264"/>
      <c r="HB135" s="1264"/>
      <c r="HC135" s="1264"/>
      <c r="HD135" s="1264"/>
      <c r="HE135" s="1264"/>
      <c r="HF135" s="1264"/>
      <c r="HG135" s="1264"/>
      <c r="HH135" s="1264"/>
      <c r="HI135" s="1264"/>
      <c r="HJ135" s="1264"/>
      <c r="HK135" s="1264"/>
    </row>
    <row r="136" spans="1:219" hidden="1">
      <c r="A136" s="1299"/>
      <c r="B136" s="1300"/>
      <c r="C136" s="1299"/>
      <c r="D136" s="1301"/>
      <c r="E136" s="1301"/>
      <c r="F136" s="1302"/>
      <c r="G136" s="1301"/>
      <c r="H136" s="726"/>
      <c r="I136" s="1303"/>
      <c r="J136" s="1304"/>
      <c r="K136" s="786" t="s">
        <v>293</v>
      </c>
      <c r="L136" s="1255">
        <f>(L134*L135*$G134)*$L$8</f>
        <v>0</v>
      </c>
      <c r="M136" s="1256"/>
      <c r="N136" s="1255">
        <f>(N134*N135*$G134)*$L$8</f>
        <v>0</v>
      </c>
      <c r="O136" s="1256"/>
      <c r="P136" s="1255">
        <f>(P134*P135*$G134)*$L$8</f>
        <v>0</v>
      </c>
      <c r="Q136" s="1256"/>
      <c r="R136" s="1255">
        <f>(R134*R135*$G134)*$L$8</f>
        <v>0</v>
      </c>
      <c r="S136" s="1256"/>
      <c r="T136" s="1255">
        <f>(T134*T135*$G134)*$T$8</f>
        <v>0</v>
      </c>
      <c r="U136" s="1256"/>
      <c r="V136" s="1255">
        <f>(V134*V135*$G134)*$T$8</f>
        <v>0</v>
      </c>
      <c r="W136" s="1256"/>
      <c r="X136" s="1255">
        <f>(X134*X135*$G134)*$T$8</f>
        <v>0</v>
      </c>
      <c r="Y136" s="1256"/>
      <c r="Z136" s="1255">
        <f>(Z134*Z135*$G134)*$T$8</f>
        <v>0</v>
      </c>
      <c r="AA136" s="1256"/>
      <c r="AB136" s="1255">
        <f>(AB134*AB135*$G134)*$AB$8</f>
        <v>0</v>
      </c>
      <c r="AC136" s="1256"/>
      <c r="AD136" s="1255">
        <f>(AD134*AD135*$G134)*$AB$8</f>
        <v>0</v>
      </c>
      <c r="AE136" s="1256"/>
      <c r="AF136" s="1255">
        <f>(AF134*AF135*$G134)*$AB$8</f>
        <v>0</v>
      </c>
      <c r="AG136" s="1256"/>
      <c r="AH136" s="1255">
        <f>(AH134*AH135*$G134)*$AB$8</f>
        <v>0</v>
      </c>
      <c r="AI136" s="1256"/>
      <c r="AJ136" s="1255">
        <f>(AJ134*AJ135*$G134)*$AJ$8</f>
        <v>0</v>
      </c>
      <c r="AK136" s="1256"/>
      <c r="AL136" s="1255">
        <f>(AL134*AL135*$G134)*$AJ$8</f>
        <v>0</v>
      </c>
      <c r="AM136" s="1256"/>
      <c r="AN136" s="1255">
        <f>(AN134*AN135*$G134)*$AJ$8</f>
        <v>0</v>
      </c>
      <c r="AO136" s="1256"/>
      <c r="AP136" s="1255">
        <f>(AP134*AP135*$G134)*$AJ$8</f>
        <v>0</v>
      </c>
      <c r="AQ136" s="1256"/>
      <c r="AR136" s="1255">
        <f>(AR134*AR135*$G134)*$AT$8</f>
        <v>0</v>
      </c>
      <c r="AS136" s="1256"/>
      <c r="AT136" s="1255">
        <f>(AT134*AT135*$G134)*$AT$8</f>
        <v>0</v>
      </c>
      <c r="AU136" s="1256"/>
      <c r="AV136" s="1255">
        <f>(AV134*AV135*$G134)*$AT$8</f>
        <v>0</v>
      </c>
      <c r="AW136" s="1256"/>
      <c r="AX136" s="1255" t="e">
        <f>(AX134*AX135*$G134)*$AT$8</f>
        <v>#REF!</v>
      </c>
      <c r="AY136" s="1256"/>
      <c r="AZ136" s="1255">
        <f>(AZ134*AZ135*$G134)*$AT$8</f>
        <v>3607.5378992531469</v>
      </c>
      <c r="BA136" s="1256"/>
      <c r="BB136" s="1255">
        <f>(BB134*BB135*$G134)*$BB$8</f>
        <v>0</v>
      </c>
      <c r="BC136" s="1256"/>
      <c r="BD136" s="1255">
        <f>(BD134*BD135*$G134)*$BB$8</f>
        <v>0</v>
      </c>
      <c r="BE136" s="1256"/>
      <c r="BF136" s="1255">
        <f>(BF134*BF135*$G134)*$BB$8</f>
        <v>0</v>
      </c>
      <c r="BG136" s="1256"/>
      <c r="BH136" s="1255">
        <f>(BH134*BH135*$G134)*$BJ$8</f>
        <v>0</v>
      </c>
      <c r="BI136" s="1256"/>
      <c r="BJ136" s="1255">
        <f>(BJ134*BJ135*$G134)*$BJ$8</f>
        <v>0</v>
      </c>
      <c r="BK136" s="1256"/>
      <c r="BL136" s="1255">
        <f>(BL134*BL135*$G134)*$BJ$8</f>
        <v>0</v>
      </c>
      <c r="BM136" s="1256"/>
      <c r="BN136" s="1255">
        <f>(BN134*BN135*$G134)*$BJ$8</f>
        <v>0</v>
      </c>
      <c r="BO136" s="1256"/>
      <c r="BP136" s="1255">
        <f>(BP134*BP135*$G134)*$BT$8</f>
        <v>0</v>
      </c>
      <c r="BQ136" s="1256"/>
      <c r="BR136" s="1255">
        <f>(BR134*BR135*$G134)*$BT$8</f>
        <v>0</v>
      </c>
      <c r="BS136" s="1256"/>
      <c r="BT136" s="1255">
        <f>(BT134*BT135*$G134)*$BT$8</f>
        <v>0</v>
      </c>
      <c r="BU136" s="1256"/>
      <c r="BV136" s="1255">
        <f>(BV134*BV135*$G134)*$BT$8</f>
        <v>0</v>
      </c>
      <c r="BW136" s="1256"/>
      <c r="BX136" s="1255">
        <f>(BX134*BX135*$G134)*$BT$8</f>
        <v>0</v>
      </c>
      <c r="BY136" s="1256"/>
      <c r="BZ136" s="1255">
        <f>(BZ134*BZ135*$G134)*$BT$8</f>
        <v>0</v>
      </c>
      <c r="CA136" s="1256"/>
      <c r="CB136" s="1255">
        <f>(CB134*CB135*$G134)*$CB$8</f>
        <v>0</v>
      </c>
      <c r="CC136" s="1256"/>
      <c r="CD136" s="1255">
        <f>(CD134*CD135*$G134)*$CB$8</f>
        <v>0</v>
      </c>
      <c r="CE136" s="1256"/>
      <c r="CF136" s="1255">
        <f>(CF134*CF135*$G134)*$CJ$8</f>
        <v>0</v>
      </c>
      <c r="CG136" s="1256"/>
      <c r="CH136" s="1255">
        <f>(CH134*CH135*$G134)*$CJ$8</f>
        <v>0</v>
      </c>
      <c r="CI136" s="1256"/>
      <c r="CJ136" s="1255">
        <f>(CJ134*CJ135*$G134)*$CJ$8</f>
        <v>0</v>
      </c>
      <c r="CK136" s="1256"/>
      <c r="CL136" s="1255">
        <f>(CL134*CL135*$G134)*$CJ$8</f>
        <v>0</v>
      </c>
      <c r="CM136" s="1256"/>
      <c r="CN136" s="1255">
        <f>(CN134*CN135*$G134)*$CT$8</f>
        <v>0</v>
      </c>
      <c r="CO136" s="1256"/>
      <c r="CP136" s="1255">
        <f>(CP134*CP135*$G134)*$CT$8</f>
        <v>0</v>
      </c>
      <c r="CQ136" s="1256"/>
      <c r="CR136" s="1255">
        <f>(CR134*CR135*$G134)*$CT$8</f>
        <v>0</v>
      </c>
      <c r="CS136" s="1256"/>
      <c r="CT136" s="1255">
        <f>(CT134*CT135*$G134)*$CT$8</f>
        <v>0</v>
      </c>
      <c r="CU136" s="1256"/>
      <c r="CV136" s="1255">
        <f>(CV134*CV135*$G134)*$DB$8</f>
        <v>0</v>
      </c>
      <c r="CW136" s="1256"/>
      <c r="CX136" s="1255">
        <f>(CX134*CX135*$G134)*$DB$8</f>
        <v>0</v>
      </c>
      <c r="CY136" s="1256"/>
      <c r="CZ136" s="1255">
        <f>(CZ134*CZ135*$G134)*$DB$8</f>
        <v>0</v>
      </c>
      <c r="DA136" s="1256"/>
      <c r="DB136" s="1255">
        <f>(DB134*DB135*$G134)*$DB$8</f>
        <v>0</v>
      </c>
      <c r="DC136" s="1256"/>
      <c r="DD136" s="1255">
        <f>(DD134*DD135*$G134)*$DL$8</f>
        <v>0</v>
      </c>
      <c r="DE136" s="1256"/>
      <c r="DF136" s="1255">
        <f>(DF134*DF135*$G134)*$DL$8</f>
        <v>0</v>
      </c>
      <c r="DG136" s="1256"/>
      <c r="DH136" s="1255">
        <f>(DH134*DH135*$G134)*$DL$8</f>
        <v>0</v>
      </c>
      <c r="DI136" s="1256"/>
      <c r="DJ136" s="1257">
        <f>(DJ134*DJ135*$G134)*$DL$8</f>
        <v>0</v>
      </c>
      <c r="DK136" s="1258"/>
      <c r="DL136" s="1255">
        <f>(DL134*DL135*$G134)*$DT$8</f>
        <v>0</v>
      </c>
      <c r="DM136" s="1256"/>
      <c r="DN136" s="1255">
        <f>(DN134*DN135*$G134)*$DT$8</f>
        <v>0</v>
      </c>
      <c r="DO136" s="1256"/>
      <c r="DP136" s="1255">
        <f>(DP134*DP135*$G134)*$DT$8</f>
        <v>0</v>
      </c>
      <c r="DQ136" s="1256"/>
      <c r="DR136" s="1255">
        <f>(DR134*DR135*$G134)*$DT$8</f>
        <v>0</v>
      </c>
      <c r="DS136" s="1256"/>
      <c r="DT136" s="1255">
        <f>(DT134*DT135*$G134)*$DT$8</f>
        <v>0</v>
      </c>
      <c r="DU136" s="1256"/>
      <c r="DV136" s="1255">
        <f>(DV134*DV135*$G134)*$DT$8</f>
        <v>0</v>
      </c>
      <c r="DW136" s="1256"/>
      <c r="DX136" s="1255">
        <f>(DX134*DX135*$G134)*$DT$8</f>
        <v>0</v>
      </c>
      <c r="DY136" s="1256"/>
      <c r="DZ136" s="1255">
        <f>(DZ134*DZ135*$G134)*$DT$8</f>
        <v>0</v>
      </c>
      <c r="EA136" s="1256"/>
      <c r="EB136" s="1255">
        <f>(EB134*EB135*$G134)*$EJ$8</f>
        <v>0</v>
      </c>
      <c r="EC136" s="1256"/>
      <c r="ED136" s="1255">
        <f>(ED134*ED135*$G134)*$EB$8</f>
        <v>0</v>
      </c>
      <c r="EE136" s="1256"/>
      <c r="EF136" s="1255">
        <f>(EF134*EF135*$G134)*$EJ$8</f>
        <v>0</v>
      </c>
      <c r="EG136" s="1256"/>
      <c r="EH136" s="1255">
        <f>(EH134*EH135*$G134)*$EJ$8</f>
        <v>0</v>
      </c>
      <c r="EI136" s="1256"/>
      <c r="EJ136" s="1255">
        <f>(EJ134*EJ135*$G134)*$ET$8</f>
        <v>0</v>
      </c>
      <c r="EK136" s="1256"/>
      <c r="EL136" s="1255">
        <f>(EL134*EL135*$G134)*$ET$8</f>
        <v>0</v>
      </c>
      <c r="EM136" s="1256"/>
      <c r="EN136" s="1255">
        <f>(EN134*EN135*$G134)*$ET$8</f>
        <v>0</v>
      </c>
      <c r="EO136" s="1256"/>
      <c r="EP136" s="1255">
        <f>(EP134*EP135*$G134)*$ET$8</f>
        <v>0</v>
      </c>
      <c r="EQ136" s="1256"/>
      <c r="ER136" s="1255">
        <f>(ER134*ER135*$G134)*$DB$8</f>
        <v>0</v>
      </c>
      <c r="ES136" s="1256"/>
      <c r="ET136" s="1255">
        <f>(ET134*ET135*$G134)*$DB$8</f>
        <v>0</v>
      </c>
      <c r="EU136" s="1256"/>
      <c r="EV136" s="1255">
        <f>(EV134*EV135*$G134)*$DB$8</f>
        <v>0</v>
      </c>
      <c r="EW136" s="1256"/>
      <c r="EX136" s="1255">
        <f>(EX134*EX135*$G134)*$DB$8</f>
        <v>0</v>
      </c>
      <c r="EY136" s="1256"/>
      <c r="EZ136" s="1255">
        <f>(EZ134*EZ135*$G134)*$DB$8</f>
        <v>0</v>
      </c>
      <c r="FA136" s="1256"/>
      <c r="FB136" s="1255">
        <f>(FB134*FB135*$G134)*$DB$8</f>
        <v>0</v>
      </c>
      <c r="FC136" s="1256"/>
      <c r="FD136" s="1255">
        <f>(FD134*FD135*$G134)*$DB$8</f>
        <v>0</v>
      </c>
      <c r="FE136" s="1256"/>
      <c r="FF136" s="1255">
        <f>(FF134*FF135*$G134)*$DB$8</f>
        <v>0</v>
      </c>
      <c r="FG136" s="1256"/>
      <c r="FH136" s="1255">
        <f>(FH134*FH135*$G134)*$DB$8</f>
        <v>0</v>
      </c>
      <c r="FI136" s="1256"/>
      <c r="FJ136" s="1255">
        <f>(FJ134*FJ135*$G134)*$DB$8</f>
        <v>0</v>
      </c>
      <c r="FK136" s="1256"/>
      <c r="FL136" s="1255">
        <f>(FL134*FL135*$G134)*$DB$8</f>
        <v>0</v>
      </c>
      <c r="FM136" s="1256"/>
      <c r="FN136" s="1255">
        <f>(FN134*FN135*$G134)*$DB$8</f>
        <v>0</v>
      </c>
      <c r="FO136" s="1256"/>
      <c r="FP136" s="1255">
        <f>(FP134*FP135*$G134)*$DB$8</f>
        <v>0</v>
      </c>
      <c r="FQ136" s="1256"/>
      <c r="FR136" s="1255">
        <f>(FR134*FR135*$G134)*$DB$8</f>
        <v>0</v>
      </c>
      <c r="FS136" s="1256"/>
      <c r="FT136" s="1255">
        <f>(FT134*FT135*$G134)*$DB$8</f>
        <v>0</v>
      </c>
      <c r="FU136" s="1256"/>
      <c r="FV136" s="1255">
        <f>(FV134*FV135*$G134)*$DB$8</f>
        <v>0</v>
      </c>
      <c r="FW136" s="1256"/>
      <c r="FX136" s="1255">
        <f>(FX134*FX135*$G134)*$DB$8</f>
        <v>0</v>
      </c>
      <c r="FY136" s="1256"/>
      <c r="FZ136" s="1255">
        <f>(FZ134*FZ135*$G134)*$DB$8</f>
        <v>0</v>
      </c>
      <c r="GA136" s="1256"/>
      <c r="GB136" s="1255">
        <f>(GB134*GB135*$G134)*$DB$8</f>
        <v>0</v>
      </c>
      <c r="GC136" s="1256"/>
      <c r="GD136" s="1255">
        <f>(GD134*GD135*$G134)*$DB$8</f>
        <v>0</v>
      </c>
      <c r="GE136" s="1256"/>
      <c r="GF136" s="1255">
        <f>(GF134*GF135*$G134)*$DB$8</f>
        <v>0</v>
      </c>
      <c r="GG136" s="1256"/>
      <c r="GH136" s="1255">
        <f>(GH134*GH135*$G134)*$DB$8</f>
        <v>0</v>
      </c>
      <c r="GI136" s="1256"/>
      <c r="GJ136" s="1255">
        <f>(GJ134*GJ135*$G134)*$GD$8</f>
        <v>0</v>
      </c>
      <c r="GK136" s="1256"/>
      <c r="GL136" s="1255">
        <f>(GL134*GL135*$G134)*$GL$8</f>
        <v>0</v>
      </c>
      <c r="GM136" s="1256"/>
      <c r="GN136" s="1255">
        <f>(GN134*GN135*$G134)*$GL$8</f>
        <v>0</v>
      </c>
      <c r="GO136" s="1256"/>
      <c r="GP136" s="1255">
        <f>(GP134*GP135*$G134)*$GL$8</f>
        <v>0</v>
      </c>
      <c r="GQ136" s="1256"/>
      <c r="GR136" s="1255">
        <f>(GR134*GR135*$G134)*$GL$8</f>
        <v>0</v>
      </c>
      <c r="GS136" s="1256"/>
      <c r="GT136" s="1255">
        <f>(GT134*GT135*$G134)*$DB$8</f>
        <v>0</v>
      </c>
      <c r="GU136" s="1256"/>
      <c r="GV136" s="1255">
        <f>(GV134*GV135*$G134)*$DB$8</f>
        <v>0</v>
      </c>
      <c r="GW136" s="1256"/>
      <c r="GX136" s="1255">
        <f>(GX134*GX135*$G134)*$DB$8</f>
        <v>0</v>
      </c>
      <c r="GY136" s="1256"/>
      <c r="GZ136" s="1255">
        <f>(GZ134*GZ135*$G134)*$DB$8</f>
        <v>0</v>
      </c>
      <c r="HA136" s="1256"/>
      <c r="HB136" s="1255">
        <f>(HB134*HB135*$G134)*$DB$8</f>
        <v>0</v>
      </c>
      <c r="HC136" s="1256"/>
      <c r="HD136" s="1255">
        <f>(HD134*HD135*$G134)*$DB$8</f>
        <v>0</v>
      </c>
      <c r="HE136" s="1256"/>
      <c r="HF136" s="1255">
        <f>(HF134*HF135*$G134)*$DB$8</f>
        <v>0</v>
      </c>
      <c r="HG136" s="1256"/>
      <c r="HH136" s="1255">
        <f>(HH134*HH135*$G134)*$DB$8</f>
        <v>0</v>
      </c>
      <c r="HI136" s="1256"/>
      <c r="HJ136" s="1255">
        <f>(HJ134*HJ135*$G134)*$DB$8</f>
        <v>0</v>
      </c>
      <c r="HK136" s="1256"/>
    </row>
    <row r="137" spans="1:219" hidden="1">
      <c r="A137" s="1299"/>
      <c r="B137" s="1300"/>
      <c r="C137" s="1299"/>
      <c r="D137" s="1301"/>
      <c r="E137" s="1301"/>
      <c r="F137" s="1302"/>
      <c r="G137" s="1301"/>
      <c r="H137" s="726"/>
      <c r="I137" s="1303"/>
      <c r="J137" s="1304"/>
      <c r="K137" s="787" t="s">
        <v>294</v>
      </c>
      <c r="L137" s="1272">
        <f>L136</f>
        <v>0</v>
      </c>
      <c r="M137" s="1273"/>
      <c r="N137" s="1272">
        <f>L137+N136</f>
        <v>0</v>
      </c>
      <c r="O137" s="1273"/>
      <c r="P137" s="1272">
        <f>N137+P136</f>
        <v>0</v>
      </c>
      <c r="Q137" s="1273"/>
      <c r="R137" s="1272">
        <f>P137+R136</f>
        <v>0</v>
      </c>
      <c r="S137" s="1273"/>
      <c r="T137" s="1272">
        <f>R137+T136</f>
        <v>0</v>
      </c>
      <c r="U137" s="1273"/>
      <c r="V137" s="1272">
        <f>T137+V136</f>
        <v>0</v>
      </c>
      <c r="W137" s="1273"/>
      <c r="X137" s="1272">
        <f>V137+X136</f>
        <v>0</v>
      </c>
      <c r="Y137" s="1273"/>
      <c r="Z137" s="1272">
        <f>X137+Z136</f>
        <v>0</v>
      </c>
      <c r="AA137" s="1273"/>
      <c r="AB137" s="1272">
        <f>Z137+AB136</f>
        <v>0</v>
      </c>
      <c r="AC137" s="1273"/>
      <c r="AD137" s="1272">
        <f>AB137+AD136</f>
        <v>0</v>
      </c>
      <c r="AE137" s="1273"/>
      <c r="AF137" s="1272">
        <f>AD137+AF136</f>
        <v>0</v>
      </c>
      <c r="AG137" s="1273"/>
      <c r="AH137" s="1272">
        <f>AF137+AH136</f>
        <v>0</v>
      </c>
      <c r="AI137" s="1273"/>
      <c r="AJ137" s="1272">
        <f>AH137+AJ136</f>
        <v>0</v>
      </c>
      <c r="AK137" s="1273"/>
      <c r="AL137" s="1272">
        <f>AJ137+AL136</f>
        <v>0</v>
      </c>
      <c r="AM137" s="1273"/>
      <c r="AN137" s="1272">
        <f>AL137+AN136</f>
        <v>0</v>
      </c>
      <c r="AO137" s="1273"/>
      <c r="AP137" s="1272">
        <f>AN137+AP136</f>
        <v>0</v>
      </c>
      <c r="AQ137" s="1273"/>
      <c r="AR137" s="1272">
        <f>AP137+AR136</f>
        <v>0</v>
      </c>
      <c r="AS137" s="1273"/>
      <c r="AT137" s="1272">
        <f>AR137+AT136</f>
        <v>0</v>
      </c>
      <c r="AU137" s="1273"/>
      <c r="AV137" s="1272">
        <f>AT137+AV136</f>
        <v>0</v>
      </c>
      <c r="AW137" s="1273"/>
      <c r="AX137" s="1272" t="e">
        <f>AV137+AX136</f>
        <v>#REF!</v>
      </c>
      <c r="AY137" s="1273"/>
      <c r="AZ137" s="1272" t="e">
        <f>AX137+AZ136</f>
        <v>#REF!</v>
      </c>
      <c r="BA137" s="1273"/>
      <c r="BB137" s="1272" t="e">
        <f>AZ137+BB136</f>
        <v>#REF!</v>
      </c>
      <c r="BC137" s="1273"/>
      <c r="BD137" s="1272" t="e">
        <f>BB137+BD136</f>
        <v>#REF!</v>
      </c>
      <c r="BE137" s="1273"/>
      <c r="BF137" s="1272" t="e">
        <f>BD137+BF136</f>
        <v>#REF!</v>
      </c>
      <c r="BG137" s="1273"/>
      <c r="BH137" s="1272" t="e">
        <f>BF137+BH136</f>
        <v>#REF!</v>
      </c>
      <c r="BI137" s="1273"/>
      <c r="BJ137" s="1272" t="e">
        <f>BH137+BJ136</f>
        <v>#REF!</v>
      </c>
      <c r="BK137" s="1273"/>
      <c r="BL137" s="1272" t="e">
        <f>BJ137+BL136</f>
        <v>#REF!</v>
      </c>
      <c r="BM137" s="1273"/>
      <c r="BN137" s="1272" t="e">
        <f>BL137+BN136</f>
        <v>#REF!</v>
      </c>
      <c r="BO137" s="1273"/>
      <c r="BP137" s="1272" t="e">
        <f>BN137+BP136</f>
        <v>#REF!</v>
      </c>
      <c r="BQ137" s="1273"/>
      <c r="BR137" s="1272" t="e">
        <f>BP137+BR136</f>
        <v>#REF!</v>
      </c>
      <c r="BS137" s="1273"/>
      <c r="BT137" s="1272" t="e">
        <f>BR137+BT136</f>
        <v>#REF!</v>
      </c>
      <c r="BU137" s="1273"/>
      <c r="BV137" s="1272" t="e">
        <f>BT137+BV136</f>
        <v>#REF!</v>
      </c>
      <c r="BW137" s="1273"/>
      <c r="BX137" s="1272" t="e">
        <f>BV137+BX136</f>
        <v>#REF!</v>
      </c>
      <c r="BY137" s="1273"/>
      <c r="BZ137" s="1272" t="e">
        <f>BX137+BZ136</f>
        <v>#REF!</v>
      </c>
      <c r="CA137" s="1273"/>
      <c r="CB137" s="1272" t="e">
        <f>BZ137+CB136</f>
        <v>#REF!</v>
      </c>
      <c r="CC137" s="1273"/>
      <c r="CD137" s="1272" t="e">
        <f>CB137+CD136</f>
        <v>#REF!</v>
      </c>
      <c r="CE137" s="1273"/>
      <c r="CF137" s="1272" t="e">
        <f>CD137+CF136</f>
        <v>#REF!</v>
      </c>
      <c r="CG137" s="1273"/>
      <c r="CH137" s="1272" t="e">
        <f>CF137+CH136</f>
        <v>#REF!</v>
      </c>
      <c r="CI137" s="1273"/>
      <c r="CJ137" s="1272" t="e">
        <f>CH137+CJ136</f>
        <v>#REF!</v>
      </c>
      <c r="CK137" s="1273"/>
      <c r="CL137" s="1272" t="e">
        <f>CJ137+CL136</f>
        <v>#REF!</v>
      </c>
      <c r="CM137" s="1273"/>
      <c r="CN137" s="1272" t="e">
        <f>CL137+CN136</f>
        <v>#REF!</v>
      </c>
      <c r="CO137" s="1273"/>
      <c r="CP137" s="1272" t="e">
        <f>CN137+CP136</f>
        <v>#REF!</v>
      </c>
      <c r="CQ137" s="1273"/>
      <c r="CR137" s="1272" t="e">
        <f>CP137+CR136</f>
        <v>#REF!</v>
      </c>
      <c r="CS137" s="1273"/>
      <c r="CT137" s="1272" t="e">
        <f>CR137+CT136</f>
        <v>#REF!</v>
      </c>
      <c r="CU137" s="1273"/>
      <c r="CV137" s="1272" t="e">
        <f>CT137+CV136</f>
        <v>#REF!</v>
      </c>
      <c r="CW137" s="1273"/>
      <c r="CX137" s="1272" t="e">
        <f>CV137+CX136</f>
        <v>#REF!</v>
      </c>
      <c r="CY137" s="1273"/>
      <c r="CZ137" s="1272" t="e">
        <f>CX137+CZ136</f>
        <v>#REF!</v>
      </c>
      <c r="DA137" s="1273"/>
      <c r="DB137" s="1272" t="e">
        <f>CZ137+DB136</f>
        <v>#REF!</v>
      </c>
      <c r="DC137" s="1273"/>
      <c r="DD137" s="1272" t="e">
        <f>DB137+DD136</f>
        <v>#REF!</v>
      </c>
      <c r="DE137" s="1273"/>
      <c r="DF137" s="1272" t="e">
        <f>DD137+DF136</f>
        <v>#REF!</v>
      </c>
      <c r="DG137" s="1273"/>
      <c r="DH137" s="1272" t="e">
        <f>DF137+DH136</f>
        <v>#REF!</v>
      </c>
      <c r="DI137" s="1273"/>
      <c r="DJ137" s="1323" t="e">
        <f>DH137+DJ136</f>
        <v>#REF!</v>
      </c>
      <c r="DK137" s="1324"/>
      <c r="DL137" s="1272" t="e">
        <f>DJ137+DL136</f>
        <v>#REF!</v>
      </c>
      <c r="DM137" s="1273"/>
      <c r="DN137" s="1272" t="e">
        <f>DL137+DN136</f>
        <v>#REF!</v>
      </c>
      <c r="DO137" s="1273"/>
      <c r="DP137" s="1272" t="e">
        <f>DN137+DP136</f>
        <v>#REF!</v>
      </c>
      <c r="DQ137" s="1273"/>
      <c r="DR137" s="1272" t="e">
        <f>DP137+DR136</f>
        <v>#REF!</v>
      </c>
      <c r="DS137" s="1273"/>
      <c r="DT137" s="1272" t="e">
        <f>DR137+DT136</f>
        <v>#REF!</v>
      </c>
      <c r="DU137" s="1273"/>
      <c r="DV137" s="1272" t="e">
        <f>DT137+DV136</f>
        <v>#REF!</v>
      </c>
      <c r="DW137" s="1273"/>
      <c r="DX137" s="1272" t="e">
        <f>DV137+DX136</f>
        <v>#REF!</v>
      </c>
      <c r="DY137" s="1273"/>
      <c r="DZ137" s="1272" t="e">
        <f>DX137+DZ136</f>
        <v>#REF!</v>
      </c>
      <c r="EA137" s="1273"/>
      <c r="EB137" s="1272" t="e">
        <f>DZ137+EB136</f>
        <v>#REF!</v>
      </c>
      <c r="EC137" s="1273"/>
      <c r="ED137" s="1272" t="e">
        <f>EB137+ED136</f>
        <v>#REF!</v>
      </c>
      <c r="EE137" s="1273"/>
      <c r="EF137" s="1272" t="e">
        <f>ED137+EF136</f>
        <v>#REF!</v>
      </c>
      <c r="EG137" s="1273"/>
      <c r="EH137" s="1272" t="e">
        <f>EF137+EH136</f>
        <v>#REF!</v>
      </c>
      <c r="EI137" s="1273"/>
      <c r="EJ137" s="1272" t="e">
        <f>EH137+EJ136</f>
        <v>#REF!</v>
      </c>
      <c r="EK137" s="1273"/>
      <c r="EL137" s="1272" t="e">
        <f>EJ137+EL136</f>
        <v>#REF!</v>
      </c>
      <c r="EM137" s="1273"/>
      <c r="EN137" s="1272" t="e">
        <f>EL137+EN136</f>
        <v>#REF!</v>
      </c>
      <c r="EO137" s="1273"/>
      <c r="EP137" s="1272" t="e">
        <f>EN137+EP136</f>
        <v>#REF!</v>
      </c>
      <c r="EQ137" s="1273"/>
      <c r="ER137" s="1272" t="e">
        <f>EP137+ER136</f>
        <v>#REF!</v>
      </c>
      <c r="ES137" s="1273"/>
      <c r="ET137" s="1272" t="e">
        <f>ER137+ET136</f>
        <v>#REF!</v>
      </c>
      <c r="EU137" s="1273"/>
      <c r="EV137" s="1272" t="e">
        <f>ET137+EV136</f>
        <v>#REF!</v>
      </c>
      <c r="EW137" s="1273"/>
      <c r="EX137" s="1272" t="e">
        <f>EV137+EX136</f>
        <v>#REF!</v>
      </c>
      <c r="EY137" s="1273"/>
      <c r="EZ137" s="1272" t="e">
        <f>EX137+EZ136</f>
        <v>#REF!</v>
      </c>
      <c r="FA137" s="1273"/>
      <c r="FB137" s="1272" t="e">
        <f>EZ137+FB136</f>
        <v>#REF!</v>
      </c>
      <c r="FC137" s="1273"/>
      <c r="FD137" s="1272" t="e">
        <f>FB137+FD136</f>
        <v>#REF!</v>
      </c>
      <c r="FE137" s="1273"/>
      <c r="FF137" s="1272" t="e">
        <f>FD137+FF136</f>
        <v>#REF!</v>
      </c>
      <c r="FG137" s="1273"/>
      <c r="FH137" s="1272" t="e">
        <f>FF137+FH136</f>
        <v>#REF!</v>
      </c>
      <c r="FI137" s="1273"/>
      <c r="FJ137" s="1272" t="e">
        <f>FH137+FJ136</f>
        <v>#REF!</v>
      </c>
      <c r="FK137" s="1273"/>
      <c r="FL137" s="1272" t="e">
        <f>FJ137+FL136</f>
        <v>#REF!</v>
      </c>
      <c r="FM137" s="1273"/>
      <c r="FN137" s="1272" t="e">
        <f>FL137+FN136</f>
        <v>#REF!</v>
      </c>
      <c r="FO137" s="1273"/>
      <c r="FP137" s="1272" t="e">
        <f>FN137+FP136</f>
        <v>#REF!</v>
      </c>
      <c r="FQ137" s="1273"/>
      <c r="FR137" s="1272" t="e">
        <f>FP137+FR136</f>
        <v>#REF!</v>
      </c>
      <c r="FS137" s="1273"/>
      <c r="FT137" s="1272" t="e">
        <f>FR137+FT136</f>
        <v>#REF!</v>
      </c>
      <c r="FU137" s="1273"/>
      <c r="FV137" s="1272" t="e">
        <f>FT137+FV136</f>
        <v>#REF!</v>
      </c>
      <c r="FW137" s="1273"/>
      <c r="FX137" s="1272" t="e">
        <f>FV137+FX136</f>
        <v>#REF!</v>
      </c>
      <c r="FY137" s="1273"/>
      <c r="FZ137" s="1272" t="e">
        <f>FX137+FZ136</f>
        <v>#REF!</v>
      </c>
      <c r="GA137" s="1273"/>
      <c r="GB137" s="1272" t="e">
        <f>FZ137+GB136</f>
        <v>#REF!</v>
      </c>
      <c r="GC137" s="1273"/>
      <c r="GD137" s="1272" t="e">
        <f>GB137+GD136</f>
        <v>#REF!</v>
      </c>
      <c r="GE137" s="1273"/>
      <c r="GF137" s="1272" t="e">
        <f>GD137+GF136</f>
        <v>#REF!</v>
      </c>
      <c r="GG137" s="1273"/>
      <c r="GH137" s="1272" t="e">
        <f>GF137+GH136</f>
        <v>#REF!</v>
      </c>
      <c r="GI137" s="1273"/>
      <c r="GJ137" s="1272" t="e">
        <f>GH137+GJ136</f>
        <v>#REF!</v>
      </c>
      <c r="GK137" s="1273"/>
      <c r="GL137" s="1272" t="e">
        <f>GJ137+GL136</f>
        <v>#REF!</v>
      </c>
      <c r="GM137" s="1273"/>
      <c r="GN137" s="1272" t="e">
        <f>GL137+GN136</f>
        <v>#REF!</v>
      </c>
      <c r="GO137" s="1273"/>
      <c r="GP137" s="1272" t="e">
        <f>GN137+GP136</f>
        <v>#REF!</v>
      </c>
      <c r="GQ137" s="1273"/>
      <c r="GR137" s="1272" t="e">
        <f>GP137+GR136</f>
        <v>#REF!</v>
      </c>
      <c r="GS137" s="1273"/>
      <c r="GT137" s="1272" t="e">
        <f>GR137+GT136</f>
        <v>#REF!</v>
      </c>
      <c r="GU137" s="1273"/>
      <c r="GV137" s="1272" t="e">
        <f>GT137+GV136</f>
        <v>#REF!</v>
      </c>
      <c r="GW137" s="1273"/>
      <c r="GX137" s="1272" t="e">
        <f>GV137+GX136</f>
        <v>#REF!</v>
      </c>
      <c r="GY137" s="1273"/>
      <c r="GZ137" s="1272" t="e">
        <f>GX137+GZ136</f>
        <v>#REF!</v>
      </c>
      <c r="HA137" s="1273"/>
      <c r="HB137" s="1272" t="e">
        <f>GZ137+HB136</f>
        <v>#REF!</v>
      </c>
      <c r="HC137" s="1273"/>
      <c r="HD137" s="1272" t="e">
        <f>HB137+HD136</f>
        <v>#REF!</v>
      </c>
      <c r="HE137" s="1273"/>
      <c r="HF137" s="1272" t="e">
        <f>HD137+HF136</f>
        <v>#REF!</v>
      </c>
      <c r="HG137" s="1273"/>
      <c r="HH137" s="1272" t="e">
        <f>HF137+HH136</f>
        <v>#REF!</v>
      </c>
      <c r="HI137" s="1273"/>
      <c r="HJ137" s="1272" t="e">
        <f>HH137+HJ136</f>
        <v>#REF!</v>
      </c>
      <c r="HK137" s="1273"/>
    </row>
    <row r="138" spans="1:219" s="19" customFormat="1" hidden="1">
      <c r="A138" s="1299"/>
      <c r="B138" s="1300"/>
      <c r="C138" s="1299"/>
      <c r="D138" s="1301"/>
      <c r="E138" s="1301"/>
      <c r="F138" s="1302"/>
      <c r="G138" s="1301"/>
      <c r="H138" s="788"/>
      <c r="I138" s="1303"/>
      <c r="J138" s="1304"/>
      <c r="K138" s="789" t="s">
        <v>295</v>
      </c>
      <c r="L138" s="1266"/>
      <c r="M138" s="1267"/>
      <c r="N138" s="1266"/>
      <c r="O138" s="1267"/>
      <c r="P138" s="1266"/>
      <c r="Q138" s="1267"/>
      <c r="R138" s="1266"/>
      <c r="S138" s="1267"/>
      <c r="T138" s="1266"/>
      <c r="U138" s="1267"/>
      <c r="V138" s="1266"/>
      <c r="W138" s="1267"/>
      <c r="X138" s="1266"/>
      <c r="Y138" s="1267"/>
      <c r="Z138" s="1266"/>
      <c r="AA138" s="1267"/>
      <c r="AB138" s="1266"/>
      <c r="AC138" s="1267"/>
      <c r="AD138" s="1266"/>
      <c r="AE138" s="1267"/>
      <c r="AF138" s="1266"/>
      <c r="AG138" s="1267"/>
      <c r="AH138" s="1266"/>
      <c r="AI138" s="1267"/>
      <c r="AJ138" s="1266"/>
      <c r="AK138" s="1267"/>
      <c r="AL138" s="1266"/>
      <c r="AM138" s="1267"/>
      <c r="AN138" s="1266"/>
      <c r="AO138" s="1267"/>
      <c r="AP138" s="1266"/>
      <c r="AQ138" s="1267"/>
      <c r="AR138" s="1266"/>
      <c r="AS138" s="1267"/>
      <c r="AT138" s="1266"/>
      <c r="AU138" s="1267"/>
      <c r="AV138" s="1266"/>
      <c r="AW138" s="1267"/>
      <c r="AX138" s="1266"/>
      <c r="AY138" s="1267"/>
      <c r="AZ138" s="1266"/>
      <c r="BA138" s="1267"/>
      <c r="BB138" s="1266"/>
      <c r="BC138" s="1267"/>
      <c r="BD138" s="1266"/>
      <c r="BE138" s="1267"/>
      <c r="BF138" s="1266"/>
      <c r="BG138" s="1267"/>
      <c r="BH138" s="1266"/>
      <c r="BI138" s="1267"/>
      <c r="BJ138" s="1266"/>
      <c r="BK138" s="1267"/>
      <c r="BL138" s="1266"/>
      <c r="BM138" s="1267"/>
      <c r="BN138" s="1266"/>
      <c r="BO138" s="1267"/>
      <c r="BP138" s="1266"/>
      <c r="BQ138" s="1267"/>
      <c r="BR138" s="1266"/>
      <c r="BS138" s="1267"/>
      <c r="BT138" s="1266"/>
      <c r="BU138" s="1267"/>
      <c r="BV138" s="1266"/>
      <c r="BW138" s="1267"/>
      <c r="BX138" s="1266"/>
      <c r="BY138" s="1267"/>
      <c r="BZ138" s="1266"/>
      <c r="CA138" s="1267"/>
      <c r="CB138" s="1266"/>
      <c r="CC138" s="1267"/>
      <c r="CD138" s="1266"/>
      <c r="CE138" s="1267"/>
      <c r="CF138" s="1266"/>
      <c r="CG138" s="1267"/>
      <c r="CH138" s="1266"/>
      <c r="CI138" s="1267"/>
      <c r="CJ138" s="1266"/>
      <c r="CK138" s="1267"/>
      <c r="CL138" s="1266"/>
      <c r="CM138" s="1267"/>
      <c r="CN138" s="1266"/>
      <c r="CO138" s="1267"/>
      <c r="CP138" s="1266"/>
      <c r="CQ138" s="1267"/>
      <c r="CR138" s="1266"/>
      <c r="CS138" s="1267"/>
      <c r="CT138" s="1266"/>
      <c r="CU138" s="1267"/>
      <c r="CV138" s="1266"/>
      <c r="CW138" s="1267"/>
      <c r="CX138" s="1266"/>
      <c r="CY138" s="1267"/>
      <c r="CZ138" s="1266"/>
      <c r="DA138" s="1267"/>
      <c r="DB138" s="1266"/>
      <c r="DC138" s="1267"/>
      <c r="DD138" s="1266"/>
      <c r="DE138" s="1267"/>
      <c r="DF138" s="1266"/>
      <c r="DG138" s="1267"/>
      <c r="DH138" s="1266"/>
      <c r="DI138" s="1267"/>
      <c r="DJ138" s="1268"/>
      <c r="DK138" s="1269"/>
      <c r="DL138" s="1266"/>
      <c r="DM138" s="1267"/>
      <c r="DN138" s="1266"/>
      <c r="DO138" s="1267"/>
      <c r="DP138" s="1266"/>
      <c r="DQ138" s="1267"/>
      <c r="DR138" s="1266"/>
      <c r="DS138" s="1267"/>
      <c r="DT138" s="1266"/>
      <c r="DU138" s="1267"/>
      <c r="DV138" s="1266"/>
      <c r="DW138" s="1267"/>
      <c r="DX138" s="1266"/>
      <c r="DY138" s="1267"/>
      <c r="DZ138" s="1266"/>
      <c r="EA138" s="1267"/>
      <c r="EB138" s="1266"/>
      <c r="EC138" s="1267"/>
      <c r="ED138" s="1266"/>
      <c r="EE138" s="1267"/>
      <c r="EF138" s="1266"/>
      <c r="EG138" s="1267"/>
      <c r="EH138" s="1266"/>
      <c r="EI138" s="1267"/>
      <c r="EJ138" s="1266"/>
      <c r="EK138" s="1267"/>
      <c r="EL138" s="1266"/>
      <c r="EM138" s="1267"/>
      <c r="EN138" s="1266"/>
      <c r="EO138" s="1267"/>
      <c r="EP138" s="1266"/>
      <c r="EQ138" s="1267"/>
      <c r="ER138" s="1266"/>
      <c r="ES138" s="1267"/>
      <c r="ET138" s="1266"/>
      <c r="EU138" s="1267"/>
      <c r="EV138" s="1266"/>
      <c r="EW138" s="1267"/>
      <c r="EX138" s="1266"/>
      <c r="EY138" s="1267"/>
      <c r="EZ138" s="1266"/>
      <c r="FA138" s="1267"/>
      <c r="FB138" s="1266"/>
      <c r="FC138" s="1267"/>
      <c r="FD138" s="1266"/>
      <c r="FE138" s="1267"/>
      <c r="FF138" s="1266"/>
      <c r="FG138" s="1267"/>
      <c r="FH138" s="1266"/>
      <c r="FI138" s="1267"/>
      <c r="FJ138" s="1266"/>
      <c r="FK138" s="1267"/>
      <c r="FL138" s="1266"/>
      <c r="FM138" s="1267"/>
      <c r="FN138" s="1266"/>
      <c r="FO138" s="1267"/>
      <c r="FP138" s="1266"/>
      <c r="FQ138" s="1267"/>
      <c r="FR138" s="1266"/>
      <c r="FS138" s="1267"/>
      <c r="FT138" s="1266"/>
      <c r="FU138" s="1267"/>
      <c r="FV138" s="1266"/>
      <c r="FW138" s="1267"/>
      <c r="FX138" s="1266"/>
      <c r="FY138" s="1267"/>
      <c r="FZ138" s="1266"/>
      <c r="GA138" s="1267"/>
      <c r="GB138" s="1266"/>
      <c r="GC138" s="1267"/>
      <c r="GD138" s="1266"/>
      <c r="GE138" s="1267"/>
      <c r="GF138" s="1266"/>
      <c r="GG138" s="1267"/>
      <c r="GH138" s="1266"/>
      <c r="GI138" s="1267"/>
      <c r="GJ138" s="1266"/>
      <c r="GK138" s="1267"/>
      <c r="GL138" s="1266"/>
      <c r="GM138" s="1267"/>
      <c r="GN138" s="1266"/>
      <c r="GO138" s="1267"/>
      <c r="GP138" s="1266"/>
      <c r="GQ138" s="1267"/>
      <c r="GR138" s="1266"/>
      <c r="GS138" s="1267"/>
      <c r="GT138" s="1266"/>
      <c r="GU138" s="1267"/>
      <c r="GV138" s="1266"/>
      <c r="GW138" s="1267"/>
      <c r="GX138" s="1266"/>
      <c r="GY138" s="1267"/>
      <c r="GZ138" s="1266"/>
      <c r="HA138" s="1267"/>
      <c r="HB138" s="1266"/>
      <c r="HC138" s="1267"/>
      <c r="HD138" s="1266"/>
      <c r="HE138" s="1267"/>
      <c r="HF138" s="1266"/>
      <c r="HG138" s="1267"/>
      <c r="HH138" s="1266"/>
      <c r="HI138" s="1267"/>
      <c r="HJ138" s="1266"/>
      <c r="HK138" s="1267"/>
    </row>
    <row r="139" spans="1:219" s="20" customFormat="1" hidden="1">
      <c r="A139" s="1299"/>
      <c r="B139" s="1300"/>
      <c r="C139" s="1299"/>
      <c r="D139" s="1301"/>
      <c r="E139" s="1301"/>
      <c r="F139" s="1302"/>
      <c r="G139" s="1301"/>
      <c r="H139" s="790"/>
      <c r="I139" s="1303"/>
      <c r="J139" s="1304"/>
      <c r="K139" s="791" t="s">
        <v>296</v>
      </c>
      <c r="L139" s="1259">
        <f>L138</f>
        <v>0</v>
      </c>
      <c r="M139" s="1260"/>
      <c r="N139" s="1259">
        <f>N138+L139</f>
        <v>0</v>
      </c>
      <c r="O139" s="1260"/>
      <c r="P139" s="1259">
        <f>P138+N139</f>
        <v>0</v>
      </c>
      <c r="Q139" s="1260"/>
      <c r="R139" s="1259">
        <f>R138+P139</f>
        <v>0</v>
      </c>
      <c r="S139" s="1260"/>
      <c r="T139" s="1259">
        <f>T138+R139</f>
        <v>0</v>
      </c>
      <c r="U139" s="1260"/>
      <c r="V139" s="1259">
        <f>V138+T139</f>
        <v>0</v>
      </c>
      <c r="W139" s="1260"/>
      <c r="X139" s="1259">
        <f>X138+V139</f>
        <v>0</v>
      </c>
      <c r="Y139" s="1260"/>
      <c r="Z139" s="1259">
        <f>Z138+X139</f>
        <v>0</v>
      </c>
      <c r="AA139" s="1260"/>
      <c r="AB139" s="1259">
        <f>AB138+Z139</f>
        <v>0</v>
      </c>
      <c r="AC139" s="1260"/>
      <c r="AD139" s="1259">
        <f>AD138+AB139</f>
        <v>0</v>
      </c>
      <c r="AE139" s="1260"/>
      <c r="AF139" s="1259">
        <f>AF138+AD139</f>
        <v>0</v>
      </c>
      <c r="AG139" s="1260"/>
      <c r="AH139" s="1259">
        <f>AH138+AF139</f>
        <v>0</v>
      </c>
      <c r="AI139" s="1260"/>
      <c r="AJ139" s="1259">
        <f>AJ138+AH139</f>
        <v>0</v>
      </c>
      <c r="AK139" s="1260"/>
      <c r="AL139" s="1259">
        <f>AL138+AJ139</f>
        <v>0</v>
      </c>
      <c r="AM139" s="1260"/>
      <c r="AN139" s="1259">
        <f>AN138+AL139</f>
        <v>0</v>
      </c>
      <c r="AO139" s="1260"/>
      <c r="AP139" s="1259">
        <f>AP138+AN139</f>
        <v>0</v>
      </c>
      <c r="AQ139" s="1260"/>
      <c r="AR139" s="1259">
        <f>AR138+AP139</f>
        <v>0</v>
      </c>
      <c r="AS139" s="1260"/>
      <c r="AT139" s="1259">
        <f>AT138+AR139</f>
        <v>0</v>
      </c>
      <c r="AU139" s="1260"/>
      <c r="AV139" s="1259">
        <f>AV138+AT139</f>
        <v>0</v>
      </c>
      <c r="AW139" s="1260"/>
      <c r="AX139" s="1259">
        <f>AX138+AV139</f>
        <v>0</v>
      </c>
      <c r="AY139" s="1260"/>
      <c r="AZ139" s="1259">
        <f>AZ138+AX139</f>
        <v>0</v>
      </c>
      <c r="BA139" s="1260"/>
      <c r="BB139" s="1259">
        <f>BB138+AZ139</f>
        <v>0</v>
      </c>
      <c r="BC139" s="1260"/>
      <c r="BD139" s="1259">
        <f>BD138+BB139</f>
        <v>0</v>
      </c>
      <c r="BE139" s="1260"/>
      <c r="BF139" s="1259">
        <f>BF138+BD139</f>
        <v>0</v>
      </c>
      <c r="BG139" s="1260"/>
      <c r="BH139" s="1259">
        <f>BH138+BF139</f>
        <v>0</v>
      </c>
      <c r="BI139" s="1260"/>
      <c r="BJ139" s="1259">
        <f>BJ138+BH139</f>
        <v>0</v>
      </c>
      <c r="BK139" s="1260"/>
      <c r="BL139" s="1259">
        <f>BL138+BJ139</f>
        <v>0</v>
      </c>
      <c r="BM139" s="1260"/>
      <c r="BN139" s="1259">
        <f>BN138+BL139</f>
        <v>0</v>
      </c>
      <c r="BO139" s="1260"/>
      <c r="BP139" s="1259">
        <f>BP138+BN139</f>
        <v>0</v>
      </c>
      <c r="BQ139" s="1260"/>
      <c r="BR139" s="1259">
        <f>BR138+BP139</f>
        <v>0</v>
      </c>
      <c r="BS139" s="1260"/>
      <c r="BT139" s="1259">
        <f>BT138+BR139</f>
        <v>0</v>
      </c>
      <c r="BU139" s="1260"/>
      <c r="BV139" s="1259">
        <f>BV138+BT139</f>
        <v>0</v>
      </c>
      <c r="BW139" s="1260"/>
      <c r="BX139" s="1259">
        <f>BX138+BV139</f>
        <v>0</v>
      </c>
      <c r="BY139" s="1260"/>
      <c r="BZ139" s="1259">
        <f>BZ138+BX139</f>
        <v>0</v>
      </c>
      <c r="CA139" s="1260"/>
      <c r="CB139" s="1259">
        <f>CB138+BZ139</f>
        <v>0</v>
      </c>
      <c r="CC139" s="1260"/>
      <c r="CD139" s="1259">
        <f>CD138+CB139</f>
        <v>0</v>
      </c>
      <c r="CE139" s="1260"/>
      <c r="CF139" s="1259">
        <f>CF138+CD139</f>
        <v>0</v>
      </c>
      <c r="CG139" s="1260"/>
      <c r="CH139" s="1259">
        <f>CH138+CF139</f>
        <v>0</v>
      </c>
      <c r="CI139" s="1260"/>
      <c r="CJ139" s="1259">
        <f>CJ138+CH139</f>
        <v>0</v>
      </c>
      <c r="CK139" s="1260"/>
      <c r="CL139" s="1259">
        <f>CL138+CJ139</f>
        <v>0</v>
      </c>
      <c r="CM139" s="1260"/>
      <c r="CN139" s="1259">
        <f>CN138+CL139</f>
        <v>0</v>
      </c>
      <c r="CO139" s="1260"/>
      <c r="CP139" s="1259">
        <f>CP138+CN139</f>
        <v>0</v>
      </c>
      <c r="CQ139" s="1260"/>
      <c r="CR139" s="1259">
        <f>CR138+CP139</f>
        <v>0</v>
      </c>
      <c r="CS139" s="1260"/>
      <c r="CT139" s="1259">
        <f>CT138+CR139</f>
        <v>0</v>
      </c>
      <c r="CU139" s="1260"/>
      <c r="CV139" s="1259">
        <f>CV138+CT139</f>
        <v>0</v>
      </c>
      <c r="CW139" s="1260"/>
      <c r="CX139" s="1259">
        <f>CX138+CV139</f>
        <v>0</v>
      </c>
      <c r="CY139" s="1260"/>
      <c r="CZ139" s="1259">
        <f>CZ138+CX139</f>
        <v>0</v>
      </c>
      <c r="DA139" s="1260"/>
      <c r="DB139" s="1259">
        <f>DB138+CZ139</f>
        <v>0</v>
      </c>
      <c r="DC139" s="1260"/>
      <c r="DD139" s="1259">
        <f>DD138+DB139</f>
        <v>0</v>
      </c>
      <c r="DE139" s="1260"/>
      <c r="DF139" s="1259">
        <f>DF138+DD139</f>
        <v>0</v>
      </c>
      <c r="DG139" s="1260"/>
      <c r="DH139" s="1259">
        <f>DH138+DF139</f>
        <v>0</v>
      </c>
      <c r="DI139" s="1260"/>
      <c r="DJ139" s="1261">
        <f>DJ138+DH139</f>
        <v>0</v>
      </c>
      <c r="DK139" s="1262"/>
      <c r="DL139" s="1259">
        <f>DL138+DJ139</f>
        <v>0</v>
      </c>
      <c r="DM139" s="1260"/>
      <c r="DN139" s="1259">
        <f>DN138+DL139</f>
        <v>0</v>
      </c>
      <c r="DO139" s="1260"/>
      <c r="DP139" s="1259">
        <f>DP138+DN139</f>
        <v>0</v>
      </c>
      <c r="DQ139" s="1260"/>
      <c r="DR139" s="1259">
        <f>DR138+DP139</f>
        <v>0</v>
      </c>
      <c r="DS139" s="1260"/>
      <c r="DT139" s="1259">
        <f>DT138+DR139</f>
        <v>0</v>
      </c>
      <c r="DU139" s="1260"/>
      <c r="DV139" s="1259">
        <f>DV138+DT139</f>
        <v>0</v>
      </c>
      <c r="DW139" s="1260"/>
      <c r="DX139" s="1259">
        <f>DX138+DV139</f>
        <v>0</v>
      </c>
      <c r="DY139" s="1260"/>
      <c r="DZ139" s="1259">
        <f>DZ138+DX139</f>
        <v>0</v>
      </c>
      <c r="EA139" s="1260"/>
      <c r="EB139" s="1259">
        <f>EB138+DZ139</f>
        <v>0</v>
      </c>
      <c r="EC139" s="1260"/>
      <c r="ED139" s="1259">
        <f>ED138+EB139</f>
        <v>0</v>
      </c>
      <c r="EE139" s="1260"/>
      <c r="EF139" s="1259">
        <f>EF138+ED139</f>
        <v>0</v>
      </c>
      <c r="EG139" s="1260"/>
      <c r="EH139" s="1259">
        <f>EH138+EF139</f>
        <v>0</v>
      </c>
      <c r="EI139" s="1260"/>
      <c r="EJ139" s="1259">
        <f>EJ138+EH139</f>
        <v>0</v>
      </c>
      <c r="EK139" s="1260"/>
      <c r="EL139" s="1259">
        <f>EL138+EJ139</f>
        <v>0</v>
      </c>
      <c r="EM139" s="1260"/>
      <c r="EN139" s="1259">
        <f>EN138+EL139</f>
        <v>0</v>
      </c>
      <c r="EO139" s="1260"/>
      <c r="EP139" s="1259">
        <f>EP138+EN139</f>
        <v>0</v>
      </c>
      <c r="EQ139" s="1260"/>
      <c r="ER139" s="1259">
        <f>ER138+EP139</f>
        <v>0</v>
      </c>
      <c r="ES139" s="1260"/>
      <c r="ET139" s="1259">
        <f>ET138+ER139</f>
        <v>0</v>
      </c>
      <c r="EU139" s="1260"/>
      <c r="EV139" s="1259">
        <f>EV138+ET139</f>
        <v>0</v>
      </c>
      <c r="EW139" s="1260"/>
      <c r="EX139" s="1259">
        <f>EX138+EV139</f>
        <v>0</v>
      </c>
      <c r="EY139" s="1260"/>
      <c r="EZ139" s="1259">
        <f>EZ138+EX139</f>
        <v>0</v>
      </c>
      <c r="FA139" s="1260"/>
      <c r="FB139" s="1259">
        <f>FB138+EZ139</f>
        <v>0</v>
      </c>
      <c r="FC139" s="1260"/>
      <c r="FD139" s="1259">
        <f>FD138+FB139</f>
        <v>0</v>
      </c>
      <c r="FE139" s="1260"/>
      <c r="FF139" s="1259">
        <f>FF138+FD139</f>
        <v>0</v>
      </c>
      <c r="FG139" s="1260"/>
      <c r="FH139" s="1259">
        <f>FH138+FF139</f>
        <v>0</v>
      </c>
      <c r="FI139" s="1260"/>
      <c r="FJ139" s="1259">
        <f>FJ138+FH139</f>
        <v>0</v>
      </c>
      <c r="FK139" s="1260"/>
      <c r="FL139" s="1259">
        <f>FL138+FJ139</f>
        <v>0</v>
      </c>
      <c r="FM139" s="1260"/>
      <c r="FN139" s="1259">
        <f>FN138+FL139</f>
        <v>0</v>
      </c>
      <c r="FO139" s="1260"/>
      <c r="FP139" s="1259">
        <f>FP138+FN139</f>
        <v>0</v>
      </c>
      <c r="FQ139" s="1260"/>
      <c r="FR139" s="1259">
        <f>FR138+FP139</f>
        <v>0</v>
      </c>
      <c r="FS139" s="1260"/>
      <c r="FT139" s="1259">
        <f>FT138+FR139</f>
        <v>0</v>
      </c>
      <c r="FU139" s="1260"/>
      <c r="FV139" s="1259">
        <f>FV138+FT139</f>
        <v>0</v>
      </c>
      <c r="FW139" s="1260"/>
      <c r="FX139" s="1259">
        <f>FX138+FV139</f>
        <v>0</v>
      </c>
      <c r="FY139" s="1260"/>
      <c r="FZ139" s="1259">
        <f>FZ138+FX139</f>
        <v>0</v>
      </c>
      <c r="GA139" s="1260"/>
      <c r="GB139" s="1259">
        <f>GB138+FZ139</f>
        <v>0</v>
      </c>
      <c r="GC139" s="1260"/>
      <c r="GD139" s="1259">
        <f>GD138+GB139</f>
        <v>0</v>
      </c>
      <c r="GE139" s="1260"/>
      <c r="GF139" s="1259">
        <f>GF138+GD139</f>
        <v>0</v>
      </c>
      <c r="GG139" s="1260"/>
      <c r="GH139" s="1259">
        <f>GH138+GF139</f>
        <v>0</v>
      </c>
      <c r="GI139" s="1260"/>
      <c r="GJ139" s="1259">
        <f>GJ138+GH139</f>
        <v>0</v>
      </c>
      <c r="GK139" s="1260"/>
      <c r="GL139" s="1259">
        <f>GL138+GJ139</f>
        <v>0</v>
      </c>
      <c r="GM139" s="1260"/>
      <c r="GN139" s="1259">
        <f>GN138+GL139</f>
        <v>0</v>
      </c>
      <c r="GO139" s="1260"/>
      <c r="GP139" s="1259">
        <f>GP138+GN139</f>
        <v>0</v>
      </c>
      <c r="GQ139" s="1260"/>
      <c r="GR139" s="1259">
        <f>GR138+GP139</f>
        <v>0</v>
      </c>
      <c r="GS139" s="1260"/>
      <c r="GT139" s="1259">
        <f>GT138+GR139</f>
        <v>0</v>
      </c>
      <c r="GU139" s="1260"/>
      <c r="GV139" s="1259">
        <f>GV138+GT139</f>
        <v>0</v>
      </c>
      <c r="GW139" s="1260"/>
      <c r="GX139" s="1259">
        <f>GX138+GV139</f>
        <v>0</v>
      </c>
      <c r="GY139" s="1260"/>
      <c r="GZ139" s="1259">
        <f>GZ138+GX139</f>
        <v>0</v>
      </c>
      <c r="HA139" s="1260"/>
      <c r="HB139" s="1259">
        <f>HB138+GZ139</f>
        <v>0</v>
      </c>
      <c r="HC139" s="1260"/>
      <c r="HD139" s="1259">
        <f>HD138+HB139</f>
        <v>0</v>
      </c>
      <c r="HE139" s="1260"/>
      <c r="HF139" s="1259">
        <f>HF138+HD139</f>
        <v>0</v>
      </c>
      <c r="HG139" s="1260"/>
      <c r="HH139" s="1259">
        <f>HH138+HF139</f>
        <v>0</v>
      </c>
      <c r="HI139" s="1260"/>
      <c r="HJ139" s="1259">
        <f>HJ138+HH139</f>
        <v>0</v>
      </c>
      <c r="HK139" s="1260"/>
    </row>
    <row r="140" spans="1:219" s="21" customFormat="1" hidden="1">
      <c r="A140" s="1299"/>
      <c r="B140" s="1300"/>
      <c r="C140" s="1299"/>
      <c r="D140" s="1301"/>
      <c r="E140" s="1301"/>
      <c r="F140" s="1302"/>
      <c r="G140" s="1301"/>
      <c r="H140" s="792"/>
      <c r="I140" s="1303"/>
      <c r="J140" s="1304"/>
      <c r="K140" s="793" t="s">
        <v>297</v>
      </c>
      <c r="L140" s="1270" t="e">
        <f>IF($E134&gt;0,L137/$E134,"-")</f>
        <v>#N/A</v>
      </c>
      <c r="M140" s="1271"/>
      <c r="N140" s="1270" t="e">
        <f>IF($E134&gt;0,N137/$E134,"-")</f>
        <v>#N/A</v>
      </c>
      <c r="O140" s="1271"/>
      <c r="P140" s="1270" t="e">
        <f>IF($E134&gt;0,P137/$E134,"-")</f>
        <v>#N/A</v>
      </c>
      <c r="Q140" s="1271"/>
      <c r="R140" s="1270" t="e">
        <f>IF($E134&gt;0,R137/$E134,"-")</f>
        <v>#N/A</v>
      </c>
      <c r="S140" s="1271"/>
      <c r="T140" s="1270" t="e">
        <f>IF($E134&gt;0,T137/$E134,"-")</f>
        <v>#N/A</v>
      </c>
      <c r="U140" s="1271"/>
      <c r="V140" s="1270" t="e">
        <f>IF($E134&gt;0,V137/$E134,"-")</f>
        <v>#N/A</v>
      </c>
      <c r="W140" s="1271"/>
      <c r="X140" s="1270" t="e">
        <f>IF($E134&gt;0,X137/$E134,"-")</f>
        <v>#N/A</v>
      </c>
      <c r="Y140" s="1271"/>
      <c r="Z140" s="1270" t="e">
        <f>IF($E134&gt;0,Z137/$E134,"-")</f>
        <v>#N/A</v>
      </c>
      <c r="AA140" s="1271"/>
      <c r="AB140" s="1270" t="e">
        <f>IF($E134&gt;0,AB137/$E134,"-")</f>
        <v>#N/A</v>
      </c>
      <c r="AC140" s="1271"/>
      <c r="AD140" s="1270" t="e">
        <f>IF($E134&gt;0,AD137/$E134,"-")</f>
        <v>#N/A</v>
      </c>
      <c r="AE140" s="1271"/>
      <c r="AF140" s="1270" t="e">
        <f>IF($E134&gt;0,AF137/$E134,"-")</f>
        <v>#N/A</v>
      </c>
      <c r="AG140" s="1271"/>
      <c r="AH140" s="1270" t="e">
        <f>IF($E134&gt;0,AH137/$E134,"-")</f>
        <v>#N/A</v>
      </c>
      <c r="AI140" s="1271"/>
      <c r="AJ140" s="1270" t="e">
        <f>IF($E134&gt;0,AJ137/$E134,"-")</f>
        <v>#N/A</v>
      </c>
      <c r="AK140" s="1271"/>
      <c r="AL140" s="1270" t="e">
        <f>IF($E134&gt;0,AL137/$E134,"-")</f>
        <v>#N/A</v>
      </c>
      <c r="AM140" s="1271"/>
      <c r="AN140" s="1270" t="e">
        <f>IF($E134&gt;0,AN137/$E134,"-")</f>
        <v>#N/A</v>
      </c>
      <c r="AO140" s="1271"/>
      <c r="AP140" s="1270" t="e">
        <f>IF($E134&gt;0,AP137/$E134,"-")</f>
        <v>#N/A</v>
      </c>
      <c r="AQ140" s="1271"/>
      <c r="AR140" s="1270" t="e">
        <f>IF($E134&gt;0,AR137/$E134,"-")</f>
        <v>#N/A</v>
      </c>
      <c r="AS140" s="1271"/>
      <c r="AT140" s="1270" t="e">
        <f>IF($E134&gt;0,AT137/$E134,"-")</f>
        <v>#N/A</v>
      </c>
      <c r="AU140" s="1271"/>
      <c r="AV140" s="1270" t="e">
        <f>IF($E134&gt;0,AV137/$E134,"-")</f>
        <v>#N/A</v>
      </c>
      <c r="AW140" s="1271"/>
      <c r="AX140" s="1270" t="e">
        <f>IF($E134&gt;0,AX137/$E134,"-")</f>
        <v>#N/A</v>
      </c>
      <c r="AY140" s="1271"/>
      <c r="AZ140" s="1270" t="e">
        <f>IF($E134&gt;0,AZ137/$E134,"-")</f>
        <v>#N/A</v>
      </c>
      <c r="BA140" s="1271"/>
      <c r="BB140" s="1270" t="e">
        <f>IF($E134&gt;0,BB137/$E134,"-")</f>
        <v>#N/A</v>
      </c>
      <c r="BC140" s="1271"/>
      <c r="BD140" s="1270" t="e">
        <f>IF($E134&gt;0,BD137/$E134,"-")</f>
        <v>#N/A</v>
      </c>
      <c r="BE140" s="1271"/>
      <c r="BF140" s="1270" t="e">
        <f>IF($E134&gt;0,BF137/$E134,"-")</f>
        <v>#N/A</v>
      </c>
      <c r="BG140" s="1271"/>
      <c r="BH140" s="1270" t="e">
        <f>IF($E134&gt;0,BH137/$E134,"-")</f>
        <v>#N/A</v>
      </c>
      <c r="BI140" s="1271"/>
      <c r="BJ140" s="1270" t="e">
        <f>IF($E134&gt;0,BJ137/$E134,"-")</f>
        <v>#N/A</v>
      </c>
      <c r="BK140" s="1271"/>
      <c r="BL140" s="1270" t="e">
        <f>IF($E134&gt;0,BL137/$E134,"-")</f>
        <v>#N/A</v>
      </c>
      <c r="BM140" s="1271"/>
      <c r="BN140" s="1270" t="e">
        <f>IF($E134&gt;0,BN137/$E134,"-")</f>
        <v>#N/A</v>
      </c>
      <c r="BO140" s="1271"/>
      <c r="BP140" s="1270" t="e">
        <f>IF($E134&gt;0,BP137/$E134,"-")</f>
        <v>#N/A</v>
      </c>
      <c r="BQ140" s="1271"/>
      <c r="BR140" s="1270" t="e">
        <f>IF($E134&gt;0,BR137/$E134,"-")</f>
        <v>#N/A</v>
      </c>
      <c r="BS140" s="1271"/>
      <c r="BT140" s="1270" t="e">
        <f>IF($E134&gt;0,BT137/$E134,"-")</f>
        <v>#N/A</v>
      </c>
      <c r="BU140" s="1271"/>
      <c r="BV140" s="1270" t="e">
        <f>IF($E134&gt;0,BV137/$E134,"-")</f>
        <v>#N/A</v>
      </c>
      <c r="BW140" s="1271"/>
      <c r="BX140" s="1270" t="e">
        <f>IF($E134&gt;0,BX137/$E134,"-")</f>
        <v>#N/A</v>
      </c>
      <c r="BY140" s="1271"/>
      <c r="BZ140" s="1270" t="e">
        <f>IF($E134&gt;0,BZ137/$E134,"-")</f>
        <v>#N/A</v>
      </c>
      <c r="CA140" s="1271"/>
      <c r="CB140" s="1270" t="e">
        <f>IF($E134&gt;0,CB137/$E134,"-")</f>
        <v>#N/A</v>
      </c>
      <c r="CC140" s="1271"/>
      <c r="CD140" s="1270" t="e">
        <f>IF($E134&gt;0,CD137/$E134,"-")</f>
        <v>#N/A</v>
      </c>
      <c r="CE140" s="1271"/>
      <c r="CF140" s="1270" t="e">
        <f>IF($E134&gt;0,CF137/$E134,"-")</f>
        <v>#N/A</v>
      </c>
      <c r="CG140" s="1271"/>
      <c r="CH140" s="1270" t="e">
        <f>IF($E134&gt;0,CH137/$E134,"-")</f>
        <v>#N/A</v>
      </c>
      <c r="CI140" s="1271"/>
      <c r="CJ140" s="1270" t="e">
        <f>IF($E134&gt;0,CJ137/$E134,"-")</f>
        <v>#N/A</v>
      </c>
      <c r="CK140" s="1271"/>
      <c r="CL140" s="1270" t="e">
        <f>IF($E134&gt;0,CL137/$E134,"-")</f>
        <v>#N/A</v>
      </c>
      <c r="CM140" s="1271"/>
      <c r="CN140" s="1270" t="e">
        <f>IF($E134&gt;0,CN137/$E134,"-")</f>
        <v>#N/A</v>
      </c>
      <c r="CO140" s="1271"/>
      <c r="CP140" s="1270" t="e">
        <f>IF($E134&gt;0,CP137/$E134,"-")</f>
        <v>#N/A</v>
      </c>
      <c r="CQ140" s="1271"/>
      <c r="CR140" s="1270" t="e">
        <f>IF($E134&gt;0,CR137/$E134,"-")</f>
        <v>#N/A</v>
      </c>
      <c r="CS140" s="1271"/>
      <c r="CT140" s="1270" t="e">
        <f>IF($E134&gt;0,CT137/$E134,"-")</f>
        <v>#N/A</v>
      </c>
      <c r="CU140" s="1271"/>
      <c r="CV140" s="1270" t="e">
        <f>IF($E134&gt;0,CV137/$E134,"-")</f>
        <v>#N/A</v>
      </c>
      <c r="CW140" s="1271"/>
      <c r="CX140" s="1270" t="e">
        <f>IF($E134&gt;0,CX137/$E134,"-")</f>
        <v>#N/A</v>
      </c>
      <c r="CY140" s="1271"/>
      <c r="CZ140" s="1270" t="e">
        <f>IF($E134&gt;0,CZ137/$E134,"-")</f>
        <v>#N/A</v>
      </c>
      <c r="DA140" s="1271"/>
      <c r="DB140" s="1270" t="e">
        <f>IF($E134&gt;0,DB137/$E134,"-")</f>
        <v>#N/A</v>
      </c>
      <c r="DC140" s="1271"/>
      <c r="DD140" s="1270" t="e">
        <f>IF($E134&gt;0,DD137/$E134,"-")</f>
        <v>#N/A</v>
      </c>
      <c r="DE140" s="1271"/>
      <c r="DF140" s="1270" t="e">
        <f>IF($E134&gt;0,DF137/$E134,"-")</f>
        <v>#N/A</v>
      </c>
      <c r="DG140" s="1271"/>
      <c r="DH140" s="1270" t="e">
        <f>IF($E134&gt;0,DH137/$E134,"-")</f>
        <v>#N/A</v>
      </c>
      <c r="DI140" s="1271"/>
      <c r="DJ140" s="1325" t="e">
        <f>IF($E134&gt;0,DJ137/$E134,"-")</f>
        <v>#N/A</v>
      </c>
      <c r="DK140" s="1326"/>
      <c r="DL140" s="1270" t="e">
        <f>IF($E134&gt;0,DL137/$E134,"-")</f>
        <v>#N/A</v>
      </c>
      <c r="DM140" s="1271"/>
      <c r="DN140" s="1270" t="e">
        <f>IF($E134&gt;0,DN137/$E134,"-")</f>
        <v>#N/A</v>
      </c>
      <c r="DO140" s="1271"/>
      <c r="DP140" s="1270" t="e">
        <f>IF($E134&gt;0,DP137/$E134,"-")</f>
        <v>#N/A</v>
      </c>
      <c r="DQ140" s="1271"/>
      <c r="DR140" s="1270" t="e">
        <f>IF($E134&gt;0,DR137/$E134,"-")</f>
        <v>#N/A</v>
      </c>
      <c r="DS140" s="1271"/>
      <c r="DT140" s="1270" t="e">
        <f>IF($E134&gt;0,DT137/$E134,"-")</f>
        <v>#N/A</v>
      </c>
      <c r="DU140" s="1271"/>
      <c r="DV140" s="1270" t="e">
        <f>IF($E134&gt;0,DV137/$E134,"-")</f>
        <v>#N/A</v>
      </c>
      <c r="DW140" s="1271"/>
      <c r="DX140" s="1270" t="e">
        <f>IF($E134&gt;0,DX137/$E134,"-")</f>
        <v>#N/A</v>
      </c>
      <c r="DY140" s="1271"/>
      <c r="DZ140" s="1270" t="e">
        <f>IF($E134&gt;0,DZ137/$E134,"-")</f>
        <v>#N/A</v>
      </c>
      <c r="EA140" s="1271"/>
      <c r="EB140" s="1270" t="e">
        <f>IF($E134&gt;0,EB137/$E134,"-")</f>
        <v>#N/A</v>
      </c>
      <c r="EC140" s="1271"/>
      <c r="ED140" s="1270" t="e">
        <f>IF($E134&gt;0,ED137/$E134,"-")</f>
        <v>#N/A</v>
      </c>
      <c r="EE140" s="1271"/>
      <c r="EF140" s="1270" t="e">
        <f>IF($E134&gt;0,EF137/$E134,"-")</f>
        <v>#N/A</v>
      </c>
      <c r="EG140" s="1271"/>
      <c r="EH140" s="1270" t="e">
        <f>IF($E134&gt;0,EH137/$E134,"-")</f>
        <v>#N/A</v>
      </c>
      <c r="EI140" s="1271"/>
      <c r="EJ140" s="1270" t="e">
        <f>IF($E134&gt;0,EJ137/$E134,"-")</f>
        <v>#N/A</v>
      </c>
      <c r="EK140" s="1271"/>
      <c r="EL140" s="1270" t="e">
        <f>IF($E134&gt;0,EL137/$E134,"-")</f>
        <v>#N/A</v>
      </c>
      <c r="EM140" s="1271"/>
      <c r="EN140" s="1270" t="e">
        <f>IF($E134&gt;0,EN137/$E134,"-")</f>
        <v>#N/A</v>
      </c>
      <c r="EO140" s="1271"/>
      <c r="EP140" s="1270" t="e">
        <f>IF($E134&gt;0,EP137/$E134,"-")</f>
        <v>#N/A</v>
      </c>
      <c r="EQ140" s="1271"/>
      <c r="ER140" s="1270" t="e">
        <f>IF($E134&gt;0,ER137/$E134,"-")</f>
        <v>#N/A</v>
      </c>
      <c r="ES140" s="1271"/>
      <c r="ET140" s="1270" t="e">
        <f>IF($E134&gt;0,ET137/$E134,"-")</f>
        <v>#N/A</v>
      </c>
      <c r="EU140" s="1271"/>
      <c r="EV140" s="1270" t="e">
        <f>IF($E134&gt;0,EV137/$E134,"-")</f>
        <v>#N/A</v>
      </c>
      <c r="EW140" s="1271"/>
      <c r="EX140" s="1270" t="e">
        <f>IF($E134&gt;0,EX137/$E134,"-")</f>
        <v>#N/A</v>
      </c>
      <c r="EY140" s="1271"/>
      <c r="EZ140" s="1270" t="e">
        <f>IF($E134&gt;0,EZ137/$E134,"-")</f>
        <v>#N/A</v>
      </c>
      <c r="FA140" s="1271"/>
      <c r="FB140" s="1270" t="e">
        <f>IF($E134&gt;0,FB137/$E134,"-")</f>
        <v>#N/A</v>
      </c>
      <c r="FC140" s="1271"/>
      <c r="FD140" s="1270" t="e">
        <f>IF($E134&gt;0,FD137/$E134,"-")</f>
        <v>#N/A</v>
      </c>
      <c r="FE140" s="1271"/>
      <c r="FF140" s="1270" t="e">
        <f>IF($E134&gt;0,FF137/$E134,"-")</f>
        <v>#N/A</v>
      </c>
      <c r="FG140" s="1271"/>
      <c r="FH140" s="1270" t="e">
        <f>IF($E134&gt;0,FH137/$E134,"-")</f>
        <v>#N/A</v>
      </c>
      <c r="FI140" s="1271"/>
      <c r="FJ140" s="1270" t="e">
        <f>IF($E134&gt;0,FJ137/$E134,"-")</f>
        <v>#N/A</v>
      </c>
      <c r="FK140" s="1271"/>
      <c r="FL140" s="1270" t="e">
        <f>IF($E134&gt;0,FL137/$E134,"-")</f>
        <v>#N/A</v>
      </c>
      <c r="FM140" s="1271"/>
      <c r="FN140" s="1270" t="e">
        <f>IF($E134&gt;0,FN137/$E134,"-")</f>
        <v>#N/A</v>
      </c>
      <c r="FO140" s="1271"/>
      <c r="FP140" s="1270" t="e">
        <f>IF($E134&gt;0,FP137/$E134,"-")</f>
        <v>#N/A</v>
      </c>
      <c r="FQ140" s="1271"/>
      <c r="FR140" s="1270" t="e">
        <f>IF($E134&gt;0,FR137/$E134,"-")</f>
        <v>#N/A</v>
      </c>
      <c r="FS140" s="1271"/>
      <c r="FT140" s="1270" t="e">
        <f>IF($E134&gt;0,FT137/$E134,"-")</f>
        <v>#N/A</v>
      </c>
      <c r="FU140" s="1271"/>
      <c r="FV140" s="1270" t="e">
        <f>IF($E134&gt;0,FV137/$E134,"-")</f>
        <v>#N/A</v>
      </c>
      <c r="FW140" s="1271"/>
      <c r="FX140" s="1270" t="e">
        <f>IF($E134&gt;0,FX137/$E134,"-")</f>
        <v>#N/A</v>
      </c>
      <c r="FY140" s="1271"/>
      <c r="FZ140" s="1270" t="e">
        <f>IF($E134&gt;0,FZ137/$E134,"-")</f>
        <v>#N/A</v>
      </c>
      <c r="GA140" s="1271"/>
      <c r="GB140" s="1270" t="e">
        <f>IF($E134&gt;0,GB137/$E134,"-")</f>
        <v>#N/A</v>
      </c>
      <c r="GC140" s="1271"/>
      <c r="GD140" s="1270" t="e">
        <f>IF($E134&gt;0,GD137/$E134,"-")</f>
        <v>#N/A</v>
      </c>
      <c r="GE140" s="1271"/>
      <c r="GF140" s="1270" t="e">
        <f>IF($E134&gt;0,GF137/$E134,"-")</f>
        <v>#N/A</v>
      </c>
      <c r="GG140" s="1271"/>
      <c r="GH140" s="1270" t="e">
        <f>IF($E134&gt;0,GH137/$E134,"-")</f>
        <v>#N/A</v>
      </c>
      <c r="GI140" s="1271"/>
      <c r="GJ140" s="1270" t="e">
        <f>IF($E134&gt;0,GJ137/$E134,"-")</f>
        <v>#N/A</v>
      </c>
      <c r="GK140" s="1271"/>
      <c r="GL140" s="1270" t="e">
        <f>IF($E134&gt;0,GL137/$E134,"-")</f>
        <v>#N/A</v>
      </c>
      <c r="GM140" s="1271"/>
      <c r="GN140" s="1270" t="e">
        <f>IF($E134&gt;0,GN137/$E134,"-")</f>
        <v>#N/A</v>
      </c>
      <c r="GO140" s="1271"/>
      <c r="GP140" s="1270" t="e">
        <f>IF($E134&gt;0,GP137/$E134,"-")</f>
        <v>#N/A</v>
      </c>
      <c r="GQ140" s="1271"/>
      <c r="GR140" s="1270" t="e">
        <f>IF($E134&gt;0,GR137/$E134,"-")</f>
        <v>#N/A</v>
      </c>
      <c r="GS140" s="1271"/>
      <c r="GT140" s="1270" t="e">
        <f>IF($E134&gt;0,GT137/$E134,"-")</f>
        <v>#N/A</v>
      </c>
      <c r="GU140" s="1271"/>
      <c r="GV140" s="1270" t="e">
        <f>IF($E134&gt;0,GV137/$E134,"-")</f>
        <v>#N/A</v>
      </c>
      <c r="GW140" s="1271"/>
      <c r="GX140" s="1270" t="e">
        <f>IF($E134&gt;0,GX137/$E134,"-")</f>
        <v>#N/A</v>
      </c>
      <c r="GY140" s="1271"/>
      <c r="GZ140" s="1270" t="e">
        <f>IF($E134&gt;0,GZ137/$E134,"-")</f>
        <v>#N/A</v>
      </c>
      <c r="HA140" s="1271"/>
      <c r="HB140" s="1270" t="e">
        <f>IF($E134&gt;0,HB137/$E134,"-")</f>
        <v>#N/A</v>
      </c>
      <c r="HC140" s="1271"/>
      <c r="HD140" s="1270" t="e">
        <f>IF($E134&gt;0,HD137/$E134,"-")</f>
        <v>#N/A</v>
      </c>
      <c r="HE140" s="1271"/>
      <c r="HF140" s="1270" t="e">
        <f>IF($E134&gt;0,HF137/$E134,"-")</f>
        <v>#N/A</v>
      </c>
      <c r="HG140" s="1271"/>
      <c r="HH140" s="1270" t="e">
        <f>IF($E134&gt;0,HH137/$E134,"-")</f>
        <v>#N/A</v>
      </c>
      <c r="HI140" s="1271"/>
      <c r="HJ140" s="1270" t="e">
        <f>IF($E134&gt;0,HJ137/$E134,"-")</f>
        <v>#N/A</v>
      </c>
      <c r="HK140" s="1271"/>
    </row>
    <row r="141" spans="1:219" hidden="1">
      <c r="A141" s="1299"/>
      <c r="B141" s="1300"/>
      <c r="C141" s="1299"/>
      <c r="D141" s="1301"/>
      <c r="E141" s="1301"/>
      <c r="F141" s="1302"/>
      <c r="G141" s="1301"/>
      <c r="H141" s="726"/>
      <c r="I141" s="1303"/>
      <c r="J141" s="1304"/>
      <c r="K141" s="794" t="s">
        <v>298</v>
      </c>
      <c r="L141" s="1294" t="e">
        <f>IF($E134&gt;0,L139/$E134,"-")</f>
        <v>#N/A</v>
      </c>
      <c r="M141" s="1295"/>
      <c r="N141" s="1294" t="e">
        <f>IF($E134&gt;0,N139/$E134,"-")</f>
        <v>#N/A</v>
      </c>
      <c r="O141" s="1295"/>
      <c r="P141" s="1294" t="e">
        <f>IF($E134&gt;0,P139/$E134,"-")</f>
        <v>#N/A</v>
      </c>
      <c r="Q141" s="1295"/>
      <c r="R141" s="1294" t="e">
        <f>IF($E134&gt;0,R139/$E134,"-")</f>
        <v>#N/A</v>
      </c>
      <c r="S141" s="1295"/>
      <c r="T141" s="1294" t="e">
        <f>IF($E134&gt;0,T139/$E134,"-")</f>
        <v>#N/A</v>
      </c>
      <c r="U141" s="1295"/>
      <c r="V141" s="1294" t="e">
        <f>IF($E134&gt;0,V139/$E134,"-")</f>
        <v>#N/A</v>
      </c>
      <c r="W141" s="1295"/>
      <c r="X141" s="1294" t="e">
        <f>IF($E134&gt;0,X139/$E134,"-")</f>
        <v>#N/A</v>
      </c>
      <c r="Y141" s="1295"/>
      <c r="Z141" s="1294" t="e">
        <f>IF($E134&gt;0,Z139/$E134,"-")</f>
        <v>#N/A</v>
      </c>
      <c r="AA141" s="1295"/>
      <c r="AB141" s="1294" t="e">
        <f>IF($E134&gt;0,AB139/$E134,"-")</f>
        <v>#N/A</v>
      </c>
      <c r="AC141" s="1295"/>
      <c r="AD141" s="1294" t="e">
        <f>IF($E134&gt;0,AD139/$E134,"-")</f>
        <v>#N/A</v>
      </c>
      <c r="AE141" s="1295"/>
      <c r="AF141" s="1294" t="e">
        <f>IF($E134&gt;0,AF139/$E134,"-")</f>
        <v>#N/A</v>
      </c>
      <c r="AG141" s="1295"/>
      <c r="AH141" s="1294" t="e">
        <f>IF($E134&gt;0,AH139/$E134,"-")</f>
        <v>#N/A</v>
      </c>
      <c r="AI141" s="1295"/>
      <c r="AJ141" s="1294" t="e">
        <f>IF($E134&gt;0,AJ139/$E134,"-")</f>
        <v>#N/A</v>
      </c>
      <c r="AK141" s="1295"/>
      <c r="AL141" s="1294" t="e">
        <f>IF($E134&gt;0,AL139/$E134,"-")</f>
        <v>#N/A</v>
      </c>
      <c r="AM141" s="1295"/>
      <c r="AN141" s="1294" t="e">
        <f>IF($E134&gt;0,AN139/$E134,"-")</f>
        <v>#N/A</v>
      </c>
      <c r="AO141" s="1295"/>
      <c r="AP141" s="1294" t="e">
        <f>IF($E134&gt;0,AP139/$E134,"-")</f>
        <v>#N/A</v>
      </c>
      <c r="AQ141" s="1295"/>
      <c r="AR141" s="1294" t="e">
        <f>IF($E134&gt;0,AR139/$E134,"-")</f>
        <v>#N/A</v>
      </c>
      <c r="AS141" s="1295"/>
      <c r="AT141" s="1294" t="e">
        <f>IF($E134&gt;0,AT139/$E134,"-")</f>
        <v>#N/A</v>
      </c>
      <c r="AU141" s="1295"/>
      <c r="AV141" s="1294" t="e">
        <f>IF($E134&gt;0,AV139/$E134,"-")</f>
        <v>#N/A</v>
      </c>
      <c r="AW141" s="1295"/>
      <c r="AX141" s="1294" t="e">
        <f>IF($E134&gt;0,AX139/$E134,"-")</f>
        <v>#N/A</v>
      </c>
      <c r="AY141" s="1295"/>
      <c r="AZ141" s="1294" t="e">
        <f>IF($E134&gt;0,AZ139/$E134,"-")</f>
        <v>#N/A</v>
      </c>
      <c r="BA141" s="1295"/>
      <c r="BB141" s="1294" t="e">
        <f>IF($E134&gt;0,BB139/$E134,"-")</f>
        <v>#N/A</v>
      </c>
      <c r="BC141" s="1295"/>
      <c r="BD141" s="1294" t="e">
        <f>IF($E134&gt;0,BD139/$E134,"-")</f>
        <v>#N/A</v>
      </c>
      <c r="BE141" s="1295"/>
      <c r="BF141" s="1294" t="e">
        <f>IF($E134&gt;0,BF139/$E134,"-")</f>
        <v>#N/A</v>
      </c>
      <c r="BG141" s="1295"/>
      <c r="BH141" s="1294" t="e">
        <f>IF($E134&gt;0,BH139/$E134,"-")</f>
        <v>#N/A</v>
      </c>
      <c r="BI141" s="1295"/>
      <c r="BJ141" s="1294" t="e">
        <f>IF($E134&gt;0,BJ139/$E134,"-")</f>
        <v>#N/A</v>
      </c>
      <c r="BK141" s="1295"/>
      <c r="BL141" s="1294" t="e">
        <f>IF($E134&gt;0,BL139/$E134,"-")</f>
        <v>#N/A</v>
      </c>
      <c r="BM141" s="1295"/>
      <c r="BN141" s="1294" t="e">
        <f>IF($E134&gt;0,BN139/$E134,"-")</f>
        <v>#N/A</v>
      </c>
      <c r="BO141" s="1295"/>
      <c r="BP141" s="1294" t="e">
        <f>IF($E134&gt;0,BP139/$E134,"-")</f>
        <v>#N/A</v>
      </c>
      <c r="BQ141" s="1295"/>
      <c r="BR141" s="1253" t="e">
        <f>IF($E134&gt;0,BR139/$E134,"-")</f>
        <v>#N/A</v>
      </c>
      <c r="BS141" s="1253"/>
      <c r="BT141" s="1253" t="e">
        <f>IF($E134&gt;0,BT139/$E134,"-")</f>
        <v>#N/A</v>
      </c>
      <c r="BU141" s="1253"/>
      <c r="BV141" s="1253" t="e">
        <f>IF($E134&gt;0,BV139/$E134,"-")</f>
        <v>#N/A</v>
      </c>
      <c r="BW141" s="1253"/>
      <c r="BX141" s="1253" t="e">
        <f>IF($E134&gt;0,BX139/$E134,"-")</f>
        <v>#N/A</v>
      </c>
      <c r="BY141" s="1253"/>
      <c r="BZ141" s="1253" t="e">
        <f>IF($E134&gt;0,BZ139/$E134,"-")</f>
        <v>#N/A</v>
      </c>
      <c r="CA141" s="1253"/>
      <c r="CB141" s="1253" t="e">
        <f>IF($E134&gt;0,CB139/$E134,"-")</f>
        <v>#N/A</v>
      </c>
      <c r="CC141" s="1253"/>
      <c r="CD141" s="1253" t="e">
        <f>IF($E134&gt;0,CD139/$E134,"-")</f>
        <v>#N/A</v>
      </c>
      <c r="CE141" s="1253"/>
      <c r="CF141" s="1253" t="e">
        <f>IF($E134&gt;0,CF139/$E134,"-")</f>
        <v>#N/A</v>
      </c>
      <c r="CG141" s="1253"/>
      <c r="CH141" s="1253" t="e">
        <f>IF($E134&gt;0,CH139/$E134,"-")</f>
        <v>#N/A</v>
      </c>
      <c r="CI141" s="1253"/>
      <c r="CJ141" s="1253" t="e">
        <f>IF($E134&gt;0,CJ139/$E134,"-")</f>
        <v>#N/A</v>
      </c>
      <c r="CK141" s="1253"/>
      <c r="CL141" s="1253" t="e">
        <f>IF($E134&gt;0,CL139/$E134,"-")</f>
        <v>#N/A</v>
      </c>
      <c r="CM141" s="1253"/>
      <c r="CN141" s="1253" t="e">
        <f>IF($E134&gt;0,CN139/$E134,"-")</f>
        <v>#N/A</v>
      </c>
      <c r="CO141" s="1253"/>
      <c r="CP141" s="1253" t="e">
        <f>IF($E134&gt;0,CP139/$E134,"-")</f>
        <v>#N/A</v>
      </c>
      <c r="CQ141" s="1253"/>
      <c r="CR141" s="1253" t="e">
        <f>IF($E134&gt;0,CR139/$E134,"-")</f>
        <v>#N/A</v>
      </c>
      <c r="CS141" s="1253"/>
      <c r="CT141" s="1253" t="e">
        <f>IF($E134&gt;0,CT139/$E134,"-")</f>
        <v>#N/A</v>
      </c>
      <c r="CU141" s="1253"/>
      <c r="CV141" s="1253" t="e">
        <f>IF($E134&gt;0,CV139/$E134,"-")</f>
        <v>#N/A</v>
      </c>
      <c r="CW141" s="1253"/>
      <c r="CX141" s="1253" t="e">
        <f>IF($E134&gt;0,CX139/$E134,"-")</f>
        <v>#N/A</v>
      </c>
      <c r="CY141" s="1253"/>
      <c r="CZ141" s="1253" t="e">
        <f>IF($E134&gt;0,CZ139/$E134,"-")</f>
        <v>#N/A</v>
      </c>
      <c r="DA141" s="1253"/>
      <c r="DB141" s="1253" t="e">
        <f>IF($E134&gt;0,DB139/$E134,"-")</f>
        <v>#N/A</v>
      </c>
      <c r="DC141" s="1253"/>
      <c r="DD141" s="1253" t="e">
        <f>IF($E134&gt;0,DD139/$E134,"-")</f>
        <v>#N/A</v>
      </c>
      <c r="DE141" s="1253"/>
      <c r="DF141" s="1253" t="e">
        <f>IF($E134&gt;0,DF139/$E134,"-")</f>
        <v>#N/A</v>
      </c>
      <c r="DG141" s="1253"/>
      <c r="DH141" s="1253" t="e">
        <f>IF($E134&gt;0,DH139/$E134,"-")</f>
        <v>#N/A</v>
      </c>
      <c r="DI141" s="1253"/>
      <c r="DJ141" s="1254" t="e">
        <f>IF($E134&gt;0,DJ139/$E134,"-")</f>
        <v>#N/A</v>
      </c>
      <c r="DK141" s="1254"/>
      <c r="DL141" s="1253" t="e">
        <f>IF($E134&gt;0,DL139/$E134,"-")</f>
        <v>#N/A</v>
      </c>
      <c r="DM141" s="1253"/>
      <c r="DN141" s="1253" t="e">
        <f>IF($E134&gt;0,DN139/$E134,"-")</f>
        <v>#N/A</v>
      </c>
      <c r="DO141" s="1253"/>
      <c r="DP141" s="1253" t="e">
        <f>IF($E134&gt;0,DP139/$E134,"-")</f>
        <v>#N/A</v>
      </c>
      <c r="DQ141" s="1253"/>
      <c r="DR141" s="1253" t="e">
        <f>IF($E134&gt;0,DR139/$E134,"-")</f>
        <v>#N/A</v>
      </c>
      <c r="DS141" s="1253"/>
      <c r="DT141" s="1253" t="e">
        <f>IF($E134&gt;0,DT139/$E134,"-")</f>
        <v>#N/A</v>
      </c>
      <c r="DU141" s="1253"/>
      <c r="DV141" s="1253" t="e">
        <f>IF($E134&gt;0,DV139/$E134,"-")</f>
        <v>#N/A</v>
      </c>
      <c r="DW141" s="1253"/>
      <c r="DX141" s="1253" t="e">
        <f>IF($E134&gt;0,DX139/$E134,"-")</f>
        <v>#N/A</v>
      </c>
      <c r="DY141" s="1253"/>
      <c r="DZ141" s="1253" t="e">
        <f>IF($E134&gt;0,DZ139/$E134,"-")</f>
        <v>#N/A</v>
      </c>
      <c r="EA141" s="1253"/>
      <c r="EB141" s="1253" t="e">
        <f>IF($E134&gt;0,EB139/$E134,"-")</f>
        <v>#N/A</v>
      </c>
      <c r="EC141" s="1253"/>
      <c r="ED141" s="1253" t="e">
        <f>IF($E134&gt;0,ED139/$E134,"-")</f>
        <v>#N/A</v>
      </c>
      <c r="EE141" s="1253"/>
      <c r="EF141" s="1253" t="e">
        <f>IF($E134&gt;0,EF139/$E134,"-")</f>
        <v>#N/A</v>
      </c>
      <c r="EG141" s="1253"/>
      <c r="EH141" s="1253" t="e">
        <f>IF($E134&gt;0,EH139/$E134,"-")</f>
        <v>#N/A</v>
      </c>
      <c r="EI141" s="1253"/>
      <c r="EJ141" s="1253" t="e">
        <f>IF($E134&gt;0,EJ139/$E134,"-")</f>
        <v>#N/A</v>
      </c>
      <c r="EK141" s="1253"/>
      <c r="EL141" s="1253" t="e">
        <f>IF($E134&gt;0,EL139/$E134,"-")</f>
        <v>#N/A</v>
      </c>
      <c r="EM141" s="1253"/>
      <c r="EN141" s="1253" t="e">
        <f>IF($E134&gt;0,EN139/$E134,"-")</f>
        <v>#N/A</v>
      </c>
      <c r="EO141" s="1253"/>
      <c r="EP141" s="1253" t="e">
        <f>IF($E134&gt;0,EP139/$E134,"-")</f>
        <v>#N/A</v>
      </c>
      <c r="EQ141" s="1253"/>
      <c r="ER141" s="1253" t="e">
        <f>IF($E134&gt;0,ER139/$E134,"-")</f>
        <v>#N/A</v>
      </c>
      <c r="ES141" s="1253"/>
      <c r="ET141" s="1253" t="e">
        <f>IF($E134&gt;0,ET139/$E134,"-")</f>
        <v>#N/A</v>
      </c>
      <c r="EU141" s="1253"/>
      <c r="EV141" s="1253" t="e">
        <f>IF($E134&gt;0,EV139/$E134,"-")</f>
        <v>#N/A</v>
      </c>
      <c r="EW141" s="1253"/>
      <c r="EX141" s="1253" t="e">
        <f>IF($E134&gt;0,EX139/$E134,"-")</f>
        <v>#N/A</v>
      </c>
      <c r="EY141" s="1253"/>
      <c r="EZ141" s="1253" t="e">
        <f>IF($E134&gt;0,EZ139/$E134,"-")</f>
        <v>#N/A</v>
      </c>
      <c r="FA141" s="1253"/>
      <c r="FB141" s="1253" t="e">
        <f>IF($E134&gt;0,FB139/$E134,"-")</f>
        <v>#N/A</v>
      </c>
      <c r="FC141" s="1253"/>
      <c r="FD141" s="1253" t="e">
        <f>IF($E134&gt;0,FD139/$E134,"-")</f>
        <v>#N/A</v>
      </c>
      <c r="FE141" s="1253"/>
      <c r="FF141" s="1253" t="e">
        <f>IF($E134&gt;0,FF139/$E134,"-")</f>
        <v>#N/A</v>
      </c>
      <c r="FG141" s="1253"/>
      <c r="FH141" s="1253" t="e">
        <f>IF($E134&gt;0,FH139/$E134,"-")</f>
        <v>#N/A</v>
      </c>
      <c r="FI141" s="1253"/>
      <c r="FJ141" s="1253" t="e">
        <f>IF($E134&gt;0,FJ139/$E134,"-")</f>
        <v>#N/A</v>
      </c>
      <c r="FK141" s="1253"/>
      <c r="FL141" s="1253" t="e">
        <f>IF($E134&gt;0,FL139/$E134,"-")</f>
        <v>#N/A</v>
      </c>
      <c r="FM141" s="1253"/>
      <c r="FN141" s="1253" t="e">
        <f>IF($E134&gt;0,FN139/$E134,"-")</f>
        <v>#N/A</v>
      </c>
      <c r="FO141" s="1253"/>
      <c r="FP141" s="1253" t="e">
        <f>IF($E134&gt;0,FP139/$E134,"-")</f>
        <v>#N/A</v>
      </c>
      <c r="FQ141" s="1253"/>
      <c r="FR141" s="1253" t="e">
        <f>IF($E134&gt;0,FR139/$E134,"-")</f>
        <v>#N/A</v>
      </c>
      <c r="FS141" s="1253"/>
      <c r="FT141" s="1253" t="e">
        <f>IF($E134&gt;0,FT139/$E134,"-")</f>
        <v>#N/A</v>
      </c>
      <c r="FU141" s="1253"/>
      <c r="FV141" s="1253" t="e">
        <f>IF($E134&gt;0,FV139/$E134,"-")</f>
        <v>#N/A</v>
      </c>
      <c r="FW141" s="1253"/>
      <c r="FX141" s="1253" t="e">
        <f>IF($E134&gt;0,FX139/$E134,"-")</f>
        <v>#N/A</v>
      </c>
      <c r="FY141" s="1253"/>
      <c r="FZ141" s="1253" t="e">
        <f>IF($E134&gt;0,FZ139/$E134,"-")</f>
        <v>#N/A</v>
      </c>
      <c r="GA141" s="1253"/>
      <c r="GB141" s="1253" t="e">
        <f>IF($E134&gt;0,GB139/$E134,"-")</f>
        <v>#N/A</v>
      </c>
      <c r="GC141" s="1253"/>
      <c r="GD141" s="1253" t="e">
        <f>IF($E134&gt;0,GD139/$E134,"-")</f>
        <v>#N/A</v>
      </c>
      <c r="GE141" s="1253"/>
      <c r="GF141" s="1253" t="e">
        <f>IF($E134&gt;0,GF139/$E134,"-")</f>
        <v>#N/A</v>
      </c>
      <c r="GG141" s="1253"/>
      <c r="GH141" s="1253" t="e">
        <f>IF($E134&gt;0,GH139/$E134,"-")</f>
        <v>#N/A</v>
      </c>
      <c r="GI141" s="1253"/>
      <c r="GJ141" s="1253" t="e">
        <f>IF($E134&gt;0,GJ139/$E134,"-")</f>
        <v>#N/A</v>
      </c>
      <c r="GK141" s="1253"/>
      <c r="GL141" s="1253" t="e">
        <f>IF($E134&gt;0,GL139/$E134,"-")</f>
        <v>#N/A</v>
      </c>
      <c r="GM141" s="1253"/>
      <c r="GN141" s="1253" t="e">
        <f>IF($E134&gt;0,GN139/$E134,"-")</f>
        <v>#N/A</v>
      </c>
      <c r="GO141" s="1253"/>
      <c r="GP141" s="1253" t="e">
        <f>IF($E134&gt;0,GP139/$E134,"-")</f>
        <v>#N/A</v>
      </c>
      <c r="GQ141" s="1253"/>
      <c r="GR141" s="1253" t="e">
        <f>IF($E134&gt;0,GR139/$E134,"-")</f>
        <v>#N/A</v>
      </c>
      <c r="GS141" s="1253"/>
      <c r="GT141" s="1253" t="e">
        <f>IF($E134&gt;0,GT139/$E134,"-")</f>
        <v>#N/A</v>
      </c>
      <c r="GU141" s="1253"/>
      <c r="GV141" s="1253" t="e">
        <f>IF($E134&gt;0,GV139/$E134,"-")</f>
        <v>#N/A</v>
      </c>
      <c r="GW141" s="1253"/>
      <c r="GX141" s="1253" t="e">
        <f>IF($E134&gt;0,GX139/$E134,"-")</f>
        <v>#N/A</v>
      </c>
      <c r="GY141" s="1253"/>
      <c r="GZ141" s="1253" t="e">
        <f>IF($E134&gt;0,GZ139/$E134,"-")</f>
        <v>#N/A</v>
      </c>
      <c r="HA141" s="1253"/>
      <c r="HB141" s="1253" t="e">
        <f>IF($E134&gt;0,HB139/$E134,"-")</f>
        <v>#N/A</v>
      </c>
      <c r="HC141" s="1253"/>
      <c r="HD141" s="1253" t="e">
        <f>IF($E134&gt;0,HD139/$E134,"-")</f>
        <v>#N/A</v>
      </c>
      <c r="HE141" s="1253"/>
      <c r="HF141" s="1253" t="e">
        <f>IF($E134&gt;0,HF139/$E134,"-")</f>
        <v>#N/A</v>
      </c>
      <c r="HG141" s="1253"/>
      <c r="HH141" s="1253" t="e">
        <f>IF($E134&gt;0,HH139/$E134,"-")</f>
        <v>#N/A</v>
      </c>
      <c r="HI141" s="1253"/>
      <c r="HJ141" s="1253" t="e">
        <f>IF($E134&gt;0,HJ139/$E134,"-")</f>
        <v>#N/A</v>
      </c>
      <c r="HK141" s="1253"/>
    </row>
    <row r="142" spans="1:219" s="947" customFormat="1" ht="14.4" hidden="1">
      <c r="A142" s="937"/>
      <c r="B142" s="938">
        <f>PLANEJAMENTO!C48</f>
        <v>0</v>
      </c>
      <c r="C142" s="939"/>
      <c r="D142" s="940"/>
      <c r="E142" s="940"/>
      <c r="F142" s="939"/>
      <c r="G142" s="939"/>
      <c r="H142" s="939"/>
      <c r="I142" s="939"/>
      <c r="J142" s="939"/>
      <c r="K142" s="939"/>
      <c r="L142" s="1278"/>
      <c r="M142" s="1278"/>
      <c r="N142" s="1278"/>
      <c r="O142" s="1278"/>
      <c r="P142" s="1278"/>
      <c r="Q142" s="1278"/>
      <c r="R142" s="1278"/>
      <c r="S142" s="1279"/>
      <c r="T142" s="1280"/>
      <c r="U142" s="1278"/>
      <c r="V142" s="1278"/>
      <c r="W142" s="1278"/>
      <c r="X142" s="1278"/>
      <c r="Y142" s="1278"/>
      <c r="Z142" s="1278"/>
      <c r="AA142" s="1279"/>
      <c r="AB142" s="1280"/>
      <c r="AC142" s="1278"/>
      <c r="AD142" s="1278"/>
      <c r="AE142" s="1278"/>
      <c r="AF142" s="1278"/>
      <c r="AG142" s="1278"/>
      <c r="AH142" s="1278"/>
      <c r="AI142" s="1279"/>
      <c r="AJ142" s="1280"/>
      <c r="AK142" s="1278"/>
      <c r="AL142" s="1278"/>
      <c r="AM142" s="1278"/>
      <c r="AN142" s="1278"/>
      <c r="AO142" s="1278"/>
      <c r="AP142" s="1278"/>
      <c r="AQ142" s="1279"/>
      <c r="AR142" s="1280"/>
      <c r="AS142" s="1278"/>
      <c r="AT142" s="941"/>
      <c r="AU142" s="941"/>
      <c r="AV142" s="941"/>
      <c r="AW142" s="941"/>
      <c r="AX142" s="941"/>
      <c r="AY142" s="942"/>
      <c r="AZ142" s="943"/>
      <c r="BA142" s="941"/>
      <c r="BB142" s="941"/>
      <c r="BC142" s="941"/>
      <c r="BD142" s="941"/>
      <c r="BE142" s="941"/>
      <c r="BF142" s="941"/>
      <c r="BG142" s="942"/>
      <c r="BH142" s="943"/>
      <c r="BI142" s="941"/>
      <c r="BJ142" s="941"/>
      <c r="BK142" s="941"/>
      <c r="BL142" s="941"/>
      <c r="BM142" s="941"/>
      <c r="BN142" s="941"/>
      <c r="BO142" s="942"/>
      <c r="BP142" s="943"/>
      <c r="BQ142" s="941"/>
      <c r="BR142" s="941"/>
      <c r="BS142" s="941"/>
      <c r="BT142" s="941"/>
      <c r="BU142" s="941"/>
      <c r="BV142" s="941"/>
      <c r="BW142" s="942"/>
      <c r="BX142" s="943"/>
      <c r="BY142" s="941"/>
      <c r="BZ142" s="941"/>
      <c r="CA142" s="941"/>
      <c r="CB142" s="941"/>
      <c r="CC142" s="941"/>
      <c r="CD142" s="1278"/>
      <c r="CE142" s="1281"/>
      <c r="CF142" s="1280"/>
      <c r="CG142" s="1282"/>
      <c r="CH142" s="1278"/>
      <c r="CI142" s="1282"/>
      <c r="CJ142" s="1278"/>
      <c r="CK142" s="1282"/>
      <c r="CL142" s="1278"/>
      <c r="CM142" s="1281"/>
      <c r="CN142" s="1280"/>
      <c r="CO142" s="1282"/>
      <c r="CP142" s="1342"/>
      <c r="CQ142" s="1343"/>
      <c r="CR142" s="1342"/>
      <c r="CS142" s="1343"/>
      <c r="CT142" s="944"/>
      <c r="CU142" s="945"/>
      <c r="CV142" s="946"/>
      <c r="CW142" s="944"/>
      <c r="CX142" s="944"/>
      <c r="CY142" s="944"/>
      <c r="CZ142" s="944"/>
      <c r="DA142" s="944"/>
      <c r="DB142" s="944"/>
      <c r="DC142" s="945"/>
      <c r="DD142" s="946"/>
      <c r="DE142" s="944"/>
      <c r="DF142" s="944"/>
      <c r="DG142" s="944"/>
      <c r="DH142" s="944"/>
      <c r="DI142" s="944"/>
      <c r="DJ142" s="944"/>
      <c r="DK142" s="945"/>
      <c r="DL142" s="946"/>
      <c r="DM142" s="944"/>
      <c r="DN142" s="944"/>
      <c r="DO142" s="944"/>
      <c r="DP142" s="944"/>
      <c r="DQ142" s="944"/>
      <c r="DR142" s="944"/>
      <c r="DS142" s="945"/>
      <c r="DT142" s="946"/>
      <c r="DU142" s="944"/>
      <c r="DV142" s="944"/>
      <c r="DW142" s="944"/>
      <c r="DX142" s="944"/>
      <c r="DY142" s="944"/>
      <c r="DZ142" s="944"/>
      <c r="EA142" s="945"/>
      <c r="EB142" s="946"/>
      <c r="EC142" s="944"/>
      <c r="ED142" s="944"/>
      <c r="EE142" s="944"/>
      <c r="EF142" s="944"/>
      <c r="EG142" s="944"/>
      <c r="EH142" s="944"/>
      <c r="EI142" s="945"/>
      <c r="EJ142" s="946"/>
      <c r="EK142" s="944"/>
      <c r="EL142" s="944"/>
      <c r="EM142" s="944"/>
      <c r="EN142" s="944"/>
      <c r="EO142" s="944"/>
      <c r="EP142" s="944"/>
      <c r="EQ142" s="945"/>
      <c r="ER142" s="946"/>
      <c r="ES142" s="944"/>
      <c r="ET142" s="944"/>
      <c r="EU142" s="944"/>
      <c r="EV142" s="944"/>
      <c r="EW142" s="944"/>
      <c r="EX142" s="944"/>
      <c r="EY142" s="945"/>
      <c r="EZ142" s="946"/>
      <c r="FA142" s="944"/>
      <c r="FB142" s="944"/>
      <c r="FC142" s="944"/>
      <c r="FD142" s="944"/>
      <c r="FE142" s="944"/>
      <c r="FF142" s="944"/>
      <c r="FG142" s="945"/>
      <c r="FH142" s="946"/>
      <c r="FI142" s="944"/>
      <c r="FJ142" s="944"/>
      <c r="FK142" s="944"/>
      <c r="FL142" s="944"/>
      <c r="FM142" s="944"/>
      <c r="FN142" s="944"/>
      <c r="FO142" s="945"/>
      <c r="FP142" s="946"/>
      <c r="FQ142" s="944"/>
      <c r="FR142" s="944"/>
      <c r="FS142" s="944"/>
      <c r="FT142" s="944"/>
      <c r="FU142" s="944"/>
      <c r="FV142" s="944"/>
      <c r="FW142" s="945"/>
      <c r="FX142" s="946"/>
      <c r="FY142" s="944"/>
      <c r="FZ142" s="944"/>
      <c r="GA142" s="944"/>
      <c r="GB142" s="944"/>
      <c r="GC142" s="944"/>
      <c r="GD142" s="944"/>
      <c r="GE142" s="945"/>
      <c r="GF142" s="946"/>
      <c r="GG142" s="944"/>
      <c r="GH142" s="944"/>
      <c r="GI142" s="944"/>
      <c r="GJ142" s="944"/>
      <c r="GK142" s="944"/>
      <c r="GL142" s="944"/>
      <c r="GM142" s="945"/>
      <c r="GN142" s="946"/>
      <c r="GO142" s="944"/>
      <c r="GP142" s="944"/>
      <c r="GQ142" s="944"/>
      <c r="GR142" s="944"/>
      <c r="GS142" s="944"/>
      <c r="GT142" s="944"/>
      <c r="GU142" s="945"/>
      <c r="GV142" s="944"/>
      <c r="GW142" s="945"/>
      <c r="GX142" s="944"/>
      <c r="GY142" s="945"/>
      <c r="GZ142" s="944"/>
      <c r="HA142" s="945"/>
      <c r="HB142" s="944"/>
      <c r="HC142" s="945"/>
      <c r="HD142" s="944"/>
      <c r="HE142" s="945"/>
      <c r="HF142" s="944"/>
      <c r="HG142" s="945"/>
      <c r="HH142" s="944"/>
      <c r="HI142" s="945"/>
      <c r="HJ142" s="944"/>
      <c r="HK142" s="945"/>
    </row>
    <row r="143" spans="1:219" hidden="1">
      <c r="A143" s="1299"/>
      <c r="B143" s="1300" t="e">
        <f>VLOOKUP(A143,PLANEJAMENTO!$B$10:$C$70,2,FALSE)</f>
        <v>#N/A</v>
      </c>
      <c r="C143" s="1299" t="e">
        <f>VLOOKUP(A143,PLANEJAMENTO!$B$10:$D$70,3,FALSE)</f>
        <v>#N/A</v>
      </c>
      <c r="D143" s="1301" t="e">
        <f>VLOOKUP(A143,PLANEJAMENTO!$B$10:$E$70,4,FALSE)</f>
        <v>#N/A</v>
      </c>
      <c r="E143" s="1301" t="e">
        <f>D143</f>
        <v>#N/A</v>
      </c>
      <c r="F143" s="1302">
        <f>PRODUÇÕES!$D$15</f>
        <v>160</v>
      </c>
      <c r="G143" s="1344">
        <f>F143*8</f>
        <v>1280</v>
      </c>
      <c r="H143" s="726"/>
      <c r="I143" s="1303"/>
      <c r="J143" s="1304"/>
      <c r="K143" s="727" t="s">
        <v>291</v>
      </c>
      <c r="L143" s="1285"/>
      <c r="M143" s="1286"/>
      <c r="N143" s="1285"/>
      <c r="O143" s="1286"/>
      <c r="P143" s="1285"/>
      <c r="Q143" s="1286"/>
      <c r="R143" s="1285"/>
      <c r="S143" s="1286"/>
      <c r="T143" s="1285"/>
      <c r="U143" s="1286"/>
      <c r="V143" s="1285"/>
      <c r="W143" s="1286"/>
      <c r="X143" s="1285"/>
      <c r="Y143" s="1286"/>
      <c r="Z143" s="1285"/>
      <c r="AA143" s="1286"/>
      <c r="AB143" s="1285"/>
      <c r="AC143" s="1286"/>
      <c r="AD143" s="1285"/>
      <c r="AE143" s="1286"/>
      <c r="AF143" s="1285"/>
      <c r="AG143" s="1286"/>
      <c r="AH143" s="1285"/>
      <c r="AI143" s="1286"/>
      <c r="AJ143" s="1285"/>
      <c r="AK143" s="1286"/>
      <c r="AL143" s="1285"/>
      <c r="AM143" s="1286"/>
      <c r="AN143" s="1285"/>
      <c r="AO143" s="1286"/>
      <c r="AP143" s="1285"/>
      <c r="AQ143" s="1286"/>
      <c r="AR143" s="1285"/>
      <c r="AS143" s="1286"/>
      <c r="AT143" s="1285"/>
      <c r="AU143" s="1286"/>
      <c r="AV143" s="1289"/>
      <c r="AW143" s="1286"/>
      <c r="AX143" s="1360">
        <f>6-AX39</f>
        <v>6</v>
      </c>
      <c r="AY143" s="1395"/>
      <c r="AZ143" s="1360">
        <v>2.7874329719116249</v>
      </c>
      <c r="BA143" s="1361"/>
      <c r="BB143" s="1285"/>
      <c r="BC143" s="1286"/>
      <c r="BD143" s="1285"/>
      <c r="BE143" s="1286"/>
      <c r="BF143" s="1285"/>
      <c r="BG143" s="1286"/>
      <c r="BH143" s="1285"/>
      <c r="BI143" s="1286"/>
      <c r="BJ143" s="1285"/>
      <c r="BK143" s="1286"/>
      <c r="BL143" s="1285"/>
      <c r="BM143" s="1286"/>
      <c r="BN143" s="1285"/>
      <c r="BO143" s="1286"/>
      <c r="BP143" s="1285"/>
      <c r="BQ143" s="1286"/>
      <c r="BR143" s="1263"/>
      <c r="BS143" s="1263"/>
      <c r="BT143" s="1263"/>
      <c r="BU143" s="1263"/>
      <c r="BV143" s="1263"/>
      <c r="BW143" s="1263"/>
      <c r="BX143" s="1315"/>
      <c r="BY143" s="1315"/>
      <c r="BZ143" s="1263"/>
      <c r="CA143" s="1263"/>
      <c r="CB143" s="1263"/>
      <c r="CC143" s="1263"/>
      <c r="CD143" s="1315"/>
      <c r="CE143" s="1315"/>
      <c r="CF143" s="1315"/>
      <c r="CG143" s="1315"/>
      <c r="CH143" s="1263"/>
      <c r="CI143" s="1263"/>
      <c r="CJ143" s="1263"/>
      <c r="CK143" s="1263"/>
      <c r="CL143" s="1263"/>
      <c r="CM143" s="1263"/>
      <c r="CN143" s="1263"/>
      <c r="CO143" s="1263"/>
      <c r="CP143" s="1263"/>
      <c r="CQ143" s="1263"/>
      <c r="CR143" s="1263"/>
      <c r="CS143" s="1263"/>
      <c r="CT143" s="1263"/>
      <c r="CU143" s="1263"/>
      <c r="CV143" s="1263"/>
      <c r="CW143" s="1263"/>
      <c r="CX143" s="1263"/>
      <c r="CY143" s="1263"/>
      <c r="CZ143" s="1263"/>
      <c r="DA143" s="1263"/>
      <c r="DB143" s="1263"/>
      <c r="DC143" s="1263"/>
      <c r="DD143" s="1263"/>
      <c r="DE143" s="1263"/>
      <c r="DF143" s="1263"/>
      <c r="DG143" s="1263"/>
      <c r="DH143" s="1263"/>
      <c r="DI143" s="1263"/>
      <c r="DJ143" s="1327"/>
      <c r="DK143" s="1327"/>
      <c r="DL143" s="1263"/>
      <c r="DM143" s="1263"/>
      <c r="DN143" s="1263"/>
      <c r="DO143" s="1263"/>
      <c r="DP143" s="1263"/>
      <c r="DQ143" s="1263"/>
      <c r="DR143" s="1263"/>
      <c r="DS143" s="1263"/>
      <c r="DT143" s="1263"/>
      <c r="DU143" s="1263"/>
      <c r="DV143" s="1263"/>
      <c r="DW143" s="1263"/>
      <c r="DX143" s="1263"/>
      <c r="DY143" s="1263"/>
      <c r="DZ143" s="1263"/>
      <c r="EA143" s="1263"/>
      <c r="EB143" s="1263"/>
      <c r="EC143" s="1263"/>
      <c r="ED143" s="1263"/>
      <c r="EE143" s="1263"/>
      <c r="EF143" s="1315"/>
      <c r="EG143" s="1315"/>
      <c r="EH143" s="1263"/>
      <c r="EI143" s="1263"/>
      <c r="EJ143" s="1263"/>
      <c r="EK143" s="1263"/>
      <c r="EL143" s="1263"/>
      <c r="EM143" s="1263"/>
      <c r="EN143" s="1263"/>
      <c r="EO143" s="1263"/>
      <c r="EP143" s="1315"/>
      <c r="EQ143" s="1315"/>
      <c r="ER143" s="1315"/>
      <c r="ES143" s="1315"/>
      <c r="ET143" s="1315"/>
      <c r="EU143" s="1315"/>
      <c r="EV143" s="1263"/>
      <c r="EW143" s="1263"/>
      <c r="EX143" s="1263"/>
      <c r="EY143" s="1263"/>
      <c r="EZ143" s="1263"/>
      <c r="FA143" s="1263"/>
      <c r="FB143" s="1316" t="e">
        <f>6-FB125-#REF!</f>
        <v>#REF!</v>
      </c>
      <c r="FC143" s="1316"/>
      <c r="FD143" s="1316">
        <v>4.9458968772694272</v>
      </c>
      <c r="FE143" s="1316"/>
      <c r="FF143" s="1263"/>
      <c r="FG143" s="1263"/>
      <c r="FH143" s="1263"/>
      <c r="FI143" s="1263"/>
      <c r="FJ143" s="1263"/>
      <c r="FK143" s="1263"/>
      <c r="FL143" s="1263"/>
      <c r="FM143" s="1263"/>
      <c r="FN143" s="1263"/>
      <c r="FO143" s="1263"/>
      <c r="FP143" s="1263"/>
      <c r="FQ143" s="1263"/>
      <c r="FR143" s="1263"/>
      <c r="FS143" s="1263"/>
      <c r="FT143" s="1263"/>
      <c r="FU143" s="1263"/>
      <c r="FV143" s="1263"/>
      <c r="FW143" s="1263"/>
      <c r="FX143" s="1263"/>
      <c r="FY143" s="1263"/>
      <c r="FZ143" s="1263"/>
      <c r="GA143" s="1263"/>
      <c r="GB143" s="1263"/>
      <c r="GC143" s="1263"/>
      <c r="GD143" s="1263"/>
      <c r="GE143" s="1263"/>
      <c r="GF143" s="1263"/>
      <c r="GG143" s="1263"/>
      <c r="GH143" s="1263"/>
      <c r="GI143" s="1263"/>
      <c r="GJ143" s="1263"/>
      <c r="GK143" s="1263"/>
      <c r="GL143" s="1263"/>
      <c r="GM143" s="1263"/>
      <c r="GN143" s="1263"/>
      <c r="GO143" s="1263"/>
      <c r="GP143" s="1263"/>
      <c r="GQ143" s="1263"/>
      <c r="GR143" s="1263"/>
      <c r="GS143" s="1263"/>
      <c r="GT143" s="1263"/>
      <c r="GU143" s="1263"/>
      <c r="GV143" s="1263"/>
      <c r="GW143" s="1263"/>
      <c r="GX143" s="1263"/>
      <c r="GY143" s="1263"/>
      <c r="GZ143" s="1263"/>
      <c r="HA143" s="1263"/>
      <c r="HB143" s="1263"/>
      <c r="HC143" s="1263"/>
      <c r="HD143" s="1263"/>
      <c r="HE143" s="1263"/>
      <c r="HF143" s="1263"/>
      <c r="HG143" s="1263"/>
      <c r="HH143" s="1263"/>
      <c r="HI143" s="1263"/>
      <c r="HJ143" s="1263"/>
      <c r="HK143" s="1263"/>
    </row>
    <row r="144" spans="1:219" hidden="1">
      <c r="A144" s="1299"/>
      <c r="B144" s="1300"/>
      <c r="C144" s="1299"/>
      <c r="D144" s="1301"/>
      <c r="E144" s="1301"/>
      <c r="F144" s="1302"/>
      <c r="G144" s="1301"/>
      <c r="H144" s="726"/>
      <c r="I144" s="1303"/>
      <c r="J144" s="1304"/>
      <c r="K144" s="785" t="s">
        <v>292</v>
      </c>
      <c r="L144" s="1283"/>
      <c r="M144" s="1284"/>
      <c r="N144" s="1283"/>
      <c r="O144" s="1284"/>
      <c r="P144" s="1283"/>
      <c r="Q144" s="1284"/>
      <c r="R144" s="1283"/>
      <c r="S144" s="1284"/>
      <c r="T144" s="1283"/>
      <c r="U144" s="1284"/>
      <c r="V144" s="1283"/>
      <c r="W144" s="1284"/>
      <c r="X144" s="1283"/>
      <c r="Y144" s="1284"/>
      <c r="Z144" s="1283"/>
      <c r="AA144" s="1284"/>
      <c r="AB144" s="1283"/>
      <c r="AC144" s="1284"/>
      <c r="AD144" s="1283"/>
      <c r="AE144" s="1284"/>
      <c r="AF144" s="1283"/>
      <c r="AG144" s="1284"/>
      <c r="AH144" s="1283"/>
      <c r="AI144" s="1284"/>
      <c r="AJ144" s="1283"/>
      <c r="AK144" s="1284"/>
      <c r="AL144" s="1283"/>
      <c r="AM144" s="1284"/>
      <c r="AN144" s="1283"/>
      <c r="AO144" s="1284"/>
      <c r="AP144" s="1283"/>
      <c r="AQ144" s="1284"/>
      <c r="AR144" s="1283"/>
      <c r="AS144" s="1284"/>
      <c r="AT144" s="1283"/>
      <c r="AU144" s="1284"/>
      <c r="AV144" s="1283"/>
      <c r="AW144" s="1284"/>
      <c r="AX144" s="1283">
        <v>1</v>
      </c>
      <c r="AY144" s="1284"/>
      <c r="AZ144" s="1283">
        <v>1</v>
      </c>
      <c r="BA144" s="1284"/>
      <c r="BB144" s="1283"/>
      <c r="BC144" s="1284"/>
      <c r="BD144" s="1283"/>
      <c r="BE144" s="1284"/>
      <c r="BF144" s="1283"/>
      <c r="BG144" s="1284"/>
      <c r="BH144" s="1283"/>
      <c r="BI144" s="1284"/>
      <c r="BJ144" s="1283"/>
      <c r="BK144" s="1284"/>
      <c r="BL144" s="1283"/>
      <c r="BM144" s="1284"/>
      <c r="BN144" s="1283"/>
      <c r="BO144" s="1284"/>
      <c r="BP144" s="1283"/>
      <c r="BQ144" s="1284"/>
      <c r="BR144" s="1264"/>
      <c r="BS144" s="1264"/>
      <c r="BT144" s="1264"/>
      <c r="BU144" s="1264"/>
      <c r="BV144" s="1264"/>
      <c r="BW144" s="1264"/>
      <c r="BX144" s="1264"/>
      <c r="BY144" s="1264"/>
      <c r="BZ144" s="1264"/>
      <c r="CA144" s="1264"/>
      <c r="CB144" s="1264"/>
      <c r="CC144" s="1264"/>
      <c r="CD144" s="1264"/>
      <c r="CE144" s="1264"/>
      <c r="CF144" s="1264"/>
      <c r="CG144" s="1264"/>
      <c r="CH144" s="1264"/>
      <c r="CI144" s="1264"/>
      <c r="CJ144" s="1264"/>
      <c r="CK144" s="1264"/>
      <c r="CL144" s="1264"/>
      <c r="CM144" s="1264"/>
      <c r="CN144" s="1264"/>
      <c r="CO144" s="1264"/>
      <c r="CP144" s="1264"/>
      <c r="CQ144" s="1264"/>
      <c r="CR144" s="1264"/>
      <c r="CS144" s="1264"/>
      <c r="CT144" s="1264"/>
      <c r="CU144" s="1264"/>
      <c r="CV144" s="1264"/>
      <c r="CW144" s="1264"/>
      <c r="CX144" s="1264"/>
      <c r="CY144" s="1264"/>
      <c r="CZ144" s="1264"/>
      <c r="DA144" s="1264"/>
      <c r="DB144" s="1264"/>
      <c r="DC144" s="1264"/>
      <c r="DD144" s="1264"/>
      <c r="DE144" s="1264"/>
      <c r="DF144" s="1264"/>
      <c r="DG144" s="1264"/>
      <c r="DH144" s="1264"/>
      <c r="DI144" s="1264"/>
      <c r="DJ144" s="1265"/>
      <c r="DK144" s="1265"/>
      <c r="DL144" s="1264"/>
      <c r="DM144" s="1264"/>
      <c r="DN144" s="1264"/>
      <c r="DO144" s="1264"/>
      <c r="DP144" s="1264"/>
      <c r="DQ144" s="1264"/>
      <c r="DR144" s="1264"/>
      <c r="DS144" s="1264"/>
      <c r="DT144" s="1264"/>
      <c r="DU144" s="1264"/>
      <c r="DV144" s="1264"/>
      <c r="DW144" s="1264"/>
      <c r="DX144" s="1264"/>
      <c r="DY144" s="1264"/>
      <c r="DZ144" s="1264"/>
      <c r="EA144" s="1264"/>
      <c r="EB144" s="1264"/>
      <c r="EC144" s="1264"/>
      <c r="ED144" s="1264"/>
      <c r="EE144" s="1264"/>
      <c r="EF144" s="1264"/>
      <c r="EG144" s="1264"/>
      <c r="EH144" s="1264"/>
      <c r="EI144" s="1264"/>
      <c r="EJ144" s="1264"/>
      <c r="EK144" s="1264"/>
      <c r="EL144" s="1264"/>
      <c r="EM144" s="1264"/>
      <c r="EN144" s="1264"/>
      <c r="EO144" s="1264"/>
      <c r="EP144" s="1264"/>
      <c r="EQ144" s="1264"/>
      <c r="ER144" s="1264"/>
      <c r="ES144" s="1264"/>
      <c r="ET144" s="1264"/>
      <c r="EU144" s="1264"/>
      <c r="EV144" s="1264"/>
      <c r="EW144" s="1264"/>
      <c r="EX144" s="1264"/>
      <c r="EY144" s="1264"/>
      <c r="EZ144" s="1264"/>
      <c r="FA144" s="1264"/>
      <c r="FB144" s="1264">
        <v>1</v>
      </c>
      <c r="FC144" s="1264"/>
      <c r="FD144" s="1264">
        <v>1</v>
      </c>
      <c r="FE144" s="1264"/>
      <c r="FF144" s="1264"/>
      <c r="FG144" s="1264"/>
      <c r="FH144" s="1264"/>
      <c r="FI144" s="1264"/>
      <c r="FJ144" s="1264"/>
      <c r="FK144" s="1264"/>
      <c r="FL144" s="1264"/>
      <c r="FM144" s="1264"/>
      <c r="FN144" s="1264"/>
      <c r="FO144" s="1264"/>
      <c r="FP144" s="1264"/>
      <c r="FQ144" s="1264"/>
      <c r="FR144" s="1264"/>
      <c r="FS144" s="1264"/>
      <c r="FT144" s="1264"/>
      <c r="FU144" s="1264"/>
      <c r="FV144" s="1264"/>
      <c r="FW144" s="1264"/>
      <c r="FX144" s="1264"/>
      <c r="FY144" s="1264"/>
      <c r="FZ144" s="1264"/>
      <c r="GA144" s="1264"/>
      <c r="GB144" s="1264"/>
      <c r="GC144" s="1264"/>
      <c r="GD144" s="1264"/>
      <c r="GE144" s="1264"/>
      <c r="GF144" s="1264"/>
      <c r="GG144" s="1264"/>
      <c r="GH144" s="1264"/>
      <c r="GI144" s="1264"/>
      <c r="GJ144" s="1264"/>
      <c r="GK144" s="1264"/>
      <c r="GL144" s="1264"/>
      <c r="GM144" s="1264"/>
      <c r="GN144" s="1264"/>
      <c r="GO144" s="1264"/>
      <c r="GP144" s="1264"/>
      <c r="GQ144" s="1264"/>
      <c r="GR144" s="1264"/>
      <c r="GS144" s="1264"/>
      <c r="GT144" s="1264"/>
      <c r="GU144" s="1264"/>
      <c r="GV144" s="1264"/>
      <c r="GW144" s="1264"/>
      <c r="GX144" s="1264"/>
      <c r="GY144" s="1264"/>
      <c r="GZ144" s="1264"/>
      <c r="HA144" s="1264"/>
      <c r="HB144" s="1264"/>
      <c r="HC144" s="1264"/>
      <c r="HD144" s="1264"/>
      <c r="HE144" s="1264"/>
      <c r="HF144" s="1264"/>
      <c r="HG144" s="1264"/>
      <c r="HH144" s="1264"/>
      <c r="HI144" s="1264"/>
      <c r="HJ144" s="1264"/>
      <c r="HK144" s="1264"/>
    </row>
    <row r="145" spans="1:219" hidden="1">
      <c r="A145" s="1299"/>
      <c r="B145" s="1300"/>
      <c r="C145" s="1299"/>
      <c r="D145" s="1301"/>
      <c r="E145" s="1301"/>
      <c r="F145" s="1302"/>
      <c r="G145" s="1301"/>
      <c r="H145" s="726"/>
      <c r="I145" s="1303"/>
      <c r="J145" s="1304"/>
      <c r="K145" s="786" t="s">
        <v>293</v>
      </c>
      <c r="L145" s="1255">
        <f>(L143*L144*$G143)*$L$8</f>
        <v>0</v>
      </c>
      <c r="M145" s="1256"/>
      <c r="N145" s="1255">
        <f>(N143*N144*$G143)*$L$8</f>
        <v>0</v>
      </c>
      <c r="O145" s="1256"/>
      <c r="P145" s="1255">
        <f>(P143*P144*$G143)*$L$8</f>
        <v>0</v>
      </c>
      <c r="Q145" s="1256"/>
      <c r="R145" s="1255">
        <f>(R143*R144*$G143)*$L$8</f>
        <v>0</v>
      </c>
      <c r="S145" s="1256"/>
      <c r="T145" s="1255">
        <f>(T143*T144*$G143)*$T$8</f>
        <v>0</v>
      </c>
      <c r="U145" s="1256"/>
      <c r="V145" s="1255">
        <f>(V143*V144*$G143)*$T$8</f>
        <v>0</v>
      </c>
      <c r="W145" s="1256"/>
      <c r="X145" s="1255">
        <f>(X143*X144*$G143)*$T$8</f>
        <v>0</v>
      </c>
      <c r="Y145" s="1256"/>
      <c r="Z145" s="1255">
        <f>(Z143*Z144*$G143)*$T$8</f>
        <v>0</v>
      </c>
      <c r="AA145" s="1256"/>
      <c r="AB145" s="1255">
        <f>(AB143*AB144*$G143)*$AB$8</f>
        <v>0</v>
      </c>
      <c r="AC145" s="1256"/>
      <c r="AD145" s="1255">
        <f>(AD143*AD144*$G143)*$AB$8</f>
        <v>0</v>
      </c>
      <c r="AE145" s="1256"/>
      <c r="AF145" s="1255">
        <f>(AF143*AF144*$G143)*$AB$8</f>
        <v>0</v>
      </c>
      <c r="AG145" s="1256"/>
      <c r="AH145" s="1255">
        <f>(AH143*AH144*$G143)*$AB$8</f>
        <v>0</v>
      </c>
      <c r="AI145" s="1256"/>
      <c r="AJ145" s="1255">
        <f>(AJ143*AJ144*$G143)*$AJ$8</f>
        <v>0</v>
      </c>
      <c r="AK145" s="1256"/>
      <c r="AL145" s="1255">
        <f>(AL143*AL144*$G143)*$AJ$8</f>
        <v>0</v>
      </c>
      <c r="AM145" s="1256"/>
      <c r="AN145" s="1255">
        <f>(AN143*AN144*$G143)*$AJ$8</f>
        <v>0</v>
      </c>
      <c r="AO145" s="1256"/>
      <c r="AP145" s="1255">
        <f>(AP143*AP144*$G143)*$AJ$8</f>
        <v>0</v>
      </c>
      <c r="AQ145" s="1256"/>
      <c r="AR145" s="1255">
        <f>(AR143*AR144*$G143)*$AT$8</f>
        <v>0</v>
      </c>
      <c r="AS145" s="1256"/>
      <c r="AT145" s="1255">
        <f>(AT143*AT144*$G143)*$AT$8</f>
        <v>0</v>
      </c>
      <c r="AU145" s="1256"/>
      <c r="AV145" s="1255">
        <f>(AV143*AV144*$G143)*$AT$8</f>
        <v>0</v>
      </c>
      <c r="AW145" s="1256"/>
      <c r="AX145" s="1255">
        <f>(AX143*AX144*$G143)*$AT$8</f>
        <v>7432.2580645161288</v>
      </c>
      <c r="AY145" s="1256"/>
      <c r="AZ145" s="1255">
        <f>(AZ143*AZ144*$G143)*$AT$8</f>
        <v>3452.8201974647222</v>
      </c>
      <c r="BA145" s="1256"/>
      <c r="BB145" s="1255">
        <f>(BB143*BB144*$G143)*$BB$8</f>
        <v>0</v>
      </c>
      <c r="BC145" s="1256"/>
      <c r="BD145" s="1255">
        <f>(BD143*BD144*$G143)*$BB$8</f>
        <v>0</v>
      </c>
      <c r="BE145" s="1256"/>
      <c r="BF145" s="1255">
        <f>(BF143*BF144*$G143)*$BB$8</f>
        <v>0</v>
      </c>
      <c r="BG145" s="1256"/>
      <c r="BH145" s="1255">
        <f>(BH143*BH144*$G143)*$BJ$8</f>
        <v>0</v>
      </c>
      <c r="BI145" s="1256"/>
      <c r="BJ145" s="1255">
        <f>(BJ143*BJ144*$G143)*$BJ$8</f>
        <v>0</v>
      </c>
      <c r="BK145" s="1256"/>
      <c r="BL145" s="1255">
        <f>(BL143*BL144*$G143)*$BJ$8</f>
        <v>0</v>
      </c>
      <c r="BM145" s="1256"/>
      <c r="BN145" s="1255">
        <f>(BN143*BN144*$G143)*$BJ$8</f>
        <v>0</v>
      </c>
      <c r="BO145" s="1256"/>
      <c r="BP145" s="1255">
        <f>(BP143*BP144*$G143)*$BT$8</f>
        <v>0</v>
      </c>
      <c r="BQ145" s="1256"/>
      <c r="BR145" s="1255">
        <f>(BR143*BR144*$G143)*$BT$8</f>
        <v>0</v>
      </c>
      <c r="BS145" s="1256"/>
      <c r="BT145" s="1255">
        <f>(BT143*BT144*$G143)*$BT$8</f>
        <v>0</v>
      </c>
      <c r="BU145" s="1256"/>
      <c r="BV145" s="1255">
        <f>(BV143*BV144*$G143)*$BT$8</f>
        <v>0</v>
      </c>
      <c r="BW145" s="1256"/>
      <c r="BX145" s="1255">
        <f>(BX143*BX144*$G143)*$CB$8</f>
        <v>0</v>
      </c>
      <c r="BY145" s="1256"/>
      <c r="BZ145" s="1255">
        <f>(BZ143*BZ144*$G143)*$CB$8</f>
        <v>0</v>
      </c>
      <c r="CA145" s="1256"/>
      <c r="CB145" s="1255">
        <f>(CB143*CB144*$G143)*$CB$8</f>
        <v>0</v>
      </c>
      <c r="CC145" s="1256"/>
      <c r="CD145" s="1255">
        <f>(CD143*CD144*$G143)*$CB$8</f>
        <v>0</v>
      </c>
      <c r="CE145" s="1256"/>
      <c r="CF145" s="1255">
        <f>(CF143*CF144*$G143)*$CB$8</f>
        <v>0</v>
      </c>
      <c r="CG145" s="1256"/>
      <c r="CH145" s="1255">
        <f>(CH143*CH144*$G143)*$CJ$8</f>
        <v>0</v>
      </c>
      <c r="CI145" s="1256"/>
      <c r="CJ145" s="1255">
        <f>(CJ143*CJ144*$G143)*$CJ$8</f>
        <v>0</v>
      </c>
      <c r="CK145" s="1256"/>
      <c r="CL145" s="1255">
        <f>(CL143*CL144*$G143)*$CJ$8</f>
        <v>0</v>
      </c>
      <c r="CM145" s="1256"/>
      <c r="CN145" s="1255">
        <f>(CN143*CN144*$G143)*$CT$8</f>
        <v>0</v>
      </c>
      <c r="CO145" s="1256"/>
      <c r="CP145" s="1255">
        <f>(CP143*CP144*$G143)*$CB$8</f>
        <v>0</v>
      </c>
      <c r="CQ145" s="1256"/>
      <c r="CR145" s="1255">
        <f>(CR143*CR144*$G143)*$CB$8</f>
        <v>0</v>
      </c>
      <c r="CS145" s="1256"/>
      <c r="CT145" s="1255">
        <f>(CT143*CT144*$G143)*$CT$8</f>
        <v>0</v>
      </c>
      <c r="CU145" s="1256"/>
      <c r="CV145" s="1255">
        <f>(CV143*CV144*$G143)*$CT$8</f>
        <v>0</v>
      </c>
      <c r="CW145" s="1256"/>
      <c r="CX145" s="1255">
        <f>(CX143*CX144*$G143)*$CT$8</f>
        <v>0</v>
      </c>
      <c r="CY145" s="1256"/>
      <c r="CZ145" s="1255">
        <f>(CZ143*CZ144*$G143)*$CT$8</f>
        <v>0</v>
      </c>
      <c r="DA145" s="1256"/>
      <c r="DB145" s="1255">
        <f>(DB143*DB144*$G143)*$DB$8</f>
        <v>0</v>
      </c>
      <c r="DC145" s="1256"/>
      <c r="DD145" s="1255">
        <f>(DD143*DD144*$G143)*$DB$8</f>
        <v>0</v>
      </c>
      <c r="DE145" s="1256"/>
      <c r="DF145" s="1255">
        <f>(DF143*DF144*$G143)*$DB$8</f>
        <v>0</v>
      </c>
      <c r="DG145" s="1256"/>
      <c r="DH145" s="1255">
        <f>(DH143*DH144*$G143)*$DB$8</f>
        <v>0</v>
      </c>
      <c r="DI145" s="1256"/>
      <c r="DJ145" s="1257">
        <f>(DJ143*DJ144*$G143)*$DB$8</f>
        <v>0</v>
      </c>
      <c r="DK145" s="1258"/>
      <c r="DL145" s="1255">
        <f>(DL143*DL144*$G143)*$DL$8</f>
        <v>0</v>
      </c>
      <c r="DM145" s="1256"/>
      <c r="DN145" s="1255">
        <f>(DN143*DN144*$G143)*$DL$8</f>
        <v>0</v>
      </c>
      <c r="DO145" s="1256"/>
      <c r="DP145" s="1255">
        <f>(DP143*DP144*$G143)*$DL$8</f>
        <v>0</v>
      </c>
      <c r="DQ145" s="1256"/>
      <c r="DR145" s="1313">
        <f>(DR143*DR144*$G143)*$DT$8</f>
        <v>0</v>
      </c>
      <c r="DS145" s="1314"/>
      <c r="DT145" s="1313">
        <f>(DT143*DT144*$G143)*$EB$8</f>
        <v>0</v>
      </c>
      <c r="DU145" s="1314"/>
      <c r="DV145" s="1313">
        <f>(DV143*DV144*$G143)*$EB$8</f>
        <v>0</v>
      </c>
      <c r="DW145" s="1314"/>
      <c r="DX145" s="1313">
        <f>(DX143*DX144*$G143)*$EB$8</f>
        <v>0</v>
      </c>
      <c r="DY145" s="1314"/>
      <c r="DZ145" s="1313">
        <f>(DZ143*DZ144*$G143)*$EB$8</f>
        <v>0</v>
      </c>
      <c r="EA145" s="1314"/>
      <c r="EB145" s="1313">
        <f>(EB143*EB144*$G143)*$EJ$8</f>
        <v>0</v>
      </c>
      <c r="EC145" s="1314"/>
      <c r="ED145" s="1313">
        <f>(ED143*ED144*$G143)*$EJ$8</f>
        <v>0</v>
      </c>
      <c r="EE145" s="1314"/>
      <c r="EF145" s="1313">
        <f>(EF143*EF144*$G143)*$EJ$8</f>
        <v>0</v>
      </c>
      <c r="EG145" s="1314"/>
      <c r="EH145" s="1313">
        <f>(EH143*EH144*$G143)*$EJ$8</f>
        <v>0</v>
      </c>
      <c r="EI145" s="1314"/>
      <c r="EJ145" s="1313">
        <f>(EJ143*EJ144*$G143)*$EJ$8</f>
        <v>0</v>
      </c>
      <c r="EK145" s="1314"/>
      <c r="EL145" s="1313">
        <f>(EL143*EL144*$G143)*$EJ$8</f>
        <v>0</v>
      </c>
      <c r="EM145" s="1314"/>
      <c r="EN145" s="1313">
        <f>(EN143*EN144*$G143)*$EJ$8</f>
        <v>0</v>
      </c>
      <c r="EO145" s="1314"/>
      <c r="EP145" s="1313">
        <f>(EP143*EP144*$G143)*$EJ$8</f>
        <v>0</v>
      </c>
      <c r="EQ145" s="1314"/>
      <c r="ER145" s="1313">
        <f>(ER143*ER144*$G143)*$EJ$8</f>
        <v>0</v>
      </c>
      <c r="ES145" s="1314"/>
      <c r="ET145" s="1255">
        <f>(ET143*ET144*$G143)*$ET$8</f>
        <v>0</v>
      </c>
      <c r="EU145" s="1256"/>
      <c r="EV145" s="1255">
        <f>(EV143*EV144*$G143)*$ET$8</f>
        <v>0</v>
      </c>
      <c r="EW145" s="1256"/>
      <c r="EX145" s="1255">
        <f>(EX143*EX144*$G143)*$ET$8</f>
        <v>0</v>
      </c>
      <c r="EY145" s="1256"/>
      <c r="EZ145" s="1255">
        <f>(EZ143*EZ144*$G143)*$ET$8</f>
        <v>0</v>
      </c>
      <c r="FA145" s="1256"/>
      <c r="FB145" s="1255" t="e">
        <f>(FB143*FB144*$G143)*$FB$8</f>
        <v>#REF!</v>
      </c>
      <c r="FC145" s="1256"/>
      <c r="FD145" s="1255">
        <f>(FD143*FD144*$G143)*$FB$8</f>
        <v>6309.6455095618494</v>
      </c>
      <c r="FE145" s="1256"/>
      <c r="FF145" s="1255">
        <f>(FF143*FF144*$G143)*$FB$8</f>
        <v>0</v>
      </c>
      <c r="FG145" s="1256"/>
      <c r="FH145" s="1255">
        <f>(FH143*FH144*$G143)*$FB$8</f>
        <v>0</v>
      </c>
      <c r="FI145" s="1256"/>
      <c r="FJ145" s="1255">
        <f>(FJ143*FJ144*$G143)*$DB$8</f>
        <v>0</v>
      </c>
      <c r="FK145" s="1256"/>
      <c r="FL145" s="1255">
        <f>(FL143*FL144*$G143)*$DB$8</f>
        <v>0</v>
      </c>
      <c r="FM145" s="1256"/>
      <c r="FN145" s="1255">
        <f>(FN143*FN144*$G143)*$DB$8</f>
        <v>0</v>
      </c>
      <c r="FO145" s="1256"/>
      <c r="FP145" s="1255">
        <f>(FP143*FP144*$G143)*$DB$8</f>
        <v>0</v>
      </c>
      <c r="FQ145" s="1256"/>
      <c r="FR145" s="1255">
        <f>(FR143*FR144*$G143)*$DB$8</f>
        <v>0</v>
      </c>
      <c r="FS145" s="1256"/>
      <c r="FT145" s="1255">
        <f>(FT143*FT144*$G143)*$DB$8</f>
        <v>0</v>
      </c>
      <c r="FU145" s="1256"/>
      <c r="FV145" s="1255">
        <f>(FV143*FV144*$G143)*$DB$8</f>
        <v>0</v>
      </c>
      <c r="FW145" s="1256"/>
      <c r="FX145" s="1255">
        <f>(FX143*FX144*$G143)*$DB$8</f>
        <v>0</v>
      </c>
      <c r="FY145" s="1256"/>
      <c r="FZ145" s="1255">
        <f>(FZ143*FZ144*$G143)*$DB$8</f>
        <v>0</v>
      </c>
      <c r="GA145" s="1256"/>
      <c r="GB145" s="1255">
        <f>(GB143*GB144*$G143)*$DB$8</f>
        <v>0</v>
      </c>
      <c r="GC145" s="1256"/>
      <c r="GD145" s="1255">
        <f>(GD143*GD144*$G143)*$DB$8</f>
        <v>0</v>
      </c>
      <c r="GE145" s="1256"/>
      <c r="GF145" s="1255">
        <f>(GF143*GF144*$G143)*$DB$8</f>
        <v>0</v>
      </c>
      <c r="GG145" s="1256"/>
      <c r="GH145" s="1255">
        <f>(GH143*GH144*$G143)*$DB$8</f>
        <v>0</v>
      </c>
      <c r="GI145" s="1256"/>
      <c r="GJ145" s="1255">
        <f>(GJ143*GJ144*$G143)*$DB$8</f>
        <v>0</v>
      </c>
      <c r="GK145" s="1256"/>
      <c r="GL145" s="1255">
        <f>(GL143*GL144*$G143)*$DB$8</f>
        <v>0</v>
      </c>
      <c r="GM145" s="1256"/>
      <c r="GN145" s="1255">
        <f>(GN143*GN144*$G143)*$DB$8</f>
        <v>0</v>
      </c>
      <c r="GO145" s="1256"/>
      <c r="GP145" s="1255">
        <f>(GP143*GP144*$G143)*$DB$8</f>
        <v>0</v>
      </c>
      <c r="GQ145" s="1256"/>
      <c r="GR145" s="1255">
        <f>(GR143*GR144*$G143)*$DB$8</f>
        <v>0</v>
      </c>
      <c r="GS145" s="1256"/>
      <c r="GT145" s="1255">
        <f>(GT143*GT144*$G143)*$DB$8</f>
        <v>0</v>
      </c>
      <c r="GU145" s="1256"/>
      <c r="GV145" s="1255">
        <f>(GV143*GV144*$G143)*$DB$8</f>
        <v>0</v>
      </c>
      <c r="GW145" s="1256"/>
      <c r="GX145" s="1255">
        <f>(GX143*GX144*$G143)*$DB$8</f>
        <v>0</v>
      </c>
      <c r="GY145" s="1256"/>
      <c r="GZ145" s="1255">
        <f>(GZ143*GZ144*$G143)*$DB$8</f>
        <v>0</v>
      </c>
      <c r="HA145" s="1256"/>
      <c r="HB145" s="1255">
        <f>(HB143*HB144*$G143)*$DB$8</f>
        <v>0</v>
      </c>
      <c r="HC145" s="1256"/>
      <c r="HD145" s="1255">
        <f>(HD143*HD144*$G143)*$DB$8</f>
        <v>0</v>
      </c>
      <c r="HE145" s="1256"/>
      <c r="HF145" s="1255">
        <f>(HF143*HF144*$G143)*$DB$8</f>
        <v>0</v>
      </c>
      <c r="HG145" s="1256"/>
      <c r="HH145" s="1255">
        <f>(HH143*HH144*$G143)*$DB$8</f>
        <v>0</v>
      </c>
      <c r="HI145" s="1256"/>
      <c r="HJ145" s="1255">
        <f>(HJ143*HJ144*$G143)*$DB$8</f>
        <v>0</v>
      </c>
      <c r="HK145" s="1256"/>
    </row>
    <row r="146" spans="1:219" hidden="1">
      <c r="A146" s="1299"/>
      <c r="B146" s="1300"/>
      <c r="C146" s="1299"/>
      <c r="D146" s="1301"/>
      <c r="E146" s="1301"/>
      <c r="F146" s="1302"/>
      <c r="G146" s="1301"/>
      <c r="H146" s="726"/>
      <c r="I146" s="1303"/>
      <c r="J146" s="1304"/>
      <c r="K146" s="787" t="s">
        <v>294</v>
      </c>
      <c r="L146" s="1272">
        <f>L145</f>
        <v>0</v>
      </c>
      <c r="M146" s="1273"/>
      <c r="N146" s="1272">
        <f>L146+N145</f>
        <v>0</v>
      </c>
      <c r="O146" s="1273"/>
      <c r="P146" s="1272">
        <f>N146+P145</f>
        <v>0</v>
      </c>
      <c r="Q146" s="1273"/>
      <c r="R146" s="1272">
        <f>P146+R145</f>
        <v>0</v>
      </c>
      <c r="S146" s="1273"/>
      <c r="T146" s="1272">
        <f>R146+T145</f>
        <v>0</v>
      </c>
      <c r="U146" s="1273"/>
      <c r="V146" s="1272">
        <f>T146+V145</f>
        <v>0</v>
      </c>
      <c r="W146" s="1273"/>
      <c r="X146" s="1272">
        <f>V146+X145</f>
        <v>0</v>
      </c>
      <c r="Y146" s="1273"/>
      <c r="Z146" s="1272">
        <f>X146+Z145</f>
        <v>0</v>
      </c>
      <c r="AA146" s="1273"/>
      <c r="AB146" s="1272">
        <f>Z146+AB145</f>
        <v>0</v>
      </c>
      <c r="AC146" s="1273"/>
      <c r="AD146" s="1272">
        <f>AB146+AD145</f>
        <v>0</v>
      </c>
      <c r="AE146" s="1273"/>
      <c r="AF146" s="1272">
        <f>AD146+AF145</f>
        <v>0</v>
      </c>
      <c r="AG146" s="1273"/>
      <c r="AH146" s="1272">
        <f>AF146+AH145</f>
        <v>0</v>
      </c>
      <c r="AI146" s="1273"/>
      <c r="AJ146" s="1272">
        <f>AH146+AJ145</f>
        <v>0</v>
      </c>
      <c r="AK146" s="1273"/>
      <c r="AL146" s="1272">
        <f>AJ146+AL145</f>
        <v>0</v>
      </c>
      <c r="AM146" s="1273"/>
      <c r="AN146" s="1272">
        <f>AL146+AN145</f>
        <v>0</v>
      </c>
      <c r="AO146" s="1273"/>
      <c r="AP146" s="1272">
        <f>AN146+AP145</f>
        <v>0</v>
      </c>
      <c r="AQ146" s="1273"/>
      <c r="AR146" s="1272">
        <f>AP146+AR145</f>
        <v>0</v>
      </c>
      <c r="AS146" s="1273"/>
      <c r="AT146" s="1272">
        <f>AR146+AT145</f>
        <v>0</v>
      </c>
      <c r="AU146" s="1273"/>
      <c r="AV146" s="1272">
        <f>AT146+AV145</f>
        <v>0</v>
      </c>
      <c r="AW146" s="1273"/>
      <c r="AX146" s="1272">
        <f>AV146+AX145</f>
        <v>7432.2580645161288</v>
      </c>
      <c r="AY146" s="1273"/>
      <c r="AZ146" s="1272">
        <f>AX146+AZ145</f>
        <v>10885.078261980851</v>
      </c>
      <c r="BA146" s="1273"/>
      <c r="BB146" s="1272">
        <f>AZ146+BB145</f>
        <v>10885.078261980851</v>
      </c>
      <c r="BC146" s="1273"/>
      <c r="BD146" s="1272">
        <f>BB146+BD145</f>
        <v>10885.078261980851</v>
      </c>
      <c r="BE146" s="1273"/>
      <c r="BF146" s="1272">
        <f>BD146+BF145</f>
        <v>10885.078261980851</v>
      </c>
      <c r="BG146" s="1273"/>
      <c r="BH146" s="1272">
        <f>BF146+BH145</f>
        <v>10885.078261980851</v>
      </c>
      <c r="BI146" s="1273"/>
      <c r="BJ146" s="1272">
        <f>BH146+BJ145</f>
        <v>10885.078261980851</v>
      </c>
      <c r="BK146" s="1273"/>
      <c r="BL146" s="1272">
        <f>BJ146+BL145</f>
        <v>10885.078261980851</v>
      </c>
      <c r="BM146" s="1273"/>
      <c r="BN146" s="1272">
        <f>BL146+BN145</f>
        <v>10885.078261980851</v>
      </c>
      <c r="BO146" s="1273"/>
      <c r="BP146" s="1272">
        <f>BN146+BP145</f>
        <v>10885.078261980851</v>
      </c>
      <c r="BQ146" s="1273"/>
      <c r="BR146" s="1272">
        <f>BP146+BR145</f>
        <v>10885.078261980851</v>
      </c>
      <c r="BS146" s="1273"/>
      <c r="BT146" s="1272">
        <f>BR146+BT145</f>
        <v>10885.078261980851</v>
      </c>
      <c r="BU146" s="1273"/>
      <c r="BV146" s="1272">
        <f>BT146+BV145</f>
        <v>10885.078261980851</v>
      </c>
      <c r="BW146" s="1273"/>
      <c r="BX146" s="1272">
        <f>BV146+BX145</f>
        <v>10885.078261980851</v>
      </c>
      <c r="BY146" s="1273"/>
      <c r="BZ146" s="1272">
        <f>BX146+BZ145</f>
        <v>10885.078261980851</v>
      </c>
      <c r="CA146" s="1273"/>
      <c r="CB146" s="1272">
        <f>BZ146+CB145</f>
        <v>10885.078261980851</v>
      </c>
      <c r="CC146" s="1273"/>
      <c r="CD146" s="1272">
        <f>CB146+CD145</f>
        <v>10885.078261980851</v>
      </c>
      <c r="CE146" s="1273"/>
      <c r="CF146" s="1272">
        <f>CD146+CF145</f>
        <v>10885.078261980851</v>
      </c>
      <c r="CG146" s="1273"/>
      <c r="CH146" s="1272">
        <f>CF146+CH145</f>
        <v>10885.078261980851</v>
      </c>
      <c r="CI146" s="1273"/>
      <c r="CJ146" s="1272">
        <f>CH146+CJ145</f>
        <v>10885.078261980851</v>
      </c>
      <c r="CK146" s="1273"/>
      <c r="CL146" s="1272">
        <f>CJ146+CL145</f>
        <v>10885.078261980851</v>
      </c>
      <c r="CM146" s="1273"/>
      <c r="CN146" s="1272">
        <f>CL146+CN145</f>
        <v>10885.078261980851</v>
      </c>
      <c r="CO146" s="1273"/>
      <c r="CP146" s="1272">
        <f>CN146+CP145</f>
        <v>10885.078261980851</v>
      </c>
      <c r="CQ146" s="1273"/>
      <c r="CR146" s="1272">
        <f>CP146+CR145</f>
        <v>10885.078261980851</v>
      </c>
      <c r="CS146" s="1273"/>
      <c r="CT146" s="1272">
        <f>CR146+CT145</f>
        <v>10885.078261980851</v>
      </c>
      <c r="CU146" s="1273"/>
      <c r="CV146" s="1272">
        <f>CT146+CV145</f>
        <v>10885.078261980851</v>
      </c>
      <c r="CW146" s="1273"/>
      <c r="CX146" s="1272">
        <f>CV146+CX145</f>
        <v>10885.078261980851</v>
      </c>
      <c r="CY146" s="1273"/>
      <c r="CZ146" s="1272">
        <f>CX146+CZ145</f>
        <v>10885.078261980851</v>
      </c>
      <c r="DA146" s="1273"/>
      <c r="DB146" s="1272">
        <f>CZ146+DB145</f>
        <v>10885.078261980851</v>
      </c>
      <c r="DC146" s="1273"/>
      <c r="DD146" s="1272">
        <f>DB146+DD145</f>
        <v>10885.078261980851</v>
      </c>
      <c r="DE146" s="1273"/>
      <c r="DF146" s="1272">
        <f>DD146+DF145</f>
        <v>10885.078261980851</v>
      </c>
      <c r="DG146" s="1273"/>
      <c r="DH146" s="1272">
        <f>DF146+DH145</f>
        <v>10885.078261980851</v>
      </c>
      <c r="DI146" s="1273"/>
      <c r="DJ146" s="1323">
        <f>DH146+DJ145</f>
        <v>10885.078261980851</v>
      </c>
      <c r="DK146" s="1324"/>
      <c r="DL146" s="1272">
        <f>DJ146+DL145</f>
        <v>10885.078261980851</v>
      </c>
      <c r="DM146" s="1273"/>
      <c r="DN146" s="1272">
        <f>DL146+DN145</f>
        <v>10885.078261980851</v>
      </c>
      <c r="DO146" s="1273"/>
      <c r="DP146" s="1272">
        <f>DN146+DP145</f>
        <v>10885.078261980851</v>
      </c>
      <c r="DQ146" s="1273"/>
      <c r="DR146" s="1272">
        <f>DP146+DR145</f>
        <v>10885.078261980851</v>
      </c>
      <c r="DS146" s="1273"/>
      <c r="DT146" s="1272">
        <f>DR146+DT145</f>
        <v>10885.078261980851</v>
      </c>
      <c r="DU146" s="1273"/>
      <c r="DV146" s="1272">
        <f>DT146+DV145</f>
        <v>10885.078261980851</v>
      </c>
      <c r="DW146" s="1273"/>
      <c r="DX146" s="1272">
        <f>DV146+DX145</f>
        <v>10885.078261980851</v>
      </c>
      <c r="DY146" s="1273"/>
      <c r="DZ146" s="1272">
        <f>DX146+DZ145</f>
        <v>10885.078261980851</v>
      </c>
      <c r="EA146" s="1273"/>
      <c r="EB146" s="1272">
        <f>DZ146+EB145</f>
        <v>10885.078261980851</v>
      </c>
      <c r="EC146" s="1273"/>
      <c r="ED146" s="1272">
        <f>EB146+ED145</f>
        <v>10885.078261980851</v>
      </c>
      <c r="EE146" s="1273"/>
      <c r="EF146" s="1272">
        <f>ED146+EF145</f>
        <v>10885.078261980851</v>
      </c>
      <c r="EG146" s="1273"/>
      <c r="EH146" s="1272">
        <f>EF146+EH145</f>
        <v>10885.078261980851</v>
      </c>
      <c r="EI146" s="1273"/>
      <c r="EJ146" s="1272">
        <f>EH146+EJ145</f>
        <v>10885.078261980851</v>
      </c>
      <c r="EK146" s="1273"/>
      <c r="EL146" s="1272">
        <f>EJ146+EL145</f>
        <v>10885.078261980851</v>
      </c>
      <c r="EM146" s="1273"/>
      <c r="EN146" s="1272">
        <f>EL146+EN145</f>
        <v>10885.078261980851</v>
      </c>
      <c r="EO146" s="1273"/>
      <c r="EP146" s="1272">
        <f>EN146+EP145</f>
        <v>10885.078261980851</v>
      </c>
      <c r="EQ146" s="1273"/>
      <c r="ER146" s="1272">
        <f>EP146+ER145</f>
        <v>10885.078261980851</v>
      </c>
      <c r="ES146" s="1273"/>
      <c r="ET146" s="1272">
        <f>ER146+ET145</f>
        <v>10885.078261980851</v>
      </c>
      <c r="EU146" s="1273"/>
      <c r="EV146" s="1272">
        <f>ET146+EV145</f>
        <v>10885.078261980851</v>
      </c>
      <c r="EW146" s="1273"/>
      <c r="EX146" s="1272">
        <f>EV146+EX145</f>
        <v>10885.078261980851</v>
      </c>
      <c r="EY146" s="1273"/>
      <c r="EZ146" s="1272">
        <f>EX146+EZ145</f>
        <v>10885.078261980851</v>
      </c>
      <c r="FA146" s="1273"/>
      <c r="FB146" s="1272" t="e">
        <f>EZ146+FB145</f>
        <v>#REF!</v>
      </c>
      <c r="FC146" s="1273"/>
      <c r="FD146" s="1272" t="e">
        <f>FB146+FD145</f>
        <v>#REF!</v>
      </c>
      <c r="FE146" s="1273"/>
      <c r="FF146" s="1272" t="e">
        <f>FD146+FF145</f>
        <v>#REF!</v>
      </c>
      <c r="FG146" s="1273"/>
      <c r="FH146" s="1272" t="e">
        <f>FF146+FH145</f>
        <v>#REF!</v>
      </c>
      <c r="FI146" s="1273"/>
      <c r="FJ146" s="1272" t="e">
        <f>FH146+FJ145</f>
        <v>#REF!</v>
      </c>
      <c r="FK146" s="1273"/>
      <c r="FL146" s="1272" t="e">
        <f>FJ146+FL145</f>
        <v>#REF!</v>
      </c>
      <c r="FM146" s="1273"/>
      <c r="FN146" s="1272" t="e">
        <f>FL146+FN145</f>
        <v>#REF!</v>
      </c>
      <c r="FO146" s="1273"/>
      <c r="FP146" s="1272" t="e">
        <f>FN146+FP145</f>
        <v>#REF!</v>
      </c>
      <c r="FQ146" s="1273"/>
      <c r="FR146" s="1272" t="e">
        <f>FP146+FR145</f>
        <v>#REF!</v>
      </c>
      <c r="FS146" s="1273"/>
      <c r="FT146" s="1272" t="e">
        <f>FR146+FT145</f>
        <v>#REF!</v>
      </c>
      <c r="FU146" s="1273"/>
      <c r="FV146" s="1272" t="e">
        <f>FT146+FV145</f>
        <v>#REF!</v>
      </c>
      <c r="FW146" s="1273"/>
      <c r="FX146" s="1272" t="e">
        <f>FV146+FX145</f>
        <v>#REF!</v>
      </c>
      <c r="FY146" s="1273"/>
      <c r="FZ146" s="1272" t="e">
        <f>FX146+FZ145</f>
        <v>#REF!</v>
      </c>
      <c r="GA146" s="1273"/>
      <c r="GB146" s="1272" t="e">
        <f>FZ146+GB145</f>
        <v>#REF!</v>
      </c>
      <c r="GC146" s="1273"/>
      <c r="GD146" s="1272" t="e">
        <f>GB146+GD145</f>
        <v>#REF!</v>
      </c>
      <c r="GE146" s="1273"/>
      <c r="GF146" s="1272" t="e">
        <f>GD146+GF145</f>
        <v>#REF!</v>
      </c>
      <c r="GG146" s="1273"/>
      <c r="GH146" s="1272" t="e">
        <f>GF146+GH145</f>
        <v>#REF!</v>
      </c>
      <c r="GI146" s="1273"/>
      <c r="GJ146" s="1272" t="e">
        <f>GH146+GJ145</f>
        <v>#REF!</v>
      </c>
      <c r="GK146" s="1273"/>
      <c r="GL146" s="1272" t="e">
        <f>GJ146+GL145</f>
        <v>#REF!</v>
      </c>
      <c r="GM146" s="1273"/>
      <c r="GN146" s="1272" t="e">
        <f>GL146+GN145</f>
        <v>#REF!</v>
      </c>
      <c r="GO146" s="1273"/>
      <c r="GP146" s="1272" t="e">
        <f>GN146+GP145</f>
        <v>#REF!</v>
      </c>
      <c r="GQ146" s="1273"/>
      <c r="GR146" s="1272" t="e">
        <f>GP146+GR145</f>
        <v>#REF!</v>
      </c>
      <c r="GS146" s="1273"/>
      <c r="GT146" s="1272" t="e">
        <f>GR146+GT145</f>
        <v>#REF!</v>
      </c>
      <c r="GU146" s="1273"/>
      <c r="GV146" s="1272" t="e">
        <f>GT146+GV145</f>
        <v>#REF!</v>
      </c>
      <c r="GW146" s="1273"/>
      <c r="GX146" s="1272" t="e">
        <f>GV146+GX145</f>
        <v>#REF!</v>
      </c>
      <c r="GY146" s="1273"/>
      <c r="GZ146" s="1272" t="e">
        <f>GX146+GZ145</f>
        <v>#REF!</v>
      </c>
      <c r="HA146" s="1273"/>
      <c r="HB146" s="1272" t="e">
        <f>GZ146+HB145</f>
        <v>#REF!</v>
      </c>
      <c r="HC146" s="1273"/>
      <c r="HD146" s="1272" t="e">
        <f>HB146+HD145</f>
        <v>#REF!</v>
      </c>
      <c r="HE146" s="1273"/>
      <c r="HF146" s="1272" t="e">
        <f>HD146+HF145</f>
        <v>#REF!</v>
      </c>
      <c r="HG146" s="1273"/>
      <c r="HH146" s="1272" t="e">
        <f>HF146+HH145</f>
        <v>#REF!</v>
      </c>
      <c r="HI146" s="1273"/>
      <c r="HJ146" s="1272" t="e">
        <f>HH146+HJ145</f>
        <v>#REF!</v>
      </c>
      <c r="HK146" s="1273"/>
    </row>
    <row r="147" spans="1:219" s="19" customFormat="1" hidden="1">
      <c r="A147" s="1299"/>
      <c r="B147" s="1300"/>
      <c r="C147" s="1299"/>
      <c r="D147" s="1301"/>
      <c r="E147" s="1301"/>
      <c r="F147" s="1302"/>
      <c r="G147" s="1301"/>
      <c r="H147" s="788"/>
      <c r="I147" s="1303"/>
      <c r="J147" s="1304"/>
      <c r="K147" s="789" t="s">
        <v>295</v>
      </c>
      <c r="L147" s="1266"/>
      <c r="M147" s="1267"/>
      <c r="N147" s="1266"/>
      <c r="O147" s="1267"/>
      <c r="P147" s="1266"/>
      <c r="Q147" s="1267"/>
      <c r="R147" s="1266"/>
      <c r="S147" s="1267"/>
      <c r="T147" s="1266"/>
      <c r="U147" s="1267"/>
      <c r="V147" s="1266"/>
      <c r="W147" s="1267"/>
      <c r="X147" s="1266"/>
      <c r="Y147" s="1267"/>
      <c r="Z147" s="1266"/>
      <c r="AA147" s="1267"/>
      <c r="AB147" s="1266"/>
      <c r="AC147" s="1267"/>
      <c r="AD147" s="1266"/>
      <c r="AE147" s="1267"/>
      <c r="AF147" s="1266"/>
      <c r="AG147" s="1267"/>
      <c r="AH147" s="1266"/>
      <c r="AI147" s="1267"/>
      <c r="AJ147" s="1266"/>
      <c r="AK147" s="1267"/>
      <c r="AL147" s="1266"/>
      <c r="AM147" s="1267"/>
      <c r="AN147" s="1266"/>
      <c r="AO147" s="1267"/>
      <c r="AP147" s="1266"/>
      <c r="AQ147" s="1267"/>
      <c r="AR147" s="1266"/>
      <c r="AS147" s="1267"/>
      <c r="AT147" s="1266"/>
      <c r="AU147" s="1267"/>
      <c r="AV147" s="1266"/>
      <c r="AW147" s="1267"/>
      <c r="AX147" s="1266"/>
      <c r="AY147" s="1267"/>
      <c r="AZ147" s="1266"/>
      <c r="BA147" s="1267"/>
      <c r="BB147" s="1266"/>
      <c r="BC147" s="1267"/>
      <c r="BD147" s="1266"/>
      <c r="BE147" s="1267"/>
      <c r="BF147" s="1266"/>
      <c r="BG147" s="1267"/>
      <c r="BH147" s="1266"/>
      <c r="BI147" s="1267"/>
      <c r="BJ147" s="1266"/>
      <c r="BK147" s="1267"/>
      <c r="BL147" s="1266"/>
      <c r="BM147" s="1267"/>
      <c r="BN147" s="1266"/>
      <c r="BO147" s="1267"/>
      <c r="BP147" s="1266"/>
      <c r="BQ147" s="1267"/>
      <c r="BR147" s="1266"/>
      <c r="BS147" s="1267"/>
      <c r="BT147" s="1266"/>
      <c r="BU147" s="1267"/>
      <c r="BV147" s="1266"/>
      <c r="BW147" s="1267"/>
      <c r="BX147" s="1266"/>
      <c r="BY147" s="1267"/>
      <c r="BZ147" s="1266"/>
      <c r="CA147" s="1267"/>
      <c r="CB147" s="1266"/>
      <c r="CC147" s="1267"/>
      <c r="CD147" s="1266"/>
      <c r="CE147" s="1267"/>
      <c r="CF147" s="1266"/>
      <c r="CG147" s="1267"/>
      <c r="CH147" s="1266"/>
      <c r="CI147" s="1267"/>
      <c r="CJ147" s="1266"/>
      <c r="CK147" s="1267"/>
      <c r="CL147" s="1266"/>
      <c r="CM147" s="1267"/>
      <c r="CN147" s="1266"/>
      <c r="CO147" s="1267"/>
      <c r="CP147" s="1266"/>
      <c r="CQ147" s="1267"/>
      <c r="CR147" s="1266"/>
      <c r="CS147" s="1267"/>
      <c r="CT147" s="1266"/>
      <c r="CU147" s="1267"/>
      <c r="CV147" s="1266"/>
      <c r="CW147" s="1267"/>
      <c r="CX147" s="1266"/>
      <c r="CY147" s="1267"/>
      <c r="CZ147" s="1266"/>
      <c r="DA147" s="1267"/>
      <c r="DB147" s="1266"/>
      <c r="DC147" s="1267"/>
      <c r="DD147" s="1266"/>
      <c r="DE147" s="1267"/>
      <c r="DF147" s="1266"/>
      <c r="DG147" s="1267"/>
      <c r="DH147" s="1266"/>
      <c r="DI147" s="1267"/>
      <c r="DJ147" s="1268"/>
      <c r="DK147" s="1269"/>
      <c r="DL147" s="1266"/>
      <c r="DM147" s="1267"/>
      <c r="DN147" s="1266"/>
      <c r="DO147" s="1267"/>
      <c r="DP147" s="1266"/>
      <c r="DQ147" s="1267"/>
      <c r="DR147" s="1266"/>
      <c r="DS147" s="1267"/>
      <c r="DT147" s="1266"/>
      <c r="DU147" s="1267"/>
      <c r="DV147" s="1266"/>
      <c r="DW147" s="1267"/>
      <c r="DX147" s="1266"/>
      <c r="DY147" s="1267"/>
      <c r="DZ147" s="1266"/>
      <c r="EA147" s="1267"/>
      <c r="EB147" s="1266"/>
      <c r="EC147" s="1267"/>
      <c r="ED147" s="1266"/>
      <c r="EE147" s="1267"/>
      <c r="EF147" s="1266"/>
      <c r="EG147" s="1267"/>
      <c r="EH147" s="1266"/>
      <c r="EI147" s="1267"/>
      <c r="EJ147" s="1266"/>
      <c r="EK147" s="1267"/>
      <c r="EL147" s="1266"/>
      <c r="EM147" s="1267"/>
      <c r="EN147" s="1266"/>
      <c r="EO147" s="1267"/>
      <c r="EP147" s="1266"/>
      <c r="EQ147" s="1267"/>
      <c r="ER147" s="1266"/>
      <c r="ES147" s="1267"/>
      <c r="ET147" s="1266"/>
      <c r="EU147" s="1267"/>
      <c r="EV147" s="1266"/>
      <c r="EW147" s="1267"/>
      <c r="EX147" s="1266"/>
      <c r="EY147" s="1267"/>
      <c r="EZ147" s="1266"/>
      <c r="FA147" s="1267"/>
      <c r="FB147" s="1266"/>
      <c r="FC147" s="1267"/>
      <c r="FD147" s="1266"/>
      <c r="FE147" s="1267"/>
      <c r="FF147" s="1266"/>
      <c r="FG147" s="1267"/>
      <c r="FH147" s="1266"/>
      <c r="FI147" s="1267"/>
      <c r="FJ147" s="1266"/>
      <c r="FK147" s="1267"/>
      <c r="FL147" s="1266"/>
      <c r="FM147" s="1267"/>
      <c r="FN147" s="1266"/>
      <c r="FO147" s="1267"/>
      <c r="FP147" s="1266"/>
      <c r="FQ147" s="1267"/>
      <c r="FR147" s="1266"/>
      <c r="FS147" s="1267"/>
      <c r="FT147" s="1266"/>
      <c r="FU147" s="1267"/>
      <c r="FV147" s="1266"/>
      <c r="FW147" s="1267"/>
      <c r="FX147" s="1266"/>
      <c r="FY147" s="1267"/>
      <c r="FZ147" s="1266"/>
      <c r="GA147" s="1267"/>
      <c r="GB147" s="1266"/>
      <c r="GC147" s="1267"/>
      <c r="GD147" s="1266"/>
      <c r="GE147" s="1267"/>
      <c r="GF147" s="1266"/>
      <c r="GG147" s="1267"/>
      <c r="GH147" s="1266"/>
      <c r="GI147" s="1267"/>
      <c r="GJ147" s="1266"/>
      <c r="GK147" s="1267"/>
      <c r="GL147" s="1266"/>
      <c r="GM147" s="1267"/>
      <c r="GN147" s="1266"/>
      <c r="GO147" s="1267"/>
      <c r="GP147" s="1266"/>
      <c r="GQ147" s="1267"/>
      <c r="GR147" s="1266"/>
      <c r="GS147" s="1267"/>
      <c r="GT147" s="1266"/>
      <c r="GU147" s="1267"/>
      <c r="GV147" s="1266"/>
      <c r="GW147" s="1267"/>
      <c r="GX147" s="1266"/>
      <c r="GY147" s="1267"/>
      <c r="GZ147" s="1266"/>
      <c r="HA147" s="1267"/>
      <c r="HB147" s="1266"/>
      <c r="HC147" s="1267"/>
      <c r="HD147" s="1266"/>
      <c r="HE147" s="1267"/>
      <c r="HF147" s="1266"/>
      <c r="HG147" s="1267"/>
      <c r="HH147" s="1266"/>
      <c r="HI147" s="1267"/>
      <c r="HJ147" s="1266"/>
      <c r="HK147" s="1267"/>
    </row>
    <row r="148" spans="1:219" s="20" customFormat="1" hidden="1">
      <c r="A148" s="1299"/>
      <c r="B148" s="1300"/>
      <c r="C148" s="1299"/>
      <c r="D148" s="1301"/>
      <c r="E148" s="1301"/>
      <c r="F148" s="1302"/>
      <c r="G148" s="1301"/>
      <c r="H148" s="790"/>
      <c r="I148" s="1303"/>
      <c r="J148" s="1304"/>
      <c r="K148" s="791" t="s">
        <v>296</v>
      </c>
      <c r="L148" s="1259">
        <f>L147</f>
        <v>0</v>
      </c>
      <c r="M148" s="1260"/>
      <c r="N148" s="1259">
        <f>N147+L148</f>
        <v>0</v>
      </c>
      <c r="O148" s="1260"/>
      <c r="P148" s="1259">
        <f>P147+N148</f>
        <v>0</v>
      </c>
      <c r="Q148" s="1260"/>
      <c r="R148" s="1259">
        <f>R147+P148</f>
        <v>0</v>
      </c>
      <c r="S148" s="1260"/>
      <c r="T148" s="1259">
        <f>T147+R148</f>
        <v>0</v>
      </c>
      <c r="U148" s="1260"/>
      <c r="V148" s="1259">
        <f>V147+T148</f>
        <v>0</v>
      </c>
      <c r="W148" s="1260"/>
      <c r="X148" s="1259">
        <f>X147+V148</f>
        <v>0</v>
      </c>
      <c r="Y148" s="1260"/>
      <c r="Z148" s="1259">
        <f>Z147+X148</f>
        <v>0</v>
      </c>
      <c r="AA148" s="1260"/>
      <c r="AB148" s="1259">
        <f>AB147+Z148</f>
        <v>0</v>
      </c>
      <c r="AC148" s="1260"/>
      <c r="AD148" s="1259">
        <f>AD147+AB148</f>
        <v>0</v>
      </c>
      <c r="AE148" s="1260"/>
      <c r="AF148" s="1259">
        <f>AF147+AD148</f>
        <v>0</v>
      </c>
      <c r="AG148" s="1260"/>
      <c r="AH148" s="1259">
        <f>AH147+AF148</f>
        <v>0</v>
      </c>
      <c r="AI148" s="1260"/>
      <c r="AJ148" s="1259">
        <f>AJ147+AH148</f>
        <v>0</v>
      </c>
      <c r="AK148" s="1260"/>
      <c r="AL148" s="1259">
        <f>AL147+AJ148</f>
        <v>0</v>
      </c>
      <c r="AM148" s="1260"/>
      <c r="AN148" s="1259">
        <f>AN147+AL148</f>
        <v>0</v>
      </c>
      <c r="AO148" s="1260"/>
      <c r="AP148" s="1259">
        <f>AP147+AN148</f>
        <v>0</v>
      </c>
      <c r="AQ148" s="1260"/>
      <c r="AR148" s="1259">
        <f>AR147+AP148</f>
        <v>0</v>
      </c>
      <c r="AS148" s="1260"/>
      <c r="AT148" s="1259">
        <f>AT147+AR148</f>
        <v>0</v>
      </c>
      <c r="AU148" s="1260"/>
      <c r="AV148" s="1259">
        <f>AV147+AT148</f>
        <v>0</v>
      </c>
      <c r="AW148" s="1260"/>
      <c r="AX148" s="1259">
        <f>AX147+AV148</f>
        <v>0</v>
      </c>
      <c r="AY148" s="1260"/>
      <c r="AZ148" s="1259">
        <f>AZ147+AX148</f>
        <v>0</v>
      </c>
      <c r="BA148" s="1260"/>
      <c r="BB148" s="1259">
        <f>BB147+AZ148</f>
        <v>0</v>
      </c>
      <c r="BC148" s="1260"/>
      <c r="BD148" s="1259">
        <f>BD147+BB148</f>
        <v>0</v>
      </c>
      <c r="BE148" s="1260"/>
      <c r="BF148" s="1259">
        <f>BF147+BD148</f>
        <v>0</v>
      </c>
      <c r="BG148" s="1260"/>
      <c r="BH148" s="1259">
        <f>BH147+BF148</f>
        <v>0</v>
      </c>
      <c r="BI148" s="1260"/>
      <c r="BJ148" s="1259">
        <f>BJ147+BH148</f>
        <v>0</v>
      </c>
      <c r="BK148" s="1260"/>
      <c r="BL148" s="1259">
        <f>BL147+BJ148</f>
        <v>0</v>
      </c>
      <c r="BM148" s="1260"/>
      <c r="BN148" s="1259">
        <f>BN147+BL148</f>
        <v>0</v>
      </c>
      <c r="BO148" s="1260"/>
      <c r="BP148" s="1259">
        <f>BP147+BN148</f>
        <v>0</v>
      </c>
      <c r="BQ148" s="1260"/>
      <c r="BR148" s="1259">
        <f>BR147+BP148</f>
        <v>0</v>
      </c>
      <c r="BS148" s="1260"/>
      <c r="BT148" s="1259">
        <f>BT147+BR148</f>
        <v>0</v>
      </c>
      <c r="BU148" s="1260"/>
      <c r="BV148" s="1259">
        <f>BV147+BT148</f>
        <v>0</v>
      </c>
      <c r="BW148" s="1260"/>
      <c r="BX148" s="1259">
        <f>BX147+BV148</f>
        <v>0</v>
      </c>
      <c r="BY148" s="1260"/>
      <c r="BZ148" s="1259">
        <f>BZ147+BX148</f>
        <v>0</v>
      </c>
      <c r="CA148" s="1260"/>
      <c r="CB148" s="1259">
        <f>CB147+BZ148</f>
        <v>0</v>
      </c>
      <c r="CC148" s="1260"/>
      <c r="CD148" s="1259">
        <f>CD147+CB148</f>
        <v>0</v>
      </c>
      <c r="CE148" s="1260"/>
      <c r="CF148" s="1259">
        <f>CF147+CD148</f>
        <v>0</v>
      </c>
      <c r="CG148" s="1260"/>
      <c r="CH148" s="1259">
        <f>CH147+CF148</f>
        <v>0</v>
      </c>
      <c r="CI148" s="1260"/>
      <c r="CJ148" s="1259">
        <f>CJ147+CH148</f>
        <v>0</v>
      </c>
      <c r="CK148" s="1260"/>
      <c r="CL148" s="1259">
        <f>CL147+CJ148</f>
        <v>0</v>
      </c>
      <c r="CM148" s="1260"/>
      <c r="CN148" s="1259">
        <f>CN147+CL148</f>
        <v>0</v>
      </c>
      <c r="CO148" s="1260"/>
      <c r="CP148" s="1259">
        <f>CP147+CN148</f>
        <v>0</v>
      </c>
      <c r="CQ148" s="1260"/>
      <c r="CR148" s="1259">
        <f>CR147+CP148</f>
        <v>0</v>
      </c>
      <c r="CS148" s="1260"/>
      <c r="CT148" s="1259">
        <f>CT147+CR148</f>
        <v>0</v>
      </c>
      <c r="CU148" s="1260"/>
      <c r="CV148" s="1259">
        <f>CV147+CT148</f>
        <v>0</v>
      </c>
      <c r="CW148" s="1260"/>
      <c r="CX148" s="1259">
        <f>CX147+CV148</f>
        <v>0</v>
      </c>
      <c r="CY148" s="1260"/>
      <c r="CZ148" s="1259">
        <f>CZ147+CX148</f>
        <v>0</v>
      </c>
      <c r="DA148" s="1260"/>
      <c r="DB148" s="1259">
        <f>DB147+CZ148</f>
        <v>0</v>
      </c>
      <c r="DC148" s="1260"/>
      <c r="DD148" s="1259">
        <f>DD147+DB148</f>
        <v>0</v>
      </c>
      <c r="DE148" s="1260"/>
      <c r="DF148" s="1259">
        <f>DF147+DD148</f>
        <v>0</v>
      </c>
      <c r="DG148" s="1260"/>
      <c r="DH148" s="1259">
        <f>DH147+DF148</f>
        <v>0</v>
      </c>
      <c r="DI148" s="1260"/>
      <c r="DJ148" s="1261">
        <f>DJ147+DH148</f>
        <v>0</v>
      </c>
      <c r="DK148" s="1262"/>
      <c r="DL148" s="1259">
        <f>DL147+DJ148</f>
        <v>0</v>
      </c>
      <c r="DM148" s="1260"/>
      <c r="DN148" s="1259">
        <f>DN147+DL148</f>
        <v>0</v>
      </c>
      <c r="DO148" s="1260"/>
      <c r="DP148" s="1259">
        <f>DP147+DN148</f>
        <v>0</v>
      </c>
      <c r="DQ148" s="1260"/>
      <c r="DR148" s="1259">
        <f>DR147+DP148</f>
        <v>0</v>
      </c>
      <c r="DS148" s="1260"/>
      <c r="DT148" s="1259">
        <f>DT147+DR148</f>
        <v>0</v>
      </c>
      <c r="DU148" s="1260"/>
      <c r="DV148" s="1259">
        <f>DV147+DT148</f>
        <v>0</v>
      </c>
      <c r="DW148" s="1260"/>
      <c r="DX148" s="1259">
        <f>DX147+DV148</f>
        <v>0</v>
      </c>
      <c r="DY148" s="1260"/>
      <c r="DZ148" s="1259">
        <f>DZ147+DX148</f>
        <v>0</v>
      </c>
      <c r="EA148" s="1260"/>
      <c r="EB148" s="1259">
        <f>EB147+DZ148</f>
        <v>0</v>
      </c>
      <c r="EC148" s="1260"/>
      <c r="ED148" s="1259">
        <f>ED147+EB148</f>
        <v>0</v>
      </c>
      <c r="EE148" s="1260"/>
      <c r="EF148" s="1259">
        <f>EF147+ED148</f>
        <v>0</v>
      </c>
      <c r="EG148" s="1260"/>
      <c r="EH148" s="1259">
        <f>EH147+EF148</f>
        <v>0</v>
      </c>
      <c r="EI148" s="1260"/>
      <c r="EJ148" s="1259">
        <f>EJ147+EH148</f>
        <v>0</v>
      </c>
      <c r="EK148" s="1260"/>
      <c r="EL148" s="1259">
        <f>EL147+EJ148</f>
        <v>0</v>
      </c>
      <c r="EM148" s="1260"/>
      <c r="EN148" s="1259">
        <f>EN147+EL148</f>
        <v>0</v>
      </c>
      <c r="EO148" s="1260"/>
      <c r="EP148" s="1259">
        <f>EP147+EN148</f>
        <v>0</v>
      </c>
      <c r="EQ148" s="1260"/>
      <c r="ER148" s="1259">
        <f>ER147+EP148</f>
        <v>0</v>
      </c>
      <c r="ES148" s="1260"/>
      <c r="ET148" s="1259">
        <f>ET147+ER148</f>
        <v>0</v>
      </c>
      <c r="EU148" s="1260"/>
      <c r="EV148" s="1259">
        <f>EV147+ET148</f>
        <v>0</v>
      </c>
      <c r="EW148" s="1260"/>
      <c r="EX148" s="1259">
        <f>EX147+EV148</f>
        <v>0</v>
      </c>
      <c r="EY148" s="1260"/>
      <c r="EZ148" s="1259">
        <f>EZ147+EX148</f>
        <v>0</v>
      </c>
      <c r="FA148" s="1260"/>
      <c r="FB148" s="1259">
        <f>FB147+EZ148</f>
        <v>0</v>
      </c>
      <c r="FC148" s="1260"/>
      <c r="FD148" s="1259">
        <f>FD147+FB148</f>
        <v>0</v>
      </c>
      <c r="FE148" s="1260"/>
      <c r="FF148" s="1259">
        <f>FF147+FD148</f>
        <v>0</v>
      </c>
      <c r="FG148" s="1260"/>
      <c r="FH148" s="1259">
        <f>FH147+FF148</f>
        <v>0</v>
      </c>
      <c r="FI148" s="1260"/>
      <c r="FJ148" s="1259">
        <f>FJ147+FH148</f>
        <v>0</v>
      </c>
      <c r="FK148" s="1260"/>
      <c r="FL148" s="1259">
        <f>FL147+FJ148</f>
        <v>0</v>
      </c>
      <c r="FM148" s="1260"/>
      <c r="FN148" s="1259">
        <f>FN147+FL148</f>
        <v>0</v>
      </c>
      <c r="FO148" s="1260"/>
      <c r="FP148" s="1259">
        <f>FP147+FN148</f>
        <v>0</v>
      </c>
      <c r="FQ148" s="1260"/>
      <c r="FR148" s="1259">
        <f>FR147+FP148</f>
        <v>0</v>
      </c>
      <c r="FS148" s="1260"/>
      <c r="FT148" s="1259">
        <f>FT147+FR148</f>
        <v>0</v>
      </c>
      <c r="FU148" s="1260"/>
      <c r="FV148" s="1259">
        <f>FV147+FT148</f>
        <v>0</v>
      </c>
      <c r="FW148" s="1260"/>
      <c r="FX148" s="1259">
        <f>FX147+FV148</f>
        <v>0</v>
      </c>
      <c r="FY148" s="1260"/>
      <c r="FZ148" s="1259">
        <f>FZ147+FX148</f>
        <v>0</v>
      </c>
      <c r="GA148" s="1260"/>
      <c r="GB148" s="1259">
        <f>GB147+FZ148</f>
        <v>0</v>
      </c>
      <c r="GC148" s="1260"/>
      <c r="GD148" s="1259">
        <f>GD147+GB148</f>
        <v>0</v>
      </c>
      <c r="GE148" s="1260"/>
      <c r="GF148" s="1259">
        <f>GF147+GD148</f>
        <v>0</v>
      </c>
      <c r="GG148" s="1260"/>
      <c r="GH148" s="1259">
        <f>GH147+GF148</f>
        <v>0</v>
      </c>
      <c r="GI148" s="1260"/>
      <c r="GJ148" s="1259">
        <f>GJ147+GH148</f>
        <v>0</v>
      </c>
      <c r="GK148" s="1260"/>
      <c r="GL148" s="1259">
        <f>GL147+GJ148</f>
        <v>0</v>
      </c>
      <c r="GM148" s="1260"/>
      <c r="GN148" s="1259">
        <f>GN147+GL148</f>
        <v>0</v>
      </c>
      <c r="GO148" s="1260"/>
      <c r="GP148" s="1259">
        <f>GP147+GN148</f>
        <v>0</v>
      </c>
      <c r="GQ148" s="1260"/>
      <c r="GR148" s="1259">
        <f>GR147+GP148</f>
        <v>0</v>
      </c>
      <c r="GS148" s="1260"/>
      <c r="GT148" s="1259">
        <f>GT147+GR148</f>
        <v>0</v>
      </c>
      <c r="GU148" s="1260"/>
      <c r="GV148" s="1259">
        <f>GV147+GT148</f>
        <v>0</v>
      </c>
      <c r="GW148" s="1260"/>
      <c r="GX148" s="1259">
        <f>GX147+GV148</f>
        <v>0</v>
      </c>
      <c r="GY148" s="1260"/>
      <c r="GZ148" s="1259">
        <f>GZ147+GX148</f>
        <v>0</v>
      </c>
      <c r="HA148" s="1260"/>
      <c r="HB148" s="1259">
        <f>HB147+GZ148</f>
        <v>0</v>
      </c>
      <c r="HC148" s="1260"/>
      <c r="HD148" s="1259">
        <f>HD147+HB148</f>
        <v>0</v>
      </c>
      <c r="HE148" s="1260"/>
      <c r="HF148" s="1259">
        <f>HF147+HD148</f>
        <v>0</v>
      </c>
      <c r="HG148" s="1260"/>
      <c r="HH148" s="1259">
        <f>HH147+HF148</f>
        <v>0</v>
      </c>
      <c r="HI148" s="1260"/>
      <c r="HJ148" s="1259">
        <f>HJ147+HH148</f>
        <v>0</v>
      </c>
      <c r="HK148" s="1260"/>
    </row>
    <row r="149" spans="1:219" s="21" customFormat="1" hidden="1">
      <c r="A149" s="1299"/>
      <c r="B149" s="1300"/>
      <c r="C149" s="1299"/>
      <c r="D149" s="1301"/>
      <c r="E149" s="1301"/>
      <c r="F149" s="1302"/>
      <c r="G149" s="1301"/>
      <c r="H149" s="792"/>
      <c r="I149" s="1303"/>
      <c r="J149" s="1304"/>
      <c r="K149" s="793" t="s">
        <v>297</v>
      </c>
      <c r="L149" s="1270" t="e">
        <f>IF($E143&gt;0,L146/$E143,"-")</f>
        <v>#N/A</v>
      </c>
      <c r="M149" s="1271"/>
      <c r="N149" s="1270" t="e">
        <f>IF($E143&gt;0,N146/$E143,"-")</f>
        <v>#N/A</v>
      </c>
      <c r="O149" s="1271"/>
      <c r="P149" s="1270" t="e">
        <f>IF($E143&gt;0,P146/$E143,"-")</f>
        <v>#N/A</v>
      </c>
      <c r="Q149" s="1271"/>
      <c r="R149" s="1270" t="e">
        <f>IF($E143&gt;0,R146/$E143,"-")</f>
        <v>#N/A</v>
      </c>
      <c r="S149" s="1271"/>
      <c r="T149" s="1270" t="e">
        <f>IF($E143&gt;0,T146/$E143,"-")</f>
        <v>#N/A</v>
      </c>
      <c r="U149" s="1271"/>
      <c r="V149" s="1270" t="e">
        <f>IF($E143&gt;0,V146/$E143,"-")</f>
        <v>#N/A</v>
      </c>
      <c r="W149" s="1271"/>
      <c r="X149" s="1270" t="e">
        <f>IF($E143&gt;0,X146/$E143,"-")</f>
        <v>#N/A</v>
      </c>
      <c r="Y149" s="1271"/>
      <c r="Z149" s="1270" t="e">
        <f>IF($E143&gt;0,Z146/$E143,"-")</f>
        <v>#N/A</v>
      </c>
      <c r="AA149" s="1271"/>
      <c r="AB149" s="1270" t="e">
        <f>IF($E143&gt;0,AB146/$E143,"-")</f>
        <v>#N/A</v>
      </c>
      <c r="AC149" s="1271"/>
      <c r="AD149" s="1270" t="e">
        <f>IF($E143&gt;0,AD146/$E143,"-")</f>
        <v>#N/A</v>
      </c>
      <c r="AE149" s="1271"/>
      <c r="AF149" s="1270" t="e">
        <f>IF($E143&gt;0,AF146/$E143,"-")</f>
        <v>#N/A</v>
      </c>
      <c r="AG149" s="1271"/>
      <c r="AH149" s="1270" t="e">
        <f>IF($E143&gt;0,AH146/$E143,"-")</f>
        <v>#N/A</v>
      </c>
      <c r="AI149" s="1271"/>
      <c r="AJ149" s="1270" t="e">
        <f>IF($E143&gt;0,AJ146/$E143,"-")</f>
        <v>#N/A</v>
      </c>
      <c r="AK149" s="1271"/>
      <c r="AL149" s="1270" t="e">
        <f>IF($E143&gt;0,AL146/$E143,"-")</f>
        <v>#N/A</v>
      </c>
      <c r="AM149" s="1271"/>
      <c r="AN149" s="1270" t="e">
        <f>IF($E143&gt;0,AN146/$E143,"-")</f>
        <v>#N/A</v>
      </c>
      <c r="AO149" s="1271"/>
      <c r="AP149" s="1270" t="e">
        <f>IF($E143&gt;0,AP146/$E143,"-")</f>
        <v>#N/A</v>
      </c>
      <c r="AQ149" s="1271"/>
      <c r="AR149" s="1270" t="e">
        <f>IF($E143&gt;0,AR146/$E143,"-")</f>
        <v>#N/A</v>
      </c>
      <c r="AS149" s="1271"/>
      <c r="AT149" s="1270" t="e">
        <f>IF($E143&gt;0,AT146/$E143,"-")</f>
        <v>#N/A</v>
      </c>
      <c r="AU149" s="1271"/>
      <c r="AV149" s="1270" t="e">
        <f>IF($E143&gt;0,AV146/$E143,"-")</f>
        <v>#N/A</v>
      </c>
      <c r="AW149" s="1271"/>
      <c r="AX149" s="1270" t="e">
        <f>IF($E143&gt;0,AX146/$E143,"-")</f>
        <v>#N/A</v>
      </c>
      <c r="AY149" s="1271"/>
      <c r="AZ149" s="1270" t="e">
        <f>IF($E143&gt;0,AZ146/$E143,"-")</f>
        <v>#N/A</v>
      </c>
      <c r="BA149" s="1271"/>
      <c r="BB149" s="1270" t="e">
        <f>IF($E143&gt;0,BB146/$E143,"-")</f>
        <v>#N/A</v>
      </c>
      <c r="BC149" s="1271"/>
      <c r="BD149" s="1270" t="e">
        <f>IF($E143&gt;0,BD146/$E143,"-")</f>
        <v>#N/A</v>
      </c>
      <c r="BE149" s="1271"/>
      <c r="BF149" s="1270" t="e">
        <f>IF($E143&gt;0,BF146/$E143,"-")</f>
        <v>#N/A</v>
      </c>
      <c r="BG149" s="1271"/>
      <c r="BH149" s="1270" t="e">
        <f>IF($E143&gt;0,BH146/$E143,"-")</f>
        <v>#N/A</v>
      </c>
      <c r="BI149" s="1271"/>
      <c r="BJ149" s="1270" t="e">
        <f>IF($E143&gt;0,BJ146/$E143,"-")</f>
        <v>#N/A</v>
      </c>
      <c r="BK149" s="1271"/>
      <c r="BL149" s="1270" t="e">
        <f>IF($E143&gt;0,BL146/$E143,"-")</f>
        <v>#N/A</v>
      </c>
      <c r="BM149" s="1271"/>
      <c r="BN149" s="1270" t="e">
        <f>IF($E143&gt;0,BN146/$E143,"-")</f>
        <v>#N/A</v>
      </c>
      <c r="BO149" s="1271"/>
      <c r="BP149" s="1270" t="e">
        <f>IF($E143&gt;0,BP146/$E143,"-")</f>
        <v>#N/A</v>
      </c>
      <c r="BQ149" s="1271"/>
      <c r="BR149" s="1270" t="e">
        <f>IF($E143&gt;0,BR146/$E143,"-")</f>
        <v>#N/A</v>
      </c>
      <c r="BS149" s="1271"/>
      <c r="BT149" s="1270" t="e">
        <f>IF($E143&gt;0,BT146/$E143,"-")</f>
        <v>#N/A</v>
      </c>
      <c r="BU149" s="1271"/>
      <c r="BV149" s="1270" t="e">
        <f>IF($E143&gt;0,BV146/$E143,"-")</f>
        <v>#N/A</v>
      </c>
      <c r="BW149" s="1271"/>
      <c r="BX149" s="1270" t="e">
        <f>IF($E143&gt;0,BX146/$E143,"-")</f>
        <v>#N/A</v>
      </c>
      <c r="BY149" s="1271"/>
      <c r="BZ149" s="1270" t="e">
        <f>IF($E143&gt;0,BZ146/$E143,"-")</f>
        <v>#N/A</v>
      </c>
      <c r="CA149" s="1271"/>
      <c r="CB149" s="1270" t="e">
        <f>IF($E143&gt;0,CB146/$E143,"-")</f>
        <v>#N/A</v>
      </c>
      <c r="CC149" s="1271"/>
      <c r="CD149" s="1270" t="e">
        <f>IF($E143&gt;0,CD146/$E143,"-")</f>
        <v>#N/A</v>
      </c>
      <c r="CE149" s="1271"/>
      <c r="CF149" s="1270" t="e">
        <f>IF($E143&gt;0,CF146/$E143,"-")</f>
        <v>#N/A</v>
      </c>
      <c r="CG149" s="1271"/>
      <c r="CH149" s="1270" t="e">
        <f>IF($E143&gt;0,CH146/$E143,"-")</f>
        <v>#N/A</v>
      </c>
      <c r="CI149" s="1271"/>
      <c r="CJ149" s="1270" t="e">
        <f>IF($E143&gt;0,CJ146/$E143,"-")</f>
        <v>#N/A</v>
      </c>
      <c r="CK149" s="1271"/>
      <c r="CL149" s="1270" t="e">
        <f>IF($E143&gt;0,CL146/$E143,"-")</f>
        <v>#N/A</v>
      </c>
      <c r="CM149" s="1271"/>
      <c r="CN149" s="1270" t="e">
        <f>IF($E143&gt;0,CN146/$E143,"-")</f>
        <v>#N/A</v>
      </c>
      <c r="CO149" s="1271"/>
      <c r="CP149" s="1270" t="e">
        <f>IF($E143&gt;0,CP146/$E143,"-")</f>
        <v>#N/A</v>
      </c>
      <c r="CQ149" s="1271"/>
      <c r="CR149" s="1270" t="e">
        <f>IF($E143&gt;0,CR146/$E143,"-")</f>
        <v>#N/A</v>
      </c>
      <c r="CS149" s="1271"/>
      <c r="CT149" s="1270" t="e">
        <f>IF($E143&gt;0,CT146/$E143,"-")</f>
        <v>#N/A</v>
      </c>
      <c r="CU149" s="1271"/>
      <c r="CV149" s="1270" t="e">
        <f>IF($E143&gt;0,CV146/$E143,"-")</f>
        <v>#N/A</v>
      </c>
      <c r="CW149" s="1271"/>
      <c r="CX149" s="1270" t="e">
        <f>IF($E143&gt;0,CX146/$E143,"-")</f>
        <v>#N/A</v>
      </c>
      <c r="CY149" s="1271"/>
      <c r="CZ149" s="1270" t="e">
        <f>IF($E143&gt;0,CZ146/$E143,"-")</f>
        <v>#N/A</v>
      </c>
      <c r="DA149" s="1271"/>
      <c r="DB149" s="1270" t="e">
        <f>IF($E143&gt;0,DB146/$E143,"-")</f>
        <v>#N/A</v>
      </c>
      <c r="DC149" s="1271"/>
      <c r="DD149" s="1270" t="e">
        <f>IF($E143&gt;0,DD146/$E143,"-")</f>
        <v>#N/A</v>
      </c>
      <c r="DE149" s="1271"/>
      <c r="DF149" s="1270" t="e">
        <f>IF($E143&gt;0,DF146/$E143,"-")</f>
        <v>#N/A</v>
      </c>
      <c r="DG149" s="1271"/>
      <c r="DH149" s="1270" t="e">
        <f>IF($E143&gt;0,DH146/$E143,"-")</f>
        <v>#N/A</v>
      </c>
      <c r="DI149" s="1271"/>
      <c r="DJ149" s="1325" t="e">
        <f>IF($E143&gt;0,DJ146/$E143,"-")</f>
        <v>#N/A</v>
      </c>
      <c r="DK149" s="1326"/>
      <c r="DL149" s="1270" t="e">
        <f>IF($E143&gt;0,DL146/$E143,"-")</f>
        <v>#N/A</v>
      </c>
      <c r="DM149" s="1271"/>
      <c r="DN149" s="1270" t="e">
        <f>IF($E143&gt;0,DN146/$E143,"-")</f>
        <v>#N/A</v>
      </c>
      <c r="DO149" s="1271"/>
      <c r="DP149" s="1270" t="e">
        <f>IF($E143&gt;0,DP146/$E143,"-")</f>
        <v>#N/A</v>
      </c>
      <c r="DQ149" s="1271"/>
      <c r="DR149" s="1270" t="e">
        <f>IF($E143&gt;0,DR146/$E143,"-")</f>
        <v>#N/A</v>
      </c>
      <c r="DS149" s="1271"/>
      <c r="DT149" s="1270" t="e">
        <f>IF($E143&gt;0,DT146/$E143,"-")</f>
        <v>#N/A</v>
      </c>
      <c r="DU149" s="1271"/>
      <c r="DV149" s="1270" t="e">
        <f>IF($E143&gt;0,DV146/$E143,"-")</f>
        <v>#N/A</v>
      </c>
      <c r="DW149" s="1271"/>
      <c r="DX149" s="1270" t="e">
        <f>IF($E143&gt;0,DX146/$E143,"-")</f>
        <v>#N/A</v>
      </c>
      <c r="DY149" s="1271"/>
      <c r="DZ149" s="1270" t="e">
        <f>IF($E143&gt;0,DZ146/$E143,"-")</f>
        <v>#N/A</v>
      </c>
      <c r="EA149" s="1271"/>
      <c r="EB149" s="1270" t="e">
        <f>IF($E143&gt;0,EB146/$E143,"-")</f>
        <v>#N/A</v>
      </c>
      <c r="EC149" s="1271"/>
      <c r="ED149" s="1270" t="e">
        <f>IF($E143&gt;0,ED146/$E143,"-")</f>
        <v>#N/A</v>
      </c>
      <c r="EE149" s="1271"/>
      <c r="EF149" s="1270" t="e">
        <f>IF($E143&gt;0,EF146/$E143,"-")</f>
        <v>#N/A</v>
      </c>
      <c r="EG149" s="1271"/>
      <c r="EH149" s="1270" t="e">
        <f>IF($E143&gt;0,EH146/$E143,"-")</f>
        <v>#N/A</v>
      </c>
      <c r="EI149" s="1271"/>
      <c r="EJ149" s="1270" t="e">
        <f>IF($E143&gt;0,EJ146/$E143,"-")</f>
        <v>#N/A</v>
      </c>
      <c r="EK149" s="1271"/>
      <c r="EL149" s="1270" t="e">
        <f>IF($E143&gt;0,EL146/$E143,"-")</f>
        <v>#N/A</v>
      </c>
      <c r="EM149" s="1271"/>
      <c r="EN149" s="1270" t="e">
        <f>IF($E143&gt;0,EN146/$E143,"-")</f>
        <v>#N/A</v>
      </c>
      <c r="EO149" s="1271"/>
      <c r="EP149" s="1270" t="e">
        <f>IF($E143&gt;0,EP146/$E143,"-")</f>
        <v>#N/A</v>
      </c>
      <c r="EQ149" s="1271"/>
      <c r="ER149" s="1270" t="e">
        <f>IF($E143&gt;0,ER146/$E143,"-")</f>
        <v>#N/A</v>
      </c>
      <c r="ES149" s="1271"/>
      <c r="ET149" s="1270" t="e">
        <f>IF($E143&gt;0,ET146/$E143,"-")</f>
        <v>#N/A</v>
      </c>
      <c r="EU149" s="1271"/>
      <c r="EV149" s="1270" t="e">
        <f>IF($E143&gt;0,EV146/$E143,"-")</f>
        <v>#N/A</v>
      </c>
      <c r="EW149" s="1271"/>
      <c r="EX149" s="1270" t="e">
        <f>IF($E143&gt;0,EX146/$E143,"-")</f>
        <v>#N/A</v>
      </c>
      <c r="EY149" s="1271"/>
      <c r="EZ149" s="1270" t="e">
        <f>IF($E143&gt;0,EZ146/$E143,"-")</f>
        <v>#N/A</v>
      </c>
      <c r="FA149" s="1271"/>
      <c r="FB149" s="1270" t="e">
        <f>IF($E143&gt;0,FB146/$E143,"-")</f>
        <v>#N/A</v>
      </c>
      <c r="FC149" s="1271"/>
      <c r="FD149" s="1270" t="e">
        <f>IF($E143&gt;0,FD146/$E143,"-")</f>
        <v>#N/A</v>
      </c>
      <c r="FE149" s="1271"/>
      <c r="FF149" s="1270" t="e">
        <f>IF($E143&gt;0,FF146/$E143,"-")</f>
        <v>#N/A</v>
      </c>
      <c r="FG149" s="1271"/>
      <c r="FH149" s="1270" t="e">
        <f>IF($E143&gt;0,FH146/$E143,"-")</f>
        <v>#N/A</v>
      </c>
      <c r="FI149" s="1271"/>
      <c r="FJ149" s="1270" t="e">
        <f>IF($E143&gt;0,FJ146/$E143,"-")</f>
        <v>#N/A</v>
      </c>
      <c r="FK149" s="1271"/>
      <c r="FL149" s="1270" t="e">
        <f>IF($E143&gt;0,FL146/$E143,"-")</f>
        <v>#N/A</v>
      </c>
      <c r="FM149" s="1271"/>
      <c r="FN149" s="1270" t="e">
        <f>IF($E143&gt;0,FN146/$E143,"-")</f>
        <v>#N/A</v>
      </c>
      <c r="FO149" s="1271"/>
      <c r="FP149" s="1270" t="e">
        <f>IF($E143&gt;0,FP146/$E143,"-")</f>
        <v>#N/A</v>
      </c>
      <c r="FQ149" s="1271"/>
      <c r="FR149" s="1270" t="e">
        <f>IF($E143&gt;0,FR146/$E143,"-")</f>
        <v>#N/A</v>
      </c>
      <c r="FS149" s="1271"/>
      <c r="FT149" s="1270" t="e">
        <f>IF($E143&gt;0,FT146/$E143,"-")</f>
        <v>#N/A</v>
      </c>
      <c r="FU149" s="1271"/>
      <c r="FV149" s="1270" t="e">
        <f>IF($E143&gt;0,FV146/$E143,"-")</f>
        <v>#N/A</v>
      </c>
      <c r="FW149" s="1271"/>
      <c r="FX149" s="1270" t="e">
        <f>IF($E143&gt;0,FX146/$E143,"-")</f>
        <v>#N/A</v>
      </c>
      <c r="FY149" s="1271"/>
      <c r="FZ149" s="1270" t="e">
        <f>IF($E143&gt;0,FZ146/$E143,"-")</f>
        <v>#N/A</v>
      </c>
      <c r="GA149" s="1271"/>
      <c r="GB149" s="1270" t="e">
        <f>IF($E143&gt;0,GB146/$E143,"-")</f>
        <v>#N/A</v>
      </c>
      <c r="GC149" s="1271"/>
      <c r="GD149" s="1270" t="e">
        <f>IF($E143&gt;0,GD146/$E143,"-")</f>
        <v>#N/A</v>
      </c>
      <c r="GE149" s="1271"/>
      <c r="GF149" s="1270" t="e">
        <f>IF($E143&gt;0,GF146/$E143,"-")</f>
        <v>#N/A</v>
      </c>
      <c r="GG149" s="1271"/>
      <c r="GH149" s="1270" t="e">
        <f>IF($E143&gt;0,GH146/$E143,"-")</f>
        <v>#N/A</v>
      </c>
      <c r="GI149" s="1271"/>
      <c r="GJ149" s="1270" t="e">
        <f>IF($E143&gt;0,GJ146/$E143,"-")</f>
        <v>#N/A</v>
      </c>
      <c r="GK149" s="1271"/>
      <c r="GL149" s="1270" t="e">
        <f>IF($E143&gt;0,GL146/$E143,"-")</f>
        <v>#N/A</v>
      </c>
      <c r="GM149" s="1271"/>
      <c r="GN149" s="1270" t="e">
        <f>IF($E143&gt;0,GN146/$E143,"-")</f>
        <v>#N/A</v>
      </c>
      <c r="GO149" s="1271"/>
      <c r="GP149" s="1270" t="e">
        <f>IF($E143&gt;0,GP146/$E143,"-")</f>
        <v>#N/A</v>
      </c>
      <c r="GQ149" s="1271"/>
      <c r="GR149" s="1270" t="e">
        <f>IF($E143&gt;0,GR146/$E143,"-")</f>
        <v>#N/A</v>
      </c>
      <c r="GS149" s="1271"/>
      <c r="GT149" s="1270" t="e">
        <f>IF($E143&gt;0,GT146/$E143,"-")</f>
        <v>#N/A</v>
      </c>
      <c r="GU149" s="1271"/>
      <c r="GV149" s="1270" t="e">
        <f>IF($E143&gt;0,GV146/$E143,"-")</f>
        <v>#N/A</v>
      </c>
      <c r="GW149" s="1271"/>
      <c r="GX149" s="1270" t="e">
        <f>IF($E143&gt;0,GX146/$E143,"-")</f>
        <v>#N/A</v>
      </c>
      <c r="GY149" s="1271"/>
      <c r="GZ149" s="1270" t="e">
        <f>IF($E143&gt;0,GZ146/$E143,"-")</f>
        <v>#N/A</v>
      </c>
      <c r="HA149" s="1271"/>
      <c r="HB149" s="1270" t="e">
        <f>IF($E143&gt;0,HB146/$E143,"-")</f>
        <v>#N/A</v>
      </c>
      <c r="HC149" s="1271"/>
      <c r="HD149" s="1270" t="e">
        <f>IF($E143&gt;0,HD146/$E143,"-")</f>
        <v>#N/A</v>
      </c>
      <c r="HE149" s="1271"/>
      <c r="HF149" s="1270" t="e">
        <f>IF($E143&gt;0,HF146/$E143,"-")</f>
        <v>#N/A</v>
      </c>
      <c r="HG149" s="1271"/>
      <c r="HH149" s="1270" t="e">
        <f>IF($E143&gt;0,HH146/$E143,"-")</f>
        <v>#N/A</v>
      </c>
      <c r="HI149" s="1271"/>
      <c r="HJ149" s="1270" t="e">
        <f>IF($E143&gt;0,HJ146/$E143,"-")</f>
        <v>#N/A</v>
      </c>
      <c r="HK149" s="1271"/>
    </row>
    <row r="150" spans="1:219" hidden="1">
      <c r="A150" s="1299"/>
      <c r="B150" s="1300"/>
      <c r="C150" s="1299"/>
      <c r="D150" s="1301"/>
      <c r="E150" s="1301"/>
      <c r="F150" s="1302"/>
      <c r="G150" s="1301"/>
      <c r="H150" s="726"/>
      <c r="I150" s="1303"/>
      <c r="J150" s="1304"/>
      <c r="K150" s="794" t="s">
        <v>298</v>
      </c>
      <c r="L150" s="1294" t="e">
        <f>IF($E143&gt;0,L148/$E143,"-")</f>
        <v>#N/A</v>
      </c>
      <c r="M150" s="1295"/>
      <c r="N150" s="1294" t="e">
        <f>IF($E143&gt;0,N148/$E143,"-")</f>
        <v>#N/A</v>
      </c>
      <c r="O150" s="1295"/>
      <c r="P150" s="1294" t="e">
        <f>IF($E143&gt;0,P148/$E143,"-")</f>
        <v>#N/A</v>
      </c>
      <c r="Q150" s="1295"/>
      <c r="R150" s="1294" t="e">
        <f>IF($E143&gt;0,R148/$E143,"-")</f>
        <v>#N/A</v>
      </c>
      <c r="S150" s="1295"/>
      <c r="T150" s="1294" t="e">
        <f>IF($E143&gt;0,T148/$E143,"-")</f>
        <v>#N/A</v>
      </c>
      <c r="U150" s="1295"/>
      <c r="V150" s="1294" t="e">
        <f>IF($E143&gt;0,V148/$E143,"-")</f>
        <v>#N/A</v>
      </c>
      <c r="W150" s="1295"/>
      <c r="X150" s="1294" t="e">
        <f>IF($E143&gt;0,X148/$E143,"-")</f>
        <v>#N/A</v>
      </c>
      <c r="Y150" s="1295"/>
      <c r="Z150" s="1294" t="e">
        <f>IF($E143&gt;0,Z148/$E143,"-")</f>
        <v>#N/A</v>
      </c>
      <c r="AA150" s="1295"/>
      <c r="AB150" s="1294" t="e">
        <f>IF($E143&gt;0,AB148/$E143,"-")</f>
        <v>#N/A</v>
      </c>
      <c r="AC150" s="1295"/>
      <c r="AD150" s="1294" t="e">
        <f>IF($E143&gt;0,AD148/$E143,"-")</f>
        <v>#N/A</v>
      </c>
      <c r="AE150" s="1295"/>
      <c r="AF150" s="1294" t="e">
        <f>IF($E143&gt;0,AF148/$E143,"-")</f>
        <v>#N/A</v>
      </c>
      <c r="AG150" s="1295"/>
      <c r="AH150" s="1294" t="e">
        <f>IF($E143&gt;0,AH148/$E143,"-")</f>
        <v>#N/A</v>
      </c>
      <c r="AI150" s="1295"/>
      <c r="AJ150" s="1294" t="e">
        <f>IF($E143&gt;0,AJ148/$E143,"-")</f>
        <v>#N/A</v>
      </c>
      <c r="AK150" s="1295"/>
      <c r="AL150" s="1294" t="e">
        <f>IF($E143&gt;0,AL148/$E143,"-")</f>
        <v>#N/A</v>
      </c>
      <c r="AM150" s="1295"/>
      <c r="AN150" s="1294" t="e">
        <f>IF($E143&gt;0,AN148/$E143,"-")</f>
        <v>#N/A</v>
      </c>
      <c r="AO150" s="1295"/>
      <c r="AP150" s="1294" t="e">
        <f>IF($E143&gt;0,AP148/$E143,"-")</f>
        <v>#N/A</v>
      </c>
      <c r="AQ150" s="1295"/>
      <c r="AR150" s="1294" t="e">
        <f>IF($E143&gt;0,AR148/$E143,"-")</f>
        <v>#N/A</v>
      </c>
      <c r="AS150" s="1295"/>
      <c r="AT150" s="1294" t="e">
        <f>IF($E143&gt;0,AT148/$E143,"-")</f>
        <v>#N/A</v>
      </c>
      <c r="AU150" s="1295"/>
      <c r="AV150" s="1294" t="e">
        <f>IF($E143&gt;0,AV148/$E143,"-")</f>
        <v>#N/A</v>
      </c>
      <c r="AW150" s="1295"/>
      <c r="AX150" s="1294" t="e">
        <f>IF($E143&gt;0,AX148/$E143,"-")</f>
        <v>#N/A</v>
      </c>
      <c r="AY150" s="1295"/>
      <c r="AZ150" s="1294" t="e">
        <f>IF($E143&gt;0,AZ148/$E143,"-")</f>
        <v>#N/A</v>
      </c>
      <c r="BA150" s="1295"/>
      <c r="BB150" s="1294" t="e">
        <f>IF($E143&gt;0,BB148/$E143,"-")</f>
        <v>#N/A</v>
      </c>
      <c r="BC150" s="1295"/>
      <c r="BD150" s="1294" t="e">
        <f>IF($E143&gt;0,BD148/$E143,"-")</f>
        <v>#N/A</v>
      </c>
      <c r="BE150" s="1295"/>
      <c r="BF150" s="1294" t="e">
        <f>IF($E143&gt;0,BF148/$E143,"-")</f>
        <v>#N/A</v>
      </c>
      <c r="BG150" s="1295"/>
      <c r="BH150" s="1294" t="e">
        <f>IF($E143&gt;0,BH148/$E143,"-")</f>
        <v>#N/A</v>
      </c>
      <c r="BI150" s="1295"/>
      <c r="BJ150" s="1294" t="e">
        <f>IF($E143&gt;0,BJ148/$E143,"-")</f>
        <v>#N/A</v>
      </c>
      <c r="BK150" s="1295"/>
      <c r="BL150" s="1294" t="e">
        <f>IF($E143&gt;0,BL148/$E143,"-")</f>
        <v>#N/A</v>
      </c>
      <c r="BM150" s="1295"/>
      <c r="BN150" s="1294" t="e">
        <f>IF($E143&gt;0,BN148/$E143,"-")</f>
        <v>#N/A</v>
      </c>
      <c r="BO150" s="1295"/>
      <c r="BP150" s="1294" t="e">
        <f>IF($E143&gt;0,BP148/$E143,"-")</f>
        <v>#N/A</v>
      </c>
      <c r="BQ150" s="1295"/>
      <c r="BR150" s="1253" t="e">
        <f>IF($E143&gt;0,BR148/$E143,"-")</f>
        <v>#N/A</v>
      </c>
      <c r="BS150" s="1253"/>
      <c r="BT150" s="1253" t="e">
        <f>IF($E143&gt;0,BT148/$E143,"-")</f>
        <v>#N/A</v>
      </c>
      <c r="BU150" s="1253"/>
      <c r="BV150" s="1253" t="e">
        <f>IF($E143&gt;0,BV148/$E143,"-")</f>
        <v>#N/A</v>
      </c>
      <c r="BW150" s="1253"/>
      <c r="BX150" s="1253" t="e">
        <f>IF($E143&gt;0,BX148/$E143,"-")</f>
        <v>#N/A</v>
      </c>
      <c r="BY150" s="1253"/>
      <c r="BZ150" s="1253" t="e">
        <f>IF($E143&gt;0,BZ148/$E143,"-")</f>
        <v>#N/A</v>
      </c>
      <c r="CA150" s="1253"/>
      <c r="CB150" s="1253" t="e">
        <f>IF($E143&gt;0,CB148/$E143,"-")</f>
        <v>#N/A</v>
      </c>
      <c r="CC150" s="1253"/>
      <c r="CD150" s="1253" t="e">
        <f>IF($E143&gt;0,CD148/$E143,"-")</f>
        <v>#N/A</v>
      </c>
      <c r="CE150" s="1253"/>
      <c r="CF150" s="1253" t="e">
        <f>IF($E143&gt;0,CF148/$E143,"-")</f>
        <v>#N/A</v>
      </c>
      <c r="CG150" s="1253"/>
      <c r="CH150" s="1253" t="e">
        <f>IF($E143&gt;0,CH148/$E143,"-")</f>
        <v>#N/A</v>
      </c>
      <c r="CI150" s="1253"/>
      <c r="CJ150" s="1253" t="e">
        <f>IF($E143&gt;0,CJ148/$E143,"-")</f>
        <v>#N/A</v>
      </c>
      <c r="CK150" s="1253"/>
      <c r="CL150" s="1253" t="e">
        <f>IF($E143&gt;0,CL148/$E143,"-")</f>
        <v>#N/A</v>
      </c>
      <c r="CM150" s="1253"/>
      <c r="CN150" s="1253" t="e">
        <f>IF($E143&gt;0,CN148/$E143,"-")</f>
        <v>#N/A</v>
      </c>
      <c r="CO150" s="1253"/>
      <c r="CP150" s="1253" t="e">
        <f>IF($E143&gt;0,CP148/$E143,"-")</f>
        <v>#N/A</v>
      </c>
      <c r="CQ150" s="1253"/>
      <c r="CR150" s="1253" t="e">
        <f>IF($E143&gt;0,CR148/$E143,"-")</f>
        <v>#N/A</v>
      </c>
      <c r="CS150" s="1253"/>
      <c r="CT150" s="1253" t="e">
        <f>IF($E143&gt;0,CT148/$E143,"-")</f>
        <v>#N/A</v>
      </c>
      <c r="CU150" s="1253"/>
      <c r="CV150" s="1253" t="e">
        <f>IF($E143&gt;0,CV148/$E143,"-")</f>
        <v>#N/A</v>
      </c>
      <c r="CW150" s="1253"/>
      <c r="CX150" s="1253" t="e">
        <f>IF($E143&gt;0,CX148/$E143,"-")</f>
        <v>#N/A</v>
      </c>
      <c r="CY150" s="1253"/>
      <c r="CZ150" s="1253" t="e">
        <f>IF($E143&gt;0,CZ148/$E143,"-")</f>
        <v>#N/A</v>
      </c>
      <c r="DA150" s="1253"/>
      <c r="DB150" s="1253" t="e">
        <f>IF($E143&gt;0,DB148/$E143,"-")</f>
        <v>#N/A</v>
      </c>
      <c r="DC150" s="1253"/>
      <c r="DD150" s="1253" t="e">
        <f>IF($E143&gt;0,DD148/$E143,"-")</f>
        <v>#N/A</v>
      </c>
      <c r="DE150" s="1253"/>
      <c r="DF150" s="1253" t="e">
        <f>IF($E143&gt;0,DF148/$E143,"-")</f>
        <v>#N/A</v>
      </c>
      <c r="DG150" s="1253"/>
      <c r="DH150" s="1253" t="e">
        <f>IF($E143&gt;0,DH148/$E143,"-")</f>
        <v>#N/A</v>
      </c>
      <c r="DI150" s="1253"/>
      <c r="DJ150" s="1254" t="e">
        <f>IF($E143&gt;0,DJ148/$E143,"-")</f>
        <v>#N/A</v>
      </c>
      <c r="DK150" s="1254"/>
      <c r="DL150" s="1253" t="e">
        <f>IF($E143&gt;0,DL148/$E143,"-")</f>
        <v>#N/A</v>
      </c>
      <c r="DM150" s="1253"/>
      <c r="DN150" s="1253" t="e">
        <f>IF($E143&gt;0,DN148/$E143,"-")</f>
        <v>#N/A</v>
      </c>
      <c r="DO150" s="1253"/>
      <c r="DP150" s="1253" t="e">
        <f>IF($E143&gt;0,DP148/$E143,"-")</f>
        <v>#N/A</v>
      </c>
      <c r="DQ150" s="1253"/>
      <c r="DR150" s="1253" t="e">
        <f>IF($E143&gt;0,DR148/$E143,"-")</f>
        <v>#N/A</v>
      </c>
      <c r="DS150" s="1253"/>
      <c r="DT150" s="1253" t="e">
        <f>IF($E143&gt;0,DT148/$E143,"-")</f>
        <v>#N/A</v>
      </c>
      <c r="DU150" s="1253"/>
      <c r="DV150" s="1253" t="e">
        <f>IF($E143&gt;0,DV148/$E143,"-")</f>
        <v>#N/A</v>
      </c>
      <c r="DW150" s="1253"/>
      <c r="DX150" s="1253" t="e">
        <f>IF($E143&gt;0,DX148/$E143,"-")</f>
        <v>#N/A</v>
      </c>
      <c r="DY150" s="1253"/>
      <c r="DZ150" s="1253" t="e">
        <f>IF($E143&gt;0,DZ148/$E143,"-")</f>
        <v>#N/A</v>
      </c>
      <c r="EA150" s="1253"/>
      <c r="EB150" s="1253" t="e">
        <f>IF($E143&gt;0,EB148/$E143,"-")</f>
        <v>#N/A</v>
      </c>
      <c r="EC150" s="1253"/>
      <c r="ED150" s="1253" t="e">
        <f>IF($E143&gt;0,ED148/$E143,"-")</f>
        <v>#N/A</v>
      </c>
      <c r="EE150" s="1253"/>
      <c r="EF150" s="1253" t="e">
        <f>IF($E143&gt;0,EF148/$E143,"-")</f>
        <v>#N/A</v>
      </c>
      <c r="EG150" s="1253"/>
      <c r="EH150" s="1253" t="e">
        <f>IF($E143&gt;0,EH148/$E143,"-")</f>
        <v>#N/A</v>
      </c>
      <c r="EI150" s="1253"/>
      <c r="EJ150" s="1253" t="e">
        <f>IF($E143&gt;0,EJ148/$E143,"-")</f>
        <v>#N/A</v>
      </c>
      <c r="EK150" s="1253"/>
      <c r="EL150" s="1253" t="e">
        <f>IF($E143&gt;0,EL148/$E143,"-")</f>
        <v>#N/A</v>
      </c>
      <c r="EM150" s="1253"/>
      <c r="EN150" s="1253" t="e">
        <f>IF($E143&gt;0,EN148/$E143,"-")</f>
        <v>#N/A</v>
      </c>
      <c r="EO150" s="1253"/>
      <c r="EP150" s="1253" t="e">
        <f>IF($E143&gt;0,EP148/$E143,"-")</f>
        <v>#N/A</v>
      </c>
      <c r="EQ150" s="1253"/>
      <c r="ER150" s="1253" t="e">
        <f>IF($E143&gt;0,ER148/$E143,"-")</f>
        <v>#N/A</v>
      </c>
      <c r="ES150" s="1253"/>
      <c r="ET150" s="1253" t="e">
        <f>IF($E143&gt;0,ET148/$E143,"-")</f>
        <v>#N/A</v>
      </c>
      <c r="EU150" s="1253"/>
      <c r="EV150" s="1253" t="e">
        <f>IF($E143&gt;0,EV148/$E143,"-")</f>
        <v>#N/A</v>
      </c>
      <c r="EW150" s="1253"/>
      <c r="EX150" s="1253" t="e">
        <f>IF($E143&gt;0,EX148/$E143,"-")</f>
        <v>#N/A</v>
      </c>
      <c r="EY150" s="1253"/>
      <c r="EZ150" s="1253" t="e">
        <f>IF($E143&gt;0,EZ148/$E143,"-")</f>
        <v>#N/A</v>
      </c>
      <c r="FA150" s="1253"/>
      <c r="FB150" s="1253" t="e">
        <f>IF($E143&gt;0,FB148/$E143,"-")</f>
        <v>#N/A</v>
      </c>
      <c r="FC150" s="1253"/>
      <c r="FD150" s="1253" t="e">
        <f>IF($E143&gt;0,FD148/$E143,"-")</f>
        <v>#N/A</v>
      </c>
      <c r="FE150" s="1253"/>
      <c r="FF150" s="1253" t="e">
        <f>IF($E143&gt;0,FF148/$E143,"-")</f>
        <v>#N/A</v>
      </c>
      <c r="FG150" s="1253"/>
      <c r="FH150" s="1253" t="e">
        <f>IF($E143&gt;0,FH148/$E143,"-")</f>
        <v>#N/A</v>
      </c>
      <c r="FI150" s="1253"/>
      <c r="FJ150" s="1253" t="e">
        <f>IF($E143&gt;0,FJ148/$E143,"-")</f>
        <v>#N/A</v>
      </c>
      <c r="FK150" s="1253"/>
      <c r="FL150" s="1253" t="e">
        <f>IF($E143&gt;0,FL148/$E143,"-")</f>
        <v>#N/A</v>
      </c>
      <c r="FM150" s="1253"/>
      <c r="FN150" s="1253" t="e">
        <f>IF($E143&gt;0,FN148/$E143,"-")</f>
        <v>#N/A</v>
      </c>
      <c r="FO150" s="1253"/>
      <c r="FP150" s="1253" t="e">
        <f>IF($E143&gt;0,FP148/$E143,"-")</f>
        <v>#N/A</v>
      </c>
      <c r="FQ150" s="1253"/>
      <c r="FR150" s="1253" t="e">
        <f>IF($E143&gt;0,FR148/$E143,"-")</f>
        <v>#N/A</v>
      </c>
      <c r="FS150" s="1253"/>
      <c r="FT150" s="1253" t="e">
        <f>IF($E143&gt;0,FT148/$E143,"-")</f>
        <v>#N/A</v>
      </c>
      <c r="FU150" s="1253"/>
      <c r="FV150" s="1253" t="e">
        <f>IF($E143&gt;0,FV148/$E143,"-")</f>
        <v>#N/A</v>
      </c>
      <c r="FW150" s="1253"/>
      <c r="FX150" s="1253" t="e">
        <f>IF($E143&gt;0,FX148/$E143,"-")</f>
        <v>#N/A</v>
      </c>
      <c r="FY150" s="1253"/>
      <c r="FZ150" s="1253" t="e">
        <f>IF($E143&gt;0,FZ148/$E143,"-")</f>
        <v>#N/A</v>
      </c>
      <c r="GA150" s="1253"/>
      <c r="GB150" s="1253" t="e">
        <f>IF($E143&gt;0,GB148/$E143,"-")</f>
        <v>#N/A</v>
      </c>
      <c r="GC150" s="1253"/>
      <c r="GD150" s="1253" t="e">
        <f>IF($E143&gt;0,GD148/$E143,"-")</f>
        <v>#N/A</v>
      </c>
      <c r="GE150" s="1253"/>
      <c r="GF150" s="1253" t="e">
        <f>IF($E143&gt;0,GF148/$E143,"-")</f>
        <v>#N/A</v>
      </c>
      <c r="GG150" s="1253"/>
      <c r="GH150" s="1253" t="e">
        <f>IF($E143&gt;0,GH148/$E143,"-")</f>
        <v>#N/A</v>
      </c>
      <c r="GI150" s="1253"/>
      <c r="GJ150" s="1253" t="e">
        <f>IF($E143&gt;0,GJ148/$E143,"-")</f>
        <v>#N/A</v>
      </c>
      <c r="GK150" s="1253"/>
      <c r="GL150" s="1253" t="e">
        <f>IF($E143&gt;0,GL148/$E143,"-")</f>
        <v>#N/A</v>
      </c>
      <c r="GM150" s="1253"/>
      <c r="GN150" s="1253" t="e">
        <f>IF($E143&gt;0,GN148/$E143,"-")</f>
        <v>#N/A</v>
      </c>
      <c r="GO150" s="1253"/>
      <c r="GP150" s="1253" t="e">
        <f>IF($E143&gt;0,GP148/$E143,"-")</f>
        <v>#N/A</v>
      </c>
      <c r="GQ150" s="1253"/>
      <c r="GR150" s="1253" t="e">
        <f>IF($E143&gt;0,GR148/$E143,"-")</f>
        <v>#N/A</v>
      </c>
      <c r="GS150" s="1253"/>
      <c r="GT150" s="1253" t="e">
        <f>IF($E143&gt;0,GT148/$E143,"-")</f>
        <v>#N/A</v>
      </c>
      <c r="GU150" s="1253"/>
      <c r="GV150" s="1253" t="e">
        <f>IF($E143&gt;0,GV148/$E143,"-")</f>
        <v>#N/A</v>
      </c>
      <c r="GW150" s="1253"/>
      <c r="GX150" s="1253" t="e">
        <f>IF($E143&gt;0,GX148/$E143,"-")</f>
        <v>#N/A</v>
      </c>
      <c r="GY150" s="1253"/>
      <c r="GZ150" s="1253" t="e">
        <f>IF($E143&gt;0,GZ148/$E143,"-")</f>
        <v>#N/A</v>
      </c>
      <c r="HA150" s="1253"/>
      <c r="HB150" s="1253" t="e">
        <f>IF($E143&gt;0,HB148/$E143,"-")</f>
        <v>#N/A</v>
      </c>
      <c r="HC150" s="1253"/>
      <c r="HD150" s="1253" t="e">
        <f>IF($E143&gt;0,HD148/$E143,"-")</f>
        <v>#N/A</v>
      </c>
      <c r="HE150" s="1253"/>
      <c r="HF150" s="1253" t="e">
        <f>IF($E143&gt;0,HF148/$E143,"-")</f>
        <v>#N/A</v>
      </c>
      <c r="HG150" s="1253"/>
      <c r="HH150" s="1253" t="e">
        <f>IF($E143&gt;0,HH148/$E143,"-")</f>
        <v>#N/A</v>
      </c>
      <c r="HI150" s="1253"/>
      <c r="HJ150" s="1253" t="e">
        <f>IF($E143&gt;0,HJ148/$E143,"-")</f>
        <v>#N/A</v>
      </c>
      <c r="HK150" s="1253"/>
    </row>
    <row r="151" spans="1:219" s="5" customFormat="1" ht="14.4" hidden="1">
      <c r="A151" s="690"/>
      <c r="B151" s="691"/>
      <c r="C151" s="691"/>
      <c r="D151" s="692"/>
      <c r="E151" s="692"/>
      <c r="F151" s="691"/>
      <c r="G151" s="691"/>
      <c r="H151" s="691"/>
      <c r="I151" s="691"/>
      <c r="J151" s="691"/>
      <c r="K151" s="691"/>
      <c r="L151" s="1274"/>
      <c r="M151" s="1274"/>
      <c r="N151" s="1274"/>
      <c r="O151" s="1274"/>
      <c r="P151" s="1274"/>
      <c r="Q151" s="1274"/>
      <c r="R151" s="1274"/>
      <c r="S151" s="1362"/>
      <c r="T151" s="1276"/>
      <c r="U151" s="1274"/>
      <c r="V151" s="1274"/>
      <c r="W151" s="1274"/>
      <c r="X151" s="1274"/>
      <c r="Y151" s="1274"/>
      <c r="Z151" s="1274"/>
      <c r="AA151" s="1362"/>
      <c r="AB151" s="1276"/>
      <c r="AC151" s="1274"/>
      <c r="AD151" s="1274"/>
      <c r="AE151" s="1274"/>
      <c r="AF151" s="1274"/>
      <c r="AG151" s="1274"/>
      <c r="AH151" s="1274"/>
      <c r="AI151" s="1362"/>
      <c r="AJ151" s="1276"/>
      <c r="AK151" s="1274"/>
      <c r="AL151" s="1274"/>
      <c r="AM151" s="1274"/>
      <c r="AN151" s="1274"/>
      <c r="AO151" s="1274"/>
      <c r="AP151" s="1274"/>
      <c r="AQ151" s="1362"/>
      <c r="AR151" s="1276"/>
      <c r="AS151" s="1274"/>
      <c r="AT151" s="777"/>
      <c r="AU151" s="777"/>
      <c r="AV151" s="777"/>
      <c r="AW151" s="777"/>
      <c r="AX151" s="777"/>
      <c r="AY151" s="778"/>
      <c r="AZ151" s="779"/>
      <c r="BA151" s="777"/>
      <c r="BB151" s="777"/>
      <c r="BC151" s="777"/>
      <c r="BD151" s="777"/>
      <c r="BE151" s="777"/>
      <c r="BF151" s="777"/>
      <c r="BG151" s="778"/>
      <c r="BH151" s="779"/>
      <c r="BI151" s="777"/>
      <c r="BJ151" s="777"/>
      <c r="BK151" s="777"/>
      <c r="BL151" s="777"/>
      <c r="BM151" s="777"/>
      <c r="BN151" s="777"/>
      <c r="BO151" s="778"/>
      <c r="BP151" s="779"/>
      <c r="BQ151" s="777"/>
      <c r="BR151" s="777"/>
      <c r="BS151" s="777"/>
      <c r="BT151" s="777"/>
      <c r="BU151" s="777"/>
      <c r="BV151" s="777"/>
      <c r="BW151" s="778"/>
      <c r="BX151" s="779"/>
      <c r="BY151" s="777"/>
      <c r="BZ151" s="777"/>
      <c r="CA151" s="777"/>
      <c r="CB151" s="777"/>
      <c r="CC151" s="777"/>
      <c r="CD151" s="1274"/>
      <c r="CE151" s="1275"/>
      <c r="CF151" s="1276"/>
      <c r="CG151" s="1277"/>
      <c r="CH151" s="1274"/>
      <c r="CI151" s="1277"/>
      <c r="CJ151" s="1274"/>
      <c r="CK151" s="1277"/>
      <c r="CL151" s="1274"/>
      <c r="CM151" s="1275"/>
      <c r="CN151" s="1276"/>
      <c r="CO151" s="1277"/>
      <c r="CP151" s="1296"/>
      <c r="CQ151" s="1297"/>
      <c r="CR151" s="1296"/>
      <c r="CS151" s="1297"/>
      <c r="CT151" s="780"/>
      <c r="CU151" s="781"/>
      <c r="CV151" s="782"/>
      <c r="CW151" s="780"/>
      <c r="CX151" s="780"/>
      <c r="CY151" s="780"/>
      <c r="CZ151" s="780"/>
      <c r="DA151" s="780"/>
      <c r="DB151" s="780"/>
      <c r="DC151" s="781"/>
      <c r="DD151" s="782"/>
      <c r="DE151" s="780"/>
      <c r="DF151" s="780"/>
      <c r="DG151" s="780"/>
      <c r="DH151" s="780"/>
      <c r="DI151" s="780"/>
      <c r="DJ151" s="783"/>
      <c r="DK151" s="784"/>
      <c r="DL151" s="782"/>
      <c r="DM151" s="780"/>
      <c r="DN151" s="780"/>
      <c r="DO151" s="780"/>
      <c r="DP151" s="780"/>
      <c r="DQ151" s="780"/>
      <c r="DR151" s="780"/>
      <c r="DS151" s="781"/>
      <c r="DT151" s="782"/>
      <c r="DU151" s="780"/>
      <c r="DV151" s="780"/>
      <c r="DW151" s="780"/>
      <c r="DX151" s="780"/>
      <c r="DY151" s="780"/>
      <c r="DZ151" s="780"/>
      <c r="EA151" s="781"/>
      <c r="EB151" s="782"/>
      <c r="EC151" s="780"/>
      <c r="ED151" s="780"/>
      <c r="EE151" s="780"/>
      <c r="EF151" s="780"/>
      <c r="EG151" s="780"/>
      <c r="EH151" s="780"/>
      <c r="EI151" s="781"/>
      <c r="EJ151" s="782"/>
      <c r="EK151" s="780"/>
      <c r="EL151" s="780"/>
      <c r="EM151" s="780"/>
      <c r="EN151" s="780"/>
      <c r="EO151" s="780"/>
      <c r="EP151" s="780"/>
      <c r="EQ151" s="781"/>
      <c r="ER151" s="782"/>
      <c r="ES151" s="780"/>
      <c r="ET151" s="780"/>
      <c r="EU151" s="780"/>
      <c r="EV151" s="780"/>
      <c r="EW151" s="780"/>
      <c r="EX151" s="780"/>
      <c r="EY151" s="781"/>
      <c r="EZ151" s="782"/>
      <c r="FA151" s="780"/>
      <c r="FB151" s="780"/>
      <c r="FC151" s="780"/>
      <c r="FD151" s="780"/>
      <c r="FE151" s="780"/>
      <c r="FF151" s="780"/>
      <c r="FG151" s="781"/>
      <c r="FH151" s="782"/>
      <c r="FI151" s="780"/>
      <c r="FJ151" s="780"/>
      <c r="FK151" s="780"/>
      <c r="FL151" s="780"/>
      <c r="FM151" s="780"/>
      <c r="FN151" s="780"/>
      <c r="FO151" s="781"/>
      <c r="FP151" s="782"/>
      <c r="FQ151" s="780"/>
      <c r="FR151" s="780"/>
      <c r="FS151" s="780"/>
      <c r="FT151" s="780"/>
      <c r="FU151" s="780"/>
      <c r="FV151" s="780"/>
      <c r="FW151" s="781"/>
      <c r="FX151" s="782"/>
      <c r="FY151" s="780"/>
      <c r="FZ151" s="780"/>
      <c r="GA151" s="780"/>
      <c r="GB151" s="780"/>
      <c r="GC151" s="780"/>
      <c r="GD151" s="780"/>
      <c r="GE151" s="781"/>
      <c r="GF151" s="782"/>
      <c r="GG151" s="780"/>
      <c r="GH151" s="780"/>
      <c r="GI151" s="780"/>
      <c r="GJ151" s="780"/>
      <c r="GK151" s="780"/>
      <c r="GL151" s="780"/>
      <c r="GM151" s="781"/>
      <c r="GN151" s="782"/>
      <c r="GO151" s="780"/>
      <c r="GP151" s="780"/>
      <c r="GQ151" s="780"/>
      <c r="GR151" s="780"/>
      <c r="GS151" s="780"/>
      <c r="GT151" s="780"/>
      <c r="GU151" s="781"/>
      <c r="GV151" s="780"/>
      <c r="GW151" s="781"/>
      <c r="GX151" s="780"/>
      <c r="GY151" s="781"/>
      <c r="GZ151" s="780"/>
      <c r="HA151" s="781"/>
      <c r="HB151" s="780"/>
      <c r="HC151" s="781"/>
      <c r="HD151" s="780"/>
      <c r="HE151" s="781"/>
      <c r="HF151" s="780"/>
      <c r="HG151" s="781"/>
      <c r="HH151" s="780"/>
      <c r="HI151" s="781"/>
      <c r="HJ151" s="780"/>
      <c r="HK151" s="781"/>
    </row>
    <row r="152" spans="1:219" hidden="1">
      <c r="A152" s="1299"/>
      <c r="B152" s="1300" t="e">
        <f>VLOOKUP(A152,PLANEJAMENTO!$B$10:$C$70,2,FALSE)</f>
        <v>#N/A</v>
      </c>
      <c r="C152" s="1299" t="e">
        <f>VLOOKUP(A152,PLANEJAMENTO!$B$10:$D$70,3,FALSE)</f>
        <v>#N/A</v>
      </c>
      <c r="D152" s="1301" t="e">
        <f>VLOOKUP(A152,PLANEJAMENTO!$B$10:$E$70,4,FALSE)</f>
        <v>#N/A</v>
      </c>
      <c r="E152" s="1301" t="e">
        <f>D152</f>
        <v>#N/A</v>
      </c>
      <c r="F152" s="1302">
        <f>PRODUÇÕES!$D$17</f>
        <v>160</v>
      </c>
      <c r="G152" s="1301">
        <f>F152*8</f>
        <v>1280</v>
      </c>
      <c r="H152" s="726"/>
      <c r="I152" s="1303"/>
      <c r="J152" s="1304"/>
      <c r="K152" s="727" t="s">
        <v>291</v>
      </c>
      <c r="L152" s="1285"/>
      <c r="M152" s="1286"/>
      <c r="N152" s="1285"/>
      <c r="O152" s="1286"/>
      <c r="P152" s="1285"/>
      <c r="Q152" s="1286"/>
      <c r="R152" s="1285"/>
      <c r="S152" s="1286"/>
      <c r="T152" s="1285"/>
      <c r="U152" s="1286"/>
      <c r="V152" s="1285"/>
      <c r="W152" s="1286"/>
      <c r="X152" s="1285"/>
      <c r="Y152" s="1286"/>
      <c r="Z152" s="1285"/>
      <c r="AA152" s="1286"/>
      <c r="AB152" s="1285"/>
      <c r="AC152" s="1286"/>
      <c r="AD152" s="1285"/>
      <c r="AE152" s="1286"/>
      <c r="AF152" s="1285"/>
      <c r="AG152" s="1286"/>
      <c r="AH152" s="1285"/>
      <c r="AI152" s="1286"/>
      <c r="AJ152" s="1285"/>
      <c r="AK152" s="1286"/>
      <c r="AL152" s="1285"/>
      <c r="AM152" s="1286"/>
      <c r="AN152" s="1285"/>
      <c r="AO152" s="1286"/>
      <c r="AP152" s="1285"/>
      <c r="AQ152" s="1286"/>
      <c r="AR152" s="1285"/>
      <c r="AS152" s="1286"/>
      <c r="AT152" s="1285"/>
      <c r="AU152" s="1286"/>
      <c r="AV152" s="1285"/>
      <c r="AW152" s="1286"/>
      <c r="AX152" s="1340">
        <f>6-AX105</f>
        <v>6</v>
      </c>
      <c r="AY152" s="1341"/>
      <c r="AZ152" s="1340">
        <v>1.6341487754881876</v>
      </c>
      <c r="BA152" s="1341"/>
      <c r="BB152" s="1285"/>
      <c r="BC152" s="1286"/>
      <c r="BD152" s="1285"/>
      <c r="BE152" s="1286"/>
      <c r="BF152" s="1285"/>
      <c r="BG152" s="1286"/>
      <c r="BH152" s="1285"/>
      <c r="BI152" s="1286"/>
      <c r="BJ152" s="1285"/>
      <c r="BK152" s="1286"/>
      <c r="BL152" s="1285"/>
      <c r="BM152" s="1286"/>
      <c r="BN152" s="1285"/>
      <c r="BO152" s="1286"/>
      <c r="BP152" s="1285"/>
      <c r="BQ152" s="1286"/>
      <c r="BR152" s="1263"/>
      <c r="BS152" s="1263"/>
      <c r="BT152" s="1263"/>
      <c r="BU152" s="1263"/>
      <c r="BV152" s="1263"/>
      <c r="BW152" s="1263"/>
      <c r="BX152" s="1263"/>
      <c r="BY152" s="1263"/>
      <c r="BZ152" s="1263"/>
      <c r="CA152" s="1263"/>
      <c r="CB152" s="1263"/>
      <c r="CC152" s="1263"/>
      <c r="CD152" s="1263"/>
      <c r="CE152" s="1263"/>
      <c r="CF152" s="1263"/>
      <c r="CG152" s="1263"/>
      <c r="CH152" s="1263"/>
      <c r="CI152" s="1263"/>
      <c r="CJ152" s="1263"/>
      <c r="CK152" s="1263"/>
      <c r="CL152" s="1263"/>
      <c r="CM152" s="1263"/>
      <c r="CN152" s="1263"/>
      <c r="CO152" s="1263"/>
      <c r="CP152" s="1263"/>
      <c r="CQ152" s="1263"/>
      <c r="CR152" s="1263"/>
      <c r="CS152" s="1263"/>
      <c r="CT152" s="1263"/>
      <c r="CU152" s="1263"/>
      <c r="CV152" s="1263"/>
      <c r="CW152" s="1263"/>
      <c r="CX152" s="1263"/>
      <c r="CY152" s="1263"/>
      <c r="CZ152" s="1263"/>
      <c r="DA152" s="1263"/>
      <c r="DB152" s="1263"/>
      <c r="DC152" s="1263"/>
      <c r="DD152" s="1263"/>
      <c r="DE152" s="1263"/>
      <c r="DF152" s="1263"/>
      <c r="DG152" s="1263"/>
      <c r="DH152" s="1263"/>
      <c r="DI152" s="1263"/>
      <c r="DJ152" s="1263"/>
      <c r="DK152" s="1263"/>
      <c r="DL152" s="1263"/>
      <c r="DM152" s="1263"/>
      <c r="DN152" s="1263"/>
      <c r="DO152" s="1263"/>
      <c r="DP152" s="1263"/>
      <c r="DQ152" s="1263"/>
      <c r="DR152" s="1263"/>
      <c r="DS152" s="1263"/>
      <c r="DT152" s="1263"/>
      <c r="DU152" s="1263"/>
      <c r="DV152" s="1263"/>
      <c r="DW152" s="1263"/>
      <c r="DX152" s="1263"/>
      <c r="DY152" s="1263"/>
      <c r="DZ152" s="1263"/>
      <c r="EA152" s="1263"/>
      <c r="EB152" s="1263"/>
      <c r="EC152" s="1263"/>
      <c r="ED152" s="1263"/>
      <c r="EE152" s="1263"/>
      <c r="EF152" s="1263"/>
      <c r="EG152" s="1263"/>
      <c r="EH152" s="1263"/>
      <c r="EI152" s="1263"/>
      <c r="EJ152" s="1263"/>
      <c r="EK152" s="1263"/>
      <c r="EL152" s="1263"/>
      <c r="EM152" s="1263"/>
      <c r="EN152" s="1263"/>
      <c r="EO152" s="1263"/>
      <c r="EP152" s="1263"/>
      <c r="EQ152" s="1263"/>
      <c r="ER152" s="1263"/>
      <c r="ES152" s="1263"/>
      <c r="ET152" s="1263"/>
      <c r="EU152" s="1263"/>
      <c r="EV152" s="1263"/>
      <c r="EW152" s="1263"/>
      <c r="EX152" s="1263"/>
      <c r="EY152" s="1263"/>
      <c r="EZ152" s="1263"/>
      <c r="FA152" s="1263"/>
      <c r="FB152" s="1263"/>
      <c r="FC152" s="1263"/>
      <c r="FD152" s="1263"/>
      <c r="FE152" s="1263"/>
      <c r="FF152" s="1263"/>
      <c r="FG152" s="1263"/>
      <c r="FH152" s="1263"/>
      <c r="FI152" s="1263"/>
      <c r="FJ152" s="1263"/>
      <c r="FK152" s="1263"/>
      <c r="FL152" s="1263"/>
      <c r="FM152" s="1263"/>
      <c r="FN152" s="1263"/>
      <c r="FO152" s="1263"/>
      <c r="FP152" s="1263"/>
      <c r="FQ152" s="1263"/>
      <c r="FR152" s="1263"/>
      <c r="FS152" s="1263"/>
      <c r="FT152" s="1263"/>
      <c r="FU152" s="1263"/>
      <c r="FV152" s="1263"/>
      <c r="FW152" s="1263"/>
      <c r="FX152" s="1263"/>
      <c r="FY152" s="1263"/>
      <c r="FZ152" s="1263"/>
      <c r="GA152" s="1263"/>
      <c r="GB152" s="1263"/>
      <c r="GC152" s="1263"/>
      <c r="GD152" s="1263"/>
      <c r="GE152" s="1263"/>
      <c r="GF152" s="1263"/>
      <c r="GG152" s="1263"/>
      <c r="GH152" s="1263"/>
      <c r="GI152" s="1263"/>
      <c r="GJ152" s="1263"/>
      <c r="GK152" s="1263"/>
      <c r="GL152" s="1263"/>
      <c r="GM152" s="1263"/>
      <c r="GN152" s="1263"/>
      <c r="GO152" s="1263"/>
      <c r="GP152" s="1263"/>
      <c r="GQ152" s="1263"/>
      <c r="GR152" s="1263"/>
      <c r="GS152" s="1263"/>
      <c r="GT152" s="1263"/>
      <c r="GU152" s="1263"/>
      <c r="GV152" s="1263"/>
      <c r="GW152" s="1263"/>
      <c r="GX152" s="1263"/>
      <c r="GY152" s="1263"/>
      <c r="GZ152" s="1263"/>
      <c r="HA152" s="1263"/>
      <c r="HB152" s="1263"/>
      <c r="HC152" s="1263"/>
      <c r="HD152" s="1263"/>
      <c r="HE152" s="1263"/>
      <c r="HF152" s="1263"/>
      <c r="HG152" s="1263"/>
      <c r="HH152" s="1263"/>
      <c r="HI152" s="1263"/>
      <c r="HJ152" s="1263"/>
      <c r="HK152" s="1263"/>
    </row>
    <row r="153" spans="1:219" hidden="1">
      <c r="A153" s="1299"/>
      <c r="B153" s="1300"/>
      <c r="C153" s="1299"/>
      <c r="D153" s="1301"/>
      <c r="E153" s="1301"/>
      <c r="F153" s="1302"/>
      <c r="G153" s="1301"/>
      <c r="H153" s="726"/>
      <c r="I153" s="1303"/>
      <c r="J153" s="1304"/>
      <c r="K153" s="785" t="s">
        <v>292</v>
      </c>
      <c r="L153" s="1283"/>
      <c r="M153" s="1284"/>
      <c r="N153" s="1283"/>
      <c r="O153" s="1284"/>
      <c r="P153" s="1283"/>
      <c r="Q153" s="1284"/>
      <c r="R153" s="1283"/>
      <c r="S153" s="1284"/>
      <c r="T153" s="1283"/>
      <c r="U153" s="1284"/>
      <c r="V153" s="1283"/>
      <c r="W153" s="1284"/>
      <c r="X153" s="1283"/>
      <c r="Y153" s="1284"/>
      <c r="Z153" s="1283"/>
      <c r="AA153" s="1284"/>
      <c r="AB153" s="1283"/>
      <c r="AC153" s="1284"/>
      <c r="AD153" s="1283"/>
      <c r="AE153" s="1284"/>
      <c r="AF153" s="1283"/>
      <c r="AG153" s="1284"/>
      <c r="AH153" s="1283"/>
      <c r="AI153" s="1284"/>
      <c r="AJ153" s="1283"/>
      <c r="AK153" s="1284"/>
      <c r="AL153" s="1283"/>
      <c r="AM153" s="1284"/>
      <c r="AN153" s="1283"/>
      <c r="AO153" s="1284"/>
      <c r="AP153" s="1283"/>
      <c r="AQ153" s="1284"/>
      <c r="AR153" s="1283"/>
      <c r="AS153" s="1284"/>
      <c r="AT153" s="1283"/>
      <c r="AU153" s="1284"/>
      <c r="AV153" s="1283"/>
      <c r="AW153" s="1284"/>
      <c r="AX153" s="1283">
        <v>1</v>
      </c>
      <c r="AY153" s="1284"/>
      <c r="AZ153" s="1283">
        <v>1</v>
      </c>
      <c r="BA153" s="1284"/>
      <c r="BB153" s="1283"/>
      <c r="BC153" s="1284"/>
      <c r="BD153" s="1283"/>
      <c r="BE153" s="1284"/>
      <c r="BF153" s="1283"/>
      <c r="BG153" s="1284"/>
      <c r="BH153" s="1283"/>
      <c r="BI153" s="1284"/>
      <c r="BJ153" s="1283"/>
      <c r="BK153" s="1284"/>
      <c r="BL153" s="1283"/>
      <c r="BM153" s="1284"/>
      <c r="BN153" s="1283"/>
      <c r="BO153" s="1284"/>
      <c r="BP153" s="1283"/>
      <c r="BQ153" s="1284"/>
      <c r="BR153" s="1264"/>
      <c r="BS153" s="1264"/>
      <c r="BT153" s="1264"/>
      <c r="BU153" s="1264"/>
      <c r="BV153" s="1264"/>
      <c r="BW153" s="1264"/>
      <c r="BX153" s="1264"/>
      <c r="BY153" s="1264"/>
      <c r="BZ153" s="1264"/>
      <c r="CA153" s="1264"/>
      <c r="CB153" s="1264"/>
      <c r="CC153" s="1264"/>
      <c r="CD153" s="1264"/>
      <c r="CE153" s="1264"/>
      <c r="CF153" s="1264"/>
      <c r="CG153" s="1264"/>
      <c r="CH153" s="1264"/>
      <c r="CI153" s="1264"/>
      <c r="CJ153" s="1264"/>
      <c r="CK153" s="1264"/>
      <c r="CL153" s="1264"/>
      <c r="CM153" s="1264"/>
      <c r="CN153" s="1264"/>
      <c r="CO153" s="1264"/>
      <c r="CP153" s="1264"/>
      <c r="CQ153" s="1264"/>
      <c r="CR153" s="1264"/>
      <c r="CS153" s="1264"/>
      <c r="CT153" s="1264"/>
      <c r="CU153" s="1264"/>
      <c r="CV153" s="1264"/>
      <c r="CW153" s="1264"/>
      <c r="CX153" s="1264"/>
      <c r="CY153" s="1264"/>
      <c r="CZ153" s="1264"/>
      <c r="DA153" s="1264"/>
      <c r="DB153" s="1264"/>
      <c r="DC153" s="1264"/>
      <c r="DD153" s="1264"/>
      <c r="DE153" s="1264"/>
      <c r="DF153" s="1264"/>
      <c r="DG153" s="1264"/>
      <c r="DH153" s="1264"/>
      <c r="DI153" s="1264"/>
      <c r="DJ153" s="1264"/>
      <c r="DK153" s="1264"/>
      <c r="DL153" s="1264"/>
      <c r="DM153" s="1264"/>
      <c r="DN153" s="1264"/>
      <c r="DO153" s="1264"/>
      <c r="DP153" s="1264"/>
      <c r="DQ153" s="1264"/>
      <c r="DR153" s="1264"/>
      <c r="DS153" s="1264"/>
      <c r="DT153" s="1264"/>
      <c r="DU153" s="1264"/>
      <c r="DV153" s="1264"/>
      <c r="DW153" s="1264"/>
      <c r="DX153" s="1264"/>
      <c r="DY153" s="1264"/>
      <c r="DZ153" s="1264"/>
      <c r="EA153" s="1264"/>
      <c r="EB153" s="1264"/>
      <c r="EC153" s="1264"/>
      <c r="ED153" s="1264"/>
      <c r="EE153" s="1264"/>
      <c r="EF153" s="1264"/>
      <c r="EG153" s="1264"/>
      <c r="EH153" s="1264"/>
      <c r="EI153" s="1264"/>
      <c r="EJ153" s="1264"/>
      <c r="EK153" s="1264"/>
      <c r="EL153" s="1264"/>
      <c r="EM153" s="1264"/>
      <c r="EN153" s="1264"/>
      <c r="EO153" s="1264"/>
      <c r="EP153" s="1264"/>
      <c r="EQ153" s="1264"/>
      <c r="ER153" s="1264"/>
      <c r="ES153" s="1264"/>
      <c r="ET153" s="1264"/>
      <c r="EU153" s="1264"/>
      <c r="EV153" s="1264"/>
      <c r="EW153" s="1264"/>
      <c r="EX153" s="1264"/>
      <c r="EY153" s="1264"/>
      <c r="EZ153" s="1264"/>
      <c r="FA153" s="1264"/>
      <c r="FB153" s="1264"/>
      <c r="FC153" s="1264"/>
      <c r="FD153" s="1264"/>
      <c r="FE153" s="1264"/>
      <c r="FF153" s="1264"/>
      <c r="FG153" s="1264"/>
      <c r="FH153" s="1264"/>
      <c r="FI153" s="1264"/>
      <c r="FJ153" s="1264"/>
      <c r="FK153" s="1264"/>
      <c r="FL153" s="1264"/>
      <c r="FM153" s="1264"/>
      <c r="FN153" s="1264"/>
      <c r="FO153" s="1264"/>
      <c r="FP153" s="1264"/>
      <c r="FQ153" s="1264"/>
      <c r="FR153" s="1264"/>
      <c r="FS153" s="1264"/>
      <c r="FT153" s="1264"/>
      <c r="FU153" s="1264"/>
      <c r="FV153" s="1264"/>
      <c r="FW153" s="1264"/>
      <c r="FX153" s="1264"/>
      <c r="FY153" s="1264"/>
      <c r="FZ153" s="1264"/>
      <c r="GA153" s="1264"/>
      <c r="GB153" s="1264"/>
      <c r="GC153" s="1264"/>
      <c r="GD153" s="1264"/>
      <c r="GE153" s="1264"/>
      <c r="GF153" s="1264"/>
      <c r="GG153" s="1264"/>
      <c r="GH153" s="1264"/>
      <c r="GI153" s="1264"/>
      <c r="GJ153" s="1264"/>
      <c r="GK153" s="1264"/>
      <c r="GL153" s="1264"/>
      <c r="GM153" s="1264"/>
      <c r="GN153" s="1264"/>
      <c r="GO153" s="1264"/>
      <c r="GP153" s="1264"/>
      <c r="GQ153" s="1264"/>
      <c r="GR153" s="1264"/>
      <c r="GS153" s="1264"/>
      <c r="GT153" s="1264"/>
      <c r="GU153" s="1264"/>
      <c r="GV153" s="1264"/>
      <c r="GW153" s="1264"/>
      <c r="GX153" s="1264"/>
      <c r="GY153" s="1264"/>
      <c r="GZ153" s="1264"/>
      <c r="HA153" s="1264"/>
      <c r="HB153" s="1264"/>
      <c r="HC153" s="1264"/>
      <c r="HD153" s="1264"/>
      <c r="HE153" s="1264"/>
      <c r="HF153" s="1264"/>
      <c r="HG153" s="1264"/>
      <c r="HH153" s="1264"/>
      <c r="HI153" s="1264"/>
      <c r="HJ153" s="1264"/>
      <c r="HK153" s="1264"/>
    </row>
    <row r="154" spans="1:219" hidden="1">
      <c r="A154" s="1299"/>
      <c r="B154" s="1300"/>
      <c r="C154" s="1299"/>
      <c r="D154" s="1301"/>
      <c r="E154" s="1301"/>
      <c r="F154" s="1302"/>
      <c r="G154" s="1301"/>
      <c r="H154" s="726"/>
      <c r="I154" s="1303"/>
      <c r="J154" s="1304"/>
      <c r="K154" s="786" t="s">
        <v>293</v>
      </c>
      <c r="L154" s="1255">
        <f>(L152*L153*$G152)*$L$8</f>
        <v>0</v>
      </c>
      <c r="M154" s="1256"/>
      <c r="N154" s="1255">
        <f>(N152*N153*$G152)*$L$8</f>
        <v>0</v>
      </c>
      <c r="O154" s="1256"/>
      <c r="P154" s="1255">
        <f>(P152*P153*$G152)*$L$8</f>
        <v>0</v>
      </c>
      <c r="Q154" s="1256"/>
      <c r="R154" s="1255">
        <f>(R152*R153*$G152)*$L$8</f>
        <v>0</v>
      </c>
      <c r="S154" s="1256"/>
      <c r="T154" s="1255">
        <f>(T152*T153*$G152)*$T$8</f>
        <v>0</v>
      </c>
      <c r="U154" s="1256"/>
      <c r="V154" s="1255">
        <f>(V152*V153*$G152)*$T$8</f>
        <v>0</v>
      </c>
      <c r="W154" s="1256"/>
      <c r="X154" s="1255">
        <f>(X152*X153*$G152)*$T$8</f>
        <v>0</v>
      </c>
      <c r="Y154" s="1256"/>
      <c r="Z154" s="1255">
        <f>(Z152*Z153*$G152)*$T$8</f>
        <v>0</v>
      </c>
      <c r="AA154" s="1256"/>
      <c r="AB154" s="1255">
        <f>(AB152*AB153*$G152)*$AB$8</f>
        <v>0</v>
      </c>
      <c r="AC154" s="1256"/>
      <c r="AD154" s="1255">
        <f>(AD152*AD153*$G152)*$AB$8</f>
        <v>0</v>
      </c>
      <c r="AE154" s="1256"/>
      <c r="AF154" s="1255">
        <f>(AF152*AF153*$G152)*$AB$8</f>
        <v>0</v>
      </c>
      <c r="AG154" s="1256"/>
      <c r="AH154" s="1255">
        <f>(AH152*AH153*$G152)*$AB$8</f>
        <v>0</v>
      </c>
      <c r="AI154" s="1256"/>
      <c r="AJ154" s="1255">
        <f>(AJ152*AJ153*$G152)*$AJ$8</f>
        <v>0</v>
      </c>
      <c r="AK154" s="1256"/>
      <c r="AL154" s="1255">
        <f>(AL152*AL153*$G152)*$AJ$8</f>
        <v>0</v>
      </c>
      <c r="AM154" s="1256"/>
      <c r="AN154" s="1255">
        <f>(AN152*AN153*$G152)*$AJ$8</f>
        <v>0</v>
      </c>
      <c r="AO154" s="1256"/>
      <c r="AP154" s="1255">
        <f>(AP152*AP153*$G152)*$AJ$8</f>
        <v>0</v>
      </c>
      <c r="AQ154" s="1256"/>
      <c r="AR154" s="1255">
        <f>(AR152*AR153*$G152)*$AT$8</f>
        <v>0</v>
      </c>
      <c r="AS154" s="1256"/>
      <c r="AT154" s="1255">
        <f>(AT152*AT153*$G152)*$AT$8</f>
        <v>0</v>
      </c>
      <c r="AU154" s="1256"/>
      <c r="AV154" s="1255">
        <f>(AV152*AV153*$G152)*$AT$8</f>
        <v>0</v>
      </c>
      <c r="AW154" s="1256"/>
      <c r="AX154" s="1255">
        <f>(AX152*AX153*$G152)*$AT$8</f>
        <v>7432.2580645161288</v>
      </c>
      <c r="AY154" s="1256"/>
      <c r="AZ154" s="1255">
        <f>(AZ152*AZ153*$G152)*$BB$8</f>
        <v>2084.7380645161302</v>
      </c>
      <c r="BA154" s="1256"/>
      <c r="BB154" s="1255">
        <f>(BB152*BB153*$G152)*$BB$8</f>
        <v>0</v>
      </c>
      <c r="BC154" s="1256"/>
      <c r="BD154" s="1255">
        <f>(BD152*BD153*$G152)*$BB$8</f>
        <v>0</v>
      </c>
      <c r="BE154" s="1256"/>
      <c r="BF154" s="1255">
        <f>(BF152*BF153*$G152)*$BB$8</f>
        <v>0</v>
      </c>
      <c r="BG154" s="1256"/>
      <c r="BH154" s="1255">
        <f>(BH152*BH153*$G152)*$BJ$8</f>
        <v>0</v>
      </c>
      <c r="BI154" s="1256"/>
      <c r="BJ154" s="1255">
        <f>(BJ152*BJ153*$G152)*$BJ$8</f>
        <v>0</v>
      </c>
      <c r="BK154" s="1256"/>
      <c r="BL154" s="1255">
        <f>(BL152*BL153*$G152)*$BJ$8</f>
        <v>0</v>
      </c>
      <c r="BM154" s="1256"/>
      <c r="BN154" s="1255">
        <f>(BN152*BN153*$G152)*$BJ$8</f>
        <v>0</v>
      </c>
      <c r="BO154" s="1256"/>
      <c r="BP154" s="1255">
        <f>(BP152*BP153*$G152)*$BT$8</f>
        <v>0</v>
      </c>
      <c r="BQ154" s="1256"/>
      <c r="BR154" s="1255">
        <f>(BR152*BR153*$G152)*$BT$8</f>
        <v>0</v>
      </c>
      <c r="BS154" s="1256"/>
      <c r="BT154" s="1255">
        <f>(BT152*BT153*$G152)*$BT$8</f>
        <v>0</v>
      </c>
      <c r="BU154" s="1256"/>
      <c r="BV154" s="1255">
        <f>(BV152*BV153*$G152)*$BT$8</f>
        <v>0</v>
      </c>
      <c r="BW154" s="1256"/>
      <c r="BX154" s="1255">
        <f>(BX152*BX153*$G152)*$CB$8</f>
        <v>0</v>
      </c>
      <c r="BY154" s="1256"/>
      <c r="BZ154" s="1255">
        <f>(BZ152*BZ153*$G152)*$CB$8</f>
        <v>0</v>
      </c>
      <c r="CA154" s="1256"/>
      <c r="CB154" s="1255">
        <f>(CB152*CB153*$G152)*$CB$8</f>
        <v>0</v>
      </c>
      <c r="CC154" s="1256"/>
      <c r="CD154" s="1255">
        <f>(CD152*CD153*$G152)*$CB$8</f>
        <v>0</v>
      </c>
      <c r="CE154" s="1256"/>
      <c r="CF154" s="1255">
        <f>(CF152*CF153*$G152)*$CB$8</f>
        <v>0</v>
      </c>
      <c r="CG154" s="1256"/>
      <c r="CH154" s="1255">
        <f>(CH152*CH153*$G152)*$CB$8</f>
        <v>0</v>
      </c>
      <c r="CI154" s="1256"/>
      <c r="CJ154" s="1255">
        <f>(CJ152*CJ153*$G152)*$CJ$8</f>
        <v>0</v>
      </c>
      <c r="CK154" s="1256"/>
      <c r="CL154" s="1255">
        <f>(CL152*CL153*$G152)*$CJ$8</f>
        <v>0</v>
      </c>
      <c r="CM154" s="1256"/>
      <c r="CN154" s="1255">
        <f>(CN152*CN153*$G152)*$CJ$8</f>
        <v>0</v>
      </c>
      <c r="CO154" s="1256"/>
      <c r="CP154" s="1255">
        <f>(CP152*CP153*$G152)*$CJ$8</f>
        <v>0</v>
      </c>
      <c r="CQ154" s="1256"/>
      <c r="CR154" s="1255">
        <f>(CR152*CR153*$G152)*$CJ$8</f>
        <v>0</v>
      </c>
      <c r="CS154" s="1256"/>
      <c r="CT154" s="1255">
        <f>(CT152*CT153*$G152)*$CT$8</f>
        <v>0</v>
      </c>
      <c r="CU154" s="1256"/>
      <c r="CV154" s="1255">
        <f>(CV152*CV153*$G152)*$CT$8</f>
        <v>0</v>
      </c>
      <c r="CW154" s="1256"/>
      <c r="CX154" s="1255">
        <f>(CX152*CX153*$G152)*$CT$8</f>
        <v>0</v>
      </c>
      <c r="CY154" s="1256"/>
      <c r="CZ154" s="1255">
        <f>(CZ152*CZ153*$G152)*$CT$8</f>
        <v>0</v>
      </c>
      <c r="DA154" s="1256"/>
      <c r="DB154" s="1255">
        <f>(DB152*DB153*$G152)*$DB$8</f>
        <v>0</v>
      </c>
      <c r="DC154" s="1256"/>
      <c r="DD154" s="1255">
        <f>(DD152*DD153*$G152)*$DB$8</f>
        <v>0</v>
      </c>
      <c r="DE154" s="1256"/>
      <c r="DF154" s="1255">
        <f>(DF152*DF153*$G152)*$DB$8</f>
        <v>0</v>
      </c>
      <c r="DG154" s="1256"/>
      <c r="DH154" s="1255">
        <f>(DH152*DH153*$G152)*$DB$8</f>
        <v>0</v>
      </c>
      <c r="DI154" s="1256"/>
      <c r="DJ154" s="1257">
        <f>(DJ152*DJ153*$G152)*$DB$8</f>
        <v>0</v>
      </c>
      <c r="DK154" s="1258"/>
      <c r="DL154" s="1255">
        <f>(DL152*DL153*$G152)*$DL$8</f>
        <v>0</v>
      </c>
      <c r="DM154" s="1256"/>
      <c r="DN154" s="1255">
        <f>(DN152*DN153*$G152)*$DL$8</f>
        <v>0</v>
      </c>
      <c r="DO154" s="1256"/>
      <c r="DP154" s="1255">
        <f>(DP152*DP153*$G152)*$DL$8</f>
        <v>0</v>
      </c>
      <c r="DQ154" s="1256"/>
      <c r="DR154" s="1255">
        <f>(DR152*DR153*$G152)*$DL$8</f>
        <v>0</v>
      </c>
      <c r="DS154" s="1256"/>
      <c r="DT154" s="1255">
        <f>(DT152*DT153*$G152)*$DT$8</f>
        <v>0</v>
      </c>
      <c r="DU154" s="1256"/>
      <c r="DV154" s="1255">
        <f>(DV152*DV153*$G152)*$DT$8</f>
        <v>0</v>
      </c>
      <c r="DW154" s="1256"/>
      <c r="DX154" s="1255">
        <f>(DX152*DX153*$G152)*$DB$8</f>
        <v>0</v>
      </c>
      <c r="DY154" s="1256"/>
      <c r="DZ154" s="1255">
        <f>(DZ152*DZ153*$G152)*$DB$8</f>
        <v>0</v>
      </c>
      <c r="EA154" s="1256"/>
      <c r="EB154" s="1255">
        <f>(EB152*EB153*$G152)*$DB$8</f>
        <v>0</v>
      </c>
      <c r="EC154" s="1256"/>
      <c r="ED154" s="1255">
        <f>(ED152*ED153*$G152)*$DB$8</f>
        <v>0</v>
      </c>
      <c r="EE154" s="1256"/>
      <c r="EF154" s="1255">
        <f>(EF152*EF153*$G152)*$DB$8</f>
        <v>0</v>
      </c>
      <c r="EG154" s="1256"/>
      <c r="EH154" s="1255">
        <f>(EH152*EH153*$G152)*$DB$8</f>
        <v>0</v>
      </c>
      <c r="EI154" s="1256"/>
      <c r="EJ154" s="1255">
        <f>(EJ152*EJ153*$G152)*$DB$8</f>
        <v>0</v>
      </c>
      <c r="EK154" s="1256"/>
      <c r="EL154" s="1255">
        <f>(EL152*EL153*$G152)*$DB$8</f>
        <v>0</v>
      </c>
      <c r="EM154" s="1256"/>
      <c r="EN154" s="1255">
        <f>(EN152*EN153*$G152)*$DB$8</f>
        <v>0</v>
      </c>
      <c r="EO154" s="1256"/>
      <c r="EP154" s="1255">
        <f>(EP152*EP153*$G152)*$DB$8</f>
        <v>0</v>
      </c>
      <c r="EQ154" s="1256"/>
      <c r="ER154" s="1255">
        <f>(ER152*ER153*$G152)*$DB$8</f>
        <v>0</v>
      </c>
      <c r="ES154" s="1256"/>
      <c r="ET154" s="1255">
        <f>(ET152*ET153*$G152)*$DB$8</f>
        <v>0</v>
      </c>
      <c r="EU154" s="1256"/>
      <c r="EV154" s="1255">
        <f>(EV152*EV153*$G152)*$DB$8</f>
        <v>0</v>
      </c>
      <c r="EW154" s="1256"/>
      <c r="EX154" s="1255">
        <f>(EX152*EX153*$G152)*$DB$8</f>
        <v>0</v>
      </c>
      <c r="EY154" s="1256"/>
      <c r="EZ154" s="1255">
        <f>(EZ152*EZ153*$G152)*$DB$8</f>
        <v>0</v>
      </c>
      <c r="FA154" s="1256"/>
      <c r="FB154" s="1255">
        <f>(FB152*FB153*$G152)*$DB$8</f>
        <v>0</v>
      </c>
      <c r="FC154" s="1256"/>
      <c r="FD154" s="1255">
        <f>(FD152*FD153*$G152)*$DB$8</f>
        <v>0</v>
      </c>
      <c r="FE154" s="1256"/>
      <c r="FF154" s="1255">
        <f>(FF152*FF153*$G152)*$DB$8</f>
        <v>0</v>
      </c>
      <c r="FG154" s="1256"/>
      <c r="FH154" s="1255">
        <f>(FH152*FH153*$G152)*$DB$8</f>
        <v>0</v>
      </c>
      <c r="FI154" s="1256"/>
      <c r="FJ154" s="1255">
        <f>(FJ152*FJ153*$G152)*$DB$8</f>
        <v>0</v>
      </c>
      <c r="FK154" s="1256"/>
      <c r="FL154" s="1255">
        <f>(FL152*FL153*$G152)*$DB$8</f>
        <v>0</v>
      </c>
      <c r="FM154" s="1256"/>
      <c r="FN154" s="1255">
        <f>(FN152*FN153*$G152)*$DB$8</f>
        <v>0</v>
      </c>
      <c r="FO154" s="1256"/>
      <c r="FP154" s="1255">
        <f>(FP152*FP153*$G152)*$DB$8</f>
        <v>0</v>
      </c>
      <c r="FQ154" s="1256"/>
      <c r="FR154" s="1255">
        <f>(FR152*FR153*$G152)*$DB$8</f>
        <v>0</v>
      </c>
      <c r="FS154" s="1256"/>
      <c r="FT154" s="1255">
        <f>(FT152*FT153*$G152)*$DB$8</f>
        <v>0</v>
      </c>
      <c r="FU154" s="1256"/>
      <c r="FV154" s="1255">
        <f>(FV152*FV153*$G152)*$DB$8</f>
        <v>0</v>
      </c>
      <c r="FW154" s="1256"/>
      <c r="FX154" s="1255">
        <f>(FX152*FX153*$G152)*$DB$8</f>
        <v>0</v>
      </c>
      <c r="FY154" s="1256"/>
      <c r="FZ154" s="1255">
        <f>(FZ152*FZ153*$G152)*$DB$8</f>
        <v>0</v>
      </c>
      <c r="GA154" s="1256"/>
      <c r="GB154" s="1255">
        <f>(GB152*GB153*$G152)*$DB$8</f>
        <v>0</v>
      </c>
      <c r="GC154" s="1256"/>
      <c r="GD154" s="1255">
        <f>(GD152*GD153*$G152)*$DB$8</f>
        <v>0</v>
      </c>
      <c r="GE154" s="1256"/>
      <c r="GF154" s="1255">
        <f>(GF152*GF153*$G152)*$DB$8</f>
        <v>0</v>
      </c>
      <c r="GG154" s="1256"/>
      <c r="GH154" s="1255">
        <f>(GH152*GH153*$G152)*$DB$8</f>
        <v>0</v>
      </c>
      <c r="GI154" s="1256"/>
      <c r="GJ154" s="1255">
        <f>(GJ152*GJ153*$G152)*$DB$8</f>
        <v>0</v>
      </c>
      <c r="GK154" s="1256"/>
      <c r="GL154" s="1255">
        <f>(GL152*GL153*$G152)*$DB$8</f>
        <v>0</v>
      </c>
      <c r="GM154" s="1256"/>
      <c r="GN154" s="1255">
        <f>(GN152*GN153*$G152)*$DB$8</f>
        <v>0</v>
      </c>
      <c r="GO154" s="1256"/>
      <c r="GP154" s="1255">
        <f>(GP152*GP153*$G152)*$DB$8</f>
        <v>0</v>
      </c>
      <c r="GQ154" s="1256"/>
      <c r="GR154" s="1255">
        <f>(GR152*GR153*$G152)*$DB$8</f>
        <v>0</v>
      </c>
      <c r="GS154" s="1256"/>
      <c r="GT154" s="1255">
        <f>(GT152*GT153*$G152)*$DB$8</f>
        <v>0</v>
      </c>
      <c r="GU154" s="1256"/>
      <c r="GV154" s="1255">
        <f>(GV152*GV153*$G152)*$DB$8</f>
        <v>0</v>
      </c>
      <c r="GW154" s="1256"/>
      <c r="GX154" s="1255">
        <f>(GX152*GX153*$G152)*$DB$8</f>
        <v>0</v>
      </c>
      <c r="GY154" s="1256"/>
      <c r="GZ154" s="1255">
        <f>(GZ152*GZ153*$G152)*$DB$8</f>
        <v>0</v>
      </c>
      <c r="HA154" s="1256"/>
      <c r="HB154" s="1255">
        <f>(HB152*HB153*$G152)*$DB$8</f>
        <v>0</v>
      </c>
      <c r="HC154" s="1256"/>
      <c r="HD154" s="1255">
        <f>(HD152*HD153*$G152)*$DB$8</f>
        <v>0</v>
      </c>
      <c r="HE154" s="1256"/>
      <c r="HF154" s="1255">
        <f>(HF152*HF153*$G152)*$DB$8</f>
        <v>0</v>
      </c>
      <c r="HG154" s="1256"/>
      <c r="HH154" s="1255">
        <f>(HH152*HH153*$G152)*$DB$8</f>
        <v>0</v>
      </c>
      <c r="HI154" s="1256"/>
      <c r="HJ154" s="1255">
        <f>(HJ152*HJ153*$G152)*$DB$8</f>
        <v>0</v>
      </c>
      <c r="HK154" s="1256"/>
    </row>
    <row r="155" spans="1:219" hidden="1">
      <c r="A155" s="1299"/>
      <c r="B155" s="1300"/>
      <c r="C155" s="1299"/>
      <c r="D155" s="1301"/>
      <c r="E155" s="1301"/>
      <c r="F155" s="1302"/>
      <c r="G155" s="1301"/>
      <c r="H155" s="726"/>
      <c r="I155" s="1303"/>
      <c r="J155" s="1304"/>
      <c r="K155" s="787" t="s">
        <v>294</v>
      </c>
      <c r="L155" s="1272">
        <f>L154</f>
        <v>0</v>
      </c>
      <c r="M155" s="1273"/>
      <c r="N155" s="1272">
        <f>L155+N154</f>
        <v>0</v>
      </c>
      <c r="O155" s="1273"/>
      <c r="P155" s="1272">
        <f>N155+P154</f>
        <v>0</v>
      </c>
      <c r="Q155" s="1273"/>
      <c r="R155" s="1272">
        <f>P155+R154</f>
        <v>0</v>
      </c>
      <c r="S155" s="1273"/>
      <c r="T155" s="1272">
        <f>R155+T154</f>
        <v>0</v>
      </c>
      <c r="U155" s="1273"/>
      <c r="V155" s="1272">
        <f>T155+V154</f>
        <v>0</v>
      </c>
      <c r="W155" s="1273"/>
      <c r="X155" s="1272">
        <f>V155+X154</f>
        <v>0</v>
      </c>
      <c r="Y155" s="1273"/>
      <c r="Z155" s="1272">
        <f>X155+Z154</f>
        <v>0</v>
      </c>
      <c r="AA155" s="1273"/>
      <c r="AB155" s="1272">
        <f>Z155+AB154</f>
        <v>0</v>
      </c>
      <c r="AC155" s="1273"/>
      <c r="AD155" s="1272">
        <f>AB155+AD154</f>
        <v>0</v>
      </c>
      <c r="AE155" s="1273"/>
      <c r="AF155" s="1272">
        <f>AD155+AF154</f>
        <v>0</v>
      </c>
      <c r="AG155" s="1273"/>
      <c r="AH155" s="1272">
        <f>AF155+AH154</f>
        <v>0</v>
      </c>
      <c r="AI155" s="1273"/>
      <c r="AJ155" s="1272">
        <f>AH155+AJ154</f>
        <v>0</v>
      </c>
      <c r="AK155" s="1273"/>
      <c r="AL155" s="1272">
        <f>AJ155+AL154</f>
        <v>0</v>
      </c>
      <c r="AM155" s="1273"/>
      <c r="AN155" s="1272">
        <f>AL155+AN154</f>
        <v>0</v>
      </c>
      <c r="AO155" s="1273"/>
      <c r="AP155" s="1272">
        <f>AN155+AP154</f>
        <v>0</v>
      </c>
      <c r="AQ155" s="1273"/>
      <c r="AR155" s="1272">
        <f>AP155+AR154</f>
        <v>0</v>
      </c>
      <c r="AS155" s="1273"/>
      <c r="AT155" s="1272">
        <f>AR155+AT154</f>
        <v>0</v>
      </c>
      <c r="AU155" s="1273"/>
      <c r="AV155" s="1272">
        <f>AT155+AV154</f>
        <v>0</v>
      </c>
      <c r="AW155" s="1273"/>
      <c r="AX155" s="1272">
        <f>AV155+AX154</f>
        <v>7432.2580645161288</v>
      </c>
      <c r="AY155" s="1273"/>
      <c r="AZ155" s="1272">
        <f>AX155+AZ154</f>
        <v>9516.996129032259</v>
      </c>
      <c r="BA155" s="1273"/>
      <c r="BB155" s="1272">
        <f>AZ155+BB154</f>
        <v>9516.996129032259</v>
      </c>
      <c r="BC155" s="1273"/>
      <c r="BD155" s="1272">
        <f>BB155+BD154</f>
        <v>9516.996129032259</v>
      </c>
      <c r="BE155" s="1273"/>
      <c r="BF155" s="1272">
        <f>BD155+BF154</f>
        <v>9516.996129032259</v>
      </c>
      <c r="BG155" s="1273"/>
      <c r="BH155" s="1272">
        <f>BF155+BH154</f>
        <v>9516.996129032259</v>
      </c>
      <c r="BI155" s="1273"/>
      <c r="BJ155" s="1272">
        <f>BH155+BJ154</f>
        <v>9516.996129032259</v>
      </c>
      <c r="BK155" s="1273"/>
      <c r="BL155" s="1272">
        <f>BJ155+BL154</f>
        <v>9516.996129032259</v>
      </c>
      <c r="BM155" s="1273"/>
      <c r="BN155" s="1272">
        <f>BL155+BN154</f>
        <v>9516.996129032259</v>
      </c>
      <c r="BO155" s="1273"/>
      <c r="BP155" s="1272">
        <f>BN155+BP154</f>
        <v>9516.996129032259</v>
      </c>
      <c r="BQ155" s="1273"/>
      <c r="BR155" s="1272">
        <f>BP155+BR154</f>
        <v>9516.996129032259</v>
      </c>
      <c r="BS155" s="1273"/>
      <c r="BT155" s="1272">
        <f>BR155+BT154</f>
        <v>9516.996129032259</v>
      </c>
      <c r="BU155" s="1273"/>
      <c r="BV155" s="1272">
        <f>BT155+BV154</f>
        <v>9516.996129032259</v>
      </c>
      <c r="BW155" s="1273"/>
      <c r="BX155" s="1272">
        <f>BV155+BX154</f>
        <v>9516.996129032259</v>
      </c>
      <c r="BY155" s="1273"/>
      <c r="BZ155" s="1272">
        <f>BX155+BZ154</f>
        <v>9516.996129032259</v>
      </c>
      <c r="CA155" s="1273"/>
      <c r="CB155" s="1272">
        <f>BZ155+CB154</f>
        <v>9516.996129032259</v>
      </c>
      <c r="CC155" s="1273"/>
      <c r="CD155" s="1272">
        <f>CB155+CD154</f>
        <v>9516.996129032259</v>
      </c>
      <c r="CE155" s="1273"/>
      <c r="CF155" s="1272">
        <f>CD155+CF154</f>
        <v>9516.996129032259</v>
      </c>
      <c r="CG155" s="1273"/>
      <c r="CH155" s="1272">
        <f>CF155+CH154</f>
        <v>9516.996129032259</v>
      </c>
      <c r="CI155" s="1273"/>
      <c r="CJ155" s="1272">
        <f>CH155+CJ154</f>
        <v>9516.996129032259</v>
      </c>
      <c r="CK155" s="1273"/>
      <c r="CL155" s="1272">
        <f>CJ155+CL154</f>
        <v>9516.996129032259</v>
      </c>
      <c r="CM155" s="1273"/>
      <c r="CN155" s="1272">
        <f>CL155+CN154</f>
        <v>9516.996129032259</v>
      </c>
      <c r="CO155" s="1273"/>
      <c r="CP155" s="1272">
        <f>CN155+CP154</f>
        <v>9516.996129032259</v>
      </c>
      <c r="CQ155" s="1273"/>
      <c r="CR155" s="1272">
        <f>CP155+CR154</f>
        <v>9516.996129032259</v>
      </c>
      <c r="CS155" s="1273"/>
      <c r="CT155" s="1272">
        <f>CR155+CT154</f>
        <v>9516.996129032259</v>
      </c>
      <c r="CU155" s="1273"/>
      <c r="CV155" s="1272">
        <f>CT155+CV154</f>
        <v>9516.996129032259</v>
      </c>
      <c r="CW155" s="1273"/>
      <c r="CX155" s="1272">
        <f>CV155+CX154</f>
        <v>9516.996129032259</v>
      </c>
      <c r="CY155" s="1273"/>
      <c r="CZ155" s="1272">
        <f>CX155+CZ154</f>
        <v>9516.996129032259</v>
      </c>
      <c r="DA155" s="1273"/>
      <c r="DB155" s="1272">
        <f>CZ155+DB154</f>
        <v>9516.996129032259</v>
      </c>
      <c r="DC155" s="1273"/>
      <c r="DD155" s="1272">
        <f>DB155+DD154</f>
        <v>9516.996129032259</v>
      </c>
      <c r="DE155" s="1273"/>
      <c r="DF155" s="1272">
        <f>DD155+DF154</f>
        <v>9516.996129032259</v>
      </c>
      <c r="DG155" s="1273"/>
      <c r="DH155" s="1272">
        <f>DF155+DH154</f>
        <v>9516.996129032259</v>
      </c>
      <c r="DI155" s="1273"/>
      <c r="DJ155" s="1323">
        <f>DH155+DJ154</f>
        <v>9516.996129032259</v>
      </c>
      <c r="DK155" s="1324"/>
      <c r="DL155" s="1272">
        <f>DJ155+DL154</f>
        <v>9516.996129032259</v>
      </c>
      <c r="DM155" s="1273"/>
      <c r="DN155" s="1272">
        <f>DL155+DN154</f>
        <v>9516.996129032259</v>
      </c>
      <c r="DO155" s="1273"/>
      <c r="DP155" s="1272">
        <f>DN155+DP154</f>
        <v>9516.996129032259</v>
      </c>
      <c r="DQ155" s="1273"/>
      <c r="DR155" s="1272">
        <f>DP155+DR154</f>
        <v>9516.996129032259</v>
      </c>
      <c r="DS155" s="1273"/>
      <c r="DT155" s="1272">
        <f>DR155+DT154</f>
        <v>9516.996129032259</v>
      </c>
      <c r="DU155" s="1273"/>
      <c r="DV155" s="1272">
        <f>DT155+DV154</f>
        <v>9516.996129032259</v>
      </c>
      <c r="DW155" s="1273"/>
      <c r="DX155" s="1272">
        <f>DV155+DX154</f>
        <v>9516.996129032259</v>
      </c>
      <c r="DY155" s="1273"/>
      <c r="DZ155" s="1272">
        <f>DX155+DZ154</f>
        <v>9516.996129032259</v>
      </c>
      <c r="EA155" s="1273"/>
      <c r="EB155" s="1272">
        <f>DZ155+EB154</f>
        <v>9516.996129032259</v>
      </c>
      <c r="EC155" s="1273"/>
      <c r="ED155" s="1272">
        <f>EB155+ED154</f>
        <v>9516.996129032259</v>
      </c>
      <c r="EE155" s="1273"/>
      <c r="EF155" s="1272">
        <f>ED155+EF154</f>
        <v>9516.996129032259</v>
      </c>
      <c r="EG155" s="1273"/>
      <c r="EH155" s="1272">
        <f>EF155+EH154</f>
        <v>9516.996129032259</v>
      </c>
      <c r="EI155" s="1273"/>
      <c r="EJ155" s="1272">
        <f>EH155+EJ154</f>
        <v>9516.996129032259</v>
      </c>
      <c r="EK155" s="1273"/>
      <c r="EL155" s="1272">
        <f>EJ155+EL154</f>
        <v>9516.996129032259</v>
      </c>
      <c r="EM155" s="1273"/>
      <c r="EN155" s="1272">
        <f>EL155+EN154</f>
        <v>9516.996129032259</v>
      </c>
      <c r="EO155" s="1273"/>
      <c r="EP155" s="1272">
        <f>EN155+EP154</f>
        <v>9516.996129032259</v>
      </c>
      <c r="EQ155" s="1273"/>
      <c r="ER155" s="1272">
        <f>EP155+ER154</f>
        <v>9516.996129032259</v>
      </c>
      <c r="ES155" s="1273"/>
      <c r="ET155" s="1272">
        <f>ER155+ET154</f>
        <v>9516.996129032259</v>
      </c>
      <c r="EU155" s="1273"/>
      <c r="EV155" s="1272">
        <f>ET155+EV154</f>
        <v>9516.996129032259</v>
      </c>
      <c r="EW155" s="1273"/>
      <c r="EX155" s="1272">
        <f>EV155+EX154</f>
        <v>9516.996129032259</v>
      </c>
      <c r="EY155" s="1273"/>
      <c r="EZ155" s="1272">
        <f>EX155+EZ154</f>
        <v>9516.996129032259</v>
      </c>
      <c r="FA155" s="1273"/>
      <c r="FB155" s="1272">
        <f>EZ155+FB154</f>
        <v>9516.996129032259</v>
      </c>
      <c r="FC155" s="1273"/>
      <c r="FD155" s="1272">
        <f>FB155+FD154</f>
        <v>9516.996129032259</v>
      </c>
      <c r="FE155" s="1273"/>
      <c r="FF155" s="1272">
        <f>FD155+FF154</f>
        <v>9516.996129032259</v>
      </c>
      <c r="FG155" s="1273"/>
      <c r="FH155" s="1272">
        <f>FF155+FH154</f>
        <v>9516.996129032259</v>
      </c>
      <c r="FI155" s="1273"/>
      <c r="FJ155" s="1272">
        <f>FH155+FJ154</f>
        <v>9516.996129032259</v>
      </c>
      <c r="FK155" s="1273"/>
      <c r="FL155" s="1272">
        <f>FJ155+FL154</f>
        <v>9516.996129032259</v>
      </c>
      <c r="FM155" s="1273"/>
      <c r="FN155" s="1272">
        <f>FL155+FN154</f>
        <v>9516.996129032259</v>
      </c>
      <c r="FO155" s="1273"/>
      <c r="FP155" s="1272">
        <f>FN155+FP154</f>
        <v>9516.996129032259</v>
      </c>
      <c r="FQ155" s="1273"/>
      <c r="FR155" s="1272">
        <f>FP155+FR154</f>
        <v>9516.996129032259</v>
      </c>
      <c r="FS155" s="1273"/>
      <c r="FT155" s="1272">
        <f>FR155+FT154</f>
        <v>9516.996129032259</v>
      </c>
      <c r="FU155" s="1273"/>
      <c r="FV155" s="1272">
        <f>FT155+FV154</f>
        <v>9516.996129032259</v>
      </c>
      <c r="FW155" s="1273"/>
      <c r="FX155" s="1272">
        <f>FV155+FX154</f>
        <v>9516.996129032259</v>
      </c>
      <c r="FY155" s="1273"/>
      <c r="FZ155" s="1272">
        <f>FX155+FZ154</f>
        <v>9516.996129032259</v>
      </c>
      <c r="GA155" s="1273"/>
      <c r="GB155" s="1272">
        <f>FZ155+GB154</f>
        <v>9516.996129032259</v>
      </c>
      <c r="GC155" s="1273"/>
      <c r="GD155" s="1272">
        <f>GB155+GD154</f>
        <v>9516.996129032259</v>
      </c>
      <c r="GE155" s="1273"/>
      <c r="GF155" s="1272">
        <f>GD155+GF154</f>
        <v>9516.996129032259</v>
      </c>
      <c r="GG155" s="1273"/>
      <c r="GH155" s="1272">
        <f>GF155+GH154</f>
        <v>9516.996129032259</v>
      </c>
      <c r="GI155" s="1273"/>
      <c r="GJ155" s="1272">
        <f>GH155+GJ154</f>
        <v>9516.996129032259</v>
      </c>
      <c r="GK155" s="1273"/>
      <c r="GL155" s="1272">
        <f>GJ155+GL154</f>
        <v>9516.996129032259</v>
      </c>
      <c r="GM155" s="1273"/>
      <c r="GN155" s="1272">
        <f>GL155+GN154</f>
        <v>9516.996129032259</v>
      </c>
      <c r="GO155" s="1273"/>
      <c r="GP155" s="1272">
        <f>GN155+GP154</f>
        <v>9516.996129032259</v>
      </c>
      <c r="GQ155" s="1273"/>
      <c r="GR155" s="1272">
        <f>GP155+GR154</f>
        <v>9516.996129032259</v>
      </c>
      <c r="GS155" s="1273"/>
      <c r="GT155" s="1272">
        <f>GR155+GT154</f>
        <v>9516.996129032259</v>
      </c>
      <c r="GU155" s="1273"/>
      <c r="GV155" s="1272">
        <f>GT155+GV154</f>
        <v>9516.996129032259</v>
      </c>
      <c r="GW155" s="1273"/>
      <c r="GX155" s="1272">
        <f>GV155+GX154</f>
        <v>9516.996129032259</v>
      </c>
      <c r="GY155" s="1273"/>
      <c r="GZ155" s="1272">
        <f>GX155+GZ154</f>
        <v>9516.996129032259</v>
      </c>
      <c r="HA155" s="1273"/>
      <c r="HB155" s="1272">
        <f>GZ155+HB154</f>
        <v>9516.996129032259</v>
      </c>
      <c r="HC155" s="1273"/>
      <c r="HD155" s="1272">
        <f>HB155+HD154</f>
        <v>9516.996129032259</v>
      </c>
      <c r="HE155" s="1273"/>
      <c r="HF155" s="1272">
        <f>HD155+HF154</f>
        <v>9516.996129032259</v>
      </c>
      <c r="HG155" s="1273"/>
      <c r="HH155" s="1272">
        <f>HF155+HH154</f>
        <v>9516.996129032259</v>
      </c>
      <c r="HI155" s="1273"/>
      <c r="HJ155" s="1272">
        <f>HH155+HJ154</f>
        <v>9516.996129032259</v>
      </c>
      <c r="HK155" s="1273"/>
    </row>
    <row r="156" spans="1:219" s="19" customFormat="1" hidden="1">
      <c r="A156" s="1299"/>
      <c r="B156" s="1300"/>
      <c r="C156" s="1299"/>
      <c r="D156" s="1301"/>
      <c r="E156" s="1301"/>
      <c r="F156" s="1302"/>
      <c r="G156" s="1301"/>
      <c r="H156" s="788"/>
      <c r="I156" s="1303"/>
      <c r="J156" s="1304"/>
      <c r="K156" s="789" t="s">
        <v>295</v>
      </c>
      <c r="L156" s="1266"/>
      <c r="M156" s="1267"/>
      <c r="N156" s="1266"/>
      <c r="O156" s="1267"/>
      <c r="P156" s="1266"/>
      <c r="Q156" s="1267"/>
      <c r="R156" s="1266"/>
      <c r="S156" s="1267"/>
      <c r="T156" s="1266"/>
      <c r="U156" s="1267"/>
      <c r="V156" s="1266"/>
      <c r="W156" s="1267"/>
      <c r="X156" s="1266"/>
      <c r="Y156" s="1267"/>
      <c r="Z156" s="1266"/>
      <c r="AA156" s="1267"/>
      <c r="AB156" s="1266"/>
      <c r="AC156" s="1267"/>
      <c r="AD156" s="1266"/>
      <c r="AE156" s="1267"/>
      <c r="AF156" s="1266"/>
      <c r="AG156" s="1267"/>
      <c r="AH156" s="1266"/>
      <c r="AI156" s="1267"/>
      <c r="AJ156" s="1266"/>
      <c r="AK156" s="1267"/>
      <c r="AL156" s="1266"/>
      <c r="AM156" s="1267"/>
      <c r="AN156" s="1266"/>
      <c r="AO156" s="1267"/>
      <c r="AP156" s="1266"/>
      <c r="AQ156" s="1267"/>
      <c r="AR156" s="1266"/>
      <c r="AS156" s="1267"/>
      <c r="AT156" s="1266"/>
      <c r="AU156" s="1267"/>
      <c r="AV156" s="1266"/>
      <c r="AW156" s="1267"/>
      <c r="AX156" s="1266"/>
      <c r="AY156" s="1267"/>
      <c r="AZ156" s="1266"/>
      <c r="BA156" s="1267"/>
      <c r="BB156" s="1266"/>
      <c r="BC156" s="1267"/>
      <c r="BD156" s="1266"/>
      <c r="BE156" s="1267"/>
      <c r="BF156" s="1266"/>
      <c r="BG156" s="1267"/>
      <c r="BH156" s="1266"/>
      <c r="BI156" s="1267"/>
      <c r="BJ156" s="1266"/>
      <c r="BK156" s="1267"/>
      <c r="BL156" s="1266"/>
      <c r="BM156" s="1267"/>
      <c r="BN156" s="1266"/>
      <c r="BO156" s="1267"/>
      <c r="BP156" s="1266"/>
      <c r="BQ156" s="1267"/>
      <c r="BR156" s="1266"/>
      <c r="BS156" s="1267"/>
      <c r="BT156" s="1266"/>
      <c r="BU156" s="1267"/>
      <c r="BV156" s="1266"/>
      <c r="BW156" s="1267"/>
      <c r="BX156" s="1266"/>
      <c r="BY156" s="1267"/>
      <c r="BZ156" s="1266"/>
      <c r="CA156" s="1267"/>
      <c r="CB156" s="1266"/>
      <c r="CC156" s="1267"/>
      <c r="CD156" s="1266"/>
      <c r="CE156" s="1267"/>
      <c r="CF156" s="1266"/>
      <c r="CG156" s="1267"/>
      <c r="CH156" s="1266"/>
      <c r="CI156" s="1267"/>
      <c r="CJ156" s="1266"/>
      <c r="CK156" s="1267"/>
      <c r="CL156" s="1266"/>
      <c r="CM156" s="1267"/>
      <c r="CN156" s="1266"/>
      <c r="CO156" s="1267"/>
      <c r="CP156" s="1266"/>
      <c r="CQ156" s="1267"/>
      <c r="CR156" s="1266"/>
      <c r="CS156" s="1267"/>
      <c r="CT156" s="1266"/>
      <c r="CU156" s="1267"/>
      <c r="CV156" s="1266"/>
      <c r="CW156" s="1267"/>
      <c r="CX156" s="1266"/>
      <c r="CY156" s="1267"/>
      <c r="CZ156" s="1266"/>
      <c r="DA156" s="1267"/>
      <c r="DB156" s="1266"/>
      <c r="DC156" s="1267"/>
      <c r="DD156" s="1266"/>
      <c r="DE156" s="1267"/>
      <c r="DF156" s="1266"/>
      <c r="DG156" s="1267"/>
      <c r="DH156" s="1266"/>
      <c r="DI156" s="1267"/>
      <c r="DJ156" s="1268"/>
      <c r="DK156" s="1269"/>
      <c r="DL156" s="1266"/>
      <c r="DM156" s="1267"/>
      <c r="DN156" s="1266"/>
      <c r="DO156" s="1267"/>
      <c r="DP156" s="1266"/>
      <c r="DQ156" s="1267"/>
      <c r="DR156" s="1266"/>
      <c r="DS156" s="1267"/>
      <c r="DT156" s="1266"/>
      <c r="DU156" s="1267"/>
      <c r="DV156" s="1266"/>
      <c r="DW156" s="1267"/>
      <c r="DX156" s="1266"/>
      <c r="DY156" s="1267"/>
      <c r="DZ156" s="1266"/>
      <c r="EA156" s="1267"/>
      <c r="EB156" s="1266"/>
      <c r="EC156" s="1267"/>
      <c r="ED156" s="1266"/>
      <c r="EE156" s="1267"/>
      <c r="EF156" s="1266"/>
      <c r="EG156" s="1267"/>
      <c r="EH156" s="1266"/>
      <c r="EI156" s="1267"/>
      <c r="EJ156" s="1266"/>
      <c r="EK156" s="1267"/>
      <c r="EL156" s="1266"/>
      <c r="EM156" s="1267"/>
      <c r="EN156" s="1266"/>
      <c r="EO156" s="1267"/>
      <c r="EP156" s="1266"/>
      <c r="EQ156" s="1267"/>
      <c r="ER156" s="1266"/>
      <c r="ES156" s="1267"/>
      <c r="ET156" s="1266"/>
      <c r="EU156" s="1267"/>
      <c r="EV156" s="1266"/>
      <c r="EW156" s="1267"/>
      <c r="EX156" s="1266"/>
      <c r="EY156" s="1267"/>
      <c r="EZ156" s="1266"/>
      <c r="FA156" s="1267"/>
      <c r="FB156" s="1266"/>
      <c r="FC156" s="1267"/>
      <c r="FD156" s="1266"/>
      <c r="FE156" s="1267"/>
      <c r="FF156" s="1266"/>
      <c r="FG156" s="1267"/>
      <c r="FH156" s="1266"/>
      <c r="FI156" s="1267"/>
      <c r="FJ156" s="1266"/>
      <c r="FK156" s="1267"/>
      <c r="FL156" s="1266"/>
      <c r="FM156" s="1267"/>
      <c r="FN156" s="1266"/>
      <c r="FO156" s="1267"/>
      <c r="FP156" s="1266"/>
      <c r="FQ156" s="1267"/>
      <c r="FR156" s="1266"/>
      <c r="FS156" s="1267"/>
      <c r="FT156" s="1266"/>
      <c r="FU156" s="1267"/>
      <c r="FV156" s="1266"/>
      <c r="FW156" s="1267"/>
      <c r="FX156" s="1266"/>
      <c r="FY156" s="1267"/>
      <c r="FZ156" s="1266"/>
      <c r="GA156" s="1267"/>
      <c r="GB156" s="1266"/>
      <c r="GC156" s="1267"/>
      <c r="GD156" s="1266"/>
      <c r="GE156" s="1267"/>
      <c r="GF156" s="1266"/>
      <c r="GG156" s="1267"/>
      <c r="GH156" s="1266"/>
      <c r="GI156" s="1267"/>
      <c r="GJ156" s="1266"/>
      <c r="GK156" s="1267"/>
      <c r="GL156" s="1266"/>
      <c r="GM156" s="1267"/>
      <c r="GN156" s="1266"/>
      <c r="GO156" s="1267"/>
      <c r="GP156" s="1266"/>
      <c r="GQ156" s="1267"/>
      <c r="GR156" s="1266"/>
      <c r="GS156" s="1267"/>
      <c r="GT156" s="1266"/>
      <c r="GU156" s="1267"/>
      <c r="GV156" s="1266"/>
      <c r="GW156" s="1267"/>
      <c r="GX156" s="1266"/>
      <c r="GY156" s="1267"/>
      <c r="GZ156" s="1266"/>
      <c r="HA156" s="1267"/>
      <c r="HB156" s="1266"/>
      <c r="HC156" s="1267"/>
      <c r="HD156" s="1266"/>
      <c r="HE156" s="1267"/>
      <c r="HF156" s="1266"/>
      <c r="HG156" s="1267"/>
      <c r="HH156" s="1266"/>
      <c r="HI156" s="1267"/>
      <c r="HJ156" s="1266"/>
      <c r="HK156" s="1267"/>
    </row>
    <row r="157" spans="1:219" s="20" customFormat="1" hidden="1">
      <c r="A157" s="1299"/>
      <c r="B157" s="1300"/>
      <c r="C157" s="1299"/>
      <c r="D157" s="1301"/>
      <c r="E157" s="1301"/>
      <c r="F157" s="1302"/>
      <c r="G157" s="1301"/>
      <c r="H157" s="790"/>
      <c r="I157" s="1303"/>
      <c r="J157" s="1304"/>
      <c r="K157" s="791" t="s">
        <v>296</v>
      </c>
      <c r="L157" s="1259">
        <f>L156</f>
        <v>0</v>
      </c>
      <c r="M157" s="1260"/>
      <c r="N157" s="1259">
        <f>N156+L157</f>
        <v>0</v>
      </c>
      <c r="O157" s="1260"/>
      <c r="P157" s="1259">
        <f>P156+N157</f>
        <v>0</v>
      </c>
      <c r="Q157" s="1260"/>
      <c r="R157" s="1259">
        <f>R156+P157</f>
        <v>0</v>
      </c>
      <c r="S157" s="1260"/>
      <c r="T157" s="1259">
        <f>T156+R157</f>
        <v>0</v>
      </c>
      <c r="U157" s="1260"/>
      <c r="V157" s="1259">
        <f>V156+T157</f>
        <v>0</v>
      </c>
      <c r="W157" s="1260"/>
      <c r="X157" s="1259">
        <f>X156+V157</f>
        <v>0</v>
      </c>
      <c r="Y157" s="1260"/>
      <c r="Z157" s="1259">
        <f>Z156+X157</f>
        <v>0</v>
      </c>
      <c r="AA157" s="1260"/>
      <c r="AB157" s="1259">
        <f>AB156+Z157</f>
        <v>0</v>
      </c>
      <c r="AC157" s="1260"/>
      <c r="AD157" s="1259">
        <f>AD156+AB157</f>
        <v>0</v>
      </c>
      <c r="AE157" s="1260"/>
      <c r="AF157" s="1259">
        <f>AF156+AD157</f>
        <v>0</v>
      </c>
      <c r="AG157" s="1260"/>
      <c r="AH157" s="1259">
        <f>AH156+AF157</f>
        <v>0</v>
      </c>
      <c r="AI157" s="1260"/>
      <c r="AJ157" s="1259">
        <f>AJ156+AH157</f>
        <v>0</v>
      </c>
      <c r="AK157" s="1260"/>
      <c r="AL157" s="1259">
        <f>AL156+AJ157</f>
        <v>0</v>
      </c>
      <c r="AM157" s="1260"/>
      <c r="AN157" s="1259">
        <f>AN156+AL157</f>
        <v>0</v>
      </c>
      <c r="AO157" s="1260"/>
      <c r="AP157" s="1259">
        <f>AP156+AN157</f>
        <v>0</v>
      </c>
      <c r="AQ157" s="1260"/>
      <c r="AR157" s="1259">
        <f>AR156+AP157</f>
        <v>0</v>
      </c>
      <c r="AS157" s="1260"/>
      <c r="AT157" s="1259">
        <f>AT156+AR157</f>
        <v>0</v>
      </c>
      <c r="AU157" s="1260"/>
      <c r="AV157" s="1259">
        <f>AV156+AT157</f>
        <v>0</v>
      </c>
      <c r="AW157" s="1260"/>
      <c r="AX157" s="1259">
        <f>AX156+AV157</f>
        <v>0</v>
      </c>
      <c r="AY157" s="1260"/>
      <c r="AZ157" s="1259">
        <f>AZ156+AX157</f>
        <v>0</v>
      </c>
      <c r="BA157" s="1260"/>
      <c r="BB157" s="1259">
        <f>BB156+AZ157</f>
        <v>0</v>
      </c>
      <c r="BC157" s="1260"/>
      <c r="BD157" s="1259">
        <f>BD156+BB157</f>
        <v>0</v>
      </c>
      <c r="BE157" s="1260"/>
      <c r="BF157" s="1259">
        <f>BF156+BD157</f>
        <v>0</v>
      </c>
      <c r="BG157" s="1260"/>
      <c r="BH157" s="1259">
        <f>BH156+BF157</f>
        <v>0</v>
      </c>
      <c r="BI157" s="1260"/>
      <c r="BJ157" s="1259">
        <f>BJ156+BH157</f>
        <v>0</v>
      </c>
      <c r="BK157" s="1260"/>
      <c r="BL157" s="1259">
        <f>BL156+BJ157</f>
        <v>0</v>
      </c>
      <c r="BM157" s="1260"/>
      <c r="BN157" s="1259">
        <f>BN156+BL157</f>
        <v>0</v>
      </c>
      <c r="BO157" s="1260"/>
      <c r="BP157" s="1259">
        <f>BP156+BN157</f>
        <v>0</v>
      </c>
      <c r="BQ157" s="1260"/>
      <c r="BR157" s="1259">
        <f>BR156+BP157</f>
        <v>0</v>
      </c>
      <c r="BS157" s="1260"/>
      <c r="BT157" s="1259">
        <f>BT156+BR157</f>
        <v>0</v>
      </c>
      <c r="BU157" s="1260"/>
      <c r="BV157" s="1259">
        <f>BV156+BT157</f>
        <v>0</v>
      </c>
      <c r="BW157" s="1260"/>
      <c r="BX157" s="1259">
        <f>BX156+BV157</f>
        <v>0</v>
      </c>
      <c r="BY157" s="1260"/>
      <c r="BZ157" s="1259">
        <f>BZ156+BX157</f>
        <v>0</v>
      </c>
      <c r="CA157" s="1260"/>
      <c r="CB157" s="1259">
        <f>CB156+BZ157</f>
        <v>0</v>
      </c>
      <c r="CC157" s="1260"/>
      <c r="CD157" s="1259">
        <f>CD156+CB157</f>
        <v>0</v>
      </c>
      <c r="CE157" s="1260"/>
      <c r="CF157" s="1259">
        <f>CF156+CD157</f>
        <v>0</v>
      </c>
      <c r="CG157" s="1260"/>
      <c r="CH157" s="1259">
        <f>CH156+CF157</f>
        <v>0</v>
      </c>
      <c r="CI157" s="1260"/>
      <c r="CJ157" s="1259">
        <f>CJ156+CH157</f>
        <v>0</v>
      </c>
      <c r="CK157" s="1260"/>
      <c r="CL157" s="1259">
        <f>CL156+CJ157</f>
        <v>0</v>
      </c>
      <c r="CM157" s="1260"/>
      <c r="CN157" s="1259">
        <f>CN156+CL157</f>
        <v>0</v>
      </c>
      <c r="CO157" s="1260"/>
      <c r="CP157" s="1259">
        <f>CP156+CN157</f>
        <v>0</v>
      </c>
      <c r="CQ157" s="1260"/>
      <c r="CR157" s="1259">
        <f>CR156+CP157</f>
        <v>0</v>
      </c>
      <c r="CS157" s="1260"/>
      <c r="CT157" s="1259">
        <f>CT156+CR157</f>
        <v>0</v>
      </c>
      <c r="CU157" s="1260"/>
      <c r="CV157" s="1259">
        <f>CV156+CT157</f>
        <v>0</v>
      </c>
      <c r="CW157" s="1260"/>
      <c r="CX157" s="1259">
        <f>CX156+CV157</f>
        <v>0</v>
      </c>
      <c r="CY157" s="1260"/>
      <c r="CZ157" s="1259">
        <f>CZ156+CX157</f>
        <v>0</v>
      </c>
      <c r="DA157" s="1260"/>
      <c r="DB157" s="1259">
        <f>DB156+CZ157</f>
        <v>0</v>
      </c>
      <c r="DC157" s="1260"/>
      <c r="DD157" s="1259">
        <f>DD156+DB157</f>
        <v>0</v>
      </c>
      <c r="DE157" s="1260"/>
      <c r="DF157" s="1259">
        <f>DF156+DD157</f>
        <v>0</v>
      </c>
      <c r="DG157" s="1260"/>
      <c r="DH157" s="1259">
        <f>DH156+DF157</f>
        <v>0</v>
      </c>
      <c r="DI157" s="1260"/>
      <c r="DJ157" s="1261">
        <f>DJ156+DH157</f>
        <v>0</v>
      </c>
      <c r="DK157" s="1262"/>
      <c r="DL157" s="1259">
        <f>DL156+DJ157</f>
        <v>0</v>
      </c>
      <c r="DM157" s="1260"/>
      <c r="DN157" s="1259">
        <f>DN156+DL157</f>
        <v>0</v>
      </c>
      <c r="DO157" s="1260"/>
      <c r="DP157" s="1259">
        <f>DP156+DN157</f>
        <v>0</v>
      </c>
      <c r="DQ157" s="1260"/>
      <c r="DR157" s="1259">
        <f>DR156+DP157</f>
        <v>0</v>
      </c>
      <c r="DS157" s="1260"/>
      <c r="DT157" s="1259">
        <f>DT156+DR157</f>
        <v>0</v>
      </c>
      <c r="DU157" s="1260"/>
      <c r="DV157" s="1259">
        <f>DV156+DT157</f>
        <v>0</v>
      </c>
      <c r="DW157" s="1260"/>
      <c r="DX157" s="1259">
        <f>DX156+DV157</f>
        <v>0</v>
      </c>
      <c r="DY157" s="1260"/>
      <c r="DZ157" s="1259">
        <f>DZ156+DX157</f>
        <v>0</v>
      </c>
      <c r="EA157" s="1260"/>
      <c r="EB157" s="1259">
        <f>EB156+DZ157</f>
        <v>0</v>
      </c>
      <c r="EC157" s="1260"/>
      <c r="ED157" s="1259">
        <f>ED156+EB157</f>
        <v>0</v>
      </c>
      <c r="EE157" s="1260"/>
      <c r="EF157" s="1259">
        <f>EF156+ED157</f>
        <v>0</v>
      </c>
      <c r="EG157" s="1260"/>
      <c r="EH157" s="1259">
        <f>EH156+EF157</f>
        <v>0</v>
      </c>
      <c r="EI157" s="1260"/>
      <c r="EJ157" s="1259">
        <f>EJ156+EH157</f>
        <v>0</v>
      </c>
      <c r="EK157" s="1260"/>
      <c r="EL157" s="1259">
        <f>EL156+EJ157</f>
        <v>0</v>
      </c>
      <c r="EM157" s="1260"/>
      <c r="EN157" s="1259">
        <f>EN156+EL157</f>
        <v>0</v>
      </c>
      <c r="EO157" s="1260"/>
      <c r="EP157" s="1259">
        <f>EP156+EN157</f>
        <v>0</v>
      </c>
      <c r="EQ157" s="1260"/>
      <c r="ER157" s="1259">
        <f>ER156+EP157</f>
        <v>0</v>
      </c>
      <c r="ES157" s="1260"/>
      <c r="ET157" s="1259">
        <f>ET156+ER157</f>
        <v>0</v>
      </c>
      <c r="EU157" s="1260"/>
      <c r="EV157" s="1259">
        <f>EV156+ET157</f>
        <v>0</v>
      </c>
      <c r="EW157" s="1260"/>
      <c r="EX157" s="1259">
        <f>EX156+EV157</f>
        <v>0</v>
      </c>
      <c r="EY157" s="1260"/>
      <c r="EZ157" s="1259">
        <f>EZ156+EX157</f>
        <v>0</v>
      </c>
      <c r="FA157" s="1260"/>
      <c r="FB157" s="1259">
        <f>FB156+EZ157</f>
        <v>0</v>
      </c>
      <c r="FC157" s="1260"/>
      <c r="FD157" s="1259">
        <f>FD156+FB157</f>
        <v>0</v>
      </c>
      <c r="FE157" s="1260"/>
      <c r="FF157" s="1259">
        <f>FF156+FD157</f>
        <v>0</v>
      </c>
      <c r="FG157" s="1260"/>
      <c r="FH157" s="1259">
        <f>FH156+FF157</f>
        <v>0</v>
      </c>
      <c r="FI157" s="1260"/>
      <c r="FJ157" s="1259">
        <f>FJ156+FH157</f>
        <v>0</v>
      </c>
      <c r="FK157" s="1260"/>
      <c r="FL157" s="1259">
        <f>FL156+FJ157</f>
        <v>0</v>
      </c>
      <c r="FM157" s="1260"/>
      <c r="FN157" s="1259">
        <f>FN156+FL157</f>
        <v>0</v>
      </c>
      <c r="FO157" s="1260"/>
      <c r="FP157" s="1259">
        <f>FP156+FN157</f>
        <v>0</v>
      </c>
      <c r="FQ157" s="1260"/>
      <c r="FR157" s="1259">
        <f>FR156+FP157</f>
        <v>0</v>
      </c>
      <c r="FS157" s="1260"/>
      <c r="FT157" s="1259">
        <f>FT156+FR157</f>
        <v>0</v>
      </c>
      <c r="FU157" s="1260"/>
      <c r="FV157" s="1259">
        <f>FV156+FT157</f>
        <v>0</v>
      </c>
      <c r="FW157" s="1260"/>
      <c r="FX157" s="1259">
        <f>FX156+FV157</f>
        <v>0</v>
      </c>
      <c r="FY157" s="1260"/>
      <c r="FZ157" s="1259">
        <f>FZ156+FX157</f>
        <v>0</v>
      </c>
      <c r="GA157" s="1260"/>
      <c r="GB157" s="1259">
        <f>GB156+FZ157</f>
        <v>0</v>
      </c>
      <c r="GC157" s="1260"/>
      <c r="GD157" s="1259">
        <f>GD156+GB157</f>
        <v>0</v>
      </c>
      <c r="GE157" s="1260"/>
      <c r="GF157" s="1259">
        <f>GF156+GD157</f>
        <v>0</v>
      </c>
      <c r="GG157" s="1260"/>
      <c r="GH157" s="1259">
        <f>GH156+GF157</f>
        <v>0</v>
      </c>
      <c r="GI157" s="1260"/>
      <c r="GJ157" s="1259">
        <f>GJ156+GH157</f>
        <v>0</v>
      </c>
      <c r="GK157" s="1260"/>
      <c r="GL157" s="1259">
        <f>GL156+GJ157</f>
        <v>0</v>
      </c>
      <c r="GM157" s="1260"/>
      <c r="GN157" s="1259">
        <f>GN156+GL157</f>
        <v>0</v>
      </c>
      <c r="GO157" s="1260"/>
      <c r="GP157" s="1259">
        <f>GP156+GN157</f>
        <v>0</v>
      </c>
      <c r="GQ157" s="1260"/>
      <c r="GR157" s="1259">
        <f>GR156+GP157</f>
        <v>0</v>
      </c>
      <c r="GS157" s="1260"/>
      <c r="GT157" s="1259">
        <f>GT156+GR157</f>
        <v>0</v>
      </c>
      <c r="GU157" s="1260"/>
      <c r="GV157" s="1259">
        <f>GV156+GT157</f>
        <v>0</v>
      </c>
      <c r="GW157" s="1260"/>
      <c r="GX157" s="1259">
        <f>GX156+GV157</f>
        <v>0</v>
      </c>
      <c r="GY157" s="1260"/>
      <c r="GZ157" s="1259">
        <f>GZ156+GX157</f>
        <v>0</v>
      </c>
      <c r="HA157" s="1260"/>
      <c r="HB157" s="1259">
        <f>HB156+GZ157</f>
        <v>0</v>
      </c>
      <c r="HC157" s="1260"/>
      <c r="HD157" s="1259">
        <f>HD156+HB157</f>
        <v>0</v>
      </c>
      <c r="HE157" s="1260"/>
      <c r="HF157" s="1259">
        <f>HF156+HD157</f>
        <v>0</v>
      </c>
      <c r="HG157" s="1260"/>
      <c r="HH157" s="1259">
        <f>HH156+HF157</f>
        <v>0</v>
      </c>
      <c r="HI157" s="1260"/>
      <c r="HJ157" s="1259">
        <f>HJ156+HH157</f>
        <v>0</v>
      </c>
      <c r="HK157" s="1260"/>
    </row>
    <row r="158" spans="1:219" s="21" customFormat="1" hidden="1">
      <c r="A158" s="1299"/>
      <c r="B158" s="1300"/>
      <c r="C158" s="1299"/>
      <c r="D158" s="1301"/>
      <c r="E158" s="1301"/>
      <c r="F158" s="1302"/>
      <c r="G158" s="1301"/>
      <c r="H158" s="792"/>
      <c r="I158" s="1303"/>
      <c r="J158" s="1304"/>
      <c r="K158" s="793" t="s">
        <v>297</v>
      </c>
      <c r="L158" s="1270" t="e">
        <f>IF($E152&gt;0,L155/$E152,"-")</f>
        <v>#N/A</v>
      </c>
      <c r="M158" s="1271"/>
      <c r="N158" s="1270" t="e">
        <f>IF($E152&gt;0,N155/$E152,"-")</f>
        <v>#N/A</v>
      </c>
      <c r="O158" s="1271"/>
      <c r="P158" s="1270" t="e">
        <f>IF($E152&gt;0,P155/$E152,"-")</f>
        <v>#N/A</v>
      </c>
      <c r="Q158" s="1271"/>
      <c r="R158" s="1270" t="e">
        <f>IF($E152&gt;0,R155/$E152,"-")</f>
        <v>#N/A</v>
      </c>
      <c r="S158" s="1271"/>
      <c r="T158" s="1270" t="e">
        <f>IF($E152&gt;0,T155/$E152,"-")</f>
        <v>#N/A</v>
      </c>
      <c r="U158" s="1271"/>
      <c r="V158" s="1270" t="e">
        <f>IF($E152&gt;0,V155/$E152,"-")</f>
        <v>#N/A</v>
      </c>
      <c r="W158" s="1271"/>
      <c r="X158" s="1270" t="e">
        <f>IF($E152&gt;0,X155/$E152,"-")</f>
        <v>#N/A</v>
      </c>
      <c r="Y158" s="1271"/>
      <c r="Z158" s="1270" t="e">
        <f>IF($E152&gt;0,Z155/$E152,"-")</f>
        <v>#N/A</v>
      </c>
      <c r="AA158" s="1271"/>
      <c r="AB158" s="1270" t="e">
        <f>IF($E152&gt;0,AB155/$E152,"-")</f>
        <v>#N/A</v>
      </c>
      <c r="AC158" s="1271"/>
      <c r="AD158" s="1270" t="e">
        <f>IF($E152&gt;0,AD155/$E152,"-")</f>
        <v>#N/A</v>
      </c>
      <c r="AE158" s="1271"/>
      <c r="AF158" s="1270" t="e">
        <f>IF($E152&gt;0,AF155/$E152,"-")</f>
        <v>#N/A</v>
      </c>
      <c r="AG158" s="1271"/>
      <c r="AH158" s="1270" t="e">
        <f>IF($E152&gt;0,AH155/$E152,"-")</f>
        <v>#N/A</v>
      </c>
      <c r="AI158" s="1271"/>
      <c r="AJ158" s="1270" t="e">
        <f>IF($E152&gt;0,AJ155/$E152,"-")</f>
        <v>#N/A</v>
      </c>
      <c r="AK158" s="1271"/>
      <c r="AL158" s="1270" t="e">
        <f>IF($E152&gt;0,AL155/$E152,"-")</f>
        <v>#N/A</v>
      </c>
      <c r="AM158" s="1271"/>
      <c r="AN158" s="1270" t="e">
        <f>IF($E152&gt;0,AN155/$E152,"-")</f>
        <v>#N/A</v>
      </c>
      <c r="AO158" s="1271"/>
      <c r="AP158" s="1270" t="e">
        <f>IF($E152&gt;0,AP155/$E152,"-")</f>
        <v>#N/A</v>
      </c>
      <c r="AQ158" s="1271"/>
      <c r="AR158" s="1270" t="e">
        <f>IF($E152&gt;0,AR155/$E152,"-")</f>
        <v>#N/A</v>
      </c>
      <c r="AS158" s="1271"/>
      <c r="AT158" s="1270" t="e">
        <f>IF($E152&gt;0,AT155/$E152,"-")</f>
        <v>#N/A</v>
      </c>
      <c r="AU158" s="1271"/>
      <c r="AV158" s="1270" t="e">
        <f>IF($E152&gt;0,AV155/$E152,"-")</f>
        <v>#N/A</v>
      </c>
      <c r="AW158" s="1271"/>
      <c r="AX158" s="1270" t="e">
        <f>IF($E152&gt;0,AX155/$E152,"-")</f>
        <v>#N/A</v>
      </c>
      <c r="AY158" s="1271"/>
      <c r="AZ158" s="1270" t="e">
        <f>IF($E152&gt;0,AZ155/$E152,"-")</f>
        <v>#N/A</v>
      </c>
      <c r="BA158" s="1271"/>
      <c r="BB158" s="1270" t="e">
        <f>IF($E152&gt;0,BB155/$E152,"-")</f>
        <v>#N/A</v>
      </c>
      <c r="BC158" s="1271"/>
      <c r="BD158" s="1270" t="e">
        <f>IF($E152&gt;0,BD155/$E152,"-")</f>
        <v>#N/A</v>
      </c>
      <c r="BE158" s="1271"/>
      <c r="BF158" s="1270" t="e">
        <f>IF($E152&gt;0,BF155/$E152,"-")</f>
        <v>#N/A</v>
      </c>
      <c r="BG158" s="1271"/>
      <c r="BH158" s="1270" t="e">
        <f>IF($E152&gt;0,BH155/$E152,"-")</f>
        <v>#N/A</v>
      </c>
      <c r="BI158" s="1271"/>
      <c r="BJ158" s="1270" t="e">
        <f>IF($E152&gt;0,BJ155/$E152,"-")</f>
        <v>#N/A</v>
      </c>
      <c r="BK158" s="1271"/>
      <c r="BL158" s="1270" t="e">
        <f>IF($E152&gt;0,BL155/$E152,"-")</f>
        <v>#N/A</v>
      </c>
      <c r="BM158" s="1271"/>
      <c r="BN158" s="1270" t="e">
        <f>IF($E152&gt;0,BN155/$E152,"-")</f>
        <v>#N/A</v>
      </c>
      <c r="BO158" s="1271"/>
      <c r="BP158" s="1270" t="e">
        <f>IF($E152&gt;0,BP155/$E152,"-")</f>
        <v>#N/A</v>
      </c>
      <c r="BQ158" s="1271"/>
      <c r="BR158" s="1270" t="e">
        <f>IF($E152&gt;0,BR155/$E152,"-")</f>
        <v>#N/A</v>
      </c>
      <c r="BS158" s="1271"/>
      <c r="BT158" s="1270" t="e">
        <f>IF($E152&gt;0,BT155/$E152,"-")</f>
        <v>#N/A</v>
      </c>
      <c r="BU158" s="1271"/>
      <c r="BV158" s="1270" t="e">
        <f>IF($E152&gt;0,BV155/$E152,"-")</f>
        <v>#N/A</v>
      </c>
      <c r="BW158" s="1271"/>
      <c r="BX158" s="1270" t="e">
        <f>IF($E152&gt;0,BX155/$E152,"-")</f>
        <v>#N/A</v>
      </c>
      <c r="BY158" s="1271"/>
      <c r="BZ158" s="1270" t="e">
        <f>IF($E152&gt;0,BZ155/$E152,"-")</f>
        <v>#N/A</v>
      </c>
      <c r="CA158" s="1271"/>
      <c r="CB158" s="1270" t="e">
        <f>IF($E152&gt;0,CB155/$E152,"-")</f>
        <v>#N/A</v>
      </c>
      <c r="CC158" s="1271"/>
      <c r="CD158" s="1270" t="e">
        <f>IF($E152&gt;0,CD155/$E152,"-")</f>
        <v>#N/A</v>
      </c>
      <c r="CE158" s="1271"/>
      <c r="CF158" s="1270" t="e">
        <f>IF($E152&gt;0,CF155/$E152,"-")</f>
        <v>#N/A</v>
      </c>
      <c r="CG158" s="1271"/>
      <c r="CH158" s="1270" t="e">
        <f>IF($E152&gt;0,CH155/$E152,"-")</f>
        <v>#N/A</v>
      </c>
      <c r="CI158" s="1271"/>
      <c r="CJ158" s="1270" t="e">
        <f>IF($E152&gt;0,CJ155/$E152,"-")</f>
        <v>#N/A</v>
      </c>
      <c r="CK158" s="1271"/>
      <c r="CL158" s="1270" t="e">
        <f>IF($E152&gt;0,CL155/$E152,"-")</f>
        <v>#N/A</v>
      </c>
      <c r="CM158" s="1271"/>
      <c r="CN158" s="1270" t="e">
        <f>IF($E152&gt;0,CN155/$E152,"-")</f>
        <v>#N/A</v>
      </c>
      <c r="CO158" s="1271"/>
      <c r="CP158" s="1270" t="e">
        <f>IF($E152&gt;0,CP155/$E152,"-")</f>
        <v>#N/A</v>
      </c>
      <c r="CQ158" s="1271"/>
      <c r="CR158" s="1270" t="e">
        <f>IF($E152&gt;0,CR155/$E152,"-")</f>
        <v>#N/A</v>
      </c>
      <c r="CS158" s="1271"/>
      <c r="CT158" s="1270" t="e">
        <f>IF($E152&gt;0,CT155/$E152,"-")</f>
        <v>#N/A</v>
      </c>
      <c r="CU158" s="1271"/>
      <c r="CV158" s="1270" t="e">
        <f>IF($E152&gt;0,CV155/$E152,"-")</f>
        <v>#N/A</v>
      </c>
      <c r="CW158" s="1271"/>
      <c r="CX158" s="1270" t="e">
        <f>IF($E152&gt;0,CX155/$E152,"-")</f>
        <v>#N/A</v>
      </c>
      <c r="CY158" s="1271"/>
      <c r="CZ158" s="1270" t="e">
        <f>IF($E152&gt;0,CZ155/$E152,"-")</f>
        <v>#N/A</v>
      </c>
      <c r="DA158" s="1271"/>
      <c r="DB158" s="1270" t="e">
        <f>IF($E152&gt;0,DB155/$E152,"-")</f>
        <v>#N/A</v>
      </c>
      <c r="DC158" s="1271"/>
      <c r="DD158" s="1270" t="e">
        <f>IF($E152&gt;0,DD155/$E152,"-")</f>
        <v>#N/A</v>
      </c>
      <c r="DE158" s="1271"/>
      <c r="DF158" s="1270" t="e">
        <f>IF($E152&gt;0,DF155/$E152,"-")</f>
        <v>#N/A</v>
      </c>
      <c r="DG158" s="1271"/>
      <c r="DH158" s="1270" t="e">
        <f>IF($E152&gt;0,DH155/$E152,"-")</f>
        <v>#N/A</v>
      </c>
      <c r="DI158" s="1271"/>
      <c r="DJ158" s="1325" t="e">
        <f>IF($E152&gt;0,DJ155/$E152,"-")</f>
        <v>#N/A</v>
      </c>
      <c r="DK158" s="1326"/>
      <c r="DL158" s="1270" t="e">
        <f>IF($E152&gt;0,DL155/$E152,"-")</f>
        <v>#N/A</v>
      </c>
      <c r="DM158" s="1271"/>
      <c r="DN158" s="1270" t="e">
        <f>IF($E152&gt;0,DN155/$E152,"-")</f>
        <v>#N/A</v>
      </c>
      <c r="DO158" s="1271"/>
      <c r="DP158" s="1270" t="e">
        <f>IF($E152&gt;0,DP155/$E152,"-")</f>
        <v>#N/A</v>
      </c>
      <c r="DQ158" s="1271"/>
      <c r="DR158" s="1270" t="e">
        <f>IF($E152&gt;0,DR155/$E152,"-")</f>
        <v>#N/A</v>
      </c>
      <c r="DS158" s="1271"/>
      <c r="DT158" s="1270" t="e">
        <f>IF($E152&gt;0,DT155/$E152,"-")</f>
        <v>#N/A</v>
      </c>
      <c r="DU158" s="1271"/>
      <c r="DV158" s="1270" t="e">
        <f>IF($E152&gt;0,DV155/$E152,"-")</f>
        <v>#N/A</v>
      </c>
      <c r="DW158" s="1271"/>
      <c r="DX158" s="1270" t="e">
        <f>IF($E152&gt;0,DX155/$E152,"-")</f>
        <v>#N/A</v>
      </c>
      <c r="DY158" s="1271"/>
      <c r="DZ158" s="1270" t="e">
        <f>IF($E152&gt;0,DZ155/$E152,"-")</f>
        <v>#N/A</v>
      </c>
      <c r="EA158" s="1271"/>
      <c r="EB158" s="1270" t="e">
        <f>IF($E152&gt;0,EB155/$E152,"-")</f>
        <v>#N/A</v>
      </c>
      <c r="EC158" s="1271"/>
      <c r="ED158" s="1270" t="e">
        <f>IF($E152&gt;0,ED155/$E152,"-")</f>
        <v>#N/A</v>
      </c>
      <c r="EE158" s="1271"/>
      <c r="EF158" s="1270" t="e">
        <f>IF($E152&gt;0,EF155/$E152,"-")</f>
        <v>#N/A</v>
      </c>
      <c r="EG158" s="1271"/>
      <c r="EH158" s="1270" t="e">
        <f>IF($E152&gt;0,EH155/$E152,"-")</f>
        <v>#N/A</v>
      </c>
      <c r="EI158" s="1271"/>
      <c r="EJ158" s="1270" t="e">
        <f>IF($E152&gt;0,EJ155/$E152,"-")</f>
        <v>#N/A</v>
      </c>
      <c r="EK158" s="1271"/>
      <c r="EL158" s="1270" t="e">
        <f>IF($E152&gt;0,EL155/$E152,"-")</f>
        <v>#N/A</v>
      </c>
      <c r="EM158" s="1271"/>
      <c r="EN158" s="1270" t="e">
        <f>IF($E152&gt;0,EN155/$E152,"-")</f>
        <v>#N/A</v>
      </c>
      <c r="EO158" s="1271"/>
      <c r="EP158" s="1270" t="e">
        <f>IF($E152&gt;0,EP155/$E152,"-")</f>
        <v>#N/A</v>
      </c>
      <c r="EQ158" s="1271"/>
      <c r="ER158" s="1270" t="e">
        <f>IF($E152&gt;0,ER155/$E152,"-")</f>
        <v>#N/A</v>
      </c>
      <c r="ES158" s="1271"/>
      <c r="ET158" s="1270" t="e">
        <f>IF($E152&gt;0,ET155/$E152,"-")</f>
        <v>#N/A</v>
      </c>
      <c r="EU158" s="1271"/>
      <c r="EV158" s="1270" t="e">
        <f>IF($E152&gt;0,EV155/$E152,"-")</f>
        <v>#N/A</v>
      </c>
      <c r="EW158" s="1271"/>
      <c r="EX158" s="1270" t="e">
        <f>IF($E152&gt;0,EX155/$E152,"-")</f>
        <v>#N/A</v>
      </c>
      <c r="EY158" s="1271"/>
      <c r="EZ158" s="1270" t="e">
        <f>IF($E152&gt;0,EZ155/$E152,"-")</f>
        <v>#N/A</v>
      </c>
      <c r="FA158" s="1271"/>
      <c r="FB158" s="1270" t="e">
        <f>IF($E152&gt;0,FB155/$E152,"-")</f>
        <v>#N/A</v>
      </c>
      <c r="FC158" s="1271"/>
      <c r="FD158" s="1270" t="e">
        <f>IF($E152&gt;0,FD155/$E152,"-")</f>
        <v>#N/A</v>
      </c>
      <c r="FE158" s="1271"/>
      <c r="FF158" s="1270" t="e">
        <f>IF($E152&gt;0,FF155/$E152,"-")</f>
        <v>#N/A</v>
      </c>
      <c r="FG158" s="1271"/>
      <c r="FH158" s="1270" t="e">
        <f>IF($E152&gt;0,FH155/$E152,"-")</f>
        <v>#N/A</v>
      </c>
      <c r="FI158" s="1271"/>
      <c r="FJ158" s="1270" t="e">
        <f>IF($E152&gt;0,FJ155/$E152,"-")</f>
        <v>#N/A</v>
      </c>
      <c r="FK158" s="1271"/>
      <c r="FL158" s="1270" t="e">
        <f>IF($E152&gt;0,FL155/$E152,"-")</f>
        <v>#N/A</v>
      </c>
      <c r="FM158" s="1271"/>
      <c r="FN158" s="1270" t="e">
        <f>IF($E152&gt;0,FN155/$E152,"-")</f>
        <v>#N/A</v>
      </c>
      <c r="FO158" s="1271"/>
      <c r="FP158" s="1270" t="e">
        <f>IF($E152&gt;0,FP155/$E152,"-")</f>
        <v>#N/A</v>
      </c>
      <c r="FQ158" s="1271"/>
      <c r="FR158" s="1270" t="e">
        <f>IF($E152&gt;0,FR155/$E152,"-")</f>
        <v>#N/A</v>
      </c>
      <c r="FS158" s="1271"/>
      <c r="FT158" s="1270" t="e">
        <f>IF($E152&gt;0,FT155/$E152,"-")</f>
        <v>#N/A</v>
      </c>
      <c r="FU158" s="1271"/>
      <c r="FV158" s="1270" t="e">
        <f>IF($E152&gt;0,FV155/$E152,"-")</f>
        <v>#N/A</v>
      </c>
      <c r="FW158" s="1271"/>
      <c r="FX158" s="1270" t="e">
        <f>IF($E152&gt;0,FX155/$E152,"-")</f>
        <v>#N/A</v>
      </c>
      <c r="FY158" s="1271"/>
      <c r="FZ158" s="1270" t="e">
        <f>IF($E152&gt;0,FZ155/$E152,"-")</f>
        <v>#N/A</v>
      </c>
      <c r="GA158" s="1271"/>
      <c r="GB158" s="1270" t="e">
        <f>IF($E152&gt;0,GB155/$E152,"-")</f>
        <v>#N/A</v>
      </c>
      <c r="GC158" s="1271"/>
      <c r="GD158" s="1270" t="e">
        <f>IF($E152&gt;0,GD155/$E152,"-")</f>
        <v>#N/A</v>
      </c>
      <c r="GE158" s="1271"/>
      <c r="GF158" s="1270" t="e">
        <f>IF($E152&gt;0,GF155/$E152,"-")</f>
        <v>#N/A</v>
      </c>
      <c r="GG158" s="1271"/>
      <c r="GH158" s="1270" t="e">
        <f>IF($E152&gt;0,GH155/$E152,"-")</f>
        <v>#N/A</v>
      </c>
      <c r="GI158" s="1271"/>
      <c r="GJ158" s="1270" t="e">
        <f>IF($E152&gt;0,GJ155/$E152,"-")</f>
        <v>#N/A</v>
      </c>
      <c r="GK158" s="1271"/>
      <c r="GL158" s="1270" t="e">
        <f>IF($E152&gt;0,GL155/$E152,"-")</f>
        <v>#N/A</v>
      </c>
      <c r="GM158" s="1271"/>
      <c r="GN158" s="1270" t="e">
        <f>IF($E152&gt;0,GN155/$E152,"-")</f>
        <v>#N/A</v>
      </c>
      <c r="GO158" s="1271"/>
      <c r="GP158" s="1270" t="e">
        <f>IF($E152&gt;0,GP155/$E152,"-")</f>
        <v>#N/A</v>
      </c>
      <c r="GQ158" s="1271"/>
      <c r="GR158" s="1270" t="e">
        <f>IF($E152&gt;0,GR155/$E152,"-")</f>
        <v>#N/A</v>
      </c>
      <c r="GS158" s="1271"/>
      <c r="GT158" s="1270" t="e">
        <f>IF($E152&gt;0,GT155/$E152,"-")</f>
        <v>#N/A</v>
      </c>
      <c r="GU158" s="1271"/>
      <c r="GV158" s="1270" t="e">
        <f>IF($E152&gt;0,GV155/$E152,"-")</f>
        <v>#N/A</v>
      </c>
      <c r="GW158" s="1271"/>
      <c r="GX158" s="1270" t="e">
        <f>IF($E152&gt;0,GX155/$E152,"-")</f>
        <v>#N/A</v>
      </c>
      <c r="GY158" s="1271"/>
      <c r="GZ158" s="1270" t="e">
        <f>IF($E152&gt;0,GZ155/$E152,"-")</f>
        <v>#N/A</v>
      </c>
      <c r="HA158" s="1271"/>
      <c r="HB158" s="1270" t="e">
        <f>IF($E152&gt;0,HB155/$E152,"-")</f>
        <v>#N/A</v>
      </c>
      <c r="HC158" s="1271"/>
      <c r="HD158" s="1270" t="e">
        <f>IF($E152&gt;0,HD155/$E152,"-")</f>
        <v>#N/A</v>
      </c>
      <c r="HE158" s="1271"/>
      <c r="HF158" s="1270" t="e">
        <f>IF($E152&gt;0,HF155/$E152,"-")</f>
        <v>#N/A</v>
      </c>
      <c r="HG158" s="1271"/>
      <c r="HH158" s="1270" t="e">
        <f>IF($E152&gt;0,HH155/$E152,"-")</f>
        <v>#N/A</v>
      </c>
      <c r="HI158" s="1271"/>
      <c r="HJ158" s="1270" t="e">
        <f>IF($E152&gt;0,HJ155/$E152,"-")</f>
        <v>#N/A</v>
      </c>
      <c r="HK158" s="1271"/>
    </row>
    <row r="159" spans="1:219" hidden="1">
      <c r="A159" s="1299"/>
      <c r="B159" s="1300"/>
      <c r="C159" s="1299"/>
      <c r="D159" s="1301"/>
      <c r="E159" s="1301"/>
      <c r="F159" s="1302"/>
      <c r="G159" s="1301"/>
      <c r="H159" s="726"/>
      <c r="I159" s="1303"/>
      <c r="J159" s="1304"/>
      <c r="K159" s="794" t="s">
        <v>298</v>
      </c>
      <c r="L159" s="1294" t="e">
        <f>IF($E152&gt;0,L157/$E152,"-")</f>
        <v>#N/A</v>
      </c>
      <c r="M159" s="1295"/>
      <c r="N159" s="1294" t="e">
        <f>IF($E152&gt;0,N157/$E152,"-")</f>
        <v>#N/A</v>
      </c>
      <c r="O159" s="1295"/>
      <c r="P159" s="1294" t="e">
        <f>IF($E152&gt;0,P157/$E152,"-")</f>
        <v>#N/A</v>
      </c>
      <c r="Q159" s="1295"/>
      <c r="R159" s="1294" t="e">
        <f>IF($E152&gt;0,R157/$E152,"-")</f>
        <v>#N/A</v>
      </c>
      <c r="S159" s="1295"/>
      <c r="T159" s="1294" t="e">
        <f>IF($E152&gt;0,T157/$E152,"-")</f>
        <v>#N/A</v>
      </c>
      <c r="U159" s="1295"/>
      <c r="V159" s="1294" t="e">
        <f>IF($E152&gt;0,V157/$E152,"-")</f>
        <v>#N/A</v>
      </c>
      <c r="W159" s="1295"/>
      <c r="X159" s="1294" t="e">
        <f>IF($E152&gt;0,X157/$E152,"-")</f>
        <v>#N/A</v>
      </c>
      <c r="Y159" s="1295"/>
      <c r="Z159" s="1294" t="e">
        <f>IF($E152&gt;0,Z157/$E152,"-")</f>
        <v>#N/A</v>
      </c>
      <c r="AA159" s="1295"/>
      <c r="AB159" s="1294" t="e">
        <f>IF($E152&gt;0,AB157/$E152,"-")</f>
        <v>#N/A</v>
      </c>
      <c r="AC159" s="1295"/>
      <c r="AD159" s="1294" t="e">
        <f>IF($E152&gt;0,AD157/$E152,"-")</f>
        <v>#N/A</v>
      </c>
      <c r="AE159" s="1295"/>
      <c r="AF159" s="1294" t="e">
        <f>IF($E152&gt;0,AF157/$E152,"-")</f>
        <v>#N/A</v>
      </c>
      <c r="AG159" s="1295"/>
      <c r="AH159" s="1294" t="e">
        <f>IF($E152&gt;0,AH157/$E152,"-")</f>
        <v>#N/A</v>
      </c>
      <c r="AI159" s="1295"/>
      <c r="AJ159" s="1294" t="e">
        <f>IF($E152&gt;0,AJ157/$E152,"-")</f>
        <v>#N/A</v>
      </c>
      <c r="AK159" s="1295"/>
      <c r="AL159" s="1294" t="e">
        <f>IF($E152&gt;0,AL157/$E152,"-")</f>
        <v>#N/A</v>
      </c>
      <c r="AM159" s="1295"/>
      <c r="AN159" s="1294" t="e">
        <f>IF($E152&gt;0,AN157/$E152,"-")</f>
        <v>#N/A</v>
      </c>
      <c r="AO159" s="1295"/>
      <c r="AP159" s="1294" t="e">
        <f>IF($E152&gt;0,AP157/$E152,"-")</f>
        <v>#N/A</v>
      </c>
      <c r="AQ159" s="1295"/>
      <c r="AR159" s="1294" t="e">
        <f>IF($E152&gt;0,AR157/$E152,"-")</f>
        <v>#N/A</v>
      </c>
      <c r="AS159" s="1295"/>
      <c r="AT159" s="1294" t="e">
        <f>IF($E152&gt;0,AT157/$E152,"-")</f>
        <v>#N/A</v>
      </c>
      <c r="AU159" s="1295"/>
      <c r="AV159" s="1294" t="e">
        <f>IF($E152&gt;0,AV157/$E152,"-")</f>
        <v>#N/A</v>
      </c>
      <c r="AW159" s="1295"/>
      <c r="AX159" s="1294" t="e">
        <f>IF($E152&gt;0,AX157/$E152,"-")</f>
        <v>#N/A</v>
      </c>
      <c r="AY159" s="1295"/>
      <c r="AZ159" s="1294" t="e">
        <f>IF($E152&gt;0,AZ157/$E152,"-")</f>
        <v>#N/A</v>
      </c>
      <c r="BA159" s="1295"/>
      <c r="BB159" s="1294" t="e">
        <f>IF($E152&gt;0,BB157/$E152,"-")</f>
        <v>#N/A</v>
      </c>
      <c r="BC159" s="1295"/>
      <c r="BD159" s="1294" t="e">
        <f>IF($E152&gt;0,BD157/$E152,"-")</f>
        <v>#N/A</v>
      </c>
      <c r="BE159" s="1295"/>
      <c r="BF159" s="1294" t="e">
        <f>IF($E152&gt;0,BF157/$E152,"-")</f>
        <v>#N/A</v>
      </c>
      <c r="BG159" s="1295"/>
      <c r="BH159" s="1294" t="e">
        <f>IF($E152&gt;0,BH157/$E152,"-")</f>
        <v>#N/A</v>
      </c>
      <c r="BI159" s="1295"/>
      <c r="BJ159" s="1294" t="e">
        <f>IF($E152&gt;0,BJ157/$E152,"-")</f>
        <v>#N/A</v>
      </c>
      <c r="BK159" s="1295"/>
      <c r="BL159" s="1294" t="e">
        <f>IF($E152&gt;0,BL157/$E152,"-")</f>
        <v>#N/A</v>
      </c>
      <c r="BM159" s="1295"/>
      <c r="BN159" s="1294" t="e">
        <f>IF($E152&gt;0,BN157/$E152,"-")</f>
        <v>#N/A</v>
      </c>
      <c r="BO159" s="1295"/>
      <c r="BP159" s="1294" t="e">
        <f>IF($E152&gt;0,BP157/$E152,"-")</f>
        <v>#N/A</v>
      </c>
      <c r="BQ159" s="1295"/>
      <c r="BR159" s="1253" t="e">
        <f>IF($E152&gt;0,BR157/$E152,"-")</f>
        <v>#N/A</v>
      </c>
      <c r="BS159" s="1253"/>
      <c r="BT159" s="1253" t="e">
        <f>IF($E152&gt;0,BT157/$E152,"-")</f>
        <v>#N/A</v>
      </c>
      <c r="BU159" s="1253"/>
      <c r="BV159" s="1253" t="e">
        <f>IF($E152&gt;0,BV157/$E152,"-")</f>
        <v>#N/A</v>
      </c>
      <c r="BW159" s="1253"/>
      <c r="BX159" s="1253" t="e">
        <f>IF($E152&gt;0,BX157/$E152,"-")</f>
        <v>#N/A</v>
      </c>
      <c r="BY159" s="1253"/>
      <c r="BZ159" s="1253" t="e">
        <f>IF($E152&gt;0,BZ157/$E152,"-")</f>
        <v>#N/A</v>
      </c>
      <c r="CA159" s="1253"/>
      <c r="CB159" s="1253" t="e">
        <f>IF($E152&gt;0,CB157/$E152,"-")</f>
        <v>#N/A</v>
      </c>
      <c r="CC159" s="1253"/>
      <c r="CD159" s="1253" t="e">
        <f>IF($E152&gt;0,CD157/$E152,"-")</f>
        <v>#N/A</v>
      </c>
      <c r="CE159" s="1253"/>
      <c r="CF159" s="1253" t="e">
        <f>IF($E152&gt;0,CF157/$E152,"-")</f>
        <v>#N/A</v>
      </c>
      <c r="CG159" s="1253"/>
      <c r="CH159" s="1253" t="e">
        <f>IF($E152&gt;0,CH157/$E152,"-")</f>
        <v>#N/A</v>
      </c>
      <c r="CI159" s="1253"/>
      <c r="CJ159" s="1253" t="e">
        <f>IF($E152&gt;0,CJ157/$E152,"-")</f>
        <v>#N/A</v>
      </c>
      <c r="CK159" s="1253"/>
      <c r="CL159" s="1253" t="e">
        <f>IF($E152&gt;0,CL157/$E152,"-")</f>
        <v>#N/A</v>
      </c>
      <c r="CM159" s="1253"/>
      <c r="CN159" s="1253" t="e">
        <f>IF($E152&gt;0,CN157/$E152,"-")</f>
        <v>#N/A</v>
      </c>
      <c r="CO159" s="1253"/>
      <c r="CP159" s="1253" t="e">
        <f>IF($E152&gt;0,CP157/$E152,"-")</f>
        <v>#N/A</v>
      </c>
      <c r="CQ159" s="1253"/>
      <c r="CR159" s="1253" t="e">
        <f>IF($E152&gt;0,CR157/$E152,"-")</f>
        <v>#N/A</v>
      </c>
      <c r="CS159" s="1253"/>
      <c r="CT159" s="1253" t="e">
        <f>IF($E152&gt;0,CT157/$E152,"-")</f>
        <v>#N/A</v>
      </c>
      <c r="CU159" s="1253"/>
      <c r="CV159" s="1253" t="e">
        <f>IF($E152&gt;0,CV157/$E152,"-")</f>
        <v>#N/A</v>
      </c>
      <c r="CW159" s="1253"/>
      <c r="CX159" s="1253" t="e">
        <f>IF($E152&gt;0,CX157/$E152,"-")</f>
        <v>#N/A</v>
      </c>
      <c r="CY159" s="1253"/>
      <c r="CZ159" s="1253" t="e">
        <f>IF($E152&gt;0,CZ157/$E152,"-")</f>
        <v>#N/A</v>
      </c>
      <c r="DA159" s="1253"/>
      <c r="DB159" s="1253" t="e">
        <f>IF($E152&gt;0,DB157/$E152,"-")</f>
        <v>#N/A</v>
      </c>
      <c r="DC159" s="1253"/>
      <c r="DD159" s="1253" t="e">
        <f>IF($E152&gt;0,DD157/$E152,"-")</f>
        <v>#N/A</v>
      </c>
      <c r="DE159" s="1253"/>
      <c r="DF159" s="1253" t="e">
        <f>IF($E152&gt;0,DF157/$E152,"-")</f>
        <v>#N/A</v>
      </c>
      <c r="DG159" s="1253"/>
      <c r="DH159" s="1253" t="e">
        <f>IF($E152&gt;0,DH157/$E152,"-")</f>
        <v>#N/A</v>
      </c>
      <c r="DI159" s="1253"/>
      <c r="DJ159" s="1254" t="e">
        <f>IF($E152&gt;0,DJ157/$E152,"-")</f>
        <v>#N/A</v>
      </c>
      <c r="DK159" s="1254"/>
      <c r="DL159" s="1253" t="e">
        <f>IF($E152&gt;0,DL157/$E152,"-")</f>
        <v>#N/A</v>
      </c>
      <c r="DM159" s="1253"/>
      <c r="DN159" s="1253" t="e">
        <f>IF($E152&gt;0,DN157/$E152,"-")</f>
        <v>#N/A</v>
      </c>
      <c r="DO159" s="1253"/>
      <c r="DP159" s="1253" t="e">
        <f>IF($E152&gt;0,DP157/$E152,"-")</f>
        <v>#N/A</v>
      </c>
      <c r="DQ159" s="1253"/>
      <c r="DR159" s="1253" t="e">
        <f>IF($E152&gt;0,DR157/$E152,"-")</f>
        <v>#N/A</v>
      </c>
      <c r="DS159" s="1253"/>
      <c r="DT159" s="1253" t="e">
        <f>IF($E152&gt;0,DT157/$E152,"-")</f>
        <v>#N/A</v>
      </c>
      <c r="DU159" s="1253"/>
      <c r="DV159" s="1253" t="e">
        <f>IF($E152&gt;0,DV157/$E152,"-")</f>
        <v>#N/A</v>
      </c>
      <c r="DW159" s="1253"/>
      <c r="DX159" s="1253" t="e">
        <f>IF($E152&gt;0,DX157/$E152,"-")</f>
        <v>#N/A</v>
      </c>
      <c r="DY159" s="1253"/>
      <c r="DZ159" s="1253" t="e">
        <f>IF($E152&gt;0,DZ157/$E152,"-")</f>
        <v>#N/A</v>
      </c>
      <c r="EA159" s="1253"/>
      <c r="EB159" s="1253" t="e">
        <f>IF($E152&gt;0,EB157/$E152,"-")</f>
        <v>#N/A</v>
      </c>
      <c r="EC159" s="1253"/>
      <c r="ED159" s="1253" t="e">
        <f>IF($E152&gt;0,ED157/$E152,"-")</f>
        <v>#N/A</v>
      </c>
      <c r="EE159" s="1253"/>
      <c r="EF159" s="1253" t="e">
        <f>IF($E152&gt;0,EF157/$E152,"-")</f>
        <v>#N/A</v>
      </c>
      <c r="EG159" s="1253"/>
      <c r="EH159" s="1253" t="e">
        <f>IF($E152&gt;0,EH157/$E152,"-")</f>
        <v>#N/A</v>
      </c>
      <c r="EI159" s="1253"/>
      <c r="EJ159" s="1253" t="e">
        <f>IF($E152&gt;0,EJ157/$E152,"-")</f>
        <v>#N/A</v>
      </c>
      <c r="EK159" s="1253"/>
      <c r="EL159" s="1253" t="e">
        <f>IF($E152&gt;0,EL157/$E152,"-")</f>
        <v>#N/A</v>
      </c>
      <c r="EM159" s="1253"/>
      <c r="EN159" s="1253" t="e">
        <f>IF($E152&gt;0,EN157/$E152,"-")</f>
        <v>#N/A</v>
      </c>
      <c r="EO159" s="1253"/>
      <c r="EP159" s="1253" t="e">
        <f>IF($E152&gt;0,EP157/$E152,"-")</f>
        <v>#N/A</v>
      </c>
      <c r="EQ159" s="1253"/>
      <c r="ER159" s="1253" t="e">
        <f>IF($E152&gt;0,ER157/$E152,"-")</f>
        <v>#N/A</v>
      </c>
      <c r="ES159" s="1253"/>
      <c r="ET159" s="1253" t="e">
        <f>IF($E152&gt;0,ET157/$E152,"-")</f>
        <v>#N/A</v>
      </c>
      <c r="EU159" s="1253"/>
      <c r="EV159" s="1253" t="e">
        <f>IF($E152&gt;0,EV157/$E152,"-")</f>
        <v>#N/A</v>
      </c>
      <c r="EW159" s="1253"/>
      <c r="EX159" s="1253" t="e">
        <f>IF($E152&gt;0,EX157/$E152,"-")</f>
        <v>#N/A</v>
      </c>
      <c r="EY159" s="1253"/>
      <c r="EZ159" s="1253" t="e">
        <f>IF($E152&gt;0,EZ157/$E152,"-")</f>
        <v>#N/A</v>
      </c>
      <c r="FA159" s="1253"/>
      <c r="FB159" s="1253" t="e">
        <f>IF($E152&gt;0,FB157/$E152,"-")</f>
        <v>#N/A</v>
      </c>
      <c r="FC159" s="1253"/>
      <c r="FD159" s="1253" t="e">
        <f>IF($E152&gt;0,FD157/$E152,"-")</f>
        <v>#N/A</v>
      </c>
      <c r="FE159" s="1253"/>
      <c r="FF159" s="1253" t="e">
        <f>IF($E152&gt;0,FF157/$E152,"-")</f>
        <v>#N/A</v>
      </c>
      <c r="FG159" s="1253"/>
      <c r="FH159" s="1253" t="e">
        <f>IF($E152&gt;0,FH157/$E152,"-")</f>
        <v>#N/A</v>
      </c>
      <c r="FI159" s="1253"/>
      <c r="FJ159" s="1253" t="e">
        <f>IF($E152&gt;0,FJ157/$E152,"-")</f>
        <v>#N/A</v>
      </c>
      <c r="FK159" s="1253"/>
      <c r="FL159" s="1253" t="e">
        <f>IF($E152&gt;0,FL157/$E152,"-")</f>
        <v>#N/A</v>
      </c>
      <c r="FM159" s="1253"/>
      <c r="FN159" s="1253" t="e">
        <f>IF($E152&gt;0,FN157/$E152,"-")</f>
        <v>#N/A</v>
      </c>
      <c r="FO159" s="1253"/>
      <c r="FP159" s="1253" t="e">
        <f>IF($E152&gt;0,FP157/$E152,"-")</f>
        <v>#N/A</v>
      </c>
      <c r="FQ159" s="1253"/>
      <c r="FR159" s="1253" t="e">
        <f>IF($E152&gt;0,FR157/$E152,"-")</f>
        <v>#N/A</v>
      </c>
      <c r="FS159" s="1253"/>
      <c r="FT159" s="1253" t="e">
        <f>IF($E152&gt;0,FT157/$E152,"-")</f>
        <v>#N/A</v>
      </c>
      <c r="FU159" s="1253"/>
      <c r="FV159" s="1253" t="e">
        <f>IF($E152&gt;0,FV157/$E152,"-")</f>
        <v>#N/A</v>
      </c>
      <c r="FW159" s="1253"/>
      <c r="FX159" s="1253" t="e">
        <f>IF($E152&gt;0,FX157/$E152,"-")</f>
        <v>#N/A</v>
      </c>
      <c r="FY159" s="1253"/>
      <c r="FZ159" s="1253" t="e">
        <f>IF($E152&gt;0,FZ157/$E152,"-")</f>
        <v>#N/A</v>
      </c>
      <c r="GA159" s="1253"/>
      <c r="GB159" s="1253" t="e">
        <f>IF($E152&gt;0,GB157/$E152,"-")</f>
        <v>#N/A</v>
      </c>
      <c r="GC159" s="1253"/>
      <c r="GD159" s="1253" t="e">
        <f>IF($E152&gt;0,GD157/$E152,"-")</f>
        <v>#N/A</v>
      </c>
      <c r="GE159" s="1253"/>
      <c r="GF159" s="1253" t="e">
        <f>IF($E152&gt;0,GF157/$E152,"-")</f>
        <v>#N/A</v>
      </c>
      <c r="GG159" s="1253"/>
      <c r="GH159" s="1253" t="e">
        <f>IF($E152&gt;0,GH157/$E152,"-")</f>
        <v>#N/A</v>
      </c>
      <c r="GI159" s="1253"/>
      <c r="GJ159" s="1253" t="e">
        <f>IF($E152&gt;0,GJ157/$E152,"-")</f>
        <v>#N/A</v>
      </c>
      <c r="GK159" s="1253"/>
      <c r="GL159" s="1253" t="e">
        <f>IF($E152&gt;0,GL157/$E152,"-")</f>
        <v>#N/A</v>
      </c>
      <c r="GM159" s="1253"/>
      <c r="GN159" s="1253" t="e">
        <f>IF($E152&gt;0,GN157/$E152,"-")</f>
        <v>#N/A</v>
      </c>
      <c r="GO159" s="1253"/>
      <c r="GP159" s="1253" t="e">
        <f>IF($E152&gt;0,GP157/$E152,"-")</f>
        <v>#N/A</v>
      </c>
      <c r="GQ159" s="1253"/>
      <c r="GR159" s="1253" t="e">
        <f>IF($E152&gt;0,GR157/$E152,"-")</f>
        <v>#N/A</v>
      </c>
      <c r="GS159" s="1253"/>
      <c r="GT159" s="1253" t="e">
        <f>IF($E152&gt;0,GT157/$E152,"-")</f>
        <v>#N/A</v>
      </c>
      <c r="GU159" s="1253"/>
      <c r="GV159" s="1253" t="e">
        <f>IF($E152&gt;0,GV157/$E152,"-")</f>
        <v>#N/A</v>
      </c>
      <c r="GW159" s="1253"/>
      <c r="GX159" s="1253" t="e">
        <f>IF($E152&gt;0,GX157/$E152,"-")</f>
        <v>#N/A</v>
      </c>
      <c r="GY159" s="1253"/>
      <c r="GZ159" s="1253" t="e">
        <f>IF($E152&gt;0,GZ157/$E152,"-")</f>
        <v>#N/A</v>
      </c>
      <c r="HA159" s="1253"/>
      <c r="HB159" s="1253" t="e">
        <f>IF($E152&gt;0,HB157/$E152,"-")</f>
        <v>#N/A</v>
      </c>
      <c r="HC159" s="1253"/>
      <c r="HD159" s="1253" t="e">
        <f>IF($E152&gt;0,HD157/$E152,"-")</f>
        <v>#N/A</v>
      </c>
      <c r="HE159" s="1253"/>
      <c r="HF159" s="1253" t="e">
        <f>IF($E152&gt;0,HF157/$E152,"-")</f>
        <v>#N/A</v>
      </c>
      <c r="HG159" s="1253"/>
      <c r="HH159" s="1253" t="e">
        <f>IF($E152&gt;0,HH157/$E152,"-")</f>
        <v>#N/A</v>
      </c>
      <c r="HI159" s="1253"/>
      <c r="HJ159" s="1253" t="e">
        <f>IF($E152&gt;0,HJ157/$E152,"-")</f>
        <v>#N/A</v>
      </c>
      <c r="HK159" s="1253"/>
    </row>
    <row r="160" spans="1:219" s="5" customFormat="1" ht="14.4" hidden="1">
      <c r="A160" s="690"/>
      <c r="B160" s="691"/>
      <c r="C160" s="691"/>
      <c r="D160" s="692"/>
      <c r="E160" s="692"/>
      <c r="F160" s="691"/>
      <c r="G160" s="691"/>
      <c r="H160" s="691"/>
      <c r="I160" s="691"/>
      <c r="J160" s="691"/>
      <c r="K160" s="691"/>
      <c r="L160" s="1274"/>
      <c r="M160" s="1274"/>
      <c r="N160" s="1274"/>
      <c r="O160" s="1274"/>
      <c r="P160" s="1274"/>
      <c r="Q160" s="1274"/>
      <c r="R160" s="1274"/>
      <c r="S160" s="1362"/>
      <c r="T160" s="1276"/>
      <c r="U160" s="1274"/>
      <c r="V160" s="1274"/>
      <c r="W160" s="1274"/>
      <c r="X160" s="1274"/>
      <c r="Y160" s="1274"/>
      <c r="Z160" s="1274"/>
      <c r="AA160" s="1362"/>
      <c r="AB160" s="1276"/>
      <c r="AC160" s="1274"/>
      <c r="AD160" s="1274"/>
      <c r="AE160" s="1274"/>
      <c r="AF160" s="1274"/>
      <c r="AG160" s="1274"/>
      <c r="AH160" s="1274"/>
      <c r="AI160" s="1362"/>
      <c r="AJ160" s="1276"/>
      <c r="AK160" s="1274"/>
      <c r="AL160" s="1274"/>
      <c r="AM160" s="1274"/>
      <c r="AN160" s="1274"/>
      <c r="AO160" s="1274"/>
      <c r="AP160" s="1274"/>
      <c r="AQ160" s="1362"/>
      <c r="AR160" s="1276"/>
      <c r="AS160" s="1274"/>
      <c r="AT160" s="777"/>
      <c r="AU160" s="777"/>
      <c r="AV160" s="777"/>
      <c r="AW160" s="777"/>
      <c r="AX160" s="777"/>
      <c r="AY160" s="778"/>
      <c r="AZ160" s="779"/>
      <c r="BA160" s="777"/>
      <c r="BB160" s="777"/>
      <c r="BC160" s="777"/>
      <c r="BD160" s="777"/>
      <c r="BE160" s="777"/>
      <c r="BF160" s="777"/>
      <c r="BG160" s="778"/>
      <c r="BH160" s="779"/>
      <c r="BI160" s="777"/>
      <c r="BJ160" s="777"/>
      <c r="BK160" s="777"/>
      <c r="BL160" s="777"/>
      <c r="BM160" s="777"/>
      <c r="BN160" s="777"/>
      <c r="BO160" s="778"/>
      <c r="BP160" s="779"/>
      <c r="BQ160" s="777"/>
      <c r="BR160" s="777"/>
      <c r="BS160" s="777"/>
      <c r="BT160" s="777"/>
      <c r="BU160" s="777"/>
      <c r="BV160" s="777"/>
      <c r="BW160" s="778"/>
      <c r="BX160" s="779"/>
      <c r="BY160" s="777"/>
      <c r="BZ160" s="777"/>
      <c r="CA160" s="777"/>
      <c r="CB160" s="777"/>
      <c r="CC160" s="777"/>
      <c r="CD160" s="1274"/>
      <c r="CE160" s="1275"/>
      <c r="CF160" s="1276"/>
      <c r="CG160" s="1277"/>
      <c r="CH160" s="1274"/>
      <c r="CI160" s="1277"/>
      <c r="CJ160" s="1274"/>
      <c r="CK160" s="1277"/>
      <c r="CL160" s="1274"/>
      <c r="CM160" s="1275"/>
      <c r="CN160" s="1276"/>
      <c r="CO160" s="1277"/>
      <c r="CP160" s="1296"/>
      <c r="CQ160" s="1297"/>
      <c r="CR160" s="1296"/>
      <c r="CS160" s="1297"/>
      <c r="CT160" s="780"/>
      <c r="CU160" s="781"/>
      <c r="CV160" s="782"/>
      <c r="CW160" s="780"/>
      <c r="CX160" s="780"/>
      <c r="CY160" s="780"/>
      <c r="CZ160" s="780"/>
      <c r="DA160" s="780"/>
      <c r="DB160" s="780"/>
      <c r="DC160" s="781"/>
      <c r="DD160" s="782"/>
      <c r="DE160" s="780"/>
      <c r="DF160" s="780"/>
      <c r="DG160" s="780"/>
      <c r="DH160" s="780"/>
      <c r="DI160" s="780"/>
      <c r="DJ160" s="783"/>
      <c r="DK160" s="784"/>
      <c r="DL160" s="782"/>
      <c r="DM160" s="780"/>
      <c r="DN160" s="780"/>
      <c r="DO160" s="780"/>
      <c r="DP160" s="780"/>
      <c r="DQ160" s="780"/>
      <c r="DR160" s="780"/>
      <c r="DS160" s="781"/>
      <c r="DT160" s="782"/>
      <c r="DU160" s="780"/>
      <c r="DV160" s="780"/>
      <c r="DW160" s="780"/>
      <c r="DX160" s="780"/>
      <c r="DY160" s="780"/>
      <c r="DZ160" s="780"/>
      <c r="EA160" s="781"/>
      <c r="EB160" s="782"/>
      <c r="EC160" s="780"/>
      <c r="ED160" s="780"/>
      <c r="EE160" s="780"/>
      <c r="EF160" s="780"/>
      <c r="EG160" s="780"/>
      <c r="EH160" s="780"/>
      <c r="EI160" s="781"/>
      <c r="EJ160" s="782"/>
      <c r="EK160" s="780"/>
      <c r="EL160" s="780"/>
      <c r="EM160" s="780"/>
      <c r="EN160" s="780"/>
      <c r="EO160" s="780"/>
      <c r="EP160" s="780"/>
      <c r="EQ160" s="781"/>
      <c r="ER160" s="782"/>
      <c r="ES160" s="780"/>
      <c r="ET160" s="780"/>
      <c r="EU160" s="780"/>
      <c r="EV160" s="780"/>
      <c r="EW160" s="780"/>
      <c r="EX160" s="780"/>
      <c r="EY160" s="781"/>
      <c r="EZ160" s="782"/>
      <c r="FA160" s="780"/>
      <c r="FB160" s="780"/>
      <c r="FC160" s="780"/>
      <c r="FD160" s="780"/>
      <c r="FE160" s="780"/>
      <c r="FF160" s="780"/>
      <c r="FG160" s="781"/>
      <c r="FH160" s="782"/>
      <c r="FI160" s="780"/>
      <c r="FJ160" s="780"/>
      <c r="FK160" s="780"/>
      <c r="FL160" s="780"/>
      <c r="FM160" s="780"/>
      <c r="FN160" s="780"/>
      <c r="FO160" s="781"/>
      <c r="FP160" s="782"/>
      <c r="FQ160" s="780"/>
      <c r="FR160" s="780"/>
      <c r="FS160" s="780"/>
      <c r="FT160" s="780"/>
      <c r="FU160" s="780"/>
      <c r="FV160" s="780"/>
      <c r="FW160" s="781"/>
      <c r="FX160" s="782"/>
      <c r="FY160" s="780"/>
      <c r="FZ160" s="780"/>
      <c r="GA160" s="780"/>
      <c r="GB160" s="780"/>
      <c r="GC160" s="780"/>
      <c r="GD160" s="780"/>
      <c r="GE160" s="781"/>
      <c r="GF160" s="782"/>
      <c r="GG160" s="780"/>
      <c r="GH160" s="780"/>
      <c r="GI160" s="780"/>
      <c r="GJ160" s="780"/>
      <c r="GK160" s="780"/>
      <c r="GL160" s="780"/>
      <c r="GM160" s="781"/>
      <c r="GN160" s="782"/>
      <c r="GO160" s="780"/>
      <c r="GP160" s="780"/>
      <c r="GQ160" s="780"/>
      <c r="GR160" s="780"/>
      <c r="GS160" s="780"/>
      <c r="GT160" s="780"/>
      <c r="GU160" s="781"/>
      <c r="GV160" s="780"/>
      <c r="GW160" s="781"/>
      <c r="GX160" s="780"/>
      <c r="GY160" s="781"/>
      <c r="GZ160" s="780"/>
      <c r="HA160" s="781"/>
      <c r="HB160" s="780"/>
      <c r="HC160" s="781"/>
      <c r="HD160" s="780"/>
      <c r="HE160" s="781"/>
      <c r="HF160" s="780"/>
      <c r="HG160" s="781"/>
      <c r="HH160" s="780"/>
      <c r="HI160" s="781"/>
      <c r="HJ160" s="780"/>
      <c r="HK160" s="781"/>
    </row>
    <row r="161" spans="1:219" hidden="1">
      <c r="A161" s="1299"/>
      <c r="B161" s="1300" t="e">
        <f>VLOOKUP(A161,PLANEJAMENTO!$B$10:$C$70,2,FALSE)</f>
        <v>#N/A</v>
      </c>
      <c r="C161" s="1299" t="e">
        <f>VLOOKUP(A161,PLANEJAMENTO!$B$10:$D$70,3,FALSE)</f>
        <v>#N/A</v>
      </c>
      <c r="D161" s="1301" t="e">
        <f>VLOOKUP(A161,PLANEJAMENTO!$B$10:$E$70,4,FALSE)</f>
        <v>#N/A</v>
      </c>
      <c r="E161" s="1301" t="e">
        <f>D161</f>
        <v>#N/A</v>
      </c>
      <c r="F161" s="1302">
        <f>PRODUÇÕES!$D$17</f>
        <v>160</v>
      </c>
      <c r="G161" s="1301">
        <f>F161*8</f>
        <v>1280</v>
      </c>
      <c r="H161" s="726"/>
      <c r="I161" s="1303"/>
      <c r="J161" s="1304"/>
      <c r="K161" s="727" t="s">
        <v>291</v>
      </c>
      <c r="L161" s="1285"/>
      <c r="M161" s="1286"/>
      <c r="N161" s="1285"/>
      <c r="O161" s="1286"/>
      <c r="P161" s="1285"/>
      <c r="Q161" s="1286"/>
      <c r="R161" s="1356"/>
      <c r="S161" s="1357"/>
      <c r="T161" s="1285"/>
      <c r="U161" s="1286"/>
      <c r="V161" s="1285"/>
      <c r="W161" s="1286"/>
      <c r="X161" s="1285"/>
      <c r="Y161" s="1286"/>
      <c r="Z161" s="1285"/>
      <c r="AA161" s="1286"/>
      <c r="AB161" s="1285"/>
      <c r="AC161" s="1286"/>
      <c r="AD161" s="1285"/>
      <c r="AE161" s="1286"/>
      <c r="AF161" s="1285"/>
      <c r="AG161" s="1286"/>
      <c r="AH161" s="1285"/>
      <c r="AI161" s="1286"/>
      <c r="AJ161" s="1285"/>
      <c r="AK161" s="1286"/>
      <c r="AL161" s="1285"/>
      <c r="AM161" s="1286"/>
      <c r="AN161" s="1285"/>
      <c r="AO161" s="1286"/>
      <c r="AP161" s="1285"/>
      <c r="AQ161" s="1286"/>
      <c r="AR161" s="1285"/>
      <c r="AS161" s="1286"/>
      <c r="AT161" s="1285"/>
      <c r="AU161" s="1286"/>
      <c r="AV161" s="1285"/>
      <c r="AW161" s="1286"/>
      <c r="AX161" s="1285"/>
      <c r="AY161" s="1286"/>
      <c r="AZ161" s="1340">
        <f>6-AZ152</f>
        <v>4.3658512245118128</v>
      </c>
      <c r="BA161" s="1341"/>
      <c r="BB161" s="1340">
        <v>2.0913967256454558E-3</v>
      </c>
      <c r="BC161" s="1341"/>
      <c r="BD161" s="1285"/>
      <c r="BE161" s="1286"/>
      <c r="BF161" s="1285"/>
      <c r="BG161" s="1286"/>
      <c r="BH161" s="1285"/>
      <c r="BI161" s="1286"/>
      <c r="BJ161" s="1285"/>
      <c r="BK161" s="1286"/>
      <c r="BL161" s="1285"/>
      <c r="BM161" s="1286"/>
      <c r="BN161" s="1285"/>
      <c r="BO161" s="1286"/>
      <c r="BP161" s="1285"/>
      <c r="BQ161" s="1286"/>
      <c r="BR161" s="1263"/>
      <c r="BS161" s="1263"/>
      <c r="BT161" s="1263"/>
      <c r="BU161" s="1263"/>
      <c r="BV161" s="1263"/>
      <c r="BW161" s="1263"/>
      <c r="BX161" s="1263"/>
      <c r="BY161" s="1263"/>
      <c r="BZ161" s="1263"/>
      <c r="CA161" s="1263"/>
      <c r="CB161" s="1263"/>
      <c r="CC161" s="1263"/>
      <c r="CD161" s="1263"/>
      <c r="CE161" s="1263"/>
      <c r="CF161" s="1263"/>
      <c r="CG161" s="1263"/>
      <c r="CH161" s="1263"/>
      <c r="CI161" s="1263"/>
      <c r="CJ161" s="1263"/>
      <c r="CK161" s="1263"/>
      <c r="CL161" s="1263"/>
      <c r="CM161" s="1263"/>
      <c r="CN161" s="1263"/>
      <c r="CO161" s="1263"/>
      <c r="CP161" s="1263"/>
      <c r="CQ161" s="1263"/>
      <c r="CR161" s="1263"/>
      <c r="CS161" s="1263"/>
      <c r="CT161" s="1263"/>
      <c r="CU161" s="1263"/>
      <c r="CV161" s="1263"/>
      <c r="CW161" s="1263"/>
      <c r="CX161" s="1263"/>
      <c r="CY161" s="1263"/>
      <c r="CZ161" s="1263"/>
      <c r="DA161" s="1263"/>
      <c r="DB161" s="1263"/>
      <c r="DC161" s="1263"/>
      <c r="DD161" s="1263"/>
      <c r="DE161" s="1263"/>
      <c r="DF161" s="1263"/>
      <c r="DG161" s="1263"/>
      <c r="DH161" s="1263"/>
      <c r="DI161" s="1263"/>
      <c r="DJ161" s="1327"/>
      <c r="DK161" s="1327"/>
      <c r="DL161" s="1263"/>
      <c r="DM161" s="1263"/>
      <c r="DN161" s="1263"/>
      <c r="DO161" s="1263"/>
      <c r="DP161" s="1263"/>
      <c r="DQ161" s="1263"/>
      <c r="DR161" s="1263"/>
      <c r="DS161" s="1263"/>
      <c r="DT161" s="1263"/>
      <c r="DU161" s="1263"/>
      <c r="DV161" s="1263"/>
      <c r="DW161" s="1263"/>
      <c r="DX161" s="1263"/>
      <c r="DY161" s="1263"/>
      <c r="DZ161" s="1263"/>
      <c r="EA161" s="1263"/>
      <c r="EB161" s="1263"/>
      <c r="EC161" s="1263"/>
      <c r="ED161" s="1263"/>
      <c r="EE161" s="1263"/>
      <c r="EF161" s="1263"/>
      <c r="EG161" s="1263"/>
      <c r="EH161" s="1263"/>
      <c r="EI161" s="1263"/>
      <c r="EJ161" s="1263"/>
      <c r="EK161" s="1263"/>
      <c r="EL161" s="1263"/>
      <c r="EM161" s="1263"/>
      <c r="EN161" s="1263"/>
      <c r="EO161" s="1263"/>
      <c r="EP161" s="1263"/>
      <c r="EQ161" s="1263"/>
      <c r="ER161" s="1263"/>
      <c r="ES161" s="1263"/>
      <c r="ET161" s="1263"/>
      <c r="EU161" s="1263"/>
      <c r="EV161" s="1263"/>
      <c r="EW161" s="1263"/>
      <c r="EX161" s="1263"/>
      <c r="EY161" s="1263"/>
      <c r="EZ161" s="1263"/>
      <c r="FA161" s="1263"/>
      <c r="FB161" s="1263"/>
      <c r="FC161" s="1263"/>
      <c r="FD161" s="1263"/>
      <c r="FE161" s="1263"/>
      <c r="FF161" s="1263"/>
      <c r="FG161" s="1263"/>
      <c r="FH161" s="1263"/>
      <c r="FI161" s="1263"/>
      <c r="FJ161" s="1263"/>
      <c r="FK161" s="1263"/>
      <c r="FL161" s="1263"/>
      <c r="FM161" s="1263"/>
      <c r="FN161" s="1263"/>
      <c r="FO161" s="1263"/>
      <c r="FP161" s="1263"/>
      <c r="FQ161" s="1263"/>
      <c r="FR161" s="1263"/>
      <c r="FS161" s="1263"/>
      <c r="FT161" s="1263"/>
      <c r="FU161" s="1263"/>
      <c r="FV161" s="1263"/>
      <c r="FW161" s="1263"/>
      <c r="FX161" s="1263"/>
      <c r="FY161" s="1263"/>
      <c r="FZ161" s="1263"/>
      <c r="GA161" s="1263"/>
      <c r="GB161" s="1263"/>
      <c r="GC161" s="1263"/>
      <c r="GD161" s="1263"/>
      <c r="GE161" s="1263"/>
      <c r="GF161" s="1263"/>
      <c r="GG161" s="1263"/>
      <c r="GH161" s="1263"/>
      <c r="GI161" s="1263"/>
      <c r="GJ161" s="1263"/>
      <c r="GK161" s="1263"/>
      <c r="GL161" s="1263"/>
      <c r="GM161" s="1263"/>
      <c r="GN161" s="1263"/>
      <c r="GO161" s="1263"/>
      <c r="GP161" s="1263"/>
      <c r="GQ161" s="1263"/>
      <c r="GR161" s="1263"/>
      <c r="GS161" s="1263"/>
      <c r="GT161" s="1263"/>
      <c r="GU161" s="1263"/>
      <c r="GV161" s="1263"/>
      <c r="GW161" s="1263"/>
      <c r="GX161" s="1263"/>
      <c r="GY161" s="1263"/>
      <c r="GZ161" s="1263"/>
      <c r="HA161" s="1263"/>
      <c r="HB161" s="1263"/>
      <c r="HC161" s="1263"/>
      <c r="HD161" s="1263"/>
      <c r="HE161" s="1263"/>
      <c r="HF161" s="1263"/>
      <c r="HG161" s="1263"/>
      <c r="HH161" s="1263"/>
      <c r="HI161" s="1263"/>
      <c r="HJ161" s="1263"/>
      <c r="HK161" s="1263"/>
    </row>
    <row r="162" spans="1:219" hidden="1">
      <c r="A162" s="1299"/>
      <c r="B162" s="1300"/>
      <c r="C162" s="1299"/>
      <c r="D162" s="1301"/>
      <c r="E162" s="1301"/>
      <c r="F162" s="1302"/>
      <c r="G162" s="1301"/>
      <c r="H162" s="726"/>
      <c r="I162" s="1303"/>
      <c r="J162" s="1304"/>
      <c r="K162" s="785" t="s">
        <v>292</v>
      </c>
      <c r="L162" s="1283"/>
      <c r="M162" s="1284"/>
      <c r="N162" s="1283"/>
      <c r="O162" s="1284"/>
      <c r="P162" s="1283"/>
      <c r="Q162" s="1284"/>
      <c r="R162" s="1283"/>
      <c r="S162" s="1284"/>
      <c r="T162" s="1283"/>
      <c r="U162" s="1284"/>
      <c r="V162" s="1283"/>
      <c r="W162" s="1284"/>
      <c r="X162" s="1283"/>
      <c r="Y162" s="1284"/>
      <c r="Z162" s="1283"/>
      <c r="AA162" s="1284"/>
      <c r="AB162" s="1283"/>
      <c r="AC162" s="1284"/>
      <c r="AD162" s="1283"/>
      <c r="AE162" s="1284"/>
      <c r="AF162" s="1283"/>
      <c r="AG162" s="1284"/>
      <c r="AH162" s="1283"/>
      <c r="AI162" s="1284"/>
      <c r="AJ162" s="1283"/>
      <c r="AK162" s="1284"/>
      <c r="AL162" s="1283"/>
      <c r="AM162" s="1284"/>
      <c r="AN162" s="1283"/>
      <c r="AO162" s="1284"/>
      <c r="AP162" s="1283"/>
      <c r="AQ162" s="1284"/>
      <c r="AR162" s="1283"/>
      <c r="AS162" s="1284"/>
      <c r="AT162" s="1283"/>
      <c r="AU162" s="1284"/>
      <c r="AV162" s="1283"/>
      <c r="AW162" s="1284"/>
      <c r="AX162" s="1283"/>
      <c r="AY162" s="1284"/>
      <c r="AZ162" s="1283">
        <v>1</v>
      </c>
      <c r="BA162" s="1284"/>
      <c r="BB162" s="1283">
        <v>1</v>
      </c>
      <c r="BC162" s="1284"/>
      <c r="BD162" s="1283"/>
      <c r="BE162" s="1284"/>
      <c r="BF162" s="1283"/>
      <c r="BG162" s="1284"/>
      <c r="BH162" s="1283"/>
      <c r="BI162" s="1284"/>
      <c r="BJ162" s="1283"/>
      <c r="BK162" s="1284"/>
      <c r="BL162" s="1283"/>
      <c r="BM162" s="1284"/>
      <c r="BN162" s="1283"/>
      <c r="BO162" s="1284"/>
      <c r="BP162" s="1283"/>
      <c r="BQ162" s="1284"/>
      <c r="BR162" s="1264"/>
      <c r="BS162" s="1264"/>
      <c r="BT162" s="1264"/>
      <c r="BU162" s="1264"/>
      <c r="BV162" s="1264"/>
      <c r="BW162" s="1264"/>
      <c r="BX162" s="1264"/>
      <c r="BY162" s="1264"/>
      <c r="BZ162" s="1264"/>
      <c r="CA162" s="1264"/>
      <c r="CB162" s="1264"/>
      <c r="CC162" s="1264"/>
      <c r="CD162" s="1264"/>
      <c r="CE162" s="1264"/>
      <c r="CF162" s="1264"/>
      <c r="CG162" s="1264"/>
      <c r="CH162" s="1264"/>
      <c r="CI162" s="1264"/>
      <c r="CJ162" s="1264"/>
      <c r="CK162" s="1264"/>
      <c r="CL162" s="1264"/>
      <c r="CM162" s="1264"/>
      <c r="CN162" s="1264"/>
      <c r="CO162" s="1264"/>
      <c r="CP162" s="1264"/>
      <c r="CQ162" s="1264"/>
      <c r="CR162" s="1264"/>
      <c r="CS162" s="1264"/>
      <c r="CT162" s="1264"/>
      <c r="CU162" s="1264"/>
      <c r="CV162" s="1264"/>
      <c r="CW162" s="1264"/>
      <c r="CX162" s="1264"/>
      <c r="CY162" s="1264"/>
      <c r="CZ162" s="1264"/>
      <c r="DA162" s="1264"/>
      <c r="DB162" s="1264"/>
      <c r="DC162" s="1264"/>
      <c r="DD162" s="1264"/>
      <c r="DE162" s="1264"/>
      <c r="DF162" s="1264"/>
      <c r="DG162" s="1264"/>
      <c r="DH162" s="1264"/>
      <c r="DI162" s="1264"/>
      <c r="DJ162" s="1265"/>
      <c r="DK162" s="1265"/>
      <c r="DL162" s="1264"/>
      <c r="DM162" s="1264"/>
      <c r="DN162" s="1264"/>
      <c r="DO162" s="1264"/>
      <c r="DP162" s="1264"/>
      <c r="DQ162" s="1264"/>
      <c r="DR162" s="1264"/>
      <c r="DS162" s="1264"/>
      <c r="DT162" s="1264"/>
      <c r="DU162" s="1264"/>
      <c r="DV162" s="1264"/>
      <c r="DW162" s="1264"/>
      <c r="DX162" s="1264"/>
      <c r="DY162" s="1264"/>
      <c r="DZ162" s="1264"/>
      <c r="EA162" s="1264"/>
      <c r="EB162" s="1264"/>
      <c r="EC162" s="1264"/>
      <c r="ED162" s="1264"/>
      <c r="EE162" s="1264"/>
      <c r="EF162" s="1264"/>
      <c r="EG162" s="1264"/>
      <c r="EH162" s="1264"/>
      <c r="EI162" s="1264"/>
      <c r="EJ162" s="1264"/>
      <c r="EK162" s="1264"/>
      <c r="EL162" s="1264"/>
      <c r="EM162" s="1264"/>
      <c r="EN162" s="1264"/>
      <c r="EO162" s="1264"/>
      <c r="EP162" s="1264"/>
      <c r="EQ162" s="1264"/>
      <c r="ER162" s="1264"/>
      <c r="ES162" s="1264"/>
      <c r="ET162" s="1264"/>
      <c r="EU162" s="1264"/>
      <c r="EV162" s="1264"/>
      <c r="EW162" s="1264"/>
      <c r="EX162" s="1264"/>
      <c r="EY162" s="1264"/>
      <c r="EZ162" s="1264"/>
      <c r="FA162" s="1264"/>
      <c r="FB162" s="1264"/>
      <c r="FC162" s="1264"/>
      <c r="FD162" s="1264"/>
      <c r="FE162" s="1264"/>
      <c r="FF162" s="1264"/>
      <c r="FG162" s="1264"/>
      <c r="FH162" s="1264"/>
      <c r="FI162" s="1264"/>
      <c r="FJ162" s="1264"/>
      <c r="FK162" s="1264"/>
      <c r="FL162" s="1264"/>
      <c r="FM162" s="1264"/>
      <c r="FN162" s="1264"/>
      <c r="FO162" s="1264"/>
      <c r="FP162" s="1264"/>
      <c r="FQ162" s="1264"/>
      <c r="FR162" s="1264"/>
      <c r="FS162" s="1264"/>
      <c r="FT162" s="1264"/>
      <c r="FU162" s="1264"/>
      <c r="FV162" s="1264"/>
      <c r="FW162" s="1264"/>
      <c r="FX162" s="1264"/>
      <c r="FY162" s="1264"/>
      <c r="FZ162" s="1264"/>
      <c r="GA162" s="1264"/>
      <c r="GB162" s="1264"/>
      <c r="GC162" s="1264"/>
      <c r="GD162" s="1264"/>
      <c r="GE162" s="1264"/>
      <c r="GF162" s="1264"/>
      <c r="GG162" s="1264"/>
      <c r="GH162" s="1264"/>
      <c r="GI162" s="1264"/>
      <c r="GJ162" s="1264"/>
      <c r="GK162" s="1264"/>
      <c r="GL162" s="1264"/>
      <c r="GM162" s="1264"/>
      <c r="GN162" s="1264"/>
      <c r="GO162" s="1264"/>
      <c r="GP162" s="1264"/>
      <c r="GQ162" s="1264"/>
      <c r="GR162" s="1264"/>
      <c r="GS162" s="1264"/>
      <c r="GT162" s="1264"/>
      <c r="GU162" s="1264"/>
      <c r="GV162" s="1264"/>
      <c r="GW162" s="1264"/>
      <c r="GX162" s="1264"/>
      <c r="GY162" s="1264"/>
      <c r="GZ162" s="1264"/>
      <c r="HA162" s="1264"/>
      <c r="HB162" s="1264"/>
      <c r="HC162" s="1264"/>
      <c r="HD162" s="1264"/>
      <c r="HE162" s="1264"/>
      <c r="HF162" s="1264"/>
      <c r="HG162" s="1264"/>
      <c r="HH162" s="1264"/>
      <c r="HI162" s="1264"/>
      <c r="HJ162" s="1264"/>
      <c r="HK162" s="1264"/>
    </row>
    <row r="163" spans="1:219" hidden="1">
      <c r="A163" s="1299"/>
      <c r="B163" s="1300"/>
      <c r="C163" s="1299"/>
      <c r="D163" s="1301"/>
      <c r="E163" s="1301"/>
      <c r="F163" s="1302"/>
      <c r="G163" s="1301"/>
      <c r="H163" s="726"/>
      <c r="I163" s="1303"/>
      <c r="J163" s="1304"/>
      <c r="K163" s="786" t="s">
        <v>293</v>
      </c>
      <c r="L163" s="1255">
        <f>(L161*L162*$G161)*$L$8</f>
        <v>0</v>
      </c>
      <c r="M163" s="1256"/>
      <c r="N163" s="1255">
        <f>(N161*N162*$G161)*$L$8</f>
        <v>0</v>
      </c>
      <c r="O163" s="1256"/>
      <c r="P163" s="1255">
        <f>(P161*P162*$G161)*$L$8</f>
        <v>0</v>
      </c>
      <c r="Q163" s="1256"/>
      <c r="R163" s="1255">
        <f>(R161*R162*$G161)*$L$8</f>
        <v>0</v>
      </c>
      <c r="S163" s="1256"/>
      <c r="T163" s="1255">
        <f>(T161*T162*$G161)*$T$8</f>
        <v>0</v>
      </c>
      <c r="U163" s="1256"/>
      <c r="V163" s="1255">
        <f>(V161*V162*$G161)*$T$8</f>
        <v>0</v>
      </c>
      <c r="W163" s="1256"/>
      <c r="X163" s="1255">
        <f>(X161*X162*$G161)*$T$8</f>
        <v>0</v>
      </c>
      <c r="Y163" s="1256"/>
      <c r="Z163" s="1255">
        <f>(Z161*Z162*$G161)*$T$8</f>
        <v>0</v>
      </c>
      <c r="AA163" s="1256"/>
      <c r="AB163" s="1255">
        <f>(AB161*AB162*$G161)*$AB$8</f>
        <v>0</v>
      </c>
      <c r="AC163" s="1256"/>
      <c r="AD163" s="1255">
        <f>(AD161*AD162*$G161)*$AB$8</f>
        <v>0</v>
      </c>
      <c r="AE163" s="1256"/>
      <c r="AF163" s="1255">
        <f>(AF161*AF162*$G161)*$AB$8</f>
        <v>0</v>
      </c>
      <c r="AG163" s="1256"/>
      <c r="AH163" s="1255">
        <f>(AH161*AH162*$G161)*$AB$8</f>
        <v>0</v>
      </c>
      <c r="AI163" s="1256"/>
      <c r="AJ163" s="1255">
        <f>(AJ161*AJ162*$G161)*$AJ$8</f>
        <v>0</v>
      </c>
      <c r="AK163" s="1256"/>
      <c r="AL163" s="1255">
        <f>(AL161*AL162*$G161)*$AJ$8</f>
        <v>0</v>
      </c>
      <c r="AM163" s="1256"/>
      <c r="AN163" s="1255">
        <f>(AN161*AN162*$G161)*$AJ$8</f>
        <v>0</v>
      </c>
      <c r="AO163" s="1256"/>
      <c r="AP163" s="1255">
        <f>(AP161*AP162*$G161)*$AJ$8</f>
        <v>0</v>
      </c>
      <c r="AQ163" s="1256"/>
      <c r="AR163" s="1255">
        <f>(AR161*AR162*$G161)*$AT$8</f>
        <v>0</v>
      </c>
      <c r="AS163" s="1256"/>
      <c r="AT163" s="1255">
        <f>(AT161*AT162*$G161)*$AT$8</f>
        <v>0</v>
      </c>
      <c r="AU163" s="1256"/>
      <c r="AV163" s="1255">
        <f>(AV161*AV162*$G161)*$AT$8</f>
        <v>0</v>
      </c>
      <c r="AW163" s="1256"/>
      <c r="AX163" s="1255">
        <f>(AX161*AX162*$G161)*$AT$8</f>
        <v>0</v>
      </c>
      <c r="AY163" s="1256"/>
      <c r="AZ163" s="1255">
        <f>(AZ161*AZ162*$G161)*$BB$8</f>
        <v>5569.6619354838704</v>
      </c>
      <c r="BA163" s="1256"/>
      <c r="BB163" s="1255">
        <f>(BB161*BB162*$G161)*$BB$8</f>
        <v>2.6680645161300958</v>
      </c>
      <c r="BC163" s="1256"/>
      <c r="BD163" s="1255">
        <f>(BD161*BD162*$G161)*$BB$8</f>
        <v>0</v>
      </c>
      <c r="BE163" s="1256"/>
      <c r="BF163" s="1255">
        <f>(BF161*BF162*$G161)*$BB$8</f>
        <v>0</v>
      </c>
      <c r="BG163" s="1256"/>
      <c r="BH163" s="1255">
        <f>(BH161*BH162*$G161)*$BJ$8</f>
        <v>0</v>
      </c>
      <c r="BI163" s="1256"/>
      <c r="BJ163" s="1255">
        <f>(BJ161*BJ162*$G161)*$BJ$8</f>
        <v>0</v>
      </c>
      <c r="BK163" s="1256"/>
      <c r="BL163" s="1255">
        <f>(BL161*BL162*$G161)*$BJ$8</f>
        <v>0</v>
      </c>
      <c r="BM163" s="1256"/>
      <c r="BN163" s="1255">
        <f>(BN161*BN162*$G161)*$BJ$8</f>
        <v>0</v>
      </c>
      <c r="BO163" s="1256"/>
      <c r="BP163" s="1255">
        <f>(BP161*BP162*$G161)*$BT$8</f>
        <v>0</v>
      </c>
      <c r="BQ163" s="1256"/>
      <c r="BR163" s="1255">
        <f>(BR161*BR162*$G161)*$BT$8</f>
        <v>0</v>
      </c>
      <c r="BS163" s="1256"/>
      <c r="BT163" s="1255">
        <f>(BT161*BT162*$G161)*$BT$8</f>
        <v>0</v>
      </c>
      <c r="BU163" s="1256"/>
      <c r="BV163" s="1255">
        <f>(BV161*BV162*$G161)*$BT$8</f>
        <v>0</v>
      </c>
      <c r="BW163" s="1256"/>
      <c r="BX163" s="1255">
        <f>(BX161*BX162*$G161)*$CB$8</f>
        <v>0</v>
      </c>
      <c r="BY163" s="1256"/>
      <c r="BZ163" s="1255">
        <f>(BZ161*BZ162*$G161)*$CB$8</f>
        <v>0</v>
      </c>
      <c r="CA163" s="1256"/>
      <c r="CB163" s="1255">
        <f>(CB161*CB162*$G161)*$CB$8</f>
        <v>0</v>
      </c>
      <c r="CC163" s="1256"/>
      <c r="CD163" s="1255">
        <f>(CD161*CD162*$G161)*$CB$8</f>
        <v>0</v>
      </c>
      <c r="CE163" s="1256"/>
      <c r="CF163" s="1255">
        <f>(CF161*CF162*$G161)*$CB$8</f>
        <v>0</v>
      </c>
      <c r="CG163" s="1256"/>
      <c r="CH163" s="1255">
        <f>(CH161*CH162*$G161)*$CJ$8</f>
        <v>0</v>
      </c>
      <c r="CI163" s="1256"/>
      <c r="CJ163" s="1255">
        <f>(CJ161*CJ162*$G161)*$CJ$8</f>
        <v>0</v>
      </c>
      <c r="CK163" s="1256"/>
      <c r="CL163" s="1255">
        <f>(CL161*CL162*$G161)*$CB$8</f>
        <v>0</v>
      </c>
      <c r="CM163" s="1256"/>
      <c r="CN163" s="1255">
        <f>(CN161*CN162*$G161)*$CB$8</f>
        <v>0</v>
      </c>
      <c r="CO163" s="1256"/>
      <c r="CP163" s="1255">
        <f>(CP161*CP162*$G161)*$CB$8</f>
        <v>0</v>
      </c>
      <c r="CQ163" s="1256"/>
      <c r="CR163" s="1255">
        <f>(CR161*CR162*$G161)*$CB$8</f>
        <v>0</v>
      </c>
      <c r="CS163" s="1256"/>
      <c r="CT163" s="1255">
        <f>(CT161*CT162*$G161)*$CB$8</f>
        <v>0</v>
      </c>
      <c r="CU163" s="1256"/>
      <c r="CV163" s="1255">
        <f>(CV161*CV162*$G161)*$CB$8</f>
        <v>0</v>
      </c>
      <c r="CW163" s="1256"/>
      <c r="CX163" s="1255">
        <f>(CX161*CX162*$G161)*$CB$8</f>
        <v>0</v>
      </c>
      <c r="CY163" s="1256"/>
      <c r="CZ163" s="1255">
        <f>(CZ161*CZ162*$G161)*$DB$8</f>
        <v>0</v>
      </c>
      <c r="DA163" s="1256"/>
      <c r="DB163" s="1255">
        <f>(DB161*DB162*$G161)*$DB$8</f>
        <v>0</v>
      </c>
      <c r="DC163" s="1256"/>
      <c r="DD163" s="1255">
        <f>(DD161*DD162*$G161)*$DB$8</f>
        <v>0</v>
      </c>
      <c r="DE163" s="1256"/>
      <c r="DF163" s="1255">
        <f>(DF161*DF162*$G161)*$DB$8</f>
        <v>0</v>
      </c>
      <c r="DG163" s="1256"/>
      <c r="DH163" s="1255">
        <f>(DH161*DH162*$G161)*$DB$8</f>
        <v>0</v>
      </c>
      <c r="DI163" s="1256"/>
      <c r="DJ163" s="1257">
        <f>(DJ161*DJ162*$G161)*$DB$8</f>
        <v>0</v>
      </c>
      <c r="DK163" s="1258"/>
      <c r="DL163" s="1255">
        <f>(DL161*DL162*$G161)*$DB$8</f>
        <v>0</v>
      </c>
      <c r="DM163" s="1256"/>
      <c r="DN163" s="1255">
        <f>(DN161*DN162*$G161)*$DB$8</f>
        <v>0</v>
      </c>
      <c r="DO163" s="1256"/>
      <c r="DP163" s="1255">
        <f>(DP161*DP162*$G161)*$DB$8</f>
        <v>0</v>
      </c>
      <c r="DQ163" s="1256"/>
      <c r="DR163" s="1255">
        <f>(DR161*DR162*$G161)*$DB$8</f>
        <v>0</v>
      </c>
      <c r="DS163" s="1256"/>
      <c r="DT163" s="1255">
        <f>(DT161*DT162*$G161)*$DB$8</f>
        <v>0</v>
      </c>
      <c r="DU163" s="1256"/>
      <c r="DV163" s="1255">
        <f>(DV161*DV162*$G161)*$DB$8</f>
        <v>0</v>
      </c>
      <c r="DW163" s="1256"/>
      <c r="DX163" s="1255">
        <f>(DX161*DX162*$G161)*$DB$8</f>
        <v>0</v>
      </c>
      <c r="DY163" s="1256"/>
      <c r="DZ163" s="1255">
        <f>(DZ161*DZ162*$G161)*$DB$8</f>
        <v>0</v>
      </c>
      <c r="EA163" s="1256"/>
      <c r="EB163" s="1255">
        <f>(EB161*EB162*$G161)*$DB$8</f>
        <v>0</v>
      </c>
      <c r="EC163" s="1256"/>
      <c r="ED163" s="1255">
        <f>(ED161*ED162*$G161)*$DB$8</f>
        <v>0</v>
      </c>
      <c r="EE163" s="1256"/>
      <c r="EF163" s="1255">
        <f>(EF161*EF162*$G161)*$DB$8</f>
        <v>0</v>
      </c>
      <c r="EG163" s="1256"/>
      <c r="EH163" s="1255">
        <f>(EH161*EH162*$G161)*$DB$8</f>
        <v>0</v>
      </c>
      <c r="EI163" s="1256"/>
      <c r="EJ163" s="1255">
        <f>(EJ161*EJ162*$G161)*$DB$8</f>
        <v>0</v>
      </c>
      <c r="EK163" s="1256"/>
      <c r="EL163" s="1255">
        <f>(EL161*EL162*$G161)*$DB$8</f>
        <v>0</v>
      </c>
      <c r="EM163" s="1256"/>
      <c r="EN163" s="1255">
        <f>(EN161*EN162*$G161)*$DB$8</f>
        <v>0</v>
      </c>
      <c r="EO163" s="1256"/>
      <c r="EP163" s="1255">
        <f>(EP161*EP162*$G161)*$DB$8</f>
        <v>0</v>
      </c>
      <c r="EQ163" s="1256"/>
      <c r="ER163" s="1255">
        <f>(ER161*ER162*$G161)*$DB$8</f>
        <v>0</v>
      </c>
      <c r="ES163" s="1256"/>
      <c r="ET163" s="1255">
        <f>(ET161*ET162*$G161)*$DB$8</f>
        <v>0</v>
      </c>
      <c r="EU163" s="1256"/>
      <c r="EV163" s="1255">
        <f>(EV161*EV162*$G161)*$DB$8</f>
        <v>0</v>
      </c>
      <c r="EW163" s="1256"/>
      <c r="EX163" s="1255">
        <f>(EX161*EX162*$G161)*$DB$8</f>
        <v>0</v>
      </c>
      <c r="EY163" s="1256"/>
      <c r="EZ163" s="1255">
        <f>(EZ161*EZ162*$G161)*$DB$8</f>
        <v>0</v>
      </c>
      <c r="FA163" s="1256"/>
      <c r="FB163" s="1255">
        <f>(FB161*FB162*$G161)*$DB$8</f>
        <v>0</v>
      </c>
      <c r="FC163" s="1256"/>
      <c r="FD163" s="1255">
        <f>(FD161*FD162*$G161)*$DB$8</f>
        <v>0</v>
      </c>
      <c r="FE163" s="1256"/>
      <c r="FF163" s="1255">
        <f>(FF161*FF162*$G161)*$DB$8</f>
        <v>0</v>
      </c>
      <c r="FG163" s="1256"/>
      <c r="FH163" s="1255">
        <f>(FH161*FH162*$G161)*$DB$8</f>
        <v>0</v>
      </c>
      <c r="FI163" s="1256"/>
      <c r="FJ163" s="1255">
        <f>(FJ161*FJ162*$G161)*$DB$8</f>
        <v>0</v>
      </c>
      <c r="FK163" s="1256"/>
      <c r="FL163" s="1255">
        <f>(FL161*FL162*$G161)*$DB$8</f>
        <v>0</v>
      </c>
      <c r="FM163" s="1256"/>
      <c r="FN163" s="1255">
        <f>(FN161*FN162*$G161)*$DB$8</f>
        <v>0</v>
      </c>
      <c r="FO163" s="1256"/>
      <c r="FP163" s="1255">
        <f>(FP161*FP162*$G161)*$DB$8</f>
        <v>0</v>
      </c>
      <c r="FQ163" s="1256"/>
      <c r="FR163" s="1255">
        <f>(FR161*FR162*$G161)*$DB$8</f>
        <v>0</v>
      </c>
      <c r="FS163" s="1256"/>
      <c r="FT163" s="1255">
        <f>(FT161*FT162*$G161)*$DB$8</f>
        <v>0</v>
      </c>
      <c r="FU163" s="1256"/>
      <c r="FV163" s="1255">
        <f>(FV161*FV162*$G161)*$DB$8</f>
        <v>0</v>
      </c>
      <c r="FW163" s="1256"/>
      <c r="FX163" s="1255">
        <f>(FX161*FX162*$G161)*$DB$8</f>
        <v>0</v>
      </c>
      <c r="FY163" s="1256"/>
      <c r="FZ163" s="1255">
        <f>(FZ161*FZ162*$G161)*$DB$8</f>
        <v>0</v>
      </c>
      <c r="GA163" s="1256"/>
      <c r="GB163" s="1255">
        <f>(GB161*GB162*$G161)*$DB$8</f>
        <v>0</v>
      </c>
      <c r="GC163" s="1256"/>
      <c r="GD163" s="1255">
        <f>(GD161*GD162*$G161)*$DB$8</f>
        <v>0</v>
      </c>
      <c r="GE163" s="1256"/>
      <c r="GF163" s="1255">
        <f>(GF161*GF162*$G161)*$DB$8</f>
        <v>0</v>
      </c>
      <c r="GG163" s="1256"/>
      <c r="GH163" s="1255">
        <f>(GH161*GH162*$G161)*$DB$8</f>
        <v>0</v>
      </c>
      <c r="GI163" s="1256"/>
      <c r="GJ163" s="1255">
        <f>(GJ161*GJ162*$G161)*$DB$8</f>
        <v>0</v>
      </c>
      <c r="GK163" s="1256"/>
      <c r="GL163" s="1255">
        <f>(GL161*GL162*$G161)*$DB$8</f>
        <v>0</v>
      </c>
      <c r="GM163" s="1256"/>
      <c r="GN163" s="1255">
        <f>(GN161*GN162*$G161)*$DB$8</f>
        <v>0</v>
      </c>
      <c r="GO163" s="1256"/>
      <c r="GP163" s="1255">
        <f>(GP161*GP162*$G161)*$DB$8</f>
        <v>0</v>
      </c>
      <c r="GQ163" s="1256"/>
      <c r="GR163" s="1255">
        <f>(GR161*GR162*$G161)*$DB$8</f>
        <v>0</v>
      </c>
      <c r="GS163" s="1256"/>
      <c r="GT163" s="1255">
        <f>(GT161*GT162*$G161)*$DB$8</f>
        <v>0</v>
      </c>
      <c r="GU163" s="1256"/>
      <c r="GV163" s="1255">
        <f>(GV161*GV162*$G161)*$DB$8</f>
        <v>0</v>
      </c>
      <c r="GW163" s="1256"/>
      <c r="GX163" s="1255">
        <f>(GX161*GX162*$G161)*$DB$8</f>
        <v>0</v>
      </c>
      <c r="GY163" s="1256"/>
      <c r="GZ163" s="1255">
        <f>(GZ161*GZ162*$G161)*$DB$8</f>
        <v>0</v>
      </c>
      <c r="HA163" s="1256"/>
      <c r="HB163" s="1255">
        <f>(HB161*HB162*$G161)*$DB$8</f>
        <v>0</v>
      </c>
      <c r="HC163" s="1256"/>
      <c r="HD163" s="1255">
        <f>(HD161*HD162*$G161)*$DB$8</f>
        <v>0</v>
      </c>
      <c r="HE163" s="1256"/>
      <c r="HF163" s="1255">
        <f>(HF161*HF162*$G161)*$DB$8</f>
        <v>0</v>
      </c>
      <c r="HG163" s="1256"/>
      <c r="HH163" s="1255">
        <f>(HH161*HH162*$G161)*$DB$8</f>
        <v>0</v>
      </c>
      <c r="HI163" s="1256"/>
      <c r="HJ163" s="1255">
        <f>(HJ161*HJ162*$G161)*$DB$8</f>
        <v>0</v>
      </c>
      <c r="HK163" s="1256"/>
    </row>
    <row r="164" spans="1:219" hidden="1">
      <c r="A164" s="1299"/>
      <c r="B164" s="1300"/>
      <c r="C164" s="1299"/>
      <c r="D164" s="1301"/>
      <c r="E164" s="1301"/>
      <c r="F164" s="1302"/>
      <c r="G164" s="1301"/>
      <c r="H164" s="726"/>
      <c r="I164" s="1303"/>
      <c r="J164" s="1304"/>
      <c r="K164" s="787" t="s">
        <v>294</v>
      </c>
      <c r="L164" s="1272">
        <f>L163</f>
        <v>0</v>
      </c>
      <c r="M164" s="1273"/>
      <c r="N164" s="1272">
        <f>L164+N163</f>
        <v>0</v>
      </c>
      <c r="O164" s="1273"/>
      <c r="P164" s="1272">
        <f>N164+P163</f>
        <v>0</v>
      </c>
      <c r="Q164" s="1273"/>
      <c r="R164" s="1272">
        <f>P164+R163</f>
        <v>0</v>
      </c>
      <c r="S164" s="1273"/>
      <c r="T164" s="1272">
        <f>R164+T163</f>
        <v>0</v>
      </c>
      <c r="U164" s="1273"/>
      <c r="V164" s="1272">
        <f>T164+V163</f>
        <v>0</v>
      </c>
      <c r="W164" s="1273"/>
      <c r="X164" s="1272">
        <f>V164+X163</f>
        <v>0</v>
      </c>
      <c r="Y164" s="1273"/>
      <c r="Z164" s="1272">
        <f>X164+Z163</f>
        <v>0</v>
      </c>
      <c r="AA164" s="1273"/>
      <c r="AB164" s="1272">
        <f>Z164+AB163</f>
        <v>0</v>
      </c>
      <c r="AC164" s="1273"/>
      <c r="AD164" s="1272">
        <f>AB164+AD163</f>
        <v>0</v>
      </c>
      <c r="AE164" s="1273"/>
      <c r="AF164" s="1272">
        <f>AD164+AF163</f>
        <v>0</v>
      </c>
      <c r="AG164" s="1273"/>
      <c r="AH164" s="1272">
        <f>AF164+AH163</f>
        <v>0</v>
      </c>
      <c r="AI164" s="1273"/>
      <c r="AJ164" s="1272">
        <f>AH164+AJ163</f>
        <v>0</v>
      </c>
      <c r="AK164" s="1273"/>
      <c r="AL164" s="1272">
        <f>AJ164+AL163</f>
        <v>0</v>
      </c>
      <c r="AM164" s="1273"/>
      <c r="AN164" s="1272">
        <f>AL164+AN163</f>
        <v>0</v>
      </c>
      <c r="AO164" s="1273"/>
      <c r="AP164" s="1272">
        <f>AN164+AP163</f>
        <v>0</v>
      </c>
      <c r="AQ164" s="1273"/>
      <c r="AR164" s="1272">
        <f>AP164+AR163</f>
        <v>0</v>
      </c>
      <c r="AS164" s="1273"/>
      <c r="AT164" s="1272">
        <f>AR164+AT163</f>
        <v>0</v>
      </c>
      <c r="AU164" s="1273"/>
      <c r="AV164" s="1272">
        <f>AT164+AV163</f>
        <v>0</v>
      </c>
      <c r="AW164" s="1273"/>
      <c r="AX164" s="1272">
        <f>AV164+AX163</f>
        <v>0</v>
      </c>
      <c r="AY164" s="1273"/>
      <c r="AZ164" s="1272">
        <f>AX164+AZ163</f>
        <v>5569.6619354838704</v>
      </c>
      <c r="BA164" s="1273"/>
      <c r="BB164" s="1272">
        <f>AZ164+BB163</f>
        <v>5572.3300000000008</v>
      </c>
      <c r="BC164" s="1273"/>
      <c r="BD164" s="1272">
        <f>BB164+BD163</f>
        <v>5572.3300000000008</v>
      </c>
      <c r="BE164" s="1273"/>
      <c r="BF164" s="1272">
        <f>BD164+BF163</f>
        <v>5572.3300000000008</v>
      </c>
      <c r="BG164" s="1273"/>
      <c r="BH164" s="1272">
        <f>BF164+BH163</f>
        <v>5572.3300000000008</v>
      </c>
      <c r="BI164" s="1273"/>
      <c r="BJ164" s="1272">
        <f>BH164+BJ163</f>
        <v>5572.3300000000008</v>
      </c>
      <c r="BK164" s="1273"/>
      <c r="BL164" s="1272">
        <f>BJ164+BL163</f>
        <v>5572.3300000000008</v>
      </c>
      <c r="BM164" s="1273"/>
      <c r="BN164" s="1272">
        <f>BL164+BN163</f>
        <v>5572.3300000000008</v>
      </c>
      <c r="BO164" s="1273"/>
      <c r="BP164" s="1272">
        <f>BN164+BP163</f>
        <v>5572.3300000000008</v>
      </c>
      <c r="BQ164" s="1273"/>
      <c r="BR164" s="1272">
        <f>BP164+BR163</f>
        <v>5572.3300000000008</v>
      </c>
      <c r="BS164" s="1273"/>
      <c r="BT164" s="1272">
        <f>BR164+BT163</f>
        <v>5572.3300000000008</v>
      </c>
      <c r="BU164" s="1273"/>
      <c r="BV164" s="1272">
        <f>BT164+BV163</f>
        <v>5572.3300000000008</v>
      </c>
      <c r="BW164" s="1273"/>
      <c r="BX164" s="1272">
        <f>BV164+BX163</f>
        <v>5572.3300000000008</v>
      </c>
      <c r="BY164" s="1273"/>
      <c r="BZ164" s="1272">
        <f>BX164+BZ163</f>
        <v>5572.3300000000008</v>
      </c>
      <c r="CA164" s="1273"/>
      <c r="CB164" s="1272">
        <f>BZ164+CB163</f>
        <v>5572.3300000000008</v>
      </c>
      <c r="CC164" s="1273"/>
      <c r="CD164" s="1272">
        <f>CB164+CD163</f>
        <v>5572.3300000000008</v>
      </c>
      <c r="CE164" s="1273"/>
      <c r="CF164" s="1272">
        <f>CD164+CF163</f>
        <v>5572.3300000000008</v>
      </c>
      <c r="CG164" s="1273"/>
      <c r="CH164" s="1272">
        <f>CF164+CH163</f>
        <v>5572.3300000000008</v>
      </c>
      <c r="CI164" s="1273"/>
      <c r="CJ164" s="1272">
        <f>CH164+CJ163</f>
        <v>5572.3300000000008</v>
      </c>
      <c r="CK164" s="1273"/>
      <c r="CL164" s="1272">
        <f>CJ164+CL163</f>
        <v>5572.3300000000008</v>
      </c>
      <c r="CM164" s="1273"/>
      <c r="CN164" s="1272">
        <f>CL164+CN163</f>
        <v>5572.3300000000008</v>
      </c>
      <c r="CO164" s="1273"/>
      <c r="CP164" s="1272">
        <f>CN164+CP163</f>
        <v>5572.3300000000008</v>
      </c>
      <c r="CQ164" s="1273"/>
      <c r="CR164" s="1272">
        <f>CP164+CR163</f>
        <v>5572.3300000000008</v>
      </c>
      <c r="CS164" s="1273"/>
      <c r="CT164" s="1272">
        <f>CR164+CT163</f>
        <v>5572.3300000000008</v>
      </c>
      <c r="CU164" s="1273"/>
      <c r="CV164" s="1272">
        <f>CT164+CV163</f>
        <v>5572.3300000000008</v>
      </c>
      <c r="CW164" s="1273"/>
      <c r="CX164" s="1272">
        <f>CV164+CX163</f>
        <v>5572.3300000000008</v>
      </c>
      <c r="CY164" s="1273"/>
      <c r="CZ164" s="1272">
        <f>CX164+CZ163</f>
        <v>5572.3300000000008</v>
      </c>
      <c r="DA164" s="1273"/>
      <c r="DB164" s="1272">
        <f>CZ164+DB163</f>
        <v>5572.3300000000008</v>
      </c>
      <c r="DC164" s="1273"/>
      <c r="DD164" s="1272">
        <f>DB164+DD163</f>
        <v>5572.3300000000008</v>
      </c>
      <c r="DE164" s="1273"/>
      <c r="DF164" s="1272">
        <f>DD164+DF163</f>
        <v>5572.3300000000008</v>
      </c>
      <c r="DG164" s="1273"/>
      <c r="DH164" s="1272">
        <f>DF164+DH163</f>
        <v>5572.3300000000008</v>
      </c>
      <c r="DI164" s="1273"/>
      <c r="DJ164" s="1323">
        <f>DH164+DJ163</f>
        <v>5572.3300000000008</v>
      </c>
      <c r="DK164" s="1324"/>
      <c r="DL164" s="1272">
        <f>DJ164+DL163</f>
        <v>5572.3300000000008</v>
      </c>
      <c r="DM164" s="1273"/>
      <c r="DN164" s="1272">
        <f>DL164+DN163</f>
        <v>5572.3300000000008</v>
      </c>
      <c r="DO164" s="1273"/>
      <c r="DP164" s="1272">
        <f>DN164+DP163</f>
        <v>5572.3300000000008</v>
      </c>
      <c r="DQ164" s="1273"/>
      <c r="DR164" s="1272">
        <f>DP164+DR163</f>
        <v>5572.3300000000008</v>
      </c>
      <c r="DS164" s="1273"/>
      <c r="DT164" s="1272">
        <f>DR164+DT163</f>
        <v>5572.3300000000008</v>
      </c>
      <c r="DU164" s="1273"/>
      <c r="DV164" s="1272">
        <f>DT164+DV163</f>
        <v>5572.3300000000008</v>
      </c>
      <c r="DW164" s="1273"/>
      <c r="DX164" s="1272">
        <f>DV164+DX163</f>
        <v>5572.3300000000008</v>
      </c>
      <c r="DY164" s="1273"/>
      <c r="DZ164" s="1272">
        <f>DX164+DZ163</f>
        <v>5572.3300000000008</v>
      </c>
      <c r="EA164" s="1273"/>
      <c r="EB164" s="1272">
        <f>DZ164+EB163</f>
        <v>5572.3300000000008</v>
      </c>
      <c r="EC164" s="1273"/>
      <c r="ED164" s="1272">
        <f>EB164+ED163</f>
        <v>5572.3300000000008</v>
      </c>
      <c r="EE164" s="1273"/>
      <c r="EF164" s="1272">
        <f>ED164+EF163</f>
        <v>5572.3300000000008</v>
      </c>
      <c r="EG164" s="1273"/>
      <c r="EH164" s="1272">
        <f>EF164+EH163</f>
        <v>5572.3300000000008</v>
      </c>
      <c r="EI164" s="1273"/>
      <c r="EJ164" s="1272">
        <f>EH164+EJ163</f>
        <v>5572.3300000000008</v>
      </c>
      <c r="EK164" s="1273"/>
      <c r="EL164" s="1272">
        <f>EJ164+EL163</f>
        <v>5572.3300000000008</v>
      </c>
      <c r="EM164" s="1273"/>
      <c r="EN164" s="1272">
        <f>EL164+EN163</f>
        <v>5572.3300000000008</v>
      </c>
      <c r="EO164" s="1273"/>
      <c r="EP164" s="1272">
        <f>EN164+EP163</f>
        <v>5572.3300000000008</v>
      </c>
      <c r="EQ164" s="1273"/>
      <c r="ER164" s="1272">
        <f>EP164+ER163</f>
        <v>5572.3300000000008</v>
      </c>
      <c r="ES164" s="1273"/>
      <c r="ET164" s="1272">
        <f>ER164+ET163</f>
        <v>5572.3300000000008</v>
      </c>
      <c r="EU164" s="1273"/>
      <c r="EV164" s="1272">
        <f>ET164+EV163</f>
        <v>5572.3300000000008</v>
      </c>
      <c r="EW164" s="1273"/>
      <c r="EX164" s="1272">
        <f>EV164+EX163</f>
        <v>5572.3300000000008</v>
      </c>
      <c r="EY164" s="1273"/>
      <c r="EZ164" s="1272">
        <f>EX164+EZ163</f>
        <v>5572.3300000000008</v>
      </c>
      <c r="FA164" s="1273"/>
      <c r="FB164" s="1272">
        <f>EZ164+FB163</f>
        <v>5572.3300000000008</v>
      </c>
      <c r="FC164" s="1273"/>
      <c r="FD164" s="1272">
        <f>FB164+FD163</f>
        <v>5572.3300000000008</v>
      </c>
      <c r="FE164" s="1273"/>
      <c r="FF164" s="1272">
        <f>FD164+FF163</f>
        <v>5572.3300000000008</v>
      </c>
      <c r="FG164" s="1273"/>
      <c r="FH164" s="1272">
        <f>FF164+FH163</f>
        <v>5572.3300000000008</v>
      </c>
      <c r="FI164" s="1273"/>
      <c r="FJ164" s="1272">
        <f>FH164+FJ163</f>
        <v>5572.3300000000008</v>
      </c>
      <c r="FK164" s="1273"/>
      <c r="FL164" s="1272">
        <f>FJ164+FL163</f>
        <v>5572.3300000000008</v>
      </c>
      <c r="FM164" s="1273"/>
      <c r="FN164" s="1272">
        <f>FL164+FN163</f>
        <v>5572.3300000000008</v>
      </c>
      <c r="FO164" s="1273"/>
      <c r="FP164" s="1272">
        <f>FN164+FP163</f>
        <v>5572.3300000000008</v>
      </c>
      <c r="FQ164" s="1273"/>
      <c r="FR164" s="1272">
        <f>FP164+FR163</f>
        <v>5572.3300000000008</v>
      </c>
      <c r="FS164" s="1273"/>
      <c r="FT164" s="1272">
        <f>FR164+FT163</f>
        <v>5572.3300000000008</v>
      </c>
      <c r="FU164" s="1273"/>
      <c r="FV164" s="1272">
        <f>FT164+FV163</f>
        <v>5572.3300000000008</v>
      </c>
      <c r="FW164" s="1273"/>
      <c r="FX164" s="1272">
        <f>FV164+FX163</f>
        <v>5572.3300000000008</v>
      </c>
      <c r="FY164" s="1273"/>
      <c r="FZ164" s="1272">
        <f>FX164+FZ163</f>
        <v>5572.3300000000008</v>
      </c>
      <c r="GA164" s="1273"/>
      <c r="GB164" s="1272">
        <f>FZ164+GB163</f>
        <v>5572.3300000000008</v>
      </c>
      <c r="GC164" s="1273"/>
      <c r="GD164" s="1272">
        <f>GB164+GD163</f>
        <v>5572.3300000000008</v>
      </c>
      <c r="GE164" s="1273"/>
      <c r="GF164" s="1272">
        <f>GD164+GF163</f>
        <v>5572.3300000000008</v>
      </c>
      <c r="GG164" s="1273"/>
      <c r="GH164" s="1272">
        <f>GF164+GH163</f>
        <v>5572.3300000000008</v>
      </c>
      <c r="GI164" s="1273"/>
      <c r="GJ164" s="1272">
        <f>GH164+GJ163</f>
        <v>5572.3300000000008</v>
      </c>
      <c r="GK164" s="1273"/>
      <c r="GL164" s="1272">
        <f>GJ164+GL163</f>
        <v>5572.3300000000008</v>
      </c>
      <c r="GM164" s="1273"/>
      <c r="GN164" s="1272">
        <f>GL164+GN163</f>
        <v>5572.3300000000008</v>
      </c>
      <c r="GO164" s="1273"/>
      <c r="GP164" s="1272">
        <f>GN164+GP163</f>
        <v>5572.3300000000008</v>
      </c>
      <c r="GQ164" s="1273"/>
      <c r="GR164" s="1272">
        <f>GP164+GR163</f>
        <v>5572.3300000000008</v>
      </c>
      <c r="GS164" s="1273"/>
      <c r="GT164" s="1272">
        <f>GR164+GT163</f>
        <v>5572.3300000000008</v>
      </c>
      <c r="GU164" s="1273"/>
      <c r="GV164" s="1272">
        <f>GT164+GV163</f>
        <v>5572.3300000000008</v>
      </c>
      <c r="GW164" s="1273"/>
      <c r="GX164" s="1272">
        <f>GV164+GX163</f>
        <v>5572.3300000000008</v>
      </c>
      <c r="GY164" s="1273"/>
      <c r="GZ164" s="1272">
        <f>GX164+GZ163</f>
        <v>5572.3300000000008</v>
      </c>
      <c r="HA164" s="1273"/>
      <c r="HB164" s="1272">
        <f>GZ164+HB163</f>
        <v>5572.3300000000008</v>
      </c>
      <c r="HC164" s="1273"/>
      <c r="HD164" s="1272">
        <f>HB164+HD163</f>
        <v>5572.3300000000008</v>
      </c>
      <c r="HE164" s="1273"/>
      <c r="HF164" s="1272">
        <f>HD164+HF163</f>
        <v>5572.3300000000008</v>
      </c>
      <c r="HG164" s="1273"/>
      <c r="HH164" s="1272">
        <f>HF164+HH163</f>
        <v>5572.3300000000008</v>
      </c>
      <c r="HI164" s="1273"/>
      <c r="HJ164" s="1272">
        <f>HH164+HJ163</f>
        <v>5572.3300000000008</v>
      </c>
      <c r="HK164" s="1273"/>
    </row>
    <row r="165" spans="1:219" s="19" customFormat="1" hidden="1">
      <c r="A165" s="1299"/>
      <c r="B165" s="1300"/>
      <c r="C165" s="1299"/>
      <c r="D165" s="1301"/>
      <c r="E165" s="1301"/>
      <c r="F165" s="1302"/>
      <c r="G165" s="1301"/>
      <c r="H165" s="788"/>
      <c r="I165" s="1303"/>
      <c r="J165" s="1304"/>
      <c r="K165" s="789" t="s">
        <v>295</v>
      </c>
      <c r="L165" s="1266"/>
      <c r="M165" s="1267"/>
      <c r="N165" s="1266"/>
      <c r="O165" s="1267"/>
      <c r="P165" s="1266"/>
      <c r="Q165" s="1267"/>
      <c r="R165" s="1266"/>
      <c r="S165" s="1267"/>
      <c r="T165" s="1266"/>
      <c r="U165" s="1267"/>
      <c r="V165" s="1266"/>
      <c r="W165" s="1267"/>
      <c r="X165" s="1266"/>
      <c r="Y165" s="1267"/>
      <c r="Z165" s="1266"/>
      <c r="AA165" s="1267"/>
      <c r="AB165" s="1266"/>
      <c r="AC165" s="1267"/>
      <c r="AD165" s="1266"/>
      <c r="AE165" s="1267"/>
      <c r="AF165" s="1266"/>
      <c r="AG165" s="1267"/>
      <c r="AH165" s="1266"/>
      <c r="AI165" s="1267"/>
      <c r="AJ165" s="1266"/>
      <c r="AK165" s="1267"/>
      <c r="AL165" s="1266"/>
      <c r="AM165" s="1267"/>
      <c r="AN165" s="1266"/>
      <c r="AO165" s="1267"/>
      <c r="AP165" s="1266"/>
      <c r="AQ165" s="1267"/>
      <c r="AR165" s="1266"/>
      <c r="AS165" s="1267"/>
      <c r="AT165" s="1266"/>
      <c r="AU165" s="1267"/>
      <c r="AV165" s="1266"/>
      <c r="AW165" s="1267"/>
      <c r="AX165" s="1266"/>
      <c r="AY165" s="1267"/>
      <c r="AZ165" s="1266"/>
      <c r="BA165" s="1267"/>
      <c r="BB165" s="1266"/>
      <c r="BC165" s="1267"/>
      <c r="BD165" s="1266"/>
      <c r="BE165" s="1267"/>
      <c r="BF165" s="1266"/>
      <c r="BG165" s="1267"/>
      <c r="BH165" s="1266"/>
      <c r="BI165" s="1267"/>
      <c r="BJ165" s="1266"/>
      <c r="BK165" s="1267"/>
      <c r="BL165" s="1266"/>
      <c r="BM165" s="1267"/>
      <c r="BN165" s="1266"/>
      <c r="BO165" s="1267"/>
      <c r="BP165" s="1266"/>
      <c r="BQ165" s="1267"/>
      <c r="BR165" s="1266"/>
      <c r="BS165" s="1267"/>
      <c r="BT165" s="1266"/>
      <c r="BU165" s="1267"/>
      <c r="BV165" s="1266"/>
      <c r="BW165" s="1267"/>
      <c r="BX165" s="1266"/>
      <c r="BY165" s="1267"/>
      <c r="BZ165" s="1266"/>
      <c r="CA165" s="1267"/>
      <c r="CB165" s="1266"/>
      <c r="CC165" s="1267"/>
      <c r="CD165" s="1266"/>
      <c r="CE165" s="1267"/>
      <c r="CF165" s="1266"/>
      <c r="CG165" s="1267"/>
      <c r="CH165" s="1266"/>
      <c r="CI165" s="1267"/>
      <c r="CJ165" s="1266"/>
      <c r="CK165" s="1267"/>
      <c r="CL165" s="1266"/>
      <c r="CM165" s="1267"/>
      <c r="CN165" s="1266"/>
      <c r="CO165" s="1267"/>
      <c r="CP165" s="1266"/>
      <c r="CQ165" s="1267"/>
      <c r="CR165" s="1266"/>
      <c r="CS165" s="1267"/>
      <c r="CT165" s="1266"/>
      <c r="CU165" s="1267"/>
      <c r="CV165" s="1266"/>
      <c r="CW165" s="1267"/>
      <c r="CX165" s="1266"/>
      <c r="CY165" s="1267"/>
      <c r="CZ165" s="1266"/>
      <c r="DA165" s="1267"/>
      <c r="DB165" s="1266"/>
      <c r="DC165" s="1267"/>
      <c r="DD165" s="1266"/>
      <c r="DE165" s="1267"/>
      <c r="DF165" s="1266"/>
      <c r="DG165" s="1267"/>
      <c r="DH165" s="1266"/>
      <c r="DI165" s="1267"/>
      <c r="DJ165" s="1268"/>
      <c r="DK165" s="1269"/>
      <c r="DL165" s="1266"/>
      <c r="DM165" s="1267"/>
      <c r="DN165" s="1266"/>
      <c r="DO165" s="1267"/>
      <c r="DP165" s="1266"/>
      <c r="DQ165" s="1267"/>
      <c r="DR165" s="1266"/>
      <c r="DS165" s="1267"/>
      <c r="DT165" s="1266"/>
      <c r="DU165" s="1267"/>
      <c r="DV165" s="1266"/>
      <c r="DW165" s="1267"/>
      <c r="DX165" s="1266"/>
      <c r="DY165" s="1267"/>
      <c r="DZ165" s="1266"/>
      <c r="EA165" s="1267"/>
      <c r="EB165" s="1266"/>
      <c r="EC165" s="1267"/>
      <c r="ED165" s="1266"/>
      <c r="EE165" s="1267"/>
      <c r="EF165" s="1266"/>
      <c r="EG165" s="1267"/>
      <c r="EH165" s="1266"/>
      <c r="EI165" s="1267"/>
      <c r="EJ165" s="1266"/>
      <c r="EK165" s="1267"/>
      <c r="EL165" s="1266"/>
      <c r="EM165" s="1267"/>
      <c r="EN165" s="1266"/>
      <c r="EO165" s="1267"/>
      <c r="EP165" s="1266"/>
      <c r="EQ165" s="1267"/>
      <c r="ER165" s="1266"/>
      <c r="ES165" s="1267"/>
      <c r="ET165" s="1266"/>
      <c r="EU165" s="1267"/>
      <c r="EV165" s="1266"/>
      <c r="EW165" s="1267"/>
      <c r="EX165" s="1266"/>
      <c r="EY165" s="1267"/>
      <c r="EZ165" s="1266"/>
      <c r="FA165" s="1267"/>
      <c r="FB165" s="1266"/>
      <c r="FC165" s="1267"/>
      <c r="FD165" s="1266"/>
      <c r="FE165" s="1267"/>
      <c r="FF165" s="1266"/>
      <c r="FG165" s="1267"/>
      <c r="FH165" s="1266"/>
      <c r="FI165" s="1267"/>
      <c r="FJ165" s="1266"/>
      <c r="FK165" s="1267"/>
      <c r="FL165" s="1266"/>
      <c r="FM165" s="1267"/>
      <c r="FN165" s="1266"/>
      <c r="FO165" s="1267"/>
      <c r="FP165" s="1266"/>
      <c r="FQ165" s="1267"/>
      <c r="FR165" s="1266"/>
      <c r="FS165" s="1267"/>
      <c r="FT165" s="1266"/>
      <c r="FU165" s="1267"/>
      <c r="FV165" s="1266"/>
      <c r="FW165" s="1267"/>
      <c r="FX165" s="1266"/>
      <c r="FY165" s="1267"/>
      <c r="FZ165" s="1266"/>
      <c r="GA165" s="1267"/>
      <c r="GB165" s="1266"/>
      <c r="GC165" s="1267"/>
      <c r="GD165" s="1266"/>
      <c r="GE165" s="1267"/>
      <c r="GF165" s="1266"/>
      <c r="GG165" s="1267"/>
      <c r="GH165" s="1266"/>
      <c r="GI165" s="1267"/>
      <c r="GJ165" s="1266"/>
      <c r="GK165" s="1267"/>
      <c r="GL165" s="1266"/>
      <c r="GM165" s="1267"/>
      <c r="GN165" s="1266"/>
      <c r="GO165" s="1267"/>
      <c r="GP165" s="1266"/>
      <c r="GQ165" s="1267"/>
      <c r="GR165" s="1266"/>
      <c r="GS165" s="1267"/>
      <c r="GT165" s="1266"/>
      <c r="GU165" s="1267"/>
      <c r="GV165" s="1266"/>
      <c r="GW165" s="1267"/>
      <c r="GX165" s="1266"/>
      <c r="GY165" s="1267"/>
      <c r="GZ165" s="1266"/>
      <c r="HA165" s="1267"/>
      <c r="HB165" s="1266"/>
      <c r="HC165" s="1267"/>
      <c r="HD165" s="1266"/>
      <c r="HE165" s="1267"/>
      <c r="HF165" s="1266"/>
      <c r="HG165" s="1267"/>
      <c r="HH165" s="1266"/>
      <c r="HI165" s="1267"/>
      <c r="HJ165" s="1266"/>
      <c r="HK165" s="1267"/>
    </row>
    <row r="166" spans="1:219" s="20" customFormat="1" hidden="1">
      <c r="A166" s="1299"/>
      <c r="B166" s="1300"/>
      <c r="C166" s="1299"/>
      <c r="D166" s="1301"/>
      <c r="E166" s="1301"/>
      <c r="F166" s="1302"/>
      <c r="G166" s="1301"/>
      <c r="H166" s="790"/>
      <c r="I166" s="1303"/>
      <c r="J166" s="1304"/>
      <c r="K166" s="791" t="s">
        <v>296</v>
      </c>
      <c r="L166" s="1259">
        <f>L165</f>
        <v>0</v>
      </c>
      <c r="M166" s="1260"/>
      <c r="N166" s="1259">
        <f>N165+L166</f>
        <v>0</v>
      </c>
      <c r="O166" s="1260"/>
      <c r="P166" s="1259">
        <f>P165+N166</f>
        <v>0</v>
      </c>
      <c r="Q166" s="1260"/>
      <c r="R166" s="1259">
        <f>R165+P166</f>
        <v>0</v>
      </c>
      <c r="S166" s="1260"/>
      <c r="T166" s="1259">
        <f>T165+R166</f>
        <v>0</v>
      </c>
      <c r="U166" s="1260"/>
      <c r="V166" s="1259">
        <f>V165+T166</f>
        <v>0</v>
      </c>
      <c r="W166" s="1260"/>
      <c r="X166" s="1259">
        <f>X165+V166</f>
        <v>0</v>
      </c>
      <c r="Y166" s="1260"/>
      <c r="Z166" s="1259">
        <f>Z165+X166</f>
        <v>0</v>
      </c>
      <c r="AA166" s="1260"/>
      <c r="AB166" s="1259">
        <f>AB165+Z166</f>
        <v>0</v>
      </c>
      <c r="AC166" s="1260"/>
      <c r="AD166" s="1259">
        <f>AD165+AB166</f>
        <v>0</v>
      </c>
      <c r="AE166" s="1260"/>
      <c r="AF166" s="1259">
        <f>AF165+AD166</f>
        <v>0</v>
      </c>
      <c r="AG166" s="1260"/>
      <c r="AH166" s="1259">
        <f>AH165+AF166</f>
        <v>0</v>
      </c>
      <c r="AI166" s="1260"/>
      <c r="AJ166" s="1259">
        <f>AJ165+AH166</f>
        <v>0</v>
      </c>
      <c r="AK166" s="1260"/>
      <c r="AL166" s="1259">
        <f>AL165+AJ166</f>
        <v>0</v>
      </c>
      <c r="AM166" s="1260"/>
      <c r="AN166" s="1259">
        <f>AN165+AL166</f>
        <v>0</v>
      </c>
      <c r="AO166" s="1260"/>
      <c r="AP166" s="1259">
        <f>AP165+AN166</f>
        <v>0</v>
      </c>
      <c r="AQ166" s="1260"/>
      <c r="AR166" s="1259">
        <f>AR165+AP166</f>
        <v>0</v>
      </c>
      <c r="AS166" s="1260"/>
      <c r="AT166" s="1259">
        <f>AT165+AR166</f>
        <v>0</v>
      </c>
      <c r="AU166" s="1260"/>
      <c r="AV166" s="1259">
        <f>AV165+AT166</f>
        <v>0</v>
      </c>
      <c r="AW166" s="1260"/>
      <c r="AX166" s="1259">
        <f>AX165+AV166</f>
        <v>0</v>
      </c>
      <c r="AY166" s="1260"/>
      <c r="AZ166" s="1259">
        <f>AZ165+AX166</f>
        <v>0</v>
      </c>
      <c r="BA166" s="1260"/>
      <c r="BB166" s="1259">
        <f>BB165+AZ166</f>
        <v>0</v>
      </c>
      <c r="BC166" s="1260"/>
      <c r="BD166" s="1259">
        <f>BD165+BB166</f>
        <v>0</v>
      </c>
      <c r="BE166" s="1260"/>
      <c r="BF166" s="1259">
        <f>BF165+BD166</f>
        <v>0</v>
      </c>
      <c r="BG166" s="1260"/>
      <c r="BH166" s="1259">
        <f>BH165+BF166</f>
        <v>0</v>
      </c>
      <c r="BI166" s="1260"/>
      <c r="BJ166" s="1259">
        <f>BJ165+BH166</f>
        <v>0</v>
      </c>
      <c r="BK166" s="1260"/>
      <c r="BL166" s="1259">
        <f>BL165+BJ166</f>
        <v>0</v>
      </c>
      <c r="BM166" s="1260"/>
      <c r="BN166" s="1259">
        <f>BN165+BL166</f>
        <v>0</v>
      </c>
      <c r="BO166" s="1260"/>
      <c r="BP166" s="1259">
        <f>BP165+BN166</f>
        <v>0</v>
      </c>
      <c r="BQ166" s="1260"/>
      <c r="BR166" s="1259">
        <f>BR165+BP166</f>
        <v>0</v>
      </c>
      <c r="BS166" s="1260"/>
      <c r="BT166" s="1259">
        <f>BT165+BR166</f>
        <v>0</v>
      </c>
      <c r="BU166" s="1260"/>
      <c r="BV166" s="1259">
        <f>BV165+BT166</f>
        <v>0</v>
      </c>
      <c r="BW166" s="1260"/>
      <c r="BX166" s="1259">
        <f>BX165+BV166</f>
        <v>0</v>
      </c>
      <c r="BY166" s="1260"/>
      <c r="BZ166" s="1259">
        <f>BZ165+BX166</f>
        <v>0</v>
      </c>
      <c r="CA166" s="1260"/>
      <c r="CB166" s="1259">
        <f>CB165+BZ166</f>
        <v>0</v>
      </c>
      <c r="CC166" s="1260"/>
      <c r="CD166" s="1259">
        <f>CD165+CB166</f>
        <v>0</v>
      </c>
      <c r="CE166" s="1260"/>
      <c r="CF166" s="1259">
        <f>CF165+CD166</f>
        <v>0</v>
      </c>
      <c r="CG166" s="1260"/>
      <c r="CH166" s="1259">
        <f>CH165+CF166</f>
        <v>0</v>
      </c>
      <c r="CI166" s="1260"/>
      <c r="CJ166" s="1259">
        <f>CJ165+CH166</f>
        <v>0</v>
      </c>
      <c r="CK166" s="1260"/>
      <c r="CL166" s="1259">
        <f>CL165+CJ166</f>
        <v>0</v>
      </c>
      <c r="CM166" s="1260"/>
      <c r="CN166" s="1259">
        <f>CN165+CL166</f>
        <v>0</v>
      </c>
      <c r="CO166" s="1260"/>
      <c r="CP166" s="1259">
        <f>CP165+CN166</f>
        <v>0</v>
      </c>
      <c r="CQ166" s="1260"/>
      <c r="CR166" s="1259">
        <f>CR165+CP166</f>
        <v>0</v>
      </c>
      <c r="CS166" s="1260"/>
      <c r="CT166" s="1259">
        <f>CT165+CR166</f>
        <v>0</v>
      </c>
      <c r="CU166" s="1260"/>
      <c r="CV166" s="1259">
        <f>CV165+CT166</f>
        <v>0</v>
      </c>
      <c r="CW166" s="1260"/>
      <c r="CX166" s="1259">
        <f>CX165+CV166</f>
        <v>0</v>
      </c>
      <c r="CY166" s="1260"/>
      <c r="CZ166" s="1259">
        <f>CZ165+CX166</f>
        <v>0</v>
      </c>
      <c r="DA166" s="1260"/>
      <c r="DB166" s="1259">
        <f>DB165+CZ166</f>
        <v>0</v>
      </c>
      <c r="DC166" s="1260"/>
      <c r="DD166" s="1259">
        <f>DD165+DB166</f>
        <v>0</v>
      </c>
      <c r="DE166" s="1260"/>
      <c r="DF166" s="1259">
        <f>DF165+DD166</f>
        <v>0</v>
      </c>
      <c r="DG166" s="1260"/>
      <c r="DH166" s="1259">
        <f>DH165+DF166</f>
        <v>0</v>
      </c>
      <c r="DI166" s="1260"/>
      <c r="DJ166" s="1261">
        <f>DJ165+DH166</f>
        <v>0</v>
      </c>
      <c r="DK166" s="1262"/>
      <c r="DL166" s="1259">
        <f>DL165+DJ166</f>
        <v>0</v>
      </c>
      <c r="DM166" s="1260"/>
      <c r="DN166" s="1259">
        <f>DN165+DL166</f>
        <v>0</v>
      </c>
      <c r="DO166" s="1260"/>
      <c r="DP166" s="1259">
        <f>DP165+DN166</f>
        <v>0</v>
      </c>
      <c r="DQ166" s="1260"/>
      <c r="DR166" s="1259">
        <f>DR165+DP166</f>
        <v>0</v>
      </c>
      <c r="DS166" s="1260"/>
      <c r="DT166" s="1259">
        <f>DT165+DR166</f>
        <v>0</v>
      </c>
      <c r="DU166" s="1260"/>
      <c r="DV166" s="1259">
        <f>DV165+DT166</f>
        <v>0</v>
      </c>
      <c r="DW166" s="1260"/>
      <c r="DX166" s="1259">
        <f>DX165+DV166</f>
        <v>0</v>
      </c>
      <c r="DY166" s="1260"/>
      <c r="DZ166" s="1259">
        <f>DZ165+DX166</f>
        <v>0</v>
      </c>
      <c r="EA166" s="1260"/>
      <c r="EB166" s="1259">
        <f>EB165+DZ166</f>
        <v>0</v>
      </c>
      <c r="EC166" s="1260"/>
      <c r="ED166" s="1259">
        <f>ED165+EB166</f>
        <v>0</v>
      </c>
      <c r="EE166" s="1260"/>
      <c r="EF166" s="1259">
        <f>EF165+ED166</f>
        <v>0</v>
      </c>
      <c r="EG166" s="1260"/>
      <c r="EH166" s="1259">
        <f>EH165+EF166</f>
        <v>0</v>
      </c>
      <c r="EI166" s="1260"/>
      <c r="EJ166" s="1259">
        <f>EJ165+EH166</f>
        <v>0</v>
      </c>
      <c r="EK166" s="1260"/>
      <c r="EL166" s="1259">
        <f>EL165+EJ166</f>
        <v>0</v>
      </c>
      <c r="EM166" s="1260"/>
      <c r="EN166" s="1259">
        <f>EN165+EL166</f>
        <v>0</v>
      </c>
      <c r="EO166" s="1260"/>
      <c r="EP166" s="1259">
        <f>EP165+EN166</f>
        <v>0</v>
      </c>
      <c r="EQ166" s="1260"/>
      <c r="ER166" s="1259">
        <f>ER165+EP166</f>
        <v>0</v>
      </c>
      <c r="ES166" s="1260"/>
      <c r="ET166" s="1259">
        <f>ET165+ER166</f>
        <v>0</v>
      </c>
      <c r="EU166" s="1260"/>
      <c r="EV166" s="1259">
        <f>EV165+ET166</f>
        <v>0</v>
      </c>
      <c r="EW166" s="1260"/>
      <c r="EX166" s="1259">
        <f>EX165+EV166</f>
        <v>0</v>
      </c>
      <c r="EY166" s="1260"/>
      <c r="EZ166" s="1259">
        <f>EZ165+EX166</f>
        <v>0</v>
      </c>
      <c r="FA166" s="1260"/>
      <c r="FB166" s="1259">
        <f>FB165+EZ166</f>
        <v>0</v>
      </c>
      <c r="FC166" s="1260"/>
      <c r="FD166" s="1259">
        <f>FD165+FB166</f>
        <v>0</v>
      </c>
      <c r="FE166" s="1260"/>
      <c r="FF166" s="1259">
        <f>FF165+FD166</f>
        <v>0</v>
      </c>
      <c r="FG166" s="1260"/>
      <c r="FH166" s="1259">
        <f>FH165+FF166</f>
        <v>0</v>
      </c>
      <c r="FI166" s="1260"/>
      <c r="FJ166" s="1259">
        <f>FJ165+FH166</f>
        <v>0</v>
      </c>
      <c r="FK166" s="1260"/>
      <c r="FL166" s="1259">
        <f>FL165+FJ166</f>
        <v>0</v>
      </c>
      <c r="FM166" s="1260"/>
      <c r="FN166" s="1259">
        <f>FN165+FL166</f>
        <v>0</v>
      </c>
      <c r="FO166" s="1260"/>
      <c r="FP166" s="1259">
        <f>FP165+FN166</f>
        <v>0</v>
      </c>
      <c r="FQ166" s="1260"/>
      <c r="FR166" s="1259">
        <f>FR165+FP166</f>
        <v>0</v>
      </c>
      <c r="FS166" s="1260"/>
      <c r="FT166" s="1259">
        <f>FT165+FR166</f>
        <v>0</v>
      </c>
      <c r="FU166" s="1260"/>
      <c r="FV166" s="1259">
        <f>FV165+FT166</f>
        <v>0</v>
      </c>
      <c r="FW166" s="1260"/>
      <c r="FX166" s="1259">
        <f>FX165+FV166</f>
        <v>0</v>
      </c>
      <c r="FY166" s="1260"/>
      <c r="FZ166" s="1259">
        <f>FZ165+FX166</f>
        <v>0</v>
      </c>
      <c r="GA166" s="1260"/>
      <c r="GB166" s="1259">
        <f>GB165+FZ166</f>
        <v>0</v>
      </c>
      <c r="GC166" s="1260"/>
      <c r="GD166" s="1259">
        <f>GD165+GB166</f>
        <v>0</v>
      </c>
      <c r="GE166" s="1260"/>
      <c r="GF166" s="1259">
        <f>GF165+GD166</f>
        <v>0</v>
      </c>
      <c r="GG166" s="1260"/>
      <c r="GH166" s="1259">
        <f>GH165+GF166</f>
        <v>0</v>
      </c>
      <c r="GI166" s="1260"/>
      <c r="GJ166" s="1259">
        <f>GJ165+GH166</f>
        <v>0</v>
      </c>
      <c r="GK166" s="1260"/>
      <c r="GL166" s="1259">
        <f>GL165+GJ166</f>
        <v>0</v>
      </c>
      <c r="GM166" s="1260"/>
      <c r="GN166" s="1259">
        <f>GN165+GL166</f>
        <v>0</v>
      </c>
      <c r="GO166" s="1260"/>
      <c r="GP166" s="1259">
        <f>GP165+GN166</f>
        <v>0</v>
      </c>
      <c r="GQ166" s="1260"/>
      <c r="GR166" s="1259">
        <f>GR165+GP166</f>
        <v>0</v>
      </c>
      <c r="GS166" s="1260"/>
      <c r="GT166" s="1259">
        <f>GT165+GR166</f>
        <v>0</v>
      </c>
      <c r="GU166" s="1260"/>
      <c r="GV166" s="1259">
        <f>GV165+GT166</f>
        <v>0</v>
      </c>
      <c r="GW166" s="1260"/>
      <c r="GX166" s="1259">
        <f>GX165+GV166</f>
        <v>0</v>
      </c>
      <c r="GY166" s="1260"/>
      <c r="GZ166" s="1259">
        <f>GZ165+GX166</f>
        <v>0</v>
      </c>
      <c r="HA166" s="1260"/>
      <c r="HB166" s="1259">
        <f>HB165+GZ166</f>
        <v>0</v>
      </c>
      <c r="HC166" s="1260"/>
      <c r="HD166" s="1259">
        <f>HD165+HB166</f>
        <v>0</v>
      </c>
      <c r="HE166" s="1260"/>
      <c r="HF166" s="1259">
        <f>HF165+HD166</f>
        <v>0</v>
      </c>
      <c r="HG166" s="1260"/>
      <c r="HH166" s="1259">
        <f>HH165+HF166</f>
        <v>0</v>
      </c>
      <c r="HI166" s="1260"/>
      <c r="HJ166" s="1259">
        <f>HJ165+HH166</f>
        <v>0</v>
      </c>
      <c r="HK166" s="1260"/>
    </row>
    <row r="167" spans="1:219" s="21" customFormat="1" hidden="1">
      <c r="A167" s="1299"/>
      <c r="B167" s="1300"/>
      <c r="C167" s="1299"/>
      <c r="D167" s="1301"/>
      <c r="E167" s="1301"/>
      <c r="F167" s="1302"/>
      <c r="G167" s="1301"/>
      <c r="H167" s="792"/>
      <c r="I167" s="1303"/>
      <c r="J167" s="1304"/>
      <c r="K167" s="793" t="s">
        <v>297</v>
      </c>
      <c r="L167" s="1270" t="e">
        <f>IF($E161&gt;0,L164/$E161,"-")</f>
        <v>#N/A</v>
      </c>
      <c r="M167" s="1271"/>
      <c r="N167" s="1270" t="e">
        <f>IF($E161&gt;0,N164/$E161,"-")</f>
        <v>#N/A</v>
      </c>
      <c r="O167" s="1271"/>
      <c r="P167" s="1270" t="e">
        <f>IF($E161&gt;0,P164/$E161,"-")</f>
        <v>#N/A</v>
      </c>
      <c r="Q167" s="1271"/>
      <c r="R167" s="1270" t="e">
        <f>IF($E161&gt;0,R164/$E161,"-")</f>
        <v>#N/A</v>
      </c>
      <c r="S167" s="1271"/>
      <c r="T167" s="1270" t="e">
        <f>IF($E161&gt;0,T164/$E161,"-")</f>
        <v>#N/A</v>
      </c>
      <c r="U167" s="1271"/>
      <c r="V167" s="1270" t="e">
        <f>IF($E161&gt;0,V164/$E161,"-")</f>
        <v>#N/A</v>
      </c>
      <c r="W167" s="1271"/>
      <c r="X167" s="1270" t="e">
        <f>IF($E161&gt;0,X164/$E161,"-")</f>
        <v>#N/A</v>
      </c>
      <c r="Y167" s="1271"/>
      <c r="Z167" s="1270" t="e">
        <f>IF($E161&gt;0,Z164/$E161,"-")</f>
        <v>#N/A</v>
      </c>
      <c r="AA167" s="1271"/>
      <c r="AB167" s="1270" t="e">
        <f>IF($E161&gt;0,AB164/$E161,"-")</f>
        <v>#N/A</v>
      </c>
      <c r="AC167" s="1271"/>
      <c r="AD167" s="1270" t="e">
        <f>IF($E161&gt;0,AD164/$E161,"-")</f>
        <v>#N/A</v>
      </c>
      <c r="AE167" s="1271"/>
      <c r="AF167" s="1270" t="e">
        <f>IF($E161&gt;0,AF164/$E161,"-")</f>
        <v>#N/A</v>
      </c>
      <c r="AG167" s="1271"/>
      <c r="AH167" s="1270" t="e">
        <f>IF($E161&gt;0,AH164/$E161,"-")</f>
        <v>#N/A</v>
      </c>
      <c r="AI167" s="1271"/>
      <c r="AJ167" s="1270" t="e">
        <f>IF($E161&gt;0,AJ164/$E161,"-")</f>
        <v>#N/A</v>
      </c>
      <c r="AK167" s="1271"/>
      <c r="AL167" s="1270" t="e">
        <f>IF($E161&gt;0,AL164/$E161,"-")</f>
        <v>#N/A</v>
      </c>
      <c r="AM167" s="1271"/>
      <c r="AN167" s="1270" t="e">
        <f>IF($E161&gt;0,AN164/$E161,"-")</f>
        <v>#N/A</v>
      </c>
      <c r="AO167" s="1271"/>
      <c r="AP167" s="1270" t="e">
        <f>IF($E161&gt;0,AP164/$E161,"-")</f>
        <v>#N/A</v>
      </c>
      <c r="AQ167" s="1271"/>
      <c r="AR167" s="1270" t="e">
        <f>IF($E161&gt;0,AR164/$E161,"-")</f>
        <v>#N/A</v>
      </c>
      <c r="AS167" s="1271"/>
      <c r="AT167" s="1270" t="e">
        <f>IF($E161&gt;0,AT164/$E161,"-")</f>
        <v>#N/A</v>
      </c>
      <c r="AU167" s="1271"/>
      <c r="AV167" s="1270" t="e">
        <f>IF($E161&gt;0,AV164/$E161,"-")</f>
        <v>#N/A</v>
      </c>
      <c r="AW167" s="1271"/>
      <c r="AX167" s="1270" t="e">
        <f>IF($E161&gt;0,AX164/$E161,"-")</f>
        <v>#N/A</v>
      </c>
      <c r="AY167" s="1271"/>
      <c r="AZ167" s="1270" t="e">
        <f>IF($E161&gt;0,AZ164/$E161,"-")</f>
        <v>#N/A</v>
      </c>
      <c r="BA167" s="1271"/>
      <c r="BB167" s="1270" t="e">
        <f>IF($E161&gt;0,BB164/$E161,"-")</f>
        <v>#N/A</v>
      </c>
      <c r="BC167" s="1271"/>
      <c r="BD167" s="1270" t="e">
        <f>IF($E161&gt;0,BD164/$E161,"-")</f>
        <v>#N/A</v>
      </c>
      <c r="BE167" s="1271"/>
      <c r="BF167" s="1270" t="e">
        <f>IF($E161&gt;0,BF164/$E161,"-")</f>
        <v>#N/A</v>
      </c>
      <c r="BG167" s="1271"/>
      <c r="BH167" s="1270" t="e">
        <f>IF($E161&gt;0,BH164/$E161,"-")</f>
        <v>#N/A</v>
      </c>
      <c r="BI167" s="1271"/>
      <c r="BJ167" s="1270" t="e">
        <f>IF($E161&gt;0,BJ164/$E161,"-")</f>
        <v>#N/A</v>
      </c>
      <c r="BK167" s="1271"/>
      <c r="BL167" s="1270" t="e">
        <f>IF($E161&gt;0,BL164/$E161,"-")</f>
        <v>#N/A</v>
      </c>
      <c r="BM167" s="1271"/>
      <c r="BN167" s="1270" t="e">
        <f>IF($E161&gt;0,BN164/$E161,"-")</f>
        <v>#N/A</v>
      </c>
      <c r="BO167" s="1271"/>
      <c r="BP167" s="1270" t="e">
        <f>IF($E161&gt;0,BP164/$E161,"-")</f>
        <v>#N/A</v>
      </c>
      <c r="BQ167" s="1271"/>
      <c r="BR167" s="1270" t="e">
        <f>IF($E161&gt;0,BR164/$E161,"-")</f>
        <v>#N/A</v>
      </c>
      <c r="BS167" s="1271"/>
      <c r="BT167" s="1270" t="e">
        <f>IF($E161&gt;0,BT164/$E161,"-")</f>
        <v>#N/A</v>
      </c>
      <c r="BU167" s="1271"/>
      <c r="BV167" s="1270" t="e">
        <f>IF($E161&gt;0,BV164/$E161,"-")</f>
        <v>#N/A</v>
      </c>
      <c r="BW167" s="1271"/>
      <c r="BX167" s="1270" t="e">
        <f>IF($E161&gt;0,BX164/$E161,"-")</f>
        <v>#N/A</v>
      </c>
      <c r="BY167" s="1271"/>
      <c r="BZ167" s="1270" t="e">
        <f>IF($E161&gt;0,BZ164/$E161,"-")</f>
        <v>#N/A</v>
      </c>
      <c r="CA167" s="1271"/>
      <c r="CB167" s="1270" t="e">
        <f>IF($E161&gt;0,CB164/$E161,"-")</f>
        <v>#N/A</v>
      </c>
      <c r="CC167" s="1271"/>
      <c r="CD167" s="1270" t="e">
        <f>IF($E161&gt;0,CD164/$E161,"-")</f>
        <v>#N/A</v>
      </c>
      <c r="CE167" s="1271"/>
      <c r="CF167" s="1270" t="e">
        <f>IF($E161&gt;0,CF164/$E161,"-")</f>
        <v>#N/A</v>
      </c>
      <c r="CG167" s="1271"/>
      <c r="CH167" s="1270" t="e">
        <f>IF($E161&gt;0,CH164/$E161,"-")</f>
        <v>#N/A</v>
      </c>
      <c r="CI167" s="1271"/>
      <c r="CJ167" s="1270" t="e">
        <f>IF($E161&gt;0,CJ164/$E161,"-")</f>
        <v>#N/A</v>
      </c>
      <c r="CK167" s="1271"/>
      <c r="CL167" s="1270" t="e">
        <f>IF($E161&gt;0,CL164/$E161,"-")</f>
        <v>#N/A</v>
      </c>
      <c r="CM167" s="1271"/>
      <c r="CN167" s="1270" t="e">
        <f>IF($E161&gt;0,CN164/$E161,"-")</f>
        <v>#N/A</v>
      </c>
      <c r="CO167" s="1271"/>
      <c r="CP167" s="1270" t="e">
        <f>IF($E161&gt;0,CP164/$E161,"-")</f>
        <v>#N/A</v>
      </c>
      <c r="CQ167" s="1271"/>
      <c r="CR167" s="1270" t="e">
        <f>IF($E161&gt;0,CR164/$E161,"-")</f>
        <v>#N/A</v>
      </c>
      <c r="CS167" s="1271"/>
      <c r="CT167" s="1270" t="e">
        <f>IF($E161&gt;0,CT164/$E161,"-")</f>
        <v>#N/A</v>
      </c>
      <c r="CU167" s="1271"/>
      <c r="CV167" s="1270" t="e">
        <f>IF($E161&gt;0,CV164/$E161,"-")</f>
        <v>#N/A</v>
      </c>
      <c r="CW167" s="1271"/>
      <c r="CX167" s="1270" t="e">
        <f>IF($E161&gt;0,CX164/$E161,"-")</f>
        <v>#N/A</v>
      </c>
      <c r="CY167" s="1271"/>
      <c r="CZ167" s="1270" t="e">
        <f>IF($E161&gt;0,CZ164/$E161,"-")</f>
        <v>#N/A</v>
      </c>
      <c r="DA167" s="1271"/>
      <c r="DB167" s="1270" t="e">
        <f>IF($E161&gt;0,DB164/$E161,"-")</f>
        <v>#N/A</v>
      </c>
      <c r="DC167" s="1271"/>
      <c r="DD167" s="1270" t="e">
        <f>IF($E161&gt;0,DD164/$E161,"-")</f>
        <v>#N/A</v>
      </c>
      <c r="DE167" s="1271"/>
      <c r="DF167" s="1270" t="e">
        <f>IF($E161&gt;0,DF164/$E161,"-")</f>
        <v>#N/A</v>
      </c>
      <c r="DG167" s="1271"/>
      <c r="DH167" s="1270" t="e">
        <f>IF($E161&gt;0,DH164/$E161,"-")</f>
        <v>#N/A</v>
      </c>
      <c r="DI167" s="1271"/>
      <c r="DJ167" s="1325" t="e">
        <f>IF($E161&gt;0,DJ164/$E161,"-")</f>
        <v>#N/A</v>
      </c>
      <c r="DK167" s="1326"/>
      <c r="DL167" s="1270" t="e">
        <f>IF($E161&gt;0,DL164/$E161,"-")</f>
        <v>#N/A</v>
      </c>
      <c r="DM167" s="1271"/>
      <c r="DN167" s="1270" t="e">
        <f>IF($E161&gt;0,DN164/$E161,"-")</f>
        <v>#N/A</v>
      </c>
      <c r="DO167" s="1271"/>
      <c r="DP167" s="1270" t="e">
        <f>IF($E161&gt;0,DP164/$E161,"-")</f>
        <v>#N/A</v>
      </c>
      <c r="DQ167" s="1271"/>
      <c r="DR167" s="1270" t="e">
        <f>IF($E161&gt;0,DR164/$E161,"-")</f>
        <v>#N/A</v>
      </c>
      <c r="DS167" s="1271"/>
      <c r="DT167" s="1270" t="e">
        <f>IF($E161&gt;0,DT164/$E161,"-")</f>
        <v>#N/A</v>
      </c>
      <c r="DU167" s="1271"/>
      <c r="DV167" s="1270" t="e">
        <f>IF($E161&gt;0,DV164/$E161,"-")</f>
        <v>#N/A</v>
      </c>
      <c r="DW167" s="1271"/>
      <c r="DX167" s="1270" t="e">
        <f>IF($E161&gt;0,DX164/$E161,"-")</f>
        <v>#N/A</v>
      </c>
      <c r="DY167" s="1271"/>
      <c r="DZ167" s="1270" t="e">
        <f>IF($E161&gt;0,DZ164/$E161,"-")</f>
        <v>#N/A</v>
      </c>
      <c r="EA167" s="1271"/>
      <c r="EB167" s="1270" t="e">
        <f>IF($E161&gt;0,EB164/$E161,"-")</f>
        <v>#N/A</v>
      </c>
      <c r="EC167" s="1271"/>
      <c r="ED167" s="1270" t="e">
        <f>IF($E161&gt;0,ED164/$E161,"-")</f>
        <v>#N/A</v>
      </c>
      <c r="EE167" s="1271"/>
      <c r="EF167" s="1270" t="e">
        <f>IF($E161&gt;0,EF164/$E161,"-")</f>
        <v>#N/A</v>
      </c>
      <c r="EG167" s="1271"/>
      <c r="EH167" s="1270" t="e">
        <f>IF($E161&gt;0,EH164/$E161,"-")</f>
        <v>#N/A</v>
      </c>
      <c r="EI167" s="1271"/>
      <c r="EJ167" s="1270" t="e">
        <f>IF($E161&gt;0,EJ164/$E161,"-")</f>
        <v>#N/A</v>
      </c>
      <c r="EK167" s="1271"/>
      <c r="EL167" s="1270" t="e">
        <f>IF($E161&gt;0,EL164/$E161,"-")</f>
        <v>#N/A</v>
      </c>
      <c r="EM167" s="1271"/>
      <c r="EN167" s="1270" t="e">
        <f>IF($E161&gt;0,EN164/$E161,"-")</f>
        <v>#N/A</v>
      </c>
      <c r="EO167" s="1271"/>
      <c r="EP167" s="1270" t="e">
        <f>IF($E161&gt;0,EP164/$E161,"-")</f>
        <v>#N/A</v>
      </c>
      <c r="EQ167" s="1271"/>
      <c r="ER167" s="1270" t="e">
        <f>IF($E161&gt;0,ER164/$E161,"-")</f>
        <v>#N/A</v>
      </c>
      <c r="ES167" s="1271"/>
      <c r="ET167" s="1270" t="e">
        <f>IF($E161&gt;0,ET164/$E161,"-")</f>
        <v>#N/A</v>
      </c>
      <c r="EU167" s="1271"/>
      <c r="EV167" s="1270" t="e">
        <f>IF($E161&gt;0,EV164/$E161,"-")</f>
        <v>#N/A</v>
      </c>
      <c r="EW167" s="1271"/>
      <c r="EX167" s="1270" t="e">
        <f>IF($E161&gt;0,EX164/$E161,"-")</f>
        <v>#N/A</v>
      </c>
      <c r="EY167" s="1271"/>
      <c r="EZ167" s="1270" t="e">
        <f>IF($E161&gt;0,EZ164/$E161,"-")</f>
        <v>#N/A</v>
      </c>
      <c r="FA167" s="1271"/>
      <c r="FB167" s="1270" t="e">
        <f>IF($E161&gt;0,FB164/$E161,"-")</f>
        <v>#N/A</v>
      </c>
      <c r="FC167" s="1271"/>
      <c r="FD167" s="1270" t="e">
        <f>IF($E161&gt;0,FD164/$E161,"-")</f>
        <v>#N/A</v>
      </c>
      <c r="FE167" s="1271"/>
      <c r="FF167" s="1270" t="e">
        <f>IF($E161&gt;0,FF164/$E161,"-")</f>
        <v>#N/A</v>
      </c>
      <c r="FG167" s="1271"/>
      <c r="FH167" s="1270" t="e">
        <f>IF($E161&gt;0,FH164/$E161,"-")</f>
        <v>#N/A</v>
      </c>
      <c r="FI167" s="1271"/>
      <c r="FJ167" s="1270" t="e">
        <f>IF($E161&gt;0,FJ164/$E161,"-")</f>
        <v>#N/A</v>
      </c>
      <c r="FK167" s="1271"/>
      <c r="FL167" s="1270" t="e">
        <f>IF($E161&gt;0,FL164/$E161,"-")</f>
        <v>#N/A</v>
      </c>
      <c r="FM167" s="1271"/>
      <c r="FN167" s="1270" t="e">
        <f>IF($E161&gt;0,FN164/$E161,"-")</f>
        <v>#N/A</v>
      </c>
      <c r="FO167" s="1271"/>
      <c r="FP167" s="1270" t="e">
        <f>IF($E161&gt;0,FP164/$E161,"-")</f>
        <v>#N/A</v>
      </c>
      <c r="FQ167" s="1271"/>
      <c r="FR167" s="1270" t="e">
        <f>IF($E161&gt;0,FR164/$E161,"-")</f>
        <v>#N/A</v>
      </c>
      <c r="FS167" s="1271"/>
      <c r="FT167" s="1270" t="e">
        <f>IF($E161&gt;0,FT164/$E161,"-")</f>
        <v>#N/A</v>
      </c>
      <c r="FU167" s="1271"/>
      <c r="FV167" s="1270" t="e">
        <f>IF($E161&gt;0,FV164/$E161,"-")</f>
        <v>#N/A</v>
      </c>
      <c r="FW167" s="1271"/>
      <c r="FX167" s="1270" t="e">
        <f>IF($E161&gt;0,FX164/$E161,"-")</f>
        <v>#N/A</v>
      </c>
      <c r="FY167" s="1271"/>
      <c r="FZ167" s="1270" t="e">
        <f>IF($E161&gt;0,FZ164/$E161,"-")</f>
        <v>#N/A</v>
      </c>
      <c r="GA167" s="1271"/>
      <c r="GB167" s="1270" t="e">
        <f>IF($E161&gt;0,GB164/$E161,"-")</f>
        <v>#N/A</v>
      </c>
      <c r="GC167" s="1271"/>
      <c r="GD167" s="1270" t="e">
        <f>IF($E161&gt;0,GD164/$E161,"-")</f>
        <v>#N/A</v>
      </c>
      <c r="GE167" s="1271"/>
      <c r="GF167" s="1270" t="e">
        <f>IF($E161&gt;0,GF164/$E161,"-")</f>
        <v>#N/A</v>
      </c>
      <c r="GG167" s="1271"/>
      <c r="GH167" s="1270" t="e">
        <f>IF($E161&gt;0,GH164/$E161,"-")</f>
        <v>#N/A</v>
      </c>
      <c r="GI167" s="1271"/>
      <c r="GJ167" s="1270" t="e">
        <f>IF($E161&gt;0,GJ164/$E161,"-")</f>
        <v>#N/A</v>
      </c>
      <c r="GK167" s="1271"/>
      <c r="GL167" s="1270" t="e">
        <f>IF($E161&gt;0,GL164/$E161,"-")</f>
        <v>#N/A</v>
      </c>
      <c r="GM167" s="1271"/>
      <c r="GN167" s="1270" t="e">
        <f>IF($E161&gt;0,GN164/$E161,"-")</f>
        <v>#N/A</v>
      </c>
      <c r="GO167" s="1271"/>
      <c r="GP167" s="1270" t="e">
        <f>IF($E161&gt;0,GP164/$E161,"-")</f>
        <v>#N/A</v>
      </c>
      <c r="GQ167" s="1271"/>
      <c r="GR167" s="1270" t="e">
        <f>IF($E161&gt;0,GR164/$E161,"-")</f>
        <v>#N/A</v>
      </c>
      <c r="GS167" s="1271"/>
      <c r="GT167" s="1270" t="e">
        <f>IF($E161&gt;0,GT164/$E161,"-")</f>
        <v>#N/A</v>
      </c>
      <c r="GU167" s="1271"/>
      <c r="GV167" s="1270" t="e">
        <f>IF($E161&gt;0,GV164/$E161,"-")</f>
        <v>#N/A</v>
      </c>
      <c r="GW167" s="1271"/>
      <c r="GX167" s="1270" t="e">
        <f>IF($E161&gt;0,GX164/$E161,"-")</f>
        <v>#N/A</v>
      </c>
      <c r="GY167" s="1271"/>
      <c r="GZ167" s="1270" t="e">
        <f>IF($E161&gt;0,GZ164/$E161,"-")</f>
        <v>#N/A</v>
      </c>
      <c r="HA167" s="1271"/>
      <c r="HB167" s="1270" t="e">
        <f>IF($E161&gt;0,HB164/$E161,"-")</f>
        <v>#N/A</v>
      </c>
      <c r="HC167" s="1271"/>
      <c r="HD167" s="1270" t="e">
        <f>IF($E161&gt;0,HD164/$E161,"-")</f>
        <v>#N/A</v>
      </c>
      <c r="HE167" s="1271"/>
      <c r="HF167" s="1270" t="e">
        <f>IF($E161&gt;0,HF164/$E161,"-")</f>
        <v>#N/A</v>
      </c>
      <c r="HG167" s="1271"/>
      <c r="HH167" s="1270" t="e">
        <f>IF($E161&gt;0,HH164/$E161,"-")</f>
        <v>#N/A</v>
      </c>
      <c r="HI167" s="1271"/>
      <c r="HJ167" s="1270" t="e">
        <f>IF($E161&gt;0,HJ164/$E161,"-")</f>
        <v>#N/A</v>
      </c>
      <c r="HK167" s="1271"/>
    </row>
    <row r="168" spans="1:219" hidden="1">
      <c r="A168" s="1299"/>
      <c r="B168" s="1300"/>
      <c r="C168" s="1299"/>
      <c r="D168" s="1301"/>
      <c r="E168" s="1301"/>
      <c r="F168" s="1302"/>
      <c r="G168" s="1301"/>
      <c r="H168" s="726"/>
      <c r="I168" s="1303"/>
      <c r="J168" s="1304"/>
      <c r="K168" s="794" t="s">
        <v>298</v>
      </c>
      <c r="L168" s="1294" t="e">
        <f>IF($E161&gt;0,L166/$E161,"-")</f>
        <v>#N/A</v>
      </c>
      <c r="M168" s="1295"/>
      <c r="N168" s="1294" t="e">
        <f>IF($E161&gt;0,N166/$E161,"-")</f>
        <v>#N/A</v>
      </c>
      <c r="O168" s="1295"/>
      <c r="P168" s="1294" t="e">
        <f>IF($E161&gt;0,P166/$E161,"-")</f>
        <v>#N/A</v>
      </c>
      <c r="Q168" s="1295"/>
      <c r="R168" s="1294" t="e">
        <f>IF($E161&gt;0,R166/$E161,"-")</f>
        <v>#N/A</v>
      </c>
      <c r="S168" s="1295"/>
      <c r="T168" s="1294" t="e">
        <f>IF($E161&gt;0,T166/$E161,"-")</f>
        <v>#N/A</v>
      </c>
      <c r="U168" s="1295"/>
      <c r="V168" s="1294" t="e">
        <f>IF($E161&gt;0,V166/$E161,"-")</f>
        <v>#N/A</v>
      </c>
      <c r="W168" s="1295"/>
      <c r="X168" s="1294" t="e">
        <f>IF($E161&gt;0,X166/$E161,"-")</f>
        <v>#N/A</v>
      </c>
      <c r="Y168" s="1295"/>
      <c r="Z168" s="1294" t="e">
        <f>IF($E161&gt;0,Z166/$E161,"-")</f>
        <v>#N/A</v>
      </c>
      <c r="AA168" s="1295"/>
      <c r="AB168" s="1294" t="e">
        <f>IF($E161&gt;0,AB166/$E161,"-")</f>
        <v>#N/A</v>
      </c>
      <c r="AC168" s="1295"/>
      <c r="AD168" s="1294" t="e">
        <f>IF($E161&gt;0,AD166/$E161,"-")</f>
        <v>#N/A</v>
      </c>
      <c r="AE168" s="1295"/>
      <c r="AF168" s="1294" t="e">
        <f>IF($E161&gt;0,AF166/$E161,"-")</f>
        <v>#N/A</v>
      </c>
      <c r="AG168" s="1295"/>
      <c r="AH168" s="1294" t="e">
        <f>IF($E161&gt;0,AH166/$E161,"-")</f>
        <v>#N/A</v>
      </c>
      <c r="AI168" s="1295"/>
      <c r="AJ168" s="1294" t="e">
        <f>IF($E161&gt;0,AJ166/$E161,"-")</f>
        <v>#N/A</v>
      </c>
      <c r="AK168" s="1295"/>
      <c r="AL168" s="1294" t="e">
        <f>IF($E161&gt;0,AL166/$E161,"-")</f>
        <v>#N/A</v>
      </c>
      <c r="AM168" s="1295"/>
      <c r="AN168" s="1294" t="e">
        <f>IF($E161&gt;0,AN166/$E161,"-")</f>
        <v>#N/A</v>
      </c>
      <c r="AO168" s="1295"/>
      <c r="AP168" s="1294" t="e">
        <f>IF($E161&gt;0,AP166/$E161,"-")</f>
        <v>#N/A</v>
      </c>
      <c r="AQ168" s="1295"/>
      <c r="AR168" s="1294" t="e">
        <f>IF($E161&gt;0,AR166/$E161,"-")</f>
        <v>#N/A</v>
      </c>
      <c r="AS168" s="1295"/>
      <c r="AT168" s="1294" t="e">
        <f>IF($E161&gt;0,AT166/$E161,"-")</f>
        <v>#N/A</v>
      </c>
      <c r="AU168" s="1295"/>
      <c r="AV168" s="1294" t="e">
        <f>IF($E161&gt;0,AV166/$E161,"-")</f>
        <v>#N/A</v>
      </c>
      <c r="AW168" s="1295"/>
      <c r="AX168" s="1294" t="e">
        <f>IF($E161&gt;0,AX166/$E161,"-")</f>
        <v>#N/A</v>
      </c>
      <c r="AY168" s="1295"/>
      <c r="AZ168" s="1294" t="e">
        <f>IF($E161&gt;0,AZ166/$E161,"-")</f>
        <v>#N/A</v>
      </c>
      <c r="BA168" s="1295"/>
      <c r="BB168" s="1294" t="e">
        <f>IF($E161&gt;0,BB166/$E161,"-")</f>
        <v>#N/A</v>
      </c>
      <c r="BC168" s="1295"/>
      <c r="BD168" s="1294" t="e">
        <f>IF($E161&gt;0,BD166/$E161,"-")</f>
        <v>#N/A</v>
      </c>
      <c r="BE168" s="1295"/>
      <c r="BF168" s="1294" t="e">
        <f>IF($E161&gt;0,BF166/$E161,"-")</f>
        <v>#N/A</v>
      </c>
      <c r="BG168" s="1295"/>
      <c r="BH168" s="1294" t="e">
        <f>IF($E161&gt;0,BH166/$E161,"-")</f>
        <v>#N/A</v>
      </c>
      <c r="BI168" s="1295"/>
      <c r="BJ168" s="1294" t="e">
        <f>IF($E161&gt;0,BJ166/$E161,"-")</f>
        <v>#N/A</v>
      </c>
      <c r="BK168" s="1295"/>
      <c r="BL168" s="1294" t="e">
        <f>IF($E161&gt;0,BL166/$E161,"-")</f>
        <v>#N/A</v>
      </c>
      <c r="BM168" s="1295"/>
      <c r="BN168" s="1294" t="e">
        <f>IF($E161&gt;0,BN166/$E161,"-")</f>
        <v>#N/A</v>
      </c>
      <c r="BO168" s="1295"/>
      <c r="BP168" s="1294" t="e">
        <f>IF($E161&gt;0,BP166/$E161,"-")</f>
        <v>#N/A</v>
      </c>
      <c r="BQ168" s="1295"/>
      <c r="BR168" s="1253" t="e">
        <f>IF($E161&gt;0,BR166/$E161,"-")</f>
        <v>#N/A</v>
      </c>
      <c r="BS168" s="1253"/>
      <c r="BT168" s="1253" t="e">
        <f>IF($E161&gt;0,BT166/$E161,"-")</f>
        <v>#N/A</v>
      </c>
      <c r="BU168" s="1253"/>
      <c r="BV168" s="1253" t="e">
        <f>IF($E161&gt;0,BV166/$E161,"-")</f>
        <v>#N/A</v>
      </c>
      <c r="BW168" s="1253"/>
      <c r="BX168" s="1253" t="e">
        <f>IF($E161&gt;0,BX166/$E161,"-")</f>
        <v>#N/A</v>
      </c>
      <c r="BY168" s="1253"/>
      <c r="BZ168" s="1253" t="e">
        <f>IF($E161&gt;0,BZ166/$E161,"-")</f>
        <v>#N/A</v>
      </c>
      <c r="CA168" s="1253"/>
      <c r="CB168" s="1253" t="e">
        <f>IF($E161&gt;0,CB166/$E161,"-")</f>
        <v>#N/A</v>
      </c>
      <c r="CC168" s="1253"/>
      <c r="CD168" s="1253" t="e">
        <f>IF($E161&gt;0,CD166/$E161,"-")</f>
        <v>#N/A</v>
      </c>
      <c r="CE168" s="1253"/>
      <c r="CF168" s="1253" t="e">
        <f>IF($E161&gt;0,CF166/$E161,"-")</f>
        <v>#N/A</v>
      </c>
      <c r="CG168" s="1253"/>
      <c r="CH168" s="1253" t="e">
        <f>IF($E161&gt;0,CH166/$E161,"-")</f>
        <v>#N/A</v>
      </c>
      <c r="CI168" s="1253"/>
      <c r="CJ168" s="1253" t="e">
        <f>IF($E161&gt;0,CJ166/$E161,"-")</f>
        <v>#N/A</v>
      </c>
      <c r="CK168" s="1253"/>
      <c r="CL168" s="1253" t="e">
        <f>IF($E161&gt;0,CL166/$E161,"-")</f>
        <v>#N/A</v>
      </c>
      <c r="CM168" s="1253"/>
      <c r="CN168" s="1253" t="e">
        <f>IF($E161&gt;0,CN166/$E161,"-")</f>
        <v>#N/A</v>
      </c>
      <c r="CO168" s="1253"/>
      <c r="CP168" s="1253" t="e">
        <f>IF($E161&gt;0,CP166/$E161,"-")</f>
        <v>#N/A</v>
      </c>
      <c r="CQ168" s="1253"/>
      <c r="CR168" s="1253" t="e">
        <f>IF($E161&gt;0,CR166/$E161,"-")</f>
        <v>#N/A</v>
      </c>
      <c r="CS168" s="1253"/>
      <c r="CT168" s="1253" t="e">
        <f>IF($E161&gt;0,CT166/$E161,"-")</f>
        <v>#N/A</v>
      </c>
      <c r="CU168" s="1253"/>
      <c r="CV168" s="1253" t="e">
        <f>IF($E161&gt;0,CV166/$E161,"-")</f>
        <v>#N/A</v>
      </c>
      <c r="CW168" s="1253"/>
      <c r="CX168" s="1253" t="e">
        <f>IF($E161&gt;0,CX166/$E161,"-")</f>
        <v>#N/A</v>
      </c>
      <c r="CY168" s="1253"/>
      <c r="CZ168" s="1253" t="e">
        <f>IF($E161&gt;0,CZ166/$E161,"-")</f>
        <v>#N/A</v>
      </c>
      <c r="DA168" s="1253"/>
      <c r="DB168" s="1253" t="e">
        <f>IF($E161&gt;0,DB166/$E161,"-")</f>
        <v>#N/A</v>
      </c>
      <c r="DC168" s="1253"/>
      <c r="DD168" s="1253" t="e">
        <f>IF($E161&gt;0,DD166/$E161,"-")</f>
        <v>#N/A</v>
      </c>
      <c r="DE168" s="1253"/>
      <c r="DF168" s="1253" t="e">
        <f>IF($E161&gt;0,DF166/$E161,"-")</f>
        <v>#N/A</v>
      </c>
      <c r="DG168" s="1253"/>
      <c r="DH168" s="1253" t="e">
        <f>IF($E161&gt;0,DH166/$E161,"-")</f>
        <v>#N/A</v>
      </c>
      <c r="DI168" s="1253"/>
      <c r="DJ168" s="1254" t="e">
        <f>IF($E161&gt;0,DJ166/$E161,"-")</f>
        <v>#N/A</v>
      </c>
      <c r="DK168" s="1254"/>
      <c r="DL168" s="1253" t="e">
        <f>IF($E161&gt;0,DL166/$E161,"-")</f>
        <v>#N/A</v>
      </c>
      <c r="DM168" s="1253"/>
      <c r="DN168" s="1253" t="e">
        <f>IF($E161&gt;0,DN166/$E161,"-")</f>
        <v>#N/A</v>
      </c>
      <c r="DO168" s="1253"/>
      <c r="DP168" s="1253" t="e">
        <f>IF($E161&gt;0,DP166/$E161,"-")</f>
        <v>#N/A</v>
      </c>
      <c r="DQ168" s="1253"/>
      <c r="DR168" s="1253" t="e">
        <f>IF($E161&gt;0,DR166/$E161,"-")</f>
        <v>#N/A</v>
      </c>
      <c r="DS168" s="1253"/>
      <c r="DT168" s="1253" t="e">
        <f>IF($E161&gt;0,DT166/$E161,"-")</f>
        <v>#N/A</v>
      </c>
      <c r="DU168" s="1253"/>
      <c r="DV168" s="1253" t="e">
        <f>IF($E161&gt;0,DV166/$E161,"-")</f>
        <v>#N/A</v>
      </c>
      <c r="DW168" s="1253"/>
      <c r="DX168" s="1253" t="e">
        <f>IF($E161&gt;0,DX166/$E161,"-")</f>
        <v>#N/A</v>
      </c>
      <c r="DY168" s="1253"/>
      <c r="DZ168" s="1253" t="e">
        <f>IF($E161&gt;0,DZ166/$E161,"-")</f>
        <v>#N/A</v>
      </c>
      <c r="EA168" s="1253"/>
      <c r="EB168" s="1253" t="e">
        <f>IF($E161&gt;0,EB166/$E161,"-")</f>
        <v>#N/A</v>
      </c>
      <c r="EC168" s="1253"/>
      <c r="ED168" s="1253" t="e">
        <f>IF($E161&gt;0,ED166/$E161,"-")</f>
        <v>#N/A</v>
      </c>
      <c r="EE168" s="1253"/>
      <c r="EF168" s="1253" t="e">
        <f>IF($E161&gt;0,EF166/$E161,"-")</f>
        <v>#N/A</v>
      </c>
      <c r="EG168" s="1253"/>
      <c r="EH168" s="1253" t="e">
        <f>IF($E161&gt;0,EH166/$E161,"-")</f>
        <v>#N/A</v>
      </c>
      <c r="EI168" s="1253"/>
      <c r="EJ168" s="1253" t="e">
        <f>IF($E161&gt;0,EJ166/$E161,"-")</f>
        <v>#N/A</v>
      </c>
      <c r="EK168" s="1253"/>
      <c r="EL168" s="1253" t="e">
        <f>IF($E161&gt;0,EL166/$E161,"-")</f>
        <v>#N/A</v>
      </c>
      <c r="EM168" s="1253"/>
      <c r="EN168" s="1253" t="e">
        <f>IF($E161&gt;0,EN166/$E161,"-")</f>
        <v>#N/A</v>
      </c>
      <c r="EO168" s="1253"/>
      <c r="EP168" s="1253" t="e">
        <f>IF($E161&gt;0,EP166/$E161,"-")</f>
        <v>#N/A</v>
      </c>
      <c r="EQ168" s="1253"/>
      <c r="ER168" s="1253" t="e">
        <f>IF($E161&gt;0,ER166/$E161,"-")</f>
        <v>#N/A</v>
      </c>
      <c r="ES168" s="1253"/>
      <c r="ET168" s="1253" t="e">
        <f>IF($E161&gt;0,ET166/$E161,"-")</f>
        <v>#N/A</v>
      </c>
      <c r="EU168" s="1253"/>
      <c r="EV168" s="1253" t="e">
        <f>IF($E161&gt;0,EV166/$E161,"-")</f>
        <v>#N/A</v>
      </c>
      <c r="EW168" s="1253"/>
      <c r="EX168" s="1253" t="e">
        <f>IF($E161&gt;0,EX166/$E161,"-")</f>
        <v>#N/A</v>
      </c>
      <c r="EY168" s="1253"/>
      <c r="EZ168" s="1253" t="e">
        <f>IF($E161&gt;0,EZ166/$E161,"-")</f>
        <v>#N/A</v>
      </c>
      <c r="FA168" s="1253"/>
      <c r="FB168" s="1253" t="e">
        <f>IF($E161&gt;0,FB166/$E161,"-")</f>
        <v>#N/A</v>
      </c>
      <c r="FC168" s="1253"/>
      <c r="FD168" s="1253" t="e">
        <f>IF($E161&gt;0,FD166/$E161,"-")</f>
        <v>#N/A</v>
      </c>
      <c r="FE168" s="1253"/>
      <c r="FF168" s="1253" t="e">
        <f>IF($E161&gt;0,FF166/$E161,"-")</f>
        <v>#N/A</v>
      </c>
      <c r="FG168" s="1253"/>
      <c r="FH168" s="1253" t="e">
        <f>IF($E161&gt;0,FH166/$E161,"-")</f>
        <v>#N/A</v>
      </c>
      <c r="FI168" s="1253"/>
      <c r="FJ168" s="1253" t="e">
        <f>IF($E161&gt;0,FJ166/$E161,"-")</f>
        <v>#N/A</v>
      </c>
      <c r="FK168" s="1253"/>
      <c r="FL168" s="1253" t="e">
        <f>IF($E161&gt;0,FL166/$E161,"-")</f>
        <v>#N/A</v>
      </c>
      <c r="FM168" s="1253"/>
      <c r="FN168" s="1253" t="e">
        <f>IF($E161&gt;0,FN166/$E161,"-")</f>
        <v>#N/A</v>
      </c>
      <c r="FO168" s="1253"/>
      <c r="FP168" s="1253" t="e">
        <f>IF($E161&gt;0,FP166/$E161,"-")</f>
        <v>#N/A</v>
      </c>
      <c r="FQ168" s="1253"/>
      <c r="FR168" s="1253" t="e">
        <f>IF($E161&gt;0,FR166/$E161,"-")</f>
        <v>#N/A</v>
      </c>
      <c r="FS168" s="1253"/>
      <c r="FT168" s="1253" t="e">
        <f>IF($E161&gt;0,FT166/$E161,"-")</f>
        <v>#N/A</v>
      </c>
      <c r="FU168" s="1253"/>
      <c r="FV168" s="1253" t="e">
        <f>IF($E161&gt;0,FV166/$E161,"-")</f>
        <v>#N/A</v>
      </c>
      <c r="FW168" s="1253"/>
      <c r="FX168" s="1253" t="e">
        <f>IF($E161&gt;0,FX166/$E161,"-")</f>
        <v>#N/A</v>
      </c>
      <c r="FY168" s="1253"/>
      <c r="FZ168" s="1253" t="e">
        <f>IF($E161&gt;0,FZ166/$E161,"-")</f>
        <v>#N/A</v>
      </c>
      <c r="GA168" s="1253"/>
      <c r="GB168" s="1253" t="e">
        <f>IF($E161&gt;0,GB166/$E161,"-")</f>
        <v>#N/A</v>
      </c>
      <c r="GC168" s="1253"/>
      <c r="GD168" s="1253" t="e">
        <f>IF($E161&gt;0,GD166/$E161,"-")</f>
        <v>#N/A</v>
      </c>
      <c r="GE168" s="1253"/>
      <c r="GF168" s="1253" t="e">
        <f>IF($E161&gt;0,GF166/$E161,"-")</f>
        <v>#N/A</v>
      </c>
      <c r="GG168" s="1253"/>
      <c r="GH168" s="1253" t="e">
        <f>IF($E161&gt;0,GH166/$E161,"-")</f>
        <v>#N/A</v>
      </c>
      <c r="GI168" s="1253"/>
      <c r="GJ168" s="1253" t="e">
        <f>IF($E161&gt;0,GJ166/$E161,"-")</f>
        <v>#N/A</v>
      </c>
      <c r="GK168" s="1253"/>
      <c r="GL168" s="1253" t="e">
        <f>IF($E161&gt;0,GL166/$E161,"-")</f>
        <v>#N/A</v>
      </c>
      <c r="GM168" s="1253"/>
      <c r="GN168" s="1253" t="e">
        <f>IF($E161&gt;0,GN166/$E161,"-")</f>
        <v>#N/A</v>
      </c>
      <c r="GO168" s="1253"/>
      <c r="GP168" s="1253" t="e">
        <f>IF($E161&gt;0,GP166/$E161,"-")</f>
        <v>#N/A</v>
      </c>
      <c r="GQ168" s="1253"/>
      <c r="GR168" s="1253" t="e">
        <f>IF($E161&gt;0,GR166/$E161,"-")</f>
        <v>#N/A</v>
      </c>
      <c r="GS168" s="1253"/>
      <c r="GT168" s="1253" t="e">
        <f>IF($E161&gt;0,GT166/$E161,"-")</f>
        <v>#N/A</v>
      </c>
      <c r="GU168" s="1253"/>
      <c r="GV168" s="1253" t="e">
        <f>IF($E161&gt;0,GV166/$E161,"-")</f>
        <v>#N/A</v>
      </c>
      <c r="GW168" s="1253"/>
      <c r="GX168" s="1253" t="e">
        <f>IF($E161&gt;0,GX166/$E161,"-")</f>
        <v>#N/A</v>
      </c>
      <c r="GY168" s="1253"/>
      <c r="GZ168" s="1253" t="e">
        <f>IF($E161&gt;0,GZ166/$E161,"-")</f>
        <v>#N/A</v>
      </c>
      <c r="HA168" s="1253"/>
      <c r="HB168" s="1253" t="e">
        <f>IF($E161&gt;0,HB166/$E161,"-")</f>
        <v>#N/A</v>
      </c>
      <c r="HC168" s="1253"/>
      <c r="HD168" s="1253" t="e">
        <f>IF($E161&gt;0,HD166/$E161,"-")</f>
        <v>#N/A</v>
      </c>
      <c r="HE168" s="1253"/>
      <c r="HF168" s="1253" t="e">
        <f>IF($E161&gt;0,HF166/$E161,"-")</f>
        <v>#N/A</v>
      </c>
      <c r="HG168" s="1253"/>
      <c r="HH168" s="1253" t="e">
        <f>IF($E161&gt;0,HH166/$E161,"-")</f>
        <v>#N/A</v>
      </c>
      <c r="HI168" s="1253"/>
      <c r="HJ168" s="1253" t="e">
        <f>IF($E161&gt;0,HJ166/$E161,"-")</f>
        <v>#N/A</v>
      </c>
      <c r="HK168" s="1253"/>
    </row>
    <row r="169" spans="1:219" s="5" customFormat="1" ht="14.4" hidden="1">
      <c r="A169" s="690"/>
      <c r="B169" s="691"/>
      <c r="C169" s="691"/>
      <c r="D169" s="692"/>
      <c r="E169" s="692"/>
      <c r="F169" s="691"/>
      <c r="G169" s="691"/>
      <c r="H169" s="691"/>
      <c r="I169" s="691"/>
      <c r="J169" s="691"/>
      <c r="K169" s="691"/>
      <c r="L169" s="1274"/>
      <c r="M169" s="1274"/>
      <c r="N169" s="1274"/>
      <c r="O169" s="1274"/>
      <c r="P169" s="1274"/>
      <c r="Q169" s="1274"/>
      <c r="R169" s="1274"/>
      <c r="S169" s="1362"/>
      <c r="T169" s="1276"/>
      <c r="U169" s="1274"/>
      <c r="V169" s="1274"/>
      <c r="W169" s="1274"/>
      <c r="X169" s="1274"/>
      <c r="Y169" s="1274"/>
      <c r="Z169" s="1274"/>
      <c r="AA169" s="1362"/>
      <c r="AB169" s="1276"/>
      <c r="AC169" s="1274"/>
      <c r="AD169" s="1274"/>
      <c r="AE169" s="1274"/>
      <c r="AF169" s="1274"/>
      <c r="AG169" s="1274"/>
      <c r="AH169" s="1274"/>
      <c r="AI169" s="1362"/>
      <c r="AJ169" s="1276"/>
      <c r="AK169" s="1274"/>
      <c r="AL169" s="1274"/>
      <c r="AM169" s="1274"/>
      <c r="AN169" s="1274"/>
      <c r="AO169" s="1274"/>
      <c r="AP169" s="1274"/>
      <c r="AQ169" s="1362"/>
      <c r="AR169" s="1276"/>
      <c r="AS169" s="1274"/>
      <c r="AT169" s="777"/>
      <c r="AU169" s="777"/>
      <c r="AV169" s="777"/>
      <c r="AW169" s="777"/>
      <c r="AX169" s="777"/>
      <c r="AY169" s="778"/>
      <c r="AZ169" s="779"/>
      <c r="BA169" s="777"/>
      <c r="BB169" s="777"/>
      <c r="BC169" s="777"/>
      <c r="BD169" s="777"/>
      <c r="BE169" s="777"/>
      <c r="BF169" s="777"/>
      <c r="BG169" s="778"/>
      <c r="BH169" s="779"/>
      <c r="BI169" s="777"/>
      <c r="BJ169" s="777"/>
      <c r="BK169" s="777"/>
      <c r="BL169" s="777"/>
      <c r="BM169" s="777"/>
      <c r="BN169" s="777"/>
      <c r="BO169" s="778"/>
      <c r="BP169" s="779"/>
      <c r="BQ169" s="777"/>
      <c r="BR169" s="777"/>
      <c r="BS169" s="777"/>
      <c r="BT169" s="777"/>
      <c r="BU169" s="777"/>
      <c r="BV169" s="777"/>
      <c r="BW169" s="778"/>
      <c r="BX169" s="779"/>
      <c r="BY169" s="777"/>
      <c r="BZ169" s="777"/>
      <c r="CA169" s="777"/>
      <c r="CB169" s="777"/>
      <c r="CC169" s="777"/>
      <c r="CD169" s="1274"/>
      <c r="CE169" s="1275"/>
      <c r="CF169" s="1276"/>
      <c r="CG169" s="1277"/>
      <c r="CH169" s="1274"/>
      <c r="CI169" s="1277"/>
      <c r="CJ169" s="1274"/>
      <c r="CK169" s="1277"/>
      <c r="CL169" s="1274"/>
      <c r="CM169" s="1275"/>
      <c r="CN169" s="1276"/>
      <c r="CO169" s="1277"/>
      <c r="CP169" s="1296"/>
      <c r="CQ169" s="1297"/>
      <c r="CR169" s="1296"/>
      <c r="CS169" s="1297"/>
      <c r="CT169" s="780"/>
      <c r="CU169" s="781"/>
      <c r="CV169" s="782"/>
      <c r="CW169" s="780"/>
      <c r="CX169" s="780"/>
      <c r="CY169" s="780"/>
      <c r="CZ169" s="780"/>
      <c r="DA169" s="780"/>
      <c r="DB169" s="780"/>
      <c r="DC169" s="781"/>
      <c r="DD169" s="782"/>
      <c r="DE169" s="780"/>
      <c r="DF169" s="780"/>
      <c r="DG169" s="780"/>
      <c r="DH169" s="780"/>
      <c r="DI169" s="780"/>
      <c r="DJ169" s="783"/>
      <c r="DK169" s="784"/>
      <c r="DL169" s="782"/>
      <c r="DM169" s="780"/>
      <c r="DN169" s="780"/>
      <c r="DO169" s="780"/>
      <c r="DP169" s="780"/>
      <c r="DQ169" s="780"/>
      <c r="DR169" s="780"/>
      <c r="DS169" s="781"/>
      <c r="DT169" s="782"/>
      <c r="DU169" s="780"/>
      <c r="DV169" s="780"/>
      <c r="DW169" s="780"/>
      <c r="DX169" s="780"/>
      <c r="DY169" s="780"/>
      <c r="DZ169" s="780"/>
      <c r="EA169" s="781"/>
      <c r="EB169" s="782"/>
      <c r="EC169" s="780"/>
      <c r="ED169" s="780"/>
      <c r="EE169" s="780"/>
      <c r="EF169" s="780"/>
      <c r="EG169" s="780"/>
      <c r="EH169" s="780"/>
      <c r="EI169" s="781"/>
      <c r="EJ169" s="782"/>
      <c r="EK169" s="780"/>
      <c r="EL169" s="780"/>
      <c r="EM169" s="780"/>
      <c r="EN169" s="780"/>
      <c r="EO169" s="780"/>
      <c r="EP169" s="780"/>
      <c r="EQ169" s="781"/>
      <c r="ER169" s="782"/>
      <c r="ES169" s="780"/>
      <c r="ET169" s="780"/>
      <c r="EU169" s="780"/>
      <c r="EV169" s="780"/>
      <c r="EW169" s="780"/>
      <c r="EX169" s="780"/>
      <c r="EY169" s="781"/>
      <c r="EZ169" s="782"/>
      <c r="FA169" s="780"/>
      <c r="FB169" s="780"/>
      <c r="FC169" s="780"/>
      <c r="FD169" s="780"/>
      <c r="FE169" s="780"/>
      <c r="FF169" s="780"/>
      <c r="FG169" s="781"/>
      <c r="FH169" s="782"/>
      <c r="FI169" s="780"/>
      <c r="FJ169" s="780"/>
      <c r="FK169" s="780"/>
      <c r="FL169" s="780"/>
      <c r="FM169" s="780"/>
      <c r="FN169" s="780"/>
      <c r="FO169" s="781"/>
      <c r="FP169" s="782"/>
      <c r="FQ169" s="780"/>
      <c r="FR169" s="780"/>
      <c r="FS169" s="780"/>
      <c r="FT169" s="780"/>
      <c r="FU169" s="780"/>
      <c r="FV169" s="780"/>
      <c r="FW169" s="781"/>
      <c r="FX169" s="782"/>
      <c r="FY169" s="780"/>
      <c r="FZ169" s="780"/>
      <c r="GA169" s="780"/>
      <c r="GB169" s="780"/>
      <c r="GC169" s="780"/>
      <c r="GD169" s="780"/>
      <c r="GE169" s="781"/>
      <c r="GF169" s="782"/>
      <c r="GG169" s="780"/>
      <c r="GH169" s="780"/>
      <c r="GI169" s="780"/>
      <c r="GJ169" s="780"/>
      <c r="GK169" s="780"/>
      <c r="GL169" s="780"/>
      <c r="GM169" s="781"/>
      <c r="GN169" s="782"/>
      <c r="GO169" s="780"/>
      <c r="GP169" s="780"/>
      <c r="GQ169" s="780"/>
      <c r="GR169" s="780"/>
      <c r="GS169" s="780"/>
      <c r="GT169" s="780"/>
      <c r="GU169" s="781"/>
      <c r="GV169" s="780"/>
      <c r="GW169" s="781"/>
      <c r="GX169" s="780"/>
      <c r="GY169" s="781"/>
      <c r="GZ169" s="780"/>
      <c r="HA169" s="781"/>
      <c r="HB169" s="780"/>
      <c r="HC169" s="781"/>
      <c r="HD169" s="780"/>
      <c r="HE169" s="781"/>
      <c r="HF169" s="780"/>
      <c r="HG169" s="781"/>
      <c r="HH169" s="780"/>
      <c r="HI169" s="781"/>
      <c r="HJ169" s="780"/>
      <c r="HK169" s="781"/>
    </row>
    <row r="176" spans="1:219">
      <c r="BU176" s="3">
        <v>10.632286995515694</v>
      </c>
    </row>
  </sheetData>
  <autoFilter ref="A8:B169" xr:uid="{00000000-0009-0000-0000-000002000000}"/>
  <mergeCells count="15014">
    <mergeCell ref="HJ54:HK54"/>
    <mergeCell ref="HJ55:HK55"/>
    <mergeCell ref="HJ59:HK59"/>
    <mergeCell ref="HJ60:HK60"/>
    <mergeCell ref="HJ61:HK61"/>
    <mergeCell ref="HJ62:HK62"/>
    <mergeCell ref="HJ63:HK63"/>
    <mergeCell ref="HJ64:HK64"/>
    <mergeCell ref="HJ65:HK65"/>
    <mergeCell ref="HJ66:HK66"/>
    <mergeCell ref="HJ68:HK68"/>
    <mergeCell ref="HJ69:HK69"/>
    <mergeCell ref="AP4:AQ4"/>
    <mergeCell ref="HB5:HI5"/>
    <mergeCell ref="HB8:HI8"/>
    <mergeCell ref="HJ165:HK165"/>
    <mergeCell ref="HJ166:HK166"/>
    <mergeCell ref="HJ167:HK167"/>
    <mergeCell ref="HJ168:HK168"/>
    <mergeCell ref="HJ128:HK128"/>
    <mergeCell ref="HJ129:HK129"/>
    <mergeCell ref="HJ130:HK130"/>
    <mergeCell ref="HJ131:HK131"/>
    <mergeCell ref="HJ132:HK132"/>
    <mergeCell ref="HJ134:HK134"/>
    <mergeCell ref="HJ135:HK135"/>
    <mergeCell ref="HJ136:HK136"/>
    <mergeCell ref="HJ137:HK137"/>
    <mergeCell ref="HJ138:HK138"/>
    <mergeCell ref="HJ139:HK139"/>
    <mergeCell ref="HJ140:HK140"/>
    <mergeCell ref="HJ141:HK141"/>
    <mergeCell ref="HJ143:HK143"/>
    <mergeCell ref="HJ144:HK144"/>
    <mergeCell ref="HJ145:HK145"/>
    <mergeCell ref="HJ146:HK146"/>
    <mergeCell ref="HJ147:HK147"/>
    <mergeCell ref="HJ148:HK148"/>
    <mergeCell ref="HJ149:HK149"/>
    <mergeCell ref="HJ150:HK150"/>
    <mergeCell ref="HJ152:HK152"/>
    <mergeCell ref="HJ153:HK153"/>
    <mergeCell ref="HJ154:HK154"/>
    <mergeCell ref="HJ155:HK155"/>
    <mergeCell ref="HJ156:HK156"/>
    <mergeCell ref="HJ157:HK157"/>
    <mergeCell ref="HJ158:HK158"/>
    <mergeCell ref="HJ159:HK159"/>
    <mergeCell ref="HJ161:HK161"/>
    <mergeCell ref="HJ162:HK162"/>
    <mergeCell ref="HJ163:HK163"/>
    <mergeCell ref="HJ164:HK164"/>
    <mergeCell ref="HJ98:HK98"/>
    <mergeCell ref="HJ99:HK99"/>
    <mergeCell ref="HJ100:HK100"/>
    <mergeCell ref="HJ101:HK101"/>
    <mergeCell ref="HJ102:HK102"/>
    <mergeCell ref="HJ103:HK103"/>
    <mergeCell ref="HJ105:HK105"/>
    <mergeCell ref="HJ106:HK106"/>
    <mergeCell ref="HJ107:HK107"/>
    <mergeCell ref="HJ108:HK108"/>
    <mergeCell ref="HJ109:HK109"/>
    <mergeCell ref="HJ110:HK110"/>
    <mergeCell ref="GT8:HA8"/>
    <mergeCell ref="HJ6:HK6"/>
    <mergeCell ref="HJ8:HK8"/>
    <mergeCell ref="HJ19:HK19"/>
    <mergeCell ref="HJ20:HK20"/>
    <mergeCell ref="HJ21:HK21"/>
    <mergeCell ref="HJ22:HK22"/>
    <mergeCell ref="HJ23:HK23"/>
    <mergeCell ref="HJ24:HK24"/>
    <mergeCell ref="HJ25:HK25"/>
    <mergeCell ref="HJ26:HK26"/>
    <mergeCell ref="HJ29:HK29"/>
    <mergeCell ref="HJ30:HK30"/>
    <mergeCell ref="HJ31:HK31"/>
    <mergeCell ref="HJ32:HK32"/>
    <mergeCell ref="HJ33:HK33"/>
    <mergeCell ref="HJ34:HK34"/>
    <mergeCell ref="HJ35:HK35"/>
    <mergeCell ref="HJ36:HK36"/>
    <mergeCell ref="HJ39:HK39"/>
    <mergeCell ref="HJ40:HK40"/>
    <mergeCell ref="HJ41:HK41"/>
    <mergeCell ref="HJ42:HK42"/>
    <mergeCell ref="HJ43:HK43"/>
    <mergeCell ref="HJ44:HK44"/>
    <mergeCell ref="HJ45:HK45"/>
    <mergeCell ref="HJ46:HK46"/>
    <mergeCell ref="HJ48:HK48"/>
    <mergeCell ref="HJ49:HK49"/>
    <mergeCell ref="HJ50:HK50"/>
    <mergeCell ref="HJ51:HK51"/>
    <mergeCell ref="HJ52:HK52"/>
    <mergeCell ref="HJ53:HK53"/>
    <mergeCell ref="GV52:GW52"/>
    <mergeCell ref="GX52:GY52"/>
    <mergeCell ref="GZ52:HA52"/>
    <mergeCell ref="HB52:HC52"/>
    <mergeCell ref="HD52:HE52"/>
    <mergeCell ref="HF52:HG52"/>
    <mergeCell ref="GV53:GW53"/>
    <mergeCell ref="GX53:GY53"/>
    <mergeCell ref="GZ53:HA53"/>
    <mergeCell ref="HB53:HC53"/>
    <mergeCell ref="HD53:HE53"/>
    <mergeCell ref="HF53:HG53"/>
    <mergeCell ref="GV39:GW39"/>
    <mergeCell ref="GX39:GY39"/>
    <mergeCell ref="GZ39:HA39"/>
    <mergeCell ref="HB39:HC39"/>
    <mergeCell ref="HD39:HE39"/>
    <mergeCell ref="HF39:HG39"/>
    <mergeCell ref="GV40:GW40"/>
    <mergeCell ref="GX40:GY40"/>
    <mergeCell ref="GZ40:HA40"/>
    <mergeCell ref="HB40:HC40"/>
    <mergeCell ref="HD40:HE40"/>
    <mergeCell ref="HF40:HG40"/>
    <mergeCell ref="GV41:GW41"/>
    <mergeCell ref="GX41:GY41"/>
    <mergeCell ref="GZ41:HA41"/>
    <mergeCell ref="HB41:HC41"/>
    <mergeCell ref="HD41:HE41"/>
    <mergeCell ref="HF41:HG41"/>
    <mergeCell ref="GV42:GW42"/>
    <mergeCell ref="HJ70:HK70"/>
    <mergeCell ref="HJ71:HK71"/>
    <mergeCell ref="HJ72:HK72"/>
    <mergeCell ref="HJ73:HK73"/>
    <mergeCell ref="HJ74:HK74"/>
    <mergeCell ref="HJ75:HK75"/>
    <mergeCell ref="HH135:HI135"/>
    <mergeCell ref="HH136:HI136"/>
    <mergeCell ref="HH137:HI137"/>
    <mergeCell ref="HH138:HI138"/>
    <mergeCell ref="HH139:HI139"/>
    <mergeCell ref="HH140:HI140"/>
    <mergeCell ref="HH141:HI141"/>
    <mergeCell ref="HH143:HI143"/>
    <mergeCell ref="HH144:HI144"/>
    <mergeCell ref="HH145:HI145"/>
    <mergeCell ref="HH146:HI146"/>
    <mergeCell ref="HH147:HI147"/>
    <mergeCell ref="HH148:HI148"/>
    <mergeCell ref="HH149:HI149"/>
    <mergeCell ref="HH150:HI150"/>
    <mergeCell ref="HH152:HI152"/>
    <mergeCell ref="HH153:HI153"/>
    <mergeCell ref="HH154:HI154"/>
    <mergeCell ref="HH155:HI155"/>
    <mergeCell ref="HH156:HI156"/>
    <mergeCell ref="HH157:HI157"/>
    <mergeCell ref="HH158:HI158"/>
    <mergeCell ref="HH159:HI159"/>
    <mergeCell ref="HH161:HI161"/>
    <mergeCell ref="HH162:HI162"/>
    <mergeCell ref="HH163:HI163"/>
    <mergeCell ref="HH164:HI164"/>
    <mergeCell ref="HJ127:HK127"/>
    <mergeCell ref="HJ78:HK78"/>
    <mergeCell ref="HJ79:HK79"/>
    <mergeCell ref="HJ80:HK80"/>
    <mergeCell ref="HJ81:HK81"/>
    <mergeCell ref="HJ82:HK82"/>
    <mergeCell ref="HJ83:HK83"/>
    <mergeCell ref="HJ84:HK84"/>
    <mergeCell ref="HJ85:HK85"/>
    <mergeCell ref="HJ87:HK87"/>
    <mergeCell ref="HJ88:HK88"/>
    <mergeCell ref="HJ89:HK89"/>
    <mergeCell ref="HJ90:HK90"/>
    <mergeCell ref="HJ91:HK91"/>
    <mergeCell ref="HJ92:HK92"/>
    <mergeCell ref="HJ93:HK93"/>
    <mergeCell ref="HJ94:HK94"/>
    <mergeCell ref="HJ96:HK96"/>
    <mergeCell ref="HJ97:HK97"/>
    <mergeCell ref="HJ111:HK111"/>
    <mergeCell ref="HJ112:HK112"/>
    <mergeCell ref="HJ114:HK114"/>
    <mergeCell ref="HJ115:HK115"/>
    <mergeCell ref="HJ116:HK116"/>
    <mergeCell ref="HJ117:HK117"/>
    <mergeCell ref="HJ118:HK118"/>
    <mergeCell ref="HJ119:HK119"/>
    <mergeCell ref="HJ120:HK120"/>
    <mergeCell ref="HJ121:HK121"/>
    <mergeCell ref="HJ125:HK125"/>
    <mergeCell ref="HJ126:HK126"/>
    <mergeCell ref="HH165:HI165"/>
    <mergeCell ref="HH166:HI166"/>
    <mergeCell ref="HH167:HI167"/>
    <mergeCell ref="HH168:HI168"/>
    <mergeCell ref="HH105:HI105"/>
    <mergeCell ref="HH106:HI106"/>
    <mergeCell ref="HH107:HI107"/>
    <mergeCell ref="HH108:HI108"/>
    <mergeCell ref="HH109:HI109"/>
    <mergeCell ref="HH110:HI110"/>
    <mergeCell ref="HH111:HI111"/>
    <mergeCell ref="HH112:HI112"/>
    <mergeCell ref="HH114:HI114"/>
    <mergeCell ref="HH115:HI115"/>
    <mergeCell ref="HH116:HI116"/>
    <mergeCell ref="HH117:HI117"/>
    <mergeCell ref="HH118:HI118"/>
    <mergeCell ref="HH119:HI119"/>
    <mergeCell ref="HH120:HI120"/>
    <mergeCell ref="HH121:HI121"/>
    <mergeCell ref="HH125:HI125"/>
    <mergeCell ref="HH126:HI126"/>
    <mergeCell ref="HH127:HI127"/>
    <mergeCell ref="HH128:HI128"/>
    <mergeCell ref="HH129:HI129"/>
    <mergeCell ref="HH130:HI130"/>
    <mergeCell ref="HH131:HI131"/>
    <mergeCell ref="HH132:HI132"/>
    <mergeCell ref="HH134:HI134"/>
    <mergeCell ref="HH78:HI78"/>
    <mergeCell ref="HH79:HI79"/>
    <mergeCell ref="HH80:HI80"/>
    <mergeCell ref="HH81:HI81"/>
    <mergeCell ref="HH82:HI82"/>
    <mergeCell ref="HH83:HI83"/>
    <mergeCell ref="HH84:HI84"/>
    <mergeCell ref="HH85:HI85"/>
    <mergeCell ref="HH87:HI87"/>
    <mergeCell ref="HH88:HI88"/>
    <mergeCell ref="HH89:HI89"/>
    <mergeCell ref="HH90:HI90"/>
    <mergeCell ref="HH91:HI91"/>
    <mergeCell ref="HH92:HI92"/>
    <mergeCell ref="HH93:HI93"/>
    <mergeCell ref="HH94:HI94"/>
    <mergeCell ref="HH96:HI96"/>
    <mergeCell ref="HH97:HI97"/>
    <mergeCell ref="HH98:HI98"/>
    <mergeCell ref="HH99:HI99"/>
    <mergeCell ref="HH100:HI100"/>
    <mergeCell ref="HH101:HI101"/>
    <mergeCell ref="HH102:HI102"/>
    <mergeCell ref="HH103:HI103"/>
    <mergeCell ref="HH54:HI54"/>
    <mergeCell ref="HH55:HI55"/>
    <mergeCell ref="HH59:HI59"/>
    <mergeCell ref="HH60:HI60"/>
    <mergeCell ref="HH61:HI61"/>
    <mergeCell ref="HH62:HI62"/>
    <mergeCell ref="HH63:HI63"/>
    <mergeCell ref="HH64:HI64"/>
    <mergeCell ref="HH65:HI65"/>
    <mergeCell ref="HH66:HI66"/>
    <mergeCell ref="HH68:HI68"/>
    <mergeCell ref="HH69:HI69"/>
    <mergeCell ref="HH70:HI70"/>
    <mergeCell ref="HH71:HI71"/>
    <mergeCell ref="HH72:HI72"/>
    <mergeCell ref="HH73:HI73"/>
    <mergeCell ref="HH74:HI74"/>
    <mergeCell ref="HH75:HI75"/>
    <mergeCell ref="GT5:HA5"/>
    <mergeCell ref="HH6:HI6"/>
    <mergeCell ref="HH19:HI19"/>
    <mergeCell ref="HH20:HI20"/>
    <mergeCell ref="HH21:HI21"/>
    <mergeCell ref="HH22:HI22"/>
    <mergeCell ref="HH23:HI23"/>
    <mergeCell ref="HH24:HI24"/>
    <mergeCell ref="HH25:HI25"/>
    <mergeCell ref="HH26:HI26"/>
    <mergeCell ref="HH29:HI29"/>
    <mergeCell ref="HH30:HI30"/>
    <mergeCell ref="HH31:HI31"/>
    <mergeCell ref="HH32:HI32"/>
    <mergeCell ref="HH33:HI33"/>
    <mergeCell ref="HH34:HI34"/>
    <mergeCell ref="HH35:HI35"/>
    <mergeCell ref="HH36:HI36"/>
    <mergeCell ref="HH39:HI39"/>
    <mergeCell ref="HH40:HI40"/>
    <mergeCell ref="HH41:HI41"/>
    <mergeCell ref="HH42:HI42"/>
    <mergeCell ref="HH43:HI43"/>
    <mergeCell ref="HH44:HI44"/>
    <mergeCell ref="HH45:HI45"/>
    <mergeCell ref="HH46:HI46"/>
    <mergeCell ref="HH48:HI48"/>
    <mergeCell ref="HH49:HI49"/>
    <mergeCell ref="HH50:HI50"/>
    <mergeCell ref="HH51:HI51"/>
    <mergeCell ref="HH52:HI52"/>
    <mergeCell ref="HH53:HI53"/>
    <mergeCell ref="GV65:GW65"/>
    <mergeCell ref="GX65:GY65"/>
    <mergeCell ref="GZ65:HA65"/>
    <mergeCell ref="HB65:HC65"/>
    <mergeCell ref="HD65:HE65"/>
    <mergeCell ref="HF65:HG65"/>
    <mergeCell ref="GV66:GW66"/>
    <mergeCell ref="GX66:GY66"/>
    <mergeCell ref="GZ66:HA66"/>
    <mergeCell ref="HB66:HC66"/>
    <mergeCell ref="HD66:HE66"/>
    <mergeCell ref="HF66:HG66"/>
    <mergeCell ref="GV68:GW68"/>
    <mergeCell ref="GX68:GY68"/>
    <mergeCell ref="GV163:GW163"/>
    <mergeCell ref="GX163:GY163"/>
    <mergeCell ref="GZ163:HA163"/>
    <mergeCell ref="HB163:HC163"/>
    <mergeCell ref="HD163:HE163"/>
    <mergeCell ref="HF163:HG163"/>
    <mergeCell ref="GV164:GW164"/>
    <mergeCell ref="GX164:GY164"/>
    <mergeCell ref="GZ164:HA164"/>
    <mergeCell ref="HB164:HC164"/>
    <mergeCell ref="HD164:HE164"/>
    <mergeCell ref="HF164:HG164"/>
    <mergeCell ref="GV165:GW165"/>
    <mergeCell ref="GX165:GY165"/>
    <mergeCell ref="GZ165:HA165"/>
    <mergeCell ref="HB165:HC165"/>
    <mergeCell ref="HD165:HE165"/>
    <mergeCell ref="HF165:HG165"/>
    <mergeCell ref="GV166:GW166"/>
    <mergeCell ref="GX166:GY166"/>
    <mergeCell ref="GZ166:HA166"/>
    <mergeCell ref="HB166:HC166"/>
    <mergeCell ref="HD166:HE166"/>
    <mergeCell ref="HF166:HG166"/>
    <mergeCell ref="GV167:GW167"/>
    <mergeCell ref="GX167:GY167"/>
    <mergeCell ref="GZ167:HA167"/>
    <mergeCell ref="HB167:HC167"/>
    <mergeCell ref="HD167:HE167"/>
    <mergeCell ref="HF167:HG167"/>
    <mergeCell ref="GV168:GW168"/>
    <mergeCell ref="GX168:GY168"/>
    <mergeCell ref="GZ168:HA168"/>
    <mergeCell ref="HB168:HC168"/>
    <mergeCell ref="HD168:HE168"/>
    <mergeCell ref="HF168:HG168"/>
    <mergeCell ref="GV156:GW156"/>
    <mergeCell ref="GX156:GY156"/>
    <mergeCell ref="GZ156:HA156"/>
    <mergeCell ref="HB156:HC156"/>
    <mergeCell ref="HD156:HE156"/>
    <mergeCell ref="HF156:HG156"/>
    <mergeCell ref="GV157:GW157"/>
    <mergeCell ref="GX157:GY157"/>
    <mergeCell ref="GZ157:HA157"/>
    <mergeCell ref="HB157:HC157"/>
    <mergeCell ref="HD157:HE157"/>
    <mergeCell ref="HF157:HG157"/>
    <mergeCell ref="GV158:GW158"/>
    <mergeCell ref="GX158:GY158"/>
    <mergeCell ref="GZ158:HA158"/>
    <mergeCell ref="HB158:HC158"/>
    <mergeCell ref="HD158:HE158"/>
    <mergeCell ref="HF158:HG158"/>
    <mergeCell ref="GV159:GW159"/>
    <mergeCell ref="GX159:GY159"/>
    <mergeCell ref="GZ159:HA159"/>
    <mergeCell ref="HB159:HC159"/>
    <mergeCell ref="HD159:HE159"/>
    <mergeCell ref="HF159:HG159"/>
    <mergeCell ref="GV161:GW161"/>
    <mergeCell ref="GX161:GY161"/>
    <mergeCell ref="GZ161:HA161"/>
    <mergeCell ref="HB161:HC161"/>
    <mergeCell ref="HD161:HE161"/>
    <mergeCell ref="HF161:HG161"/>
    <mergeCell ref="GV162:GW162"/>
    <mergeCell ref="GX162:GY162"/>
    <mergeCell ref="GZ162:HA162"/>
    <mergeCell ref="HB162:HC162"/>
    <mergeCell ref="HD162:HE162"/>
    <mergeCell ref="HF162:HG162"/>
    <mergeCell ref="GV149:GW149"/>
    <mergeCell ref="GX149:GY149"/>
    <mergeCell ref="GZ149:HA149"/>
    <mergeCell ref="HB149:HC149"/>
    <mergeCell ref="HD149:HE149"/>
    <mergeCell ref="HF149:HG149"/>
    <mergeCell ref="GV150:GW150"/>
    <mergeCell ref="GX150:GY150"/>
    <mergeCell ref="GZ150:HA150"/>
    <mergeCell ref="HB150:HC150"/>
    <mergeCell ref="HD150:HE150"/>
    <mergeCell ref="HF150:HG150"/>
    <mergeCell ref="GV152:GW152"/>
    <mergeCell ref="GX152:GY152"/>
    <mergeCell ref="GZ152:HA152"/>
    <mergeCell ref="HB152:HC152"/>
    <mergeCell ref="HD152:HE152"/>
    <mergeCell ref="HF152:HG152"/>
    <mergeCell ref="GV153:GW153"/>
    <mergeCell ref="GX153:GY153"/>
    <mergeCell ref="GZ153:HA153"/>
    <mergeCell ref="HB153:HC153"/>
    <mergeCell ref="HD153:HE153"/>
    <mergeCell ref="HF153:HG153"/>
    <mergeCell ref="GV154:GW154"/>
    <mergeCell ref="GX154:GY154"/>
    <mergeCell ref="GZ154:HA154"/>
    <mergeCell ref="HB154:HC154"/>
    <mergeCell ref="HD154:HE154"/>
    <mergeCell ref="HF154:HG154"/>
    <mergeCell ref="GV155:GW155"/>
    <mergeCell ref="GX155:GY155"/>
    <mergeCell ref="GZ155:HA155"/>
    <mergeCell ref="HB155:HC155"/>
    <mergeCell ref="HD155:HE155"/>
    <mergeCell ref="HF155:HG155"/>
    <mergeCell ref="GV143:GW143"/>
    <mergeCell ref="GX143:GY143"/>
    <mergeCell ref="GZ143:HA143"/>
    <mergeCell ref="HB143:HC143"/>
    <mergeCell ref="HD143:HE143"/>
    <mergeCell ref="HF143:HG143"/>
    <mergeCell ref="GV144:GW144"/>
    <mergeCell ref="GX144:GY144"/>
    <mergeCell ref="GZ144:HA144"/>
    <mergeCell ref="HB144:HC144"/>
    <mergeCell ref="HD144:HE144"/>
    <mergeCell ref="HF144:HG144"/>
    <mergeCell ref="GV145:GW145"/>
    <mergeCell ref="GX145:GY145"/>
    <mergeCell ref="GZ145:HA145"/>
    <mergeCell ref="HB145:HC145"/>
    <mergeCell ref="HD145:HE145"/>
    <mergeCell ref="HF145:HG145"/>
    <mergeCell ref="GV146:GW146"/>
    <mergeCell ref="GX146:GY146"/>
    <mergeCell ref="GZ146:HA146"/>
    <mergeCell ref="HB146:HC146"/>
    <mergeCell ref="HD146:HE146"/>
    <mergeCell ref="HF146:HG146"/>
    <mergeCell ref="GV147:GW147"/>
    <mergeCell ref="GX147:GY147"/>
    <mergeCell ref="GZ147:HA147"/>
    <mergeCell ref="HB147:HC147"/>
    <mergeCell ref="HD147:HE147"/>
    <mergeCell ref="HF147:HG147"/>
    <mergeCell ref="GV148:GW148"/>
    <mergeCell ref="GX148:GY148"/>
    <mergeCell ref="GZ148:HA148"/>
    <mergeCell ref="HB148:HC148"/>
    <mergeCell ref="HD148:HE148"/>
    <mergeCell ref="HF148:HG148"/>
    <mergeCell ref="GV136:GW136"/>
    <mergeCell ref="GX136:GY136"/>
    <mergeCell ref="GZ136:HA136"/>
    <mergeCell ref="HB136:HC136"/>
    <mergeCell ref="HD136:HE136"/>
    <mergeCell ref="HF136:HG136"/>
    <mergeCell ref="GV137:GW137"/>
    <mergeCell ref="GX137:GY137"/>
    <mergeCell ref="GZ137:HA137"/>
    <mergeCell ref="HB137:HC137"/>
    <mergeCell ref="HD137:HE137"/>
    <mergeCell ref="HF137:HG137"/>
    <mergeCell ref="GV138:GW138"/>
    <mergeCell ref="GX138:GY138"/>
    <mergeCell ref="GZ138:HA138"/>
    <mergeCell ref="HB138:HC138"/>
    <mergeCell ref="HD138:HE138"/>
    <mergeCell ref="HF138:HG138"/>
    <mergeCell ref="GV139:GW139"/>
    <mergeCell ref="GX139:GY139"/>
    <mergeCell ref="GZ139:HA139"/>
    <mergeCell ref="HB139:HC139"/>
    <mergeCell ref="HD139:HE139"/>
    <mergeCell ref="HF139:HG139"/>
    <mergeCell ref="GV140:GW140"/>
    <mergeCell ref="GX140:GY140"/>
    <mergeCell ref="GZ140:HA140"/>
    <mergeCell ref="HB140:HC140"/>
    <mergeCell ref="HD140:HE140"/>
    <mergeCell ref="HF140:HG140"/>
    <mergeCell ref="GV141:GW141"/>
    <mergeCell ref="GX141:GY141"/>
    <mergeCell ref="GZ141:HA141"/>
    <mergeCell ref="HB141:HC141"/>
    <mergeCell ref="HD141:HE141"/>
    <mergeCell ref="HF141:HG141"/>
    <mergeCell ref="GV129:GW129"/>
    <mergeCell ref="GX129:GY129"/>
    <mergeCell ref="GZ129:HA129"/>
    <mergeCell ref="HB129:HC129"/>
    <mergeCell ref="HD129:HE129"/>
    <mergeCell ref="HF129:HG129"/>
    <mergeCell ref="GV130:GW130"/>
    <mergeCell ref="GX130:GY130"/>
    <mergeCell ref="GZ130:HA130"/>
    <mergeCell ref="HB130:HC130"/>
    <mergeCell ref="HD130:HE130"/>
    <mergeCell ref="HF130:HG130"/>
    <mergeCell ref="GV131:GW131"/>
    <mergeCell ref="GX131:GY131"/>
    <mergeCell ref="GZ131:HA131"/>
    <mergeCell ref="HB131:HC131"/>
    <mergeCell ref="HD131:HE131"/>
    <mergeCell ref="HF131:HG131"/>
    <mergeCell ref="GV132:GW132"/>
    <mergeCell ref="GX132:GY132"/>
    <mergeCell ref="GZ132:HA132"/>
    <mergeCell ref="HB132:HC132"/>
    <mergeCell ref="HD132:HE132"/>
    <mergeCell ref="HF132:HG132"/>
    <mergeCell ref="GV134:GW134"/>
    <mergeCell ref="GX134:GY134"/>
    <mergeCell ref="GZ134:HA134"/>
    <mergeCell ref="HB134:HC134"/>
    <mergeCell ref="HD134:HE134"/>
    <mergeCell ref="HF134:HG134"/>
    <mergeCell ref="GV135:GW135"/>
    <mergeCell ref="GX135:GY135"/>
    <mergeCell ref="GZ135:HA135"/>
    <mergeCell ref="HB135:HC135"/>
    <mergeCell ref="HD135:HE135"/>
    <mergeCell ref="HF135:HG135"/>
    <mergeCell ref="GV125:GW125"/>
    <mergeCell ref="GX125:GY125"/>
    <mergeCell ref="GZ125:HA125"/>
    <mergeCell ref="HB125:HC125"/>
    <mergeCell ref="HD125:HE125"/>
    <mergeCell ref="HF125:HG125"/>
    <mergeCell ref="GV126:GW126"/>
    <mergeCell ref="GX126:GY126"/>
    <mergeCell ref="GZ126:HA126"/>
    <mergeCell ref="HB126:HC126"/>
    <mergeCell ref="HD126:HE126"/>
    <mergeCell ref="HF126:HG126"/>
    <mergeCell ref="GV127:GW127"/>
    <mergeCell ref="GX127:GY127"/>
    <mergeCell ref="GZ127:HA127"/>
    <mergeCell ref="HB127:HC127"/>
    <mergeCell ref="HD127:HE127"/>
    <mergeCell ref="HF127:HG127"/>
    <mergeCell ref="GV128:GW128"/>
    <mergeCell ref="GX128:GY128"/>
    <mergeCell ref="GZ128:HA128"/>
    <mergeCell ref="HB128:HC128"/>
    <mergeCell ref="HD128:HE128"/>
    <mergeCell ref="HF128:HG128"/>
    <mergeCell ref="GV116:GW116"/>
    <mergeCell ref="GX116:GY116"/>
    <mergeCell ref="GZ116:HA116"/>
    <mergeCell ref="HB116:HC116"/>
    <mergeCell ref="HD116:HE116"/>
    <mergeCell ref="HF116:HG116"/>
    <mergeCell ref="GV117:GW117"/>
    <mergeCell ref="GX117:GY117"/>
    <mergeCell ref="GZ117:HA117"/>
    <mergeCell ref="HB117:HC117"/>
    <mergeCell ref="HD117:HE117"/>
    <mergeCell ref="HF117:HG117"/>
    <mergeCell ref="GV118:GW118"/>
    <mergeCell ref="GX118:GY118"/>
    <mergeCell ref="GZ118:HA118"/>
    <mergeCell ref="HB118:HC118"/>
    <mergeCell ref="HD118:HE118"/>
    <mergeCell ref="HF118:HG118"/>
    <mergeCell ref="GV119:GW119"/>
    <mergeCell ref="GX119:GY119"/>
    <mergeCell ref="GZ119:HA119"/>
    <mergeCell ref="HB119:HC119"/>
    <mergeCell ref="HD119:HE119"/>
    <mergeCell ref="HF119:HG119"/>
    <mergeCell ref="GV120:GW120"/>
    <mergeCell ref="GX120:GY120"/>
    <mergeCell ref="GZ120:HA120"/>
    <mergeCell ref="HB120:HC120"/>
    <mergeCell ref="HD120:HE120"/>
    <mergeCell ref="HF120:HG120"/>
    <mergeCell ref="GV121:GW121"/>
    <mergeCell ref="GX121:GY121"/>
    <mergeCell ref="GZ121:HA121"/>
    <mergeCell ref="HB121:HC121"/>
    <mergeCell ref="HD121:HE121"/>
    <mergeCell ref="HF121:HG121"/>
    <mergeCell ref="GV109:GW109"/>
    <mergeCell ref="GX109:GY109"/>
    <mergeCell ref="GZ109:HA109"/>
    <mergeCell ref="HB109:HC109"/>
    <mergeCell ref="HD109:HE109"/>
    <mergeCell ref="HF109:HG109"/>
    <mergeCell ref="GV110:GW110"/>
    <mergeCell ref="GX110:GY110"/>
    <mergeCell ref="GZ110:HA110"/>
    <mergeCell ref="HB110:HC110"/>
    <mergeCell ref="HD110:HE110"/>
    <mergeCell ref="HF110:HG110"/>
    <mergeCell ref="GV111:GW111"/>
    <mergeCell ref="GX111:GY111"/>
    <mergeCell ref="GZ111:HA111"/>
    <mergeCell ref="HB111:HC111"/>
    <mergeCell ref="HD111:HE111"/>
    <mergeCell ref="HF111:HG111"/>
    <mergeCell ref="GV112:GW112"/>
    <mergeCell ref="GX112:GY112"/>
    <mergeCell ref="GZ112:HA112"/>
    <mergeCell ref="HB112:HC112"/>
    <mergeCell ref="HD112:HE112"/>
    <mergeCell ref="HF112:HG112"/>
    <mergeCell ref="GV114:GW114"/>
    <mergeCell ref="GX114:GY114"/>
    <mergeCell ref="GZ114:HA114"/>
    <mergeCell ref="HB114:HC114"/>
    <mergeCell ref="HD114:HE114"/>
    <mergeCell ref="HF114:HG114"/>
    <mergeCell ref="GV115:GW115"/>
    <mergeCell ref="GX115:GY115"/>
    <mergeCell ref="GZ115:HA115"/>
    <mergeCell ref="HB115:HC115"/>
    <mergeCell ref="HD115:HE115"/>
    <mergeCell ref="HF115:HG115"/>
    <mergeCell ref="GV102:GW102"/>
    <mergeCell ref="GX102:GY102"/>
    <mergeCell ref="GZ102:HA102"/>
    <mergeCell ref="HB102:HC102"/>
    <mergeCell ref="HD102:HE102"/>
    <mergeCell ref="HF102:HG102"/>
    <mergeCell ref="GV103:GW103"/>
    <mergeCell ref="GX103:GY103"/>
    <mergeCell ref="GZ103:HA103"/>
    <mergeCell ref="HB103:HC103"/>
    <mergeCell ref="HD103:HE103"/>
    <mergeCell ref="HF103:HG103"/>
    <mergeCell ref="GV105:GW105"/>
    <mergeCell ref="GX105:GY105"/>
    <mergeCell ref="GZ105:HA105"/>
    <mergeCell ref="HB105:HC105"/>
    <mergeCell ref="HD105:HE105"/>
    <mergeCell ref="HF105:HG105"/>
    <mergeCell ref="GV106:GW106"/>
    <mergeCell ref="GX106:GY106"/>
    <mergeCell ref="GZ106:HA106"/>
    <mergeCell ref="HB106:HC106"/>
    <mergeCell ref="HD106:HE106"/>
    <mergeCell ref="HF106:HG106"/>
    <mergeCell ref="GV107:GW107"/>
    <mergeCell ref="GX107:GY107"/>
    <mergeCell ref="GZ107:HA107"/>
    <mergeCell ref="HB107:HC107"/>
    <mergeCell ref="HD107:HE107"/>
    <mergeCell ref="HF107:HG107"/>
    <mergeCell ref="GV108:GW108"/>
    <mergeCell ref="GX108:GY108"/>
    <mergeCell ref="GZ108:HA108"/>
    <mergeCell ref="HB108:HC108"/>
    <mergeCell ref="HD108:HE108"/>
    <mergeCell ref="HF108:HG108"/>
    <mergeCell ref="GV96:GW96"/>
    <mergeCell ref="GX96:GY96"/>
    <mergeCell ref="GZ96:HA96"/>
    <mergeCell ref="HB96:HC96"/>
    <mergeCell ref="HD96:HE96"/>
    <mergeCell ref="HF96:HG96"/>
    <mergeCell ref="GV97:GW97"/>
    <mergeCell ref="GX97:GY97"/>
    <mergeCell ref="GZ97:HA97"/>
    <mergeCell ref="HB97:HC97"/>
    <mergeCell ref="HD97:HE97"/>
    <mergeCell ref="HF97:HG97"/>
    <mergeCell ref="GV98:GW98"/>
    <mergeCell ref="GX98:GY98"/>
    <mergeCell ref="GZ98:HA98"/>
    <mergeCell ref="HB98:HC98"/>
    <mergeCell ref="HD98:HE98"/>
    <mergeCell ref="HF98:HG98"/>
    <mergeCell ref="GV99:GW99"/>
    <mergeCell ref="GX99:GY99"/>
    <mergeCell ref="GZ99:HA99"/>
    <mergeCell ref="HB99:HC99"/>
    <mergeCell ref="HD99:HE99"/>
    <mergeCell ref="HF99:HG99"/>
    <mergeCell ref="GV100:GW100"/>
    <mergeCell ref="GX100:GY100"/>
    <mergeCell ref="GZ100:HA100"/>
    <mergeCell ref="HB100:HC100"/>
    <mergeCell ref="HD100:HE100"/>
    <mergeCell ref="HF100:HG100"/>
    <mergeCell ref="GV101:GW101"/>
    <mergeCell ref="GX101:GY101"/>
    <mergeCell ref="GZ101:HA101"/>
    <mergeCell ref="HB101:HC101"/>
    <mergeCell ref="HD101:HE101"/>
    <mergeCell ref="HF101:HG101"/>
    <mergeCell ref="GV89:GW89"/>
    <mergeCell ref="GX89:GY89"/>
    <mergeCell ref="GZ89:HA89"/>
    <mergeCell ref="HB89:HC89"/>
    <mergeCell ref="HD89:HE89"/>
    <mergeCell ref="HF89:HG89"/>
    <mergeCell ref="GV90:GW90"/>
    <mergeCell ref="GX90:GY90"/>
    <mergeCell ref="GZ90:HA90"/>
    <mergeCell ref="HB90:HC90"/>
    <mergeCell ref="HD90:HE90"/>
    <mergeCell ref="HF90:HG90"/>
    <mergeCell ref="GV91:GW91"/>
    <mergeCell ref="GX91:GY91"/>
    <mergeCell ref="GZ91:HA91"/>
    <mergeCell ref="HB91:HC91"/>
    <mergeCell ref="HD91:HE91"/>
    <mergeCell ref="HF91:HG91"/>
    <mergeCell ref="GV92:GW92"/>
    <mergeCell ref="GX92:GY92"/>
    <mergeCell ref="GZ92:HA92"/>
    <mergeCell ref="HB92:HC92"/>
    <mergeCell ref="HD92:HE92"/>
    <mergeCell ref="HF92:HG92"/>
    <mergeCell ref="GV93:GW93"/>
    <mergeCell ref="GX93:GY93"/>
    <mergeCell ref="GZ93:HA93"/>
    <mergeCell ref="HB93:HC93"/>
    <mergeCell ref="HD93:HE93"/>
    <mergeCell ref="HF93:HG93"/>
    <mergeCell ref="GV94:GW94"/>
    <mergeCell ref="GX94:GY94"/>
    <mergeCell ref="GZ94:HA94"/>
    <mergeCell ref="HB94:HC94"/>
    <mergeCell ref="HD94:HE94"/>
    <mergeCell ref="HF94:HG94"/>
    <mergeCell ref="GV82:GW82"/>
    <mergeCell ref="GX82:GY82"/>
    <mergeCell ref="GZ82:HA82"/>
    <mergeCell ref="HB82:HC82"/>
    <mergeCell ref="HD82:HE82"/>
    <mergeCell ref="HF82:HG82"/>
    <mergeCell ref="GV83:GW83"/>
    <mergeCell ref="GX83:GY83"/>
    <mergeCell ref="GZ83:HA83"/>
    <mergeCell ref="HB83:HC83"/>
    <mergeCell ref="HD83:HE83"/>
    <mergeCell ref="HF83:HG83"/>
    <mergeCell ref="GV84:GW84"/>
    <mergeCell ref="GX84:GY84"/>
    <mergeCell ref="GZ84:HA84"/>
    <mergeCell ref="HB84:HC84"/>
    <mergeCell ref="HD84:HE84"/>
    <mergeCell ref="HF84:HG84"/>
    <mergeCell ref="GV85:GW85"/>
    <mergeCell ref="GX85:GY85"/>
    <mergeCell ref="GZ85:HA85"/>
    <mergeCell ref="HB85:HC85"/>
    <mergeCell ref="HD85:HE85"/>
    <mergeCell ref="HF85:HG85"/>
    <mergeCell ref="GV87:GW87"/>
    <mergeCell ref="GX87:GY87"/>
    <mergeCell ref="GZ87:HA87"/>
    <mergeCell ref="HB87:HC87"/>
    <mergeCell ref="HD87:HE87"/>
    <mergeCell ref="HF87:HG87"/>
    <mergeCell ref="GV88:GW88"/>
    <mergeCell ref="GX88:GY88"/>
    <mergeCell ref="GZ88:HA88"/>
    <mergeCell ref="HB88:HC88"/>
    <mergeCell ref="HD88:HE88"/>
    <mergeCell ref="HF88:HG88"/>
    <mergeCell ref="GV78:GW78"/>
    <mergeCell ref="GX78:GY78"/>
    <mergeCell ref="GZ78:HA78"/>
    <mergeCell ref="HB78:HC78"/>
    <mergeCell ref="HD78:HE78"/>
    <mergeCell ref="HF78:HG78"/>
    <mergeCell ref="GV79:GW79"/>
    <mergeCell ref="GX79:GY79"/>
    <mergeCell ref="GZ79:HA79"/>
    <mergeCell ref="HB79:HC79"/>
    <mergeCell ref="HD79:HE79"/>
    <mergeCell ref="HF79:HG79"/>
    <mergeCell ref="GV80:GW80"/>
    <mergeCell ref="GX80:GY80"/>
    <mergeCell ref="GZ80:HA80"/>
    <mergeCell ref="HB80:HC80"/>
    <mergeCell ref="HD80:HE80"/>
    <mergeCell ref="HF80:HG80"/>
    <mergeCell ref="GV81:GW81"/>
    <mergeCell ref="GX81:GY81"/>
    <mergeCell ref="GZ81:HA81"/>
    <mergeCell ref="HB81:HC81"/>
    <mergeCell ref="HD81:HE81"/>
    <mergeCell ref="HF81:HG81"/>
    <mergeCell ref="GV72:GW72"/>
    <mergeCell ref="GX72:GY72"/>
    <mergeCell ref="GZ72:HA72"/>
    <mergeCell ref="HB72:HC72"/>
    <mergeCell ref="HD72:HE72"/>
    <mergeCell ref="HF72:HG72"/>
    <mergeCell ref="GV73:GW73"/>
    <mergeCell ref="GX73:GY73"/>
    <mergeCell ref="GZ73:HA73"/>
    <mergeCell ref="HB73:HC73"/>
    <mergeCell ref="HD73:HE73"/>
    <mergeCell ref="HF73:HG73"/>
    <mergeCell ref="GV74:GW74"/>
    <mergeCell ref="GX74:GY74"/>
    <mergeCell ref="GZ74:HA74"/>
    <mergeCell ref="HB74:HC74"/>
    <mergeCell ref="HD74:HE74"/>
    <mergeCell ref="HF74:HG74"/>
    <mergeCell ref="GV75:GW75"/>
    <mergeCell ref="GX75:GY75"/>
    <mergeCell ref="GZ75:HA75"/>
    <mergeCell ref="HB75:HC75"/>
    <mergeCell ref="HD75:HE75"/>
    <mergeCell ref="HF75:HG75"/>
    <mergeCell ref="GZ68:HA68"/>
    <mergeCell ref="HB68:HC68"/>
    <mergeCell ref="HD68:HE68"/>
    <mergeCell ref="HF68:HG68"/>
    <mergeCell ref="GV69:GW69"/>
    <mergeCell ref="GX69:GY69"/>
    <mergeCell ref="GZ69:HA69"/>
    <mergeCell ref="HB69:HC69"/>
    <mergeCell ref="HD69:HE69"/>
    <mergeCell ref="HF69:HG69"/>
    <mergeCell ref="GV70:GW70"/>
    <mergeCell ref="GX70:GY70"/>
    <mergeCell ref="GZ70:HA70"/>
    <mergeCell ref="HB70:HC70"/>
    <mergeCell ref="HD70:HE70"/>
    <mergeCell ref="HF70:HG70"/>
    <mergeCell ref="GV71:GW71"/>
    <mergeCell ref="GX71:GY71"/>
    <mergeCell ref="GZ71:HA71"/>
    <mergeCell ref="HB71:HC71"/>
    <mergeCell ref="HD71:HE71"/>
    <mergeCell ref="HF71:HG71"/>
    <mergeCell ref="GV59:GW59"/>
    <mergeCell ref="GX59:GY59"/>
    <mergeCell ref="GZ59:HA59"/>
    <mergeCell ref="HB59:HC59"/>
    <mergeCell ref="HD59:HE59"/>
    <mergeCell ref="HF59:HG59"/>
    <mergeCell ref="GV60:GW60"/>
    <mergeCell ref="GX60:GY60"/>
    <mergeCell ref="GZ60:HA60"/>
    <mergeCell ref="HB60:HC60"/>
    <mergeCell ref="HD60:HE60"/>
    <mergeCell ref="HF60:HG60"/>
    <mergeCell ref="GV61:GW61"/>
    <mergeCell ref="GX61:GY61"/>
    <mergeCell ref="GZ61:HA61"/>
    <mergeCell ref="HB61:HC61"/>
    <mergeCell ref="HD61:HE61"/>
    <mergeCell ref="HF61:HG61"/>
    <mergeCell ref="GV62:GW62"/>
    <mergeCell ref="GX62:GY62"/>
    <mergeCell ref="GZ62:HA62"/>
    <mergeCell ref="HB62:HC62"/>
    <mergeCell ref="HD62:HE62"/>
    <mergeCell ref="HF62:HG62"/>
    <mergeCell ref="GV63:GW63"/>
    <mergeCell ref="GX63:GY63"/>
    <mergeCell ref="GZ63:HA63"/>
    <mergeCell ref="HB63:HC63"/>
    <mergeCell ref="HD63:HE63"/>
    <mergeCell ref="HF63:HG63"/>
    <mergeCell ref="GV64:GW64"/>
    <mergeCell ref="GX64:GY64"/>
    <mergeCell ref="GZ64:HA64"/>
    <mergeCell ref="HB64:HC64"/>
    <mergeCell ref="HD64:HE64"/>
    <mergeCell ref="HF64:HG64"/>
    <mergeCell ref="GV54:GW54"/>
    <mergeCell ref="GX54:GY54"/>
    <mergeCell ref="GZ54:HA54"/>
    <mergeCell ref="HB54:HC54"/>
    <mergeCell ref="HD54:HE54"/>
    <mergeCell ref="HF54:HG54"/>
    <mergeCell ref="GV55:GW55"/>
    <mergeCell ref="GX55:GY55"/>
    <mergeCell ref="GZ55:HA55"/>
    <mergeCell ref="HB55:HC55"/>
    <mergeCell ref="HD55:HE55"/>
    <mergeCell ref="HF55:HG55"/>
    <mergeCell ref="GV45:GW45"/>
    <mergeCell ref="GX45:GY45"/>
    <mergeCell ref="GZ45:HA45"/>
    <mergeCell ref="HB45:HC45"/>
    <mergeCell ref="HD45:HE45"/>
    <mergeCell ref="HF45:HG45"/>
    <mergeCell ref="GV46:GW46"/>
    <mergeCell ref="GX46:GY46"/>
    <mergeCell ref="GZ46:HA46"/>
    <mergeCell ref="HB46:HC46"/>
    <mergeCell ref="HD46:HE46"/>
    <mergeCell ref="HF46:HG46"/>
    <mergeCell ref="GV48:GW48"/>
    <mergeCell ref="GX48:GY48"/>
    <mergeCell ref="GZ48:HA48"/>
    <mergeCell ref="HB48:HC48"/>
    <mergeCell ref="HD48:HE48"/>
    <mergeCell ref="HF48:HG48"/>
    <mergeCell ref="GV49:GW49"/>
    <mergeCell ref="GX49:GY49"/>
    <mergeCell ref="GZ49:HA49"/>
    <mergeCell ref="HB49:HC49"/>
    <mergeCell ref="HD49:HE49"/>
    <mergeCell ref="HF49:HG49"/>
    <mergeCell ref="GV50:GW50"/>
    <mergeCell ref="GX50:GY50"/>
    <mergeCell ref="GZ50:HA50"/>
    <mergeCell ref="HB50:HC50"/>
    <mergeCell ref="HD50:HE50"/>
    <mergeCell ref="HF50:HG50"/>
    <mergeCell ref="GV51:GW51"/>
    <mergeCell ref="GX51:GY51"/>
    <mergeCell ref="GZ51:HA51"/>
    <mergeCell ref="HB51:HC51"/>
    <mergeCell ref="HD51:HE51"/>
    <mergeCell ref="HF51:HG51"/>
    <mergeCell ref="GX42:GY42"/>
    <mergeCell ref="GZ42:HA42"/>
    <mergeCell ref="HB42:HC42"/>
    <mergeCell ref="HD42:HE42"/>
    <mergeCell ref="HF42:HG42"/>
    <mergeCell ref="GV43:GW43"/>
    <mergeCell ref="GX43:GY43"/>
    <mergeCell ref="GZ43:HA43"/>
    <mergeCell ref="HB43:HC43"/>
    <mergeCell ref="HD43:HE43"/>
    <mergeCell ref="HF43:HG43"/>
    <mergeCell ref="GV44:GW44"/>
    <mergeCell ref="GX44:GY44"/>
    <mergeCell ref="GZ44:HA44"/>
    <mergeCell ref="HB44:HC44"/>
    <mergeCell ref="HD44:HE44"/>
    <mergeCell ref="HF44:HG44"/>
    <mergeCell ref="GV31:GW31"/>
    <mergeCell ref="GX31:GY31"/>
    <mergeCell ref="GZ31:HA31"/>
    <mergeCell ref="HB31:HC31"/>
    <mergeCell ref="HD31:HE31"/>
    <mergeCell ref="HF31:HG31"/>
    <mergeCell ref="GV32:GW32"/>
    <mergeCell ref="GX32:GY32"/>
    <mergeCell ref="GZ32:HA32"/>
    <mergeCell ref="HB32:HC32"/>
    <mergeCell ref="HD32:HE32"/>
    <mergeCell ref="HF32:HG32"/>
    <mergeCell ref="GV33:GW33"/>
    <mergeCell ref="GX33:GY33"/>
    <mergeCell ref="GZ33:HA33"/>
    <mergeCell ref="HB33:HC33"/>
    <mergeCell ref="HD33:HE33"/>
    <mergeCell ref="HF33:HG33"/>
    <mergeCell ref="GV34:GW34"/>
    <mergeCell ref="GX34:GY34"/>
    <mergeCell ref="GZ34:HA34"/>
    <mergeCell ref="HB34:HC34"/>
    <mergeCell ref="HD34:HE34"/>
    <mergeCell ref="HF34:HG34"/>
    <mergeCell ref="GV35:GW35"/>
    <mergeCell ref="GX35:GY35"/>
    <mergeCell ref="GZ35:HA35"/>
    <mergeCell ref="HB35:HC35"/>
    <mergeCell ref="HD35:HE35"/>
    <mergeCell ref="HF35:HG35"/>
    <mergeCell ref="GV36:GW36"/>
    <mergeCell ref="GX36:GY36"/>
    <mergeCell ref="GZ36:HA36"/>
    <mergeCell ref="HB36:HC36"/>
    <mergeCell ref="HD36:HE36"/>
    <mergeCell ref="HF36:HG36"/>
    <mergeCell ref="GV23:GW23"/>
    <mergeCell ref="GX23:GY23"/>
    <mergeCell ref="GZ23:HA23"/>
    <mergeCell ref="HB23:HC23"/>
    <mergeCell ref="HD23:HE23"/>
    <mergeCell ref="HF23:HG23"/>
    <mergeCell ref="GV24:GW24"/>
    <mergeCell ref="GX24:GY24"/>
    <mergeCell ref="GZ24:HA24"/>
    <mergeCell ref="HB24:HC24"/>
    <mergeCell ref="HD24:HE24"/>
    <mergeCell ref="HF24:HG24"/>
    <mergeCell ref="GV25:GW25"/>
    <mergeCell ref="GX25:GY25"/>
    <mergeCell ref="GZ25:HA25"/>
    <mergeCell ref="HB25:HC25"/>
    <mergeCell ref="HD25:HE25"/>
    <mergeCell ref="HF25:HG25"/>
    <mergeCell ref="GV26:GW26"/>
    <mergeCell ref="GX26:GY26"/>
    <mergeCell ref="GZ26:HA26"/>
    <mergeCell ref="HB26:HC26"/>
    <mergeCell ref="HD26:HE26"/>
    <mergeCell ref="HF26:HG26"/>
    <mergeCell ref="GV29:GW29"/>
    <mergeCell ref="GX29:GY29"/>
    <mergeCell ref="GZ29:HA29"/>
    <mergeCell ref="HB29:HC29"/>
    <mergeCell ref="HD29:HE29"/>
    <mergeCell ref="HF29:HG29"/>
    <mergeCell ref="GV30:GW30"/>
    <mergeCell ref="GX30:GY30"/>
    <mergeCell ref="GZ30:HA30"/>
    <mergeCell ref="HB30:HC30"/>
    <mergeCell ref="HD30:HE30"/>
    <mergeCell ref="HF30:HG30"/>
    <mergeCell ref="GV6:GW6"/>
    <mergeCell ref="GX6:GY6"/>
    <mergeCell ref="GZ6:HA6"/>
    <mergeCell ref="HB6:HC6"/>
    <mergeCell ref="HD6:HE6"/>
    <mergeCell ref="HF6:HG6"/>
    <mergeCell ref="GV19:GW19"/>
    <mergeCell ref="GX19:GY19"/>
    <mergeCell ref="GZ19:HA19"/>
    <mergeCell ref="HB19:HC19"/>
    <mergeCell ref="HD19:HE19"/>
    <mergeCell ref="HF19:HG19"/>
    <mergeCell ref="GV20:GW20"/>
    <mergeCell ref="GX20:GY20"/>
    <mergeCell ref="GZ20:HA20"/>
    <mergeCell ref="HB20:HC20"/>
    <mergeCell ref="HD20:HE20"/>
    <mergeCell ref="HF20:HG20"/>
    <mergeCell ref="GV21:GW21"/>
    <mergeCell ref="GX21:GY21"/>
    <mergeCell ref="GZ21:HA21"/>
    <mergeCell ref="HB21:HC21"/>
    <mergeCell ref="HD21:HE21"/>
    <mergeCell ref="HF21:HG21"/>
    <mergeCell ref="GV22:GW22"/>
    <mergeCell ref="GX22:GY22"/>
    <mergeCell ref="GZ22:HA22"/>
    <mergeCell ref="HB22:HC22"/>
    <mergeCell ref="HD22:HE22"/>
    <mergeCell ref="HF22:HG22"/>
    <mergeCell ref="FF6:FG6"/>
    <mergeCell ref="FH6:FI6"/>
    <mergeCell ref="FJ6:FK6"/>
    <mergeCell ref="FL6:FM6"/>
    <mergeCell ref="FN6:FO6"/>
    <mergeCell ref="FV6:FW6"/>
    <mergeCell ref="FX6:FY6"/>
    <mergeCell ref="FZ6:GA6"/>
    <mergeCell ref="GB6:GC6"/>
    <mergeCell ref="GD6:GE6"/>
    <mergeCell ref="GF6:GG6"/>
    <mergeCell ref="GH6:GI6"/>
    <mergeCell ref="GJ6:GK6"/>
    <mergeCell ref="GL6:GM6"/>
    <mergeCell ref="GN6:GO6"/>
    <mergeCell ref="GP6:GQ6"/>
    <mergeCell ref="GR6:GS6"/>
    <mergeCell ref="GT6:GU6"/>
    <mergeCell ref="FR20:FS20"/>
    <mergeCell ref="FT20:FU20"/>
    <mergeCell ref="FV20:FW20"/>
    <mergeCell ref="FX20:FY20"/>
    <mergeCell ref="FZ20:GA20"/>
    <mergeCell ref="GB20:GC20"/>
    <mergeCell ref="GD20:GE20"/>
    <mergeCell ref="GF20:GG20"/>
    <mergeCell ref="GJ21:GK21"/>
    <mergeCell ref="GL21:GM21"/>
    <mergeCell ref="GN21:GO21"/>
    <mergeCell ref="GP21:GQ21"/>
    <mergeCell ref="GR21:GS21"/>
    <mergeCell ref="GT21:GU21"/>
    <mergeCell ref="GH12:GI12"/>
    <mergeCell ref="GT10:GU10"/>
    <mergeCell ref="DB60:DC60"/>
    <mergeCell ref="BR61:BS61"/>
    <mergeCell ref="BT61:BU61"/>
    <mergeCell ref="BV61:BW61"/>
    <mergeCell ref="BX61:BY61"/>
    <mergeCell ref="BZ61:CA61"/>
    <mergeCell ref="CB61:CC61"/>
    <mergeCell ref="CD61:CE61"/>
    <mergeCell ref="CF61:CG61"/>
    <mergeCell ref="CH61:CI61"/>
    <mergeCell ref="CJ61:CK61"/>
    <mergeCell ref="CL61:CM61"/>
    <mergeCell ref="CN61:CO61"/>
    <mergeCell ref="CP61:CQ61"/>
    <mergeCell ref="CR61:CS61"/>
    <mergeCell ref="CT61:CU61"/>
    <mergeCell ref="CV61:CW61"/>
    <mergeCell ref="CX61:CY61"/>
    <mergeCell ref="CZ61:DA61"/>
    <mergeCell ref="DB61:DC61"/>
    <mergeCell ref="CL59:CM59"/>
    <mergeCell ref="CN59:CO59"/>
    <mergeCell ref="CP59:CQ59"/>
    <mergeCell ref="CR59:CS59"/>
    <mergeCell ref="CT59:CU59"/>
    <mergeCell ref="CV59:CW59"/>
    <mergeCell ref="CX59:CY59"/>
    <mergeCell ref="CZ59:DA59"/>
    <mergeCell ref="DB59:DC59"/>
    <mergeCell ref="BZ60:CA60"/>
    <mergeCell ref="CB60:CC60"/>
    <mergeCell ref="CD60:CE60"/>
    <mergeCell ref="CF60:CG60"/>
    <mergeCell ref="CH60:CI60"/>
    <mergeCell ref="CJ60:CK60"/>
    <mergeCell ref="BH117:BI117"/>
    <mergeCell ref="BJ117:BK117"/>
    <mergeCell ref="BL117:BM117"/>
    <mergeCell ref="BN117:BO117"/>
    <mergeCell ref="BP117:BQ117"/>
    <mergeCell ref="BD125:BE125"/>
    <mergeCell ref="DB5:DK5"/>
    <mergeCell ref="DL5:DS5"/>
    <mergeCell ref="Z59:AA59"/>
    <mergeCell ref="X59:Y59"/>
    <mergeCell ref="AD65:AE65"/>
    <mergeCell ref="AB65:AC65"/>
    <mergeCell ref="N64:O64"/>
    <mergeCell ref="P64:Q64"/>
    <mergeCell ref="V59:W59"/>
    <mergeCell ref="T59:U59"/>
    <mergeCell ref="R59:S59"/>
    <mergeCell ref="P59:Q59"/>
    <mergeCell ref="N59:O59"/>
    <mergeCell ref="X43:Y43"/>
    <mergeCell ref="Z43:AA43"/>
    <mergeCell ref="AB43:AC43"/>
    <mergeCell ref="AD43:AE43"/>
    <mergeCell ref="AF43:AG43"/>
    <mergeCell ref="AH43:AI43"/>
    <mergeCell ref="AJ43:AK43"/>
    <mergeCell ref="AL43:AM43"/>
    <mergeCell ref="AN43:AO43"/>
    <mergeCell ref="AP43:AQ43"/>
    <mergeCell ref="AR43:AS43"/>
    <mergeCell ref="AF57:AG57"/>
    <mergeCell ref="AD57:AE57"/>
    <mergeCell ref="AB57:AC57"/>
    <mergeCell ref="Z57:AA57"/>
    <mergeCell ref="X57:Y57"/>
    <mergeCell ref="V57:W57"/>
    <mergeCell ref="BJ6:BK6"/>
    <mergeCell ref="BL6:BM6"/>
    <mergeCell ref="AP6:AQ6"/>
    <mergeCell ref="AJ5:AS5"/>
    <mergeCell ref="L5:S5"/>
    <mergeCell ref="T5:AA5"/>
    <mergeCell ref="AB5:AI5"/>
    <mergeCell ref="L8:S8"/>
    <mergeCell ref="T8:AA8"/>
    <mergeCell ref="N6:O6"/>
    <mergeCell ref="P6:Q6"/>
    <mergeCell ref="AF6:AG6"/>
    <mergeCell ref="AN6:AO6"/>
    <mergeCell ref="AH6:AI6"/>
    <mergeCell ref="L6:M6"/>
    <mergeCell ref="AB8:AI8"/>
    <mergeCell ref="BT5:CA5"/>
    <mergeCell ref="CB5:CI5"/>
    <mergeCell ref="CJ5:CS5"/>
    <mergeCell ref="CT5:DA5"/>
    <mergeCell ref="BP6:BQ6"/>
    <mergeCell ref="BD6:BE6"/>
    <mergeCell ref="BB6:BC6"/>
    <mergeCell ref="BX6:BY6"/>
    <mergeCell ref="AZ6:BA6"/>
    <mergeCell ref="BL61:BM61"/>
    <mergeCell ref="BJ61:BK61"/>
    <mergeCell ref="CZ60:DA60"/>
    <mergeCell ref="AB6:AC6"/>
    <mergeCell ref="Z6:AA6"/>
    <mergeCell ref="X6:Y6"/>
    <mergeCell ref="T6:U6"/>
    <mergeCell ref="R6:S6"/>
    <mergeCell ref="AL6:AM6"/>
    <mergeCell ref="N49:O49"/>
    <mergeCell ref="BJ5:BS5"/>
    <mergeCell ref="AD45:AE45"/>
    <mergeCell ref="V49:W49"/>
    <mergeCell ref="AB55:AC55"/>
    <mergeCell ref="AD55:AE55"/>
    <mergeCell ref="AT6:AU6"/>
    <mergeCell ref="GD5:GK5"/>
    <mergeCell ref="GL5:GS5"/>
    <mergeCell ref="AJ8:AS8"/>
    <mergeCell ref="AT8:BA8"/>
    <mergeCell ref="BB8:BI8"/>
    <mergeCell ref="BJ8:BS8"/>
    <mergeCell ref="BT8:CA8"/>
    <mergeCell ref="CB8:CI8"/>
    <mergeCell ref="CJ8:CS8"/>
    <mergeCell ref="CT8:DA8"/>
    <mergeCell ref="DB8:DK8"/>
    <mergeCell ref="DT8:EA8"/>
    <mergeCell ref="EJ8:ES8"/>
    <mergeCell ref="ET8:FA8"/>
    <mergeCell ref="FB8:FK8"/>
    <mergeCell ref="FL8:FS8"/>
    <mergeCell ref="FT8:GC8"/>
    <mergeCell ref="GD8:GK8"/>
    <mergeCell ref="GL8:GS8"/>
    <mergeCell ref="BN6:BO6"/>
    <mergeCell ref="CT6:CU6"/>
    <mergeCell ref="CV6:CW6"/>
    <mergeCell ref="CX6:CY6"/>
    <mergeCell ref="CZ6:DA6"/>
    <mergeCell ref="CF6:CG6"/>
    <mergeCell ref="CH6:CI6"/>
    <mergeCell ref="BZ6:CA6"/>
    <mergeCell ref="CB6:CC6"/>
    <mergeCell ref="EB5:EI5"/>
    <mergeCell ref="DT6:DU6"/>
    <mergeCell ref="DV6:DW6"/>
    <mergeCell ref="DX6:DY6"/>
    <mergeCell ref="DZ6:EA6"/>
    <mergeCell ref="EB6:EC6"/>
    <mergeCell ref="ED6:EE6"/>
    <mergeCell ref="EF6:EG6"/>
    <mergeCell ref="EH6:EI6"/>
    <mergeCell ref="EJ6:EK6"/>
    <mergeCell ref="EL6:EM6"/>
    <mergeCell ref="CX53:CY53"/>
    <mergeCell ref="CX49:CY49"/>
    <mergeCell ref="CN48:CO48"/>
    <mergeCell ref="CP48:CQ48"/>
    <mergeCell ref="CR48:CS48"/>
    <mergeCell ref="CT55:CU55"/>
    <mergeCell ref="CV55:CW55"/>
    <mergeCell ref="CP54:CQ54"/>
    <mergeCell ref="CP51:CQ51"/>
    <mergeCell ref="CF55:CG55"/>
    <mergeCell ref="CB52:CC52"/>
    <mergeCell ref="AF23:AG23"/>
    <mergeCell ref="N65:O65"/>
    <mergeCell ref="L65:M65"/>
    <mergeCell ref="AL62:AM62"/>
    <mergeCell ref="AJ62:AK62"/>
    <mergeCell ref="AH62:AI62"/>
    <mergeCell ref="AF62:AG62"/>
    <mergeCell ref="AD62:AE62"/>
    <mergeCell ref="AB62:AC62"/>
    <mergeCell ref="Z62:AA62"/>
    <mergeCell ref="X62:Y62"/>
    <mergeCell ref="V62:W62"/>
    <mergeCell ref="T62:U62"/>
    <mergeCell ref="R62:S62"/>
    <mergeCell ref="P62:Q62"/>
    <mergeCell ref="N62:O62"/>
    <mergeCell ref="L62:M62"/>
    <mergeCell ref="AR61:AS61"/>
    <mergeCell ref="AP61:AQ61"/>
    <mergeCell ref="AN61:AO61"/>
    <mergeCell ref="AL61:AM61"/>
    <mergeCell ref="AJ61:AK61"/>
    <mergeCell ref="AH61:AI61"/>
    <mergeCell ref="AF61:AG61"/>
    <mergeCell ref="AD61:AE61"/>
    <mergeCell ref="AB61:AC61"/>
    <mergeCell ref="Z61:AA61"/>
    <mergeCell ref="X61:Y61"/>
    <mergeCell ref="V61:W61"/>
    <mergeCell ref="T61:U61"/>
    <mergeCell ref="R61:S61"/>
    <mergeCell ref="P61:Q61"/>
    <mergeCell ref="AF66:AG66"/>
    <mergeCell ref="AD66:AE66"/>
    <mergeCell ref="AB66:AC66"/>
    <mergeCell ref="Z66:AA66"/>
    <mergeCell ref="X66:Y66"/>
    <mergeCell ref="V66:W66"/>
    <mergeCell ref="T66:U66"/>
    <mergeCell ref="R66:S66"/>
    <mergeCell ref="P66:Q66"/>
    <mergeCell ref="N66:O66"/>
    <mergeCell ref="AP66:AQ66"/>
    <mergeCell ref="AR66:AS66"/>
    <mergeCell ref="L63:M63"/>
    <mergeCell ref="N63:O63"/>
    <mergeCell ref="P63:Q63"/>
    <mergeCell ref="R63:S63"/>
    <mergeCell ref="T63:U63"/>
    <mergeCell ref="V63:W63"/>
    <mergeCell ref="X63:Y63"/>
    <mergeCell ref="Z63:AA63"/>
    <mergeCell ref="AB63:AC63"/>
    <mergeCell ref="R26:S26"/>
    <mergeCell ref="AH23:AI23"/>
    <mergeCell ref="AN27:AO27"/>
    <mergeCell ref="V55:W55"/>
    <mergeCell ref="T54:U54"/>
    <mergeCell ref="V27:W27"/>
    <mergeCell ref="T48:U48"/>
    <mergeCell ref="R47:S47"/>
    <mergeCell ref="P47:Q47"/>
    <mergeCell ref="X35:Y35"/>
    <mergeCell ref="Z35:AA35"/>
    <mergeCell ref="T51:U51"/>
    <mergeCell ref="Z27:AA27"/>
    <mergeCell ref="P35:Q35"/>
    <mergeCell ref="R35:S35"/>
    <mergeCell ref="Z36:AA36"/>
    <mergeCell ref="X51:Y51"/>
    <mergeCell ref="Z51:AA51"/>
    <mergeCell ref="AJ54:AK54"/>
    <mergeCell ref="AL54:AM54"/>
    <mergeCell ref="V34:W34"/>
    <mergeCell ref="X34:Y34"/>
    <mergeCell ref="AL24:AM24"/>
    <mergeCell ref="DT5:EA5"/>
    <mergeCell ref="EJ5:ES5"/>
    <mergeCell ref="ET5:FA5"/>
    <mergeCell ref="FB5:FK5"/>
    <mergeCell ref="FL5:FS5"/>
    <mergeCell ref="FT5:GC5"/>
    <mergeCell ref="AV6:AW6"/>
    <mergeCell ref="AR6:AS6"/>
    <mergeCell ref="BR6:BS6"/>
    <mergeCell ref="BT6:BU6"/>
    <mergeCell ref="BV6:BW6"/>
    <mergeCell ref="CP6:CQ6"/>
    <mergeCell ref="FR6:FS6"/>
    <mergeCell ref="FT6:FU6"/>
    <mergeCell ref="EN6:EO6"/>
    <mergeCell ref="EP6:EQ6"/>
    <mergeCell ref="ER6:ES6"/>
    <mergeCell ref="ET6:EU6"/>
    <mergeCell ref="EV6:EW6"/>
    <mergeCell ref="EX6:EY6"/>
    <mergeCell ref="EZ6:FA6"/>
    <mergeCell ref="FB6:FC6"/>
    <mergeCell ref="FD6:FE6"/>
    <mergeCell ref="AT5:BA5"/>
    <mergeCell ref="BB5:BI5"/>
    <mergeCell ref="AX6:AY6"/>
    <mergeCell ref="CX41:CY41"/>
    <mergeCell ref="CZ41:DA41"/>
    <mergeCell ref="CT41:CU41"/>
    <mergeCell ref="CV41:CW41"/>
    <mergeCell ref="CR41:CS41"/>
    <mergeCell ref="CV42:CW42"/>
    <mergeCell ref="CL42:CM42"/>
    <mergeCell ref="CN42:CO42"/>
    <mergeCell ref="CP42:CQ42"/>
    <mergeCell ref="CR42:CS42"/>
    <mergeCell ref="CT42:CU42"/>
    <mergeCell ref="DB42:DC42"/>
    <mergeCell ref="BX42:BY42"/>
    <mergeCell ref="AD6:AE6"/>
    <mergeCell ref="BZ49:CA49"/>
    <mergeCell ref="N57:O57"/>
    <mergeCell ref="L57:M57"/>
    <mergeCell ref="AJ57:AK57"/>
    <mergeCell ref="AH57:AI57"/>
    <mergeCell ref="AL57:AM57"/>
    <mergeCell ref="AV61:AW61"/>
    <mergeCell ref="AT61:AU61"/>
    <mergeCell ref="BP60:BQ60"/>
    <mergeCell ref="BF59:BG59"/>
    <mergeCell ref="BH59:BI59"/>
    <mergeCell ref="BP61:BQ61"/>
    <mergeCell ref="AN57:AO57"/>
    <mergeCell ref="AN60:AO60"/>
    <mergeCell ref="AP60:AQ60"/>
    <mergeCell ref="AR60:AS60"/>
    <mergeCell ref="AT60:AU60"/>
    <mergeCell ref="AV60:AW60"/>
    <mergeCell ref="AX60:AY60"/>
    <mergeCell ref="AZ60:BA60"/>
    <mergeCell ref="BB60:BC60"/>
    <mergeCell ref="BD60:BE60"/>
    <mergeCell ref="BF60:BG60"/>
    <mergeCell ref="BH60:BI60"/>
    <mergeCell ref="BJ60:BK60"/>
    <mergeCell ref="BL60:BM60"/>
    <mergeCell ref="BN60:BO60"/>
    <mergeCell ref="T55:U55"/>
    <mergeCell ref="N25:O25"/>
    <mergeCell ref="P25:Q25"/>
    <mergeCell ref="P22:Q22"/>
    <mergeCell ref="V24:W24"/>
    <mergeCell ref="T22:U22"/>
    <mergeCell ref="T25:U25"/>
    <mergeCell ref="AN47:AO47"/>
    <mergeCell ref="AL47:AM47"/>
    <mergeCell ref="AJ47:AK47"/>
    <mergeCell ref="AH47:AI47"/>
    <mergeCell ref="AF47:AG47"/>
    <mergeCell ref="AD47:AE47"/>
    <mergeCell ref="AB47:AC47"/>
    <mergeCell ref="Z47:AA47"/>
    <mergeCell ref="X47:Y47"/>
    <mergeCell ref="V47:W47"/>
    <mergeCell ref="T47:U47"/>
    <mergeCell ref="AF37:AG37"/>
    <mergeCell ref="V35:W35"/>
    <mergeCell ref="V25:W25"/>
    <mergeCell ref="P27:Q27"/>
    <mergeCell ref="P37:Q37"/>
    <mergeCell ref="R37:S37"/>
    <mergeCell ref="AJ27:AK27"/>
    <mergeCell ref="AL27:AM27"/>
    <mergeCell ref="N34:O34"/>
    <mergeCell ref="P34:Q34"/>
    <mergeCell ref="AF34:AG34"/>
    <mergeCell ref="AD29:AE29"/>
    <mergeCell ref="AF29:AG29"/>
    <mergeCell ref="AJ24:AK24"/>
    <mergeCell ref="V54:W54"/>
    <mergeCell ref="P40:Q40"/>
    <mergeCell ref="R25:S25"/>
    <mergeCell ref="AJ46:AK46"/>
    <mergeCell ref="P53:Q53"/>
    <mergeCell ref="R53:S53"/>
    <mergeCell ref="N75:O75"/>
    <mergeCell ref="L75:M75"/>
    <mergeCell ref="AR76:AS76"/>
    <mergeCell ref="AP76:AQ76"/>
    <mergeCell ref="AN76:AO76"/>
    <mergeCell ref="AL76:AM76"/>
    <mergeCell ref="AJ76:AK76"/>
    <mergeCell ref="AH76:AI76"/>
    <mergeCell ref="AF76:AG76"/>
    <mergeCell ref="AD76:AE76"/>
    <mergeCell ref="AB76:AC76"/>
    <mergeCell ref="Z76:AA76"/>
    <mergeCell ref="X76:Y76"/>
    <mergeCell ref="V76:W76"/>
    <mergeCell ref="T76:U76"/>
    <mergeCell ref="R76:S76"/>
    <mergeCell ref="P76:Q76"/>
    <mergeCell ref="N76:O76"/>
    <mergeCell ref="L76:M76"/>
    <mergeCell ref="AP75:AQ75"/>
    <mergeCell ref="AR75:AS75"/>
    <mergeCell ref="T68:U68"/>
    <mergeCell ref="R68:S68"/>
    <mergeCell ref="P68:Q68"/>
    <mergeCell ref="AV68:AW68"/>
    <mergeCell ref="AT68:AU68"/>
    <mergeCell ref="N61:O61"/>
    <mergeCell ref="L61:M61"/>
    <mergeCell ref="AR67:AS67"/>
    <mergeCell ref="AP67:AQ67"/>
    <mergeCell ref="AN67:AO67"/>
    <mergeCell ref="AL67:AM67"/>
    <mergeCell ref="AJ67:AK67"/>
    <mergeCell ref="AH67:AI67"/>
    <mergeCell ref="AF67:AG67"/>
    <mergeCell ref="AD67:AE67"/>
    <mergeCell ref="AB67:AC67"/>
    <mergeCell ref="Z67:AA67"/>
    <mergeCell ref="X67:Y67"/>
    <mergeCell ref="V67:W67"/>
    <mergeCell ref="T67:U67"/>
    <mergeCell ref="R67:S67"/>
    <mergeCell ref="P67:Q67"/>
    <mergeCell ref="N67:O67"/>
    <mergeCell ref="L67:M67"/>
    <mergeCell ref="AR65:AS65"/>
    <mergeCell ref="AP65:AQ65"/>
    <mergeCell ref="V64:W64"/>
    <mergeCell ref="X64:Y64"/>
    <mergeCell ref="Z64:AA64"/>
    <mergeCell ref="AB64:AC64"/>
    <mergeCell ref="AD64:AE64"/>
    <mergeCell ref="AF64:AG64"/>
    <mergeCell ref="AL64:AM64"/>
    <mergeCell ref="AN64:AO64"/>
    <mergeCell ref="AP64:AQ64"/>
    <mergeCell ref="AR64:AS64"/>
    <mergeCell ref="AT64:AU64"/>
    <mergeCell ref="AV64:AW64"/>
    <mergeCell ref="L66:M66"/>
    <mergeCell ref="L64:M64"/>
    <mergeCell ref="Z65:AA65"/>
    <mergeCell ref="X65:Y65"/>
    <mergeCell ref="V65:W65"/>
    <mergeCell ref="N77:O77"/>
    <mergeCell ref="L77:M77"/>
    <mergeCell ref="V82:W82"/>
    <mergeCell ref="T82:U82"/>
    <mergeCell ref="R82:S82"/>
    <mergeCell ref="P82:Q82"/>
    <mergeCell ref="N82:O82"/>
    <mergeCell ref="L82:M82"/>
    <mergeCell ref="AD79:AE79"/>
    <mergeCell ref="AB79:AC79"/>
    <mergeCell ref="Z79:AA79"/>
    <mergeCell ref="X79:Y79"/>
    <mergeCell ref="V79:W79"/>
    <mergeCell ref="T79:U79"/>
    <mergeCell ref="R79:S79"/>
    <mergeCell ref="P79:Q79"/>
    <mergeCell ref="N79:O79"/>
    <mergeCell ref="L79:M79"/>
    <mergeCell ref="AR81:AS81"/>
    <mergeCell ref="AP81:AQ81"/>
    <mergeCell ref="AN81:AO81"/>
    <mergeCell ref="AL81:AM81"/>
    <mergeCell ref="AJ81:AK81"/>
    <mergeCell ref="AH81:AI81"/>
    <mergeCell ref="AF81:AG81"/>
    <mergeCell ref="AD81:AE81"/>
    <mergeCell ref="AB81:AC81"/>
    <mergeCell ref="Z81:AA81"/>
    <mergeCell ref="X81:Y81"/>
    <mergeCell ref="V81:W81"/>
    <mergeCell ref="T81:U81"/>
    <mergeCell ref="R81:S81"/>
    <mergeCell ref="P81:Q81"/>
    <mergeCell ref="N81:O81"/>
    <mergeCell ref="AR78:AS78"/>
    <mergeCell ref="AP78:AQ78"/>
    <mergeCell ref="AN78:AO78"/>
    <mergeCell ref="AL78:AM78"/>
    <mergeCell ref="AJ78:AK78"/>
    <mergeCell ref="AH78:AI78"/>
    <mergeCell ref="AF78:AG78"/>
    <mergeCell ref="AD78:AE78"/>
    <mergeCell ref="AB78:AC78"/>
    <mergeCell ref="Z78:AA78"/>
    <mergeCell ref="X78:Y78"/>
    <mergeCell ref="V78:W78"/>
    <mergeCell ref="T78:U78"/>
    <mergeCell ref="R78:S78"/>
    <mergeCell ref="P78:Q78"/>
    <mergeCell ref="N78:O78"/>
    <mergeCell ref="L78:M78"/>
    <mergeCell ref="AB80:AC80"/>
    <mergeCell ref="AD80:AE80"/>
    <mergeCell ref="AF80:AG80"/>
    <mergeCell ref="T77:U77"/>
    <mergeCell ref="Z77:AA77"/>
    <mergeCell ref="X77:Y77"/>
    <mergeCell ref="V77:W77"/>
    <mergeCell ref="X87:Y87"/>
    <mergeCell ref="V87:W87"/>
    <mergeCell ref="T87:U87"/>
    <mergeCell ref="R87:S87"/>
    <mergeCell ref="P87:Q87"/>
    <mergeCell ref="N87:O87"/>
    <mergeCell ref="L87:M87"/>
    <mergeCell ref="AR85:AS85"/>
    <mergeCell ref="AP85:AQ85"/>
    <mergeCell ref="AN85:AO85"/>
    <mergeCell ref="AL85:AM85"/>
    <mergeCell ref="AJ85:AK85"/>
    <mergeCell ref="AH85:AI85"/>
    <mergeCell ref="AF85:AG85"/>
    <mergeCell ref="AD85:AE85"/>
    <mergeCell ref="AB85:AC85"/>
    <mergeCell ref="Z85:AA85"/>
    <mergeCell ref="X85:Y85"/>
    <mergeCell ref="V85:W85"/>
    <mergeCell ref="T85:U85"/>
    <mergeCell ref="R85:S85"/>
    <mergeCell ref="P85:Q85"/>
    <mergeCell ref="N85:O85"/>
    <mergeCell ref="L85:M85"/>
    <mergeCell ref="AR86:AS86"/>
    <mergeCell ref="AP86:AQ86"/>
    <mergeCell ref="AN86:AO86"/>
    <mergeCell ref="AL86:AM86"/>
    <mergeCell ref="AJ86:AK86"/>
    <mergeCell ref="AH86:AI86"/>
    <mergeCell ref="AF86:AG86"/>
    <mergeCell ref="AD86:AE86"/>
    <mergeCell ref="AB86:AC86"/>
    <mergeCell ref="Z86:AA86"/>
    <mergeCell ref="X86:Y86"/>
    <mergeCell ref="V86:W86"/>
    <mergeCell ref="T86:U86"/>
    <mergeCell ref="R86:S86"/>
    <mergeCell ref="P86:Q86"/>
    <mergeCell ref="N86:O86"/>
    <mergeCell ref="L86:M86"/>
    <mergeCell ref="AF89:AG89"/>
    <mergeCell ref="AD89:AE89"/>
    <mergeCell ref="AB89:AC89"/>
    <mergeCell ref="Z89:AA89"/>
    <mergeCell ref="X89:Y89"/>
    <mergeCell ref="V89:W89"/>
    <mergeCell ref="T89:U89"/>
    <mergeCell ref="R89:S89"/>
    <mergeCell ref="P89:Q89"/>
    <mergeCell ref="N89:O89"/>
    <mergeCell ref="L89:M89"/>
    <mergeCell ref="L92:M92"/>
    <mergeCell ref="Z93:AA93"/>
    <mergeCell ref="X93:Y93"/>
    <mergeCell ref="V93:W93"/>
    <mergeCell ref="T93:U93"/>
    <mergeCell ref="R93:S93"/>
    <mergeCell ref="P93:Q93"/>
    <mergeCell ref="N93:O93"/>
    <mergeCell ref="L93:M93"/>
    <mergeCell ref="AR90:AS90"/>
    <mergeCell ref="AP90:AQ90"/>
    <mergeCell ref="AN90:AO90"/>
    <mergeCell ref="AL90:AM90"/>
    <mergeCell ref="AJ90:AK90"/>
    <mergeCell ref="AH90:AI90"/>
    <mergeCell ref="AF90:AG90"/>
    <mergeCell ref="AD90:AE90"/>
    <mergeCell ref="AB90:AC90"/>
    <mergeCell ref="Z90:AA90"/>
    <mergeCell ref="X90:Y90"/>
    <mergeCell ref="V90:W90"/>
    <mergeCell ref="T90:U90"/>
    <mergeCell ref="R90:S90"/>
    <mergeCell ref="P90:Q90"/>
    <mergeCell ref="N90:O90"/>
    <mergeCell ref="L90:M90"/>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R93:AS93"/>
    <mergeCell ref="AP93:AQ93"/>
    <mergeCell ref="AN93:AO93"/>
    <mergeCell ref="AL93:AM93"/>
    <mergeCell ref="N92:O92"/>
    <mergeCell ref="P92:Q92"/>
    <mergeCell ref="R92:S92"/>
    <mergeCell ref="T92:U92"/>
    <mergeCell ref="V92:W92"/>
    <mergeCell ref="X92:Y92"/>
    <mergeCell ref="AF96:AG96"/>
    <mergeCell ref="AD96:AE96"/>
    <mergeCell ref="AB96:AC96"/>
    <mergeCell ref="Z96:AA96"/>
    <mergeCell ref="X96:Y96"/>
    <mergeCell ref="V96:W96"/>
    <mergeCell ref="T96:U96"/>
    <mergeCell ref="R96:S96"/>
    <mergeCell ref="P96:Q96"/>
    <mergeCell ref="N96:O96"/>
    <mergeCell ref="L96:M96"/>
    <mergeCell ref="AN94:AO94"/>
    <mergeCell ref="AL94:AM94"/>
    <mergeCell ref="AJ94:AK94"/>
    <mergeCell ref="AH94:AI94"/>
    <mergeCell ref="AF94:AG94"/>
    <mergeCell ref="AD94:AE94"/>
    <mergeCell ref="AB94:AC94"/>
    <mergeCell ref="Z94:AA94"/>
    <mergeCell ref="X94:Y94"/>
    <mergeCell ref="V94:W94"/>
    <mergeCell ref="T94:U94"/>
    <mergeCell ref="R94:S94"/>
    <mergeCell ref="P94:Q94"/>
    <mergeCell ref="N94:O94"/>
    <mergeCell ref="L94:M94"/>
    <mergeCell ref="AR95:AS95"/>
    <mergeCell ref="AP95:AQ95"/>
    <mergeCell ref="AN95:AO95"/>
    <mergeCell ref="AL95:AM95"/>
    <mergeCell ref="AJ95:AK95"/>
    <mergeCell ref="AH95:AI95"/>
    <mergeCell ref="AF95:AG95"/>
    <mergeCell ref="AD95:AE95"/>
    <mergeCell ref="AB95:AC95"/>
    <mergeCell ref="Z95:AA95"/>
    <mergeCell ref="X95:Y95"/>
    <mergeCell ref="V95:W95"/>
    <mergeCell ref="T95:U95"/>
    <mergeCell ref="R95:S95"/>
    <mergeCell ref="P95:Q95"/>
    <mergeCell ref="N95:O95"/>
    <mergeCell ref="L95:M95"/>
    <mergeCell ref="AP94:AQ94"/>
    <mergeCell ref="AR94:AS94"/>
    <mergeCell ref="AR96:AS96"/>
    <mergeCell ref="AP96:AQ96"/>
    <mergeCell ref="AN96:AO96"/>
    <mergeCell ref="AL96:AM96"/>
    <mergeCell ref="AJ96:AK96"/>
    <mergeCell ref="AH96:AI96"/>
    <mergeCell ref="AD97:AE97"/>
    <mergeCell ref="AB97:AC97"/>
    <mergeCell ref="Z97:AA97"/>
    <mergeCell ref="X97:Y97"/>
    <mergeCell ref="V97:W97"/>
    <mergeCell ref="T97:U97"/>
    <mergeCell ref="R97:S97"/>
    <mergeCell ref="P97:Q97"/>
    <mergeCell ref="N97:O97"/>
    <mergeCell ref="L97:M97"/>
    <mergeCell ref="AR99:AS99"/>
    <mergeCell ref="AP99:AQ99"/>
    <mergeCell ref="AN99:AO99"/>
    <mergeCell ref="AL99:AM99"/>
    <mergeCell ref="AJ99:AK99"/>
    <mergeCell ref="AH99:AI99"/>
    <mergeCell ref="AF99:AG99"/>
    <mergeCell ref="AD99:AE99"/>
    <mergeCell ref="AB99:AC99"/>
    <mergeCell ref="Z99:AA99"/>
    <mergeCell ref="X99:Y99"/>
    <mergeCell ref="V99:W99"/>
    <mergeCell ref="T99:U99"/>
    <mergeCell ref="R99:S99"/>
    <mergeCell ref="P99:Q99"/>
    <mergeCell ref="N99:O99"/>
    <mergeCell ref="P98:Q98"/>
    <mergeCell ref="R98:S98"/>
    <mergeCell ref="T98:U98"/>
    <mergeCell ref="V98:W98"/>
    <mergeCell ref="X98:Y98"/>
    <mergeCell ref="Z98:AA98"/>
    <mergeCell ref="AB98:AC98"/>
    <mergeCell ref="AD98:AE98"/>
    <mergeCell ref="AF98:AG98"/>
    <mergeCell ref="AH98:AI98"/>
    <mergeCell ref="AJ98:AK98"/>
    <mergeCell ref="AL98:AM98"/>
    <mergeCell ref="AN98:AO98"/>
    <mergeCell ref="AP98:AQ98"/>
    <mergeCell ref="AR98:AS98"/>
    <mergeCell ref="AF103:AG103"/>
    <mergeCell ref="AD103:AE103"/>
    <mergeCell ref="AB103:AC103"/>
    <mergeCell ref="Z103:AA103"/>
    <mergeCell ref="X103:Y103"/>
    <mergeCell ref="V103:W103"/>
    <mergeCell ref="T103:U103"/>
    <mergeCell ref="R103:S103"/>
    <mergeCell ref="P103:Q103"/>
    <mergeCell ref="N103:O103"/>
    <mergeCell ref="L103:M103"/>
    <mergeCell ref="AR104:AS104"/>
    <mergeCell ref="AP104:AQ104"/>
    <mergeCell ref="AN104:AO104"/>
    <mergeCell ref="AL104:AM104"/>
    <mergeCell ref="AJ104:AK104"/>
    <mergeCell ref="AH104:AI104"/>
    <mergeCell ref="AF104:AG104"/>
    <mergeCell ref="AD104:AE104"/>
    <mergeCell ref="AB104:AC104"/>
    <mergeCell ref="Z104:AA104"/>
    <mergeCell ref="X104:Y104"/>
    <mergeCell ref="V104:W104"/>
    <mergeCell ref="T104:U104"/>
    <mergeCell ref="R104:S104"/>
    <mergeCell ref="P104:Q104"/>
    <mergeCell ref="N104:O104"/>
    <mergeCell ref="L104:M104"/>
    <mergeCell ref="L107:M107"/>
    <mergeCell ref="L108:M108"/>
    <mergeCell ref="L110:M110"/>
    <mergeCell ref="Z111:AA111"/>
    <mergeCell ref="X111:Y111"/>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N110:O110"/>
    <mergeCell ref="P110:Q110"/>
    <mergeCell ref="R110:S110"/>
    <mergeCell ref="T110:U110"/>
    <mergeCell ref="L105:M105"/>
    <mergeCell ref="AR103:AS103"/>
    <mergeCell ref="AL108:AM108"/>
    <mergeCell ref="AF105:AG105"/>
    <mergeCell ref="AD105:AE105"/>
    <mergeCell ref="AB105:AC105"/>
    <mergeCell ref="Z105:AA105"/>
    <mergeCell ref="X105:Y105"/>
    <mergeCell ref="V105:W105"/>
    <mergeCell ref="T105:U105"/>
    <mergeCell ref="R105:S105"/>
    <mergeCell ref="P105:Q105"/>
    <mergeCell ref="N105:O105"/>
    <mergeCell ref="AR106:AS106"/>
    <mergeCell ref="AP112:AQ112"/>
    <mergeCell ref="AR112:AS112"/>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L111:M111"/>
    <mergeCell ref="AN112:AO112"/>
    <mergeCell ref="AL112:AM112"/>
    <mergeCell ref="AJ112:AK112"/>
    <mergeCell ref="AH112:AI112"/>
    <mergeCell ref="R107:S107"/>
    <mergeCell ref="P107:Q107"/>
    <mergeCell ref="N107:O107"/>
    <mergeCell ref="AR111:AS111"/>
    <mergeCell ref="V111:W111"/>
    <mergeCell ref="T111:U111"/>
    <mergeCell ref="R111:S111"/>
    <mergeCell ref="P111:Q111"/>
    <mergeCell ref="N111:O111"/>
    <mergeCell ref="AP111:AQ111"/>
    <mergeCell ref="AN111:AO111"/>
    <mergeCell ref="AL111:AM111"/>
    <mergeCell ref="AJ111:AK111"/>
    <mergeCell ref="AH111:AI111"/>
    <mergeCell ref="AF111:AG111"/>
    <mergeCell ref="AD111:AE111"/>
    <mergeCell ref="AB111:AC111"/>
    <mergeCell ref="AR108:AS108"/>
    <mergeCell ref="AP108:AQ108"/>
    <mergeCell ref="AN108:AO108"/>
    <mergeCell ref="AJ108:AK108"/>
    <mergeCell ref="AH108:AI108"/>
    <mergeCell ref="AF108:AG108"/>
    <mergeCell ref="AD108:AE108"/>
    <mergeCell ref="AB108:AC108"/>
    <mergeCell ref="Z108:AA108"/>
    <mergeCell ref="X108:Y108"/>
    <mergeCell ref="V108:W108"/>
    <mergeCell ref="T108:U108"/>
    <mergeCell ref="R108:S108"/>
    <mergeCell ref="P108:Q108"/>
    <mergeCell ref="N108:O108"/>
    <mergeCell ref="V112:W112"/>
    <mergeCell ref="T112:U112"/>
    <mergeCell ref="R112:S112"/>
    <mergeCell ref="P112:Q112"/>
    <mergeCell ref="N112:O112"/>
    <mergeCell ref="AF112:AG112"/>
    <mergeCell ref="AD112:AE112"/>
    <mergeCell ref="AB112:AC112"/>
    <mergeCell ref="Z112:AA112"/>
    <mergeCell ref="X112:Y112"/>
    <mergeCell ref="AT106:AU106"/>
    <mergeCell ref="AV106:AW106"/>
    <mergeCell ref="L109:M109"/>
    <mergeCell ref="N109:O109"/>
    <mergeCell ref="P109:Q109"/>
    <mergeCell ref="R109:S109"/>
    <mergeCell ref="L116:M116"/>
    <mergeCell ref="L119:M119"/>
    <mergeCell ref="Z120:AA120"/>
    <mergeCell ref="X120:Y120"/>
    <mergeCell ref="V120:W120"/>
    <mergeCell ref="T120:U120"/>
    <mergeCell ref="R120:S120"/>
    <mergeCell ref="P120:Q120"/>
    <mergeCell ref="N120:O120"/>
    <mergeCell ref="L120:M120"/>
    <mergeCell ref="AR117:AS117"/>
    <mergeCell ref="AP117:AQ117"/>
    <mergeCell ref="AN117:AO117"/>
    <mergeCell ref="AL117:AM117"/>
    <mergeCell ref="AJ117:AK117"/>
    <mergeCell ref="AH117:AI117"/>
    <mergeCell ref="AF117:AG117"/>
    <mergeCell ref="AD117:AE117"/>
    <mergeCell ref="AB117:AC117"/>
    <mergeCell ref="Z117:AA117"/>
    <mergeCell ref="X117:Y117"/>
    <mergeCell ref="V117:W117"/>
    <mergeCell ref="T117:U117"/>
    <mergeCell ref="R117:S117"/>
    <mergeCell ref="P117:Q117"/>
    <mergeCell ref="N117:O117"/>
    <mergeCell ref="L117:M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D116:AE116"/>
    <mergeCell ref="L112:M112"/>
    <mergeCell ref="AR113:AS113"/>
    <mergeCell ref="AP113:AQ113"/>
    <mergeCell ref="AN113:AO113"/>
    <mergeCell ref="AL113:AM113"/>
    <mergeCell ref="AJ113:AK113"/>
    <mergeCell ref="AH113:AI113"/>
    <mergeCell ref="AF113:AG113"/>
    <mergeCell ref="AD113:AE113"/>
    <mergeCell ref="AB113:AC113"/>
    <mergeCell ref="Z113:AA113"/>
    <mergeCell ref="X113:Y113"/>
    <mergeCell ref="V113:W113"/>
    <mergeCell ref="T113:U113"/>
    <mergeCell ref="R113:S113"/>
    <mergeCell ref="P113:Q113"/>
    <mergeCell ref="N113:O113"/>
    <mergeCell ref="L113:M113"/>
    <mergeCell ref="AV103:AW103"/>
    <mergeCell ref="AT103:AU103"/>
    <mergeCell ref="BP100:BQ100"/>
    <mergeCell ref="AV78:AW78"/>
    <mergeCell ref="AT78:AU78"/>
    <mergeCell ref="AV89:AW89"/>
    <mergeCell ref="AT89:AU89"/>
    <mergeCell ref="AV105:AW105"/>
    <mergeCell ref="AT105:AU105"/>
    <mergeCell ref="AT92:AU92"/>
    <mergeCell ref="AV92:AW92"/>
    <mergeCell ref="AT94:AU94"/>
    <mergeCell ref="AV94:AW94"/>
    <mergeCell ref="BD105:BE105"/>
    <mergeCell ref="BB105:BC105"/>
    <mergeCell ref="AZ105:BA105"/>
    <mergeCell ref="AX105:AY105"/>
    <mergeCell ref="AP80:AQ80"/>
    <mergeCell ref="AR80:AS80"/>
    <mergeCell ref="BF90:BG90"/>
    <mergeCell ref="BH90:BI90"/>
    <mergeCell ref="BJ90:BK90"/>
    <mergeCell ref="BL90:BM90"/>
    <mergeCell ref="BN90:BO90"/>
    <mergeCell ref="BP90:BQ90"/>
    <mergeCell ref="AT91:AU91"/>
    <mergeCell ref="AV91:AW91"/>
    <mergeCell ref="AX94:AY94"/>
    <mergeCell ref="AZ94:BA94"/>
    <mergeCell ref="BB94:BC94"/>
    <mergeCell ref="BD94:BE94"/>
    <mergeCell ref="BF94:BG94"/>
    <mergeCell ref="BH94:BI94"/>
    <mergeCell ref="BJ94:BK94"/>
    <mergeCell ref="BL94:BM94"/>
    <mergeCell ref="BN94:BO94"/>
    <mergeCell ref="BP94:BQ94"/>
    <mergeCell ref="AT93:AU93"/>
    <mergeCell ref="AV93:AW93"/>
    <mergeCell ref="AX93:AY93"/>
    <mergeCell ref="AZ93:BA93"/>
    <mergeCell ref="BB93:BC93"/>
    <mergeCell ref="BD93:BE93"/>
    <mergeCell ref="BF93:BG93"/>
    <mergeCell ref="BH93:BI93"/>
    <mergeCell ref="BJ93:BK93"/>
    <mergeCell ref="BL93:BM93"/>
    <mergeCell ref="BN93:BO93"/>
    <mergeCell ref="BP93:BQ93"/>
    <mergeCell ref="AV112:AW112"/>
    <mergeCell ref="AX112:AY112"/>
    <mergeCell ref="AZ112:BA112"/>
    <mergeCell ref="BB112:BC112"/>
    <mergeCell ref="BD112:BE112"/>
    <mergeCell ref="BF112:BG112"/>
    <mergeCell ref="BH112:BI112"/>
    <mergeCell ref="BJ112:BK112"/>
    <mergeCell ref="BL112:BM112"/>
    <mergeCell ref="BN112:BO112"/>
    <mergeCell ref="BP112:BQ112"/>
    <mergeCell ref="AT110:AU110"/>
    <mergeCell ref="BB119:BC119"/>
    <mergeCell ref="BD119:BE119"/>
    <mergeCell ref="BF119:BG119"/>
    <mergeCell ref="BH119:BI119"/>
    <mergeCell ref="BJ119:BK119"/>
    <mergeCell ref="BL119:BM119"/>
    <mergeCell ref="BN119:BO119"/>
    <mergeCell ref="BP119:BQ119"/>
    <mergeCell ref="BP118:BQ118"/>
    <mergeCell ref="AR121:AS121"/>
    <mergeCell ref="AR114:AS114"/>
    <mergeCell ref="BD114:BE114"/>
    <mergeCell ref="BB114:BC114"/>
    <mergeCell ref="AZ114:BA114"/>
    <mergeCell ref="AX114:AY114"/>
    <mergeCell ref="AV114:AW114"/>
    <mergeCell ref="AX106:AY106"/>
    <mergeCell ref="AZ106:BA106"/>
    <mergeCell ref="AH89:AI89"/>
    <mergeCell ref="AR87:AS87"/>
    <mergeCell ref="AP87:AQ87"/>
    <mergeCell ref="AN87:AO87"/>
    <mergeCell ref="AL87:AM87"/>
    <mergeCell ref="AJ87:AK87"/>
    <mergeCell ref="AH87:AI87"/>
    <mergeCell ref="AR105:AS105"/>
    <mergeCell ref="AP105:AQ105"/>
    <mergeCell ref="AN105:AO105"/>
    <mergeCell ref="AL105:AM105"/>
    <mergeCell ref="AJ105:AK105"/>
    <mergeCell ref="AH105:AI105"/>
    <mergeCell ref="AP103:AQ103"/>
    <mergeCell ref="AN103:AO103"/>
    <mergeCell ref="AL103:AM103"/>
    <mergeCell ref="AJ103:AK103"/>
    <mergeCell ref="AH103:AI103"/>
    <mergeCell ref="AZ100:BA100"/>
    <mergeCell ref="AX100:AY100"/>
    <mergeCell ref="AV100:AW100"/>
    <mergeCell ref="AT100:AU100"/>
    <mergeCell ref="BP96:BQ96"/>
    <mergeCell ref="BN96:BO96"/>
    <mergeCell ref="BL96:BM96"/>
    <mergeCell ref="BJ96:BK96"/>
    <mergeCell ref="BH96:BI96"/>
    <mergeCell ref="BF96:BG96"/>
    <mergeCell ref="BD99:BE99"/>
    <mergeCell ref="BB99:BC99"/>
    <mergeCell ref="AZ99:BA99"/>
    <mergeCell ref="AX99:AY99"/>
    <mergeCell ref="AV99:AW99"/>
    <mergeCell ref="AT99:AU99"/>
    <mergeCell ref="X122:Y122"/>
    <mergeCell ref="V122:W122"/>
    <mergeCell ref="T122:U122"/>
    <mergeCell ref="R122:S122"/>
    <mergeCell ref="P122:Q122"/>
    <mergeCell ref="N122:O122"/>
    <mergeCell ref="L122:M122"/>
    <mergeCell ref="AP121:AQ121"/>
    <mergeCell ref="AF114:AG114"/>
    <mergeCell ref="AD114:AE114"/>
    <mergeCell ref="AB114:AC114"/>
    <mergeCell ref="Z114:AA114"/>
    <mergeCell ref="X114:Y114"/>
    <mergeCell ref="V114:W114"/>
    <mergeCell ref="T114:U114"/>
    <mergeCell ref="R114:S114"/>
    <mergeCell ref="P114:Q114"/>
    <mergeCell ref="N114:O114"/>
    <mergeCell ref="L114:M114"/>
    <mergeCell ref="AB116:AC116"/>
    <mergeCell ref="Z116:AA116"/>
    <mergeCell ref="X116:Y116"/>
    <mergeCell ref="V116:W116"/>
    <mergeCell ref="T116:U116"/>
    <mergeCell ref="R116:S116"/>
    <mergeCell ref="P116:Q116"/>
    <mergeCell ref="N116:O116"/>
    <mergeCell ref="BF115:BG115"/>
    <mergeCell ref="BH115:BI115"/>
    <mergeCell ref="BJ115:BK115"/>
    <mergeCell ref="BL115:BM115"/>
    <mergeCell ref="BN115:BO115"/>
    <mergeCell ref="BD116:BE116"/>
    <mergeCell ref="BN116:BO116"/>
    <mergeCell ref="BL116:BM116"/>
    <mergeCell ref="BJ116:BK116"/>
    <mergeCell ref="BH116:BI116"/>
    <mergeCell ref="BF116:BG116"/>
    <mergeCell ref="BD117:BE117"/>
    <mergeCell ref="BB117:BC117"/>
    <mergeCell ref="AZ117:BA117"/>
    <mergeCell ref="AJ118:AK118"/>
    <mergeCell ref="AL118:AM118"/>
    <mergeCell ref="AN118:AO118"/>
    <mergeCell ref="AP118:AQ118"/>
    <mergeCell ref="AR118:AS118"/>
    <mergeCell ref="BH118:BI118"/>
    <mergeCell ref="BJ118:BK118"/>
    <mergeCell ref="BL118:BM118"/>
    <mergeCell ref="BN118:BO118"/>
    <mergeCell ref="AN121:AO121"/>
    <mergeCell ref="AL121:AM121"/>
    <mergeCell ref="AJ121:AK121"/>
    <mergeCell ref="BF118:BG118"/>
    <mergeCell ref="AX117:AY117"/>
    <mergeCell ref="AV117:AW117"/>
    <mergeCell ref="AT117:AU117"/>
    <mergeCell ref="AH116:AI116"/>
    <mergeCell ref="AF116:AG116"/>
    <mergeCell ref="AT115:AU115"/>
    <mergeCell ref="BB115:BC115"/>
    <mergeCell ref="AT118:AU118"/>
    <mergeCell ref="AV118:AW118"/>
    <mergeCell ref="BF117:BG117"/>
    <mergeCell ref="AP125:AQ125"/>
    <mergeCell ref="AN125:AO125"/>
    <mergeCell ref="AL125:AM125"/>
    <mergeCell ref="AJ125:AK125"/>
    <mergeCell ref="AH125:AI125"/>
    <mergeCell ref="AF125:AG125"/>
    <mergeCell ref="AD125:AE125"/>
    <mergeCell ref="AB125:AC125"/>
    <mergeCell ref="Z125:AA125"/>
    <mergeCell ref="X125:Y125"/>
    <mergeCell ref="N125:O125"/>
    <mergeCell ref="L125:M125"/>
    <mergeCell ref="AB127:AC127"/>
    <mergeCell ref="AD127:AE127"/>
    <mergeCell ref="AF127:AG127"/>
    <mergeCell ref="AH127:AI127"/>
    <mergeCell ref="AJ127:AK127"/>
    <mergeCell ref="AL127:AM127"/>
    <mergeCell ref="AN127:AO127"/>
    <mergeCell ref="AP127:AQ127"/>
    <mergeCell ref="AR127:AS127"/>
    <mergeCell ref="V125:W125"/>
    <mergeCell ref="T125:U125"/>
    <mergeCell ref="R125:S125"/>
    <mergeCell ref="P125:Q125"/>
    <mergeCell ref="AH120:AI120"/>
    <mergeCell ref="AF120:AG120"/>
    <mergeCell ref="AX118:AY118"/>
    <mergeCell ref="AZ118:BA118"/>
    <mergeCell ref="BB118:BC118"/>
    <mergeCell ref="BD118:BE118"/>
    <mergeCell ref="P127:Q127"/>
    <mergeCell ref="R127:S127"/>
    <mergeCell ref="T127:U127"/>
    <mergeCell ref="V127:W127"/>
    <mergeCell ref="X127:Y127"/>
    <mergeCell ref="Z127:AA127"/>
    <mergeCell ref="AT127:AU127"/>
    <mergeCell ref="AV127:AW127"/>
    <mergeCell ref="AX127:AY127"/>
    <mergeCell ref="AZ127:BA127"/>
    <mergeCell ref="BB127:BC127"/>
    <mergeCell ref="BD127:BE127"/>
    <mergeCell ref="L127:M127"/>
    <mergeCell ref="N127:O127"/>
    <mergeCell ref="AB121:AC121"/>
    <mergeCell ref="Z121:AA121"/>
    <mergeCell ref="X121:Y121"/>
    <mergeCell ref="V121:W121"/>
    <mergeCell ref="T121:U121"/>
    <mergeCell ref="R121:S121"/>
    <mergeCell ref="P121:Q121"/>
    <mergeCell ref="N121:O121"/>
    <mergeCell ref="L121:M121"/>
    <mergeCell ref="AR122:AS122"/>
    <mergeCell ref="AP122:AQ122"/>
    <mergeCell ref="AN122:AO122"/>
    <mergeCell ref="AL122:AM122"/>
    <mergeCell ref="AJ122:AK122"/>
    <mergeCell ref="AH122:AI122"/>
    <mergeCell ref="AF122:AG122"/>
    <mergeCell ref="AD122:AE122"/>
    <mergeCell ref="AB122:AC122"/>
    <mergeCell ref="Z122:AA122"/>
    <mergeCell ref="AB126:AC126"/>
    <mergeCell ref="Z126:AA126"/>
    <mergeCell ref="X126:Y126"/>
    <mergeCell ref="V126:W126"/>
    <mergeCell ref="T126:U126"/>
    <mergeCell ref="R126:S126"/>
    <mergeCell ref="P126:Q126"/>
    <mergeCell ref="N126:O126"/>
    <mergeCell ref="L126:M126"/>
    <mergeCell ref="AH136:AI136"/>
    <mergeCell ref="AF136:AG136"/>
    <mergeCell ref="AD136:AE136"/>
    <mergeCell ref="AB136:AC136"/>
    <mergeCell ref="Z136:AA136"/>
    <mergeCell ref="X136:Y136"/>
    <mergeCell ref="V136:W136"/>
    <mergeCell ref="T136:U136"/>
    <mergeCell ref="R136:S136"/>
    <mergeCell ref="P136:Q136"/>
    <mergeCell ref="T123:AA123"/>
    <mergeCell ref="AB123:AI123"/>
    <mergeCell ref="AJ123:AS123"/>
    <mergeCell ref="AT123:BA123"/>
    <mergeCell ref="AH121:AI121"/>
    <mergeCell ref="AF121:AG121"/>
    <mergeCell ref="AD121:AE121"/>
    <mergeCell ref="AV115:AW115"/>
    <mergeCell ref="AX115:AY115"/>
    <mergeCell ref="AZ115:BA115"/>
    <mergeCell ref="N134:O134"/>
    <mergeCell ref="L134:M134"/>
    <mergeCell ref="AR132:AS132"/>
    <mergeCell ref="AP132:AQ132"/>
    <mergeCell ref="AN132:AO132"/>
    <mergeCell ref="AL132:AM132"/>
    <mergeCell ref="AJ132:AK132"/>
    <mergeCell ref="AH132:AI132"/>
    <mergeCell ref="AF132:AG132"/>
    <mergeCell ref="AD132:AE132"/>
    <mergeCell ref="AB132:AC132"/>
    <mergeCell ref="Z132:AA132"/>
    <mergeCell ref="X132:Y132"/>
    <mergeCell ref="V132:W132"/>
    <mergeCell ref="T132:U132"/>
    <mergeCell ref="R132:S132"/>
    <mergeCell ref="P132:Q132"/>
    <mergeCell ref="N132:O132"/>
    <mergeCell ref="L132:M132"/>
    <mergeCell ref="AR133:AS133"/>
    <mergeCell ref="AP133:AQ133"/>
    <mergeCell ref="AN133:AO133"/>
    <mergeCell ref="AL133:AM133"/>
    <mergeCell ref="AJ133:AK133"/>
    <mergeCell ref="AH133:AI133"/>
    <mergeCell ref="AF133:AG133"/>
    <mergeCell ref="AD133:AE133"/>
    <mergeCell ref="AB133:AC133"/>
    <mergeCell ref="Z133:AA133"/>
    <mergeCell ref="X133:Y133"/>
    <mergeCell ref="V133:W133"/>
    <mergeCell ref="T133:U133"/>
    <mergeCell ref="R133:S133"/>
    <mergeCell ref="AN115:AO115"/>
    <mergeCell ref="AR125:AS125"/>
    <mergeCell ref="N133:O133"/>
    <mergeCell ref="L133:M133"/>
    <mergeCell ref="R134:S134"/>
    <mergeCell ref="P134:Q134"/>
    <mergeCell ref="AD120:AE120"/>
    <mergeCell ref="AB120:AC120"/>
    <mergeCell ref="AR128:AS128"/>
    <mergeCell ref="AP128:AQ128"/>
    <mergeCell ref="AN128:AO128"/>
    <mergeCell ref="AL128:AM128"/>
    <mergeCell ref="L139:M139"/>
    <mergeCell ref="Z140:AA140"/>
    <mergeCell ref="X140:Y140"/>
    <mergeCell ref="V140:W140"/>
    <mergeCell ref="T140:U140"/>
    <mergeCell ref="R140:S140"/>
    <mergeCell ref="P140:Q140"/>
    <mergeCell ref="N140:O140"/>
    <mergeCell ref="L140:M140"/>
    <mergeCell ref="AR137:AS137"/>
    <mergeCell ref="AP137:AQ137"/>
    <mergeCell ref="AN137:AO137"/>
    <mergeCell ref="AL137:AM137"/>
    <mergeCell ref="AJ137:AK137"/>
    <mergeCell ref="AH137:AI137"/>
    <mergeCell ref="AF137:AG137"/>
    <mergeCell ref="AD137:AE137"/>
    <mergeCell ref="AB137:AC137"/>
    <mergeCell ref="Z137:AA137"/>
    <mergeCell ref="X137:Y137"/>
    <mergeCell ref="V137:W137"/>
    <mergeCell ref="T137:U137"/>
    <mergeCell ref="R137:S137"/>
    <mergeCell ref="P137:Q137"/>
    <mergeCell ref="N137:O137"/>
    <mergeCell ref="L137:M137"/>
    <mergeCell ref="L138:M138"/>
    <mergeCell ref="N138:O138"/>
    <mergeCell ref="P138:Q138"/>
    <mergeCell ref="R138:S138"/>
    <mergeCell ref="T138:U138"/>
    <mergeCell ref="V138:W138"/>
    <mergeCell ref="X138:Y138"/>
    <mergeCell ref="Z138:AA138"/>
    <mergeCell ref="AB138:AC138"/>
    <mergeCell ref="AD138:AE138"/>
    <mergeCell ref="AF138:AG138"/>
    <mergeCell ref="AH138:AI138"/>
    <mergeCell ref="AJ138:AK138"/>
    <mergeCell ref="AL138:AM138"/>
    <mergeCell ref="AN138:AO138"/>
    <mergeCell ref="AP138:AQ138"/>
    <mergeCell ref="AR138:AS138"/>
    <mergeCell ref="AR140:AS140"/>
    <mergeCell ref="AP140:AQ140"/>
    <mergeCell ref="AN140:AO140"/>
    <mergeCell ref="AL140:AM140"/>
    <mergeCell ref="AH140:AI140"/>
    <mergeCell ref="AF140:AG140"/>
    <mergeCell ref="AD140:AE140"/>
    <mergeCell ref="AB140:AC140"/>
    <mergeCell ref="L123:S123"/>
    <mergeCell ref="AJ120:AK120"/>
    <mergeCell ref="AD126:AE126"/>
    <mergeCell ref="N143:O143"/>
    <mergeCell ref="L143:M143"/>
    <mergeCell ref="AN141:AO141"/>
    <mergeCell ref="AL141:AM141"/>
    <mergeCell ref="AJ141:AK141"/>
    <mergeCell ref="AH141:AI141"/>
    <mergeCell ref="AF141:AG141"/>
    <mergeCell ref="AD141:AE141"/>
    <mergeCell ref="AB141:AC141"/>
    <mergeCell ref="Z141:AA141"/>
    <mergeCell ref="X141:Y141"/>
    <mergeCell ref="V141:W141"/>
    <mergeCell ref="T141:U141"/>
    <mergeCell ref="R141:S141"/>
    <mergeCell ref="P141:Q141"/>
    <mergeCell ref="N141:O141"/>
    <mergeCell ref="L141:M141"/>
    <mergeCell ref="AR142:AS142"/>
    <mergeCell ref="AP142:AQ142"/>
    <mergeCell ref="AN142:AO142"/>
    <mergeCell ref="AL142:AM142"/>
    <mergeCell ref="AJ142:AK142"/>
    <mergeCell ref="AH142:AI142"/>
    <mergeCell ref="AF142:AG142"/>
    <mergeCell ref="AD142:AE142"/>
    <mergeCell ref="AB142:AC142"/>
    <mergeCell ref="Z142:AA142"/>
    <mergeCell ref="X142:Y142"/>
    <mergeCell ref="V142:W142"/>
    <mergeCell ref="T142:U142"/>
    <mergeCell ref="R142:S142"/>
    <mergeCell ref="P142:Q142"/>
    <mergeCell ref="N142:O142"/>
    <mergeCell ref="L142:M142"/>
    <mergeCell ref="AP141:AQ141"/>
    <mergeCell ref="AR141:AS141"/>
    <mergeCell ref="AR143:AS143"/>
    <mergeCell ref="AP143:AQ143"/>
    <mergeCell ref="AN143:AO143"/>
    <mergeCell ref="AL143:AM143"/>
    <mergeCell ref="AJ143:AK143"/>
    <mergeCell ref="AH143:AI143"/>
    <mergeCell ref="AF143:AG143"/>
    <mergeCell ref="AD143:AE143"/>
    <mergeCell ref="AB143:AC143"/>
    <mergeCell ref="Z143:AA143"/>
    <mergeCell ref="X143:Y143"/>
    <mergeCell ref="V143:W143"/>
    <mergeCell ref="V151:W151"/>
    <mergeCell ref="T151:U151"/>
    <mergeCell ref="R151:S151"/>
    <mergeCell ref="P151:Q151"/>
    <mergeCell ref="N151:O151"/>
    <mergeCell ref="L151:M151"/>
    <mergeCell ref="AD144:AE144"/>
    <mergeCell ref="AB144:AC144"/>
    <mergeCell ref="Z144:AA144"/>
    <mergeCell ref="X144:Y144"/>
    <mergeCell ref="V144:W144"/>
    <mergeCell ref="T144:U144"/>
    <mergeCell ref="R144:S144"/>
    <mergeCell ref="P144:Q144"/>
    <mergeCell ref="N144:O144"/>
    <mergeCell ref="L144:M144"/>
    <mergeCell ref="AR146:AS146"/>
    <mergeCell ref="AP146:AQ146"/>
    <mergeCell ref="AN146:AO146"/>
    <mergeCell ref="AL146:AM146"/>
    <mergeCell ref="AJ146:AK146"/>
    <mergeCell ref="AH146:AI146"/>
    <mergeCell ref="AF146:AG146"/>
    <mergeCell ref="AD146:AE146"/>
    <mergeCell ref="AB146:AC146"/>
    <mergeCell ref="Z146:AA146"/>
    <mergeCell ref="X146:Y146"/>
    <mergeCell ref="V146:W146"/>
    <mergeCell ref="T146:U146"/>
    <mergeCell ref="R146:S146"/>
    <mergeCell ref="P146:Q146"/>
    <mergeCell ref="N146:O146"/>
    <mergeCell ref="P145:Q145"/>
    <mergeCell ref="R145:S145"/>
    <mergeCell ref="T145:U145"/>
    <mergeCell ref="V145:W145"/>
    <mergeCell ref="X145:Y145"/>
    <mergeCell ref="Z145:AA145"/>
    <mergeCell ref="AB145:AC145"/>
    <mergeCell ref="AD145:AE145"/>
    <mergeCell ref="N159:O159"/>
    <mergeCell ref="L159:M159"/>
    <mergeCell ref="AR160:AS160"/>
    <mergeCell ref="AP160:AQ160"/>
    <mergeCell ref="AN160:AO160"/>
    <mergeCell ref="AL160:AM160"/>
    <mergeCell ref="AJ160:AK160"/>
    <mergeCell ref="AH160:AI160"/>
    <mergeCell ref="AF160:AG160"/>
    <mergeCell ref="AD160:AE160"/>
    <mergeCell ref="AB160:AC160"/>
    <mergeCell ref="Z160:AA160"/>
    <mergeCell ref="X160:Y160"/>
    <mergeCell ref="V160:W160"/>
    <mergeCell ref="T160:U160"/>
    <mergeCell ref="R160:S160"/>
    <mergeCell ref="P160:Q160"/>
    <mergeCell ref="N160:O160"/>
    <mergeCell ref="L160:M160"/>
    <mergeCell ref="AR152:AS152"/>
    <mergeCell ref="AP152:AQ152"/>
    <mergeCell ref="AN152:AO152"/>
    <mergeCell ref="AL152:AM152"/>
    <mergeCell ref="AJ152:AK152"/>
    <mergeCell ref="AH152:AI152"/>
    <mergeCell ref="AF152:AG152"/>
    <mergeCell ref="AD152:AE152"/>
    <mergeCell ref="AB152:AC152"/>
    <mergeCell ref="Z152:AA152"/>
    <mergeCell ref="X152:Y152"/>
    <mergeCell ref="V152:W152"/>
    <mergeCell ref="T152:U152"/>
    <mergeCell ref="R152:S152"/>
    <mergeCell ref="P152:Q152"/>
    <mergeCell ref="N152:O152"/>
    <mergeCell ref="L152:M152"/>
    <mergeCell ref="P154:Q154"/>
    <mergeCell ref="R154:S154"/>
    <mergeCell ref="T154:U154"/>
    <mergeCell ref="V154:W154"/>
    <mergeCell ref="X154:Y154"/>
    <mergeCell ref="Z154:AA154"/>
    <mergeCell ref="AB154:AC154"/>
    <mergeCell ref="AD154:AE154"/>
    <mergeCell ref="AF154:AG154"/>
    <mergeCell ref="AH154:AI154"/>
    <mergeCell ref="AJ154:AK154"/>
    <mergeCell ref="AL154:AM154"/>
    <mergeCell ref="AN154:AO154"/>
    <mergeCell ref="AP154:AQ154"/>
    <mergeCell ref="AR154:AS154"/>
    <mergeCell ref="AN157:AO157"/>
    <mergeCell ref="AP157:AQ157"/>
    <mergeCell ref="AR157:AS157"/>
    <mergeCell ref="L158:M158"/>
    <mergeCell ref="N158:O158"/>
    <mergeCell ref="P158:Q158"/>
    <mergeCell ref="R158:S158"/>
    <mergeCell ref="T158:U158"/>
    <mergeCell ref="V158:W158"/>
    <mergeCell ref="X158:Y158"/>
    <mergeCell ref="Z158:AA158"/>
    <mergeCell ref="AB158:AC158"/>
    <mergeCell ref="AD158:AE158"/>
    <mergeCell ref="AR169:AS169"/>
    <mergeCell ref="AP169:AQ169"/>
    <mergeCell ref="AN169:AO169"/>
    <mergeCell ref="AL169:AM169"/>
    <mergeCell ref="AJ169:AK169"/>
    <mergeCell ref="AH169:AI169"/>
    <mergeCell ref="AF169:AG169"/>
    <mergeCell ref="AD169:AE169"/>
    <mergeCell ref="AB169:AC169"/>
    <mergeCell ref="Z169:AA169"/>
    <mergeCell ref="X169:Y169"/>
    <mergeCell ref="V169:W169"/>
    <mergeCell ref="T169:U169"/>
    <mergeCell ref="R169:S169"/>
    <mergeCell ref="P169:Q169"/>
    <mergeCell ref="AJ162:AK162"/>
    <mergeCell ref="AL162:AM162"/>
    <mergeCell ref="AN162:AO162"/>
    <mergeCell ref="AP162:AQ162"/>
    <mergeCell ref="AR162:AS162"/>
    <mergeCell ref="N161:O161"/>
    <mergeCell ref="L161:M161"/>
    <mergeCell ref="N166:O166"/>
    <mergeCell ref="P166:Q166"/>
    <mergeCell ref="R166:S166"/>
    <mergeCell ref="T166:U166"/>
    <mergeCell ref="V166:W166"/>
    <mergeCell ref="X166:Y166"/>
    <mergeCell ref="Z166:AA166"/>
    <mergeCell ref="AB166:AC166"/>
    <mergeCell ref="AD166:AE166"/>
    <mergeCell ref="AF166:AG166"/>
    <mergeCell ref="AH166:AI166"/>
    <mergeCell ref="AJ166:AK166"/>
    <mergeCell ref="AL166:AM166"/>
    <mergeCell ref="AN166:AO166"/>
    <mergeCell ref="AP166:AQ166"/>
    <mergeCell ref="AR166:AS166"/>
    <mergeCell ref="AF167:AG167"/>
    <mergeCell ref="P165:Q165"/>
    <mergeCell ref="R165:S165"/>
    <mergeCell ref="T165:U165"/>
    <mergeCell ref="V165:W165"/>
    <mergeCell ref="X165:Y165"/>
    <mergeCell ref="Z165:AA165"/>
    <mergeCell ref="AB165:AC165"/>
    <mergeCell ref="AD165:AE165"/>
    <mergeCell ref="AF165:AG165"/>
    <mergeCell ref="AH165:AI165"/>
    <mergeCell ref="AJ165:AK165"/>
    <mergeCell ref="AH164:AI164"/>
    <mergeCell ref="AF164:AG164"/>
    <mergeCell ref="AD164:AE164"/>
    <mergeCell ref="AB164:AC164"/>
    <mergeCell ref="Z164:AA164"/>
    <mergeCell ref="X164:Y164"/>
    <mergeCell ref="V164:W164"/>
    <mergeCell ref="T164:U164"/>
    <mergeCell ref="R164:S164"/>
    <mergeCell ref="P164:Q164"/>
    <mergeCell ref="N164:O164"/>
    <mergeCell ref="L164:M164"/>
    <mergeCell ref="L165:M165"/>
    <mergeCell ref="N165:O165"/>
    <mergeCell ref="BH132:BI132"/>
    <mergeCell ref="BJ132:BK132"/>
    <mergeCell ref="BL132:BM132"/>
    <mergeCell ref="BN132:BO132"/>
    <mergeCell ref="AV146:AW146"/>
    <mergeCell ref="AT146:AU146"/>
    <mergeCell ref="BD143:BE143"/>
    <mergeCell ref="BB143:BC143"/>
    <mergeCell ref="AZ143:BA143"/>
    <mergeCell ref="AX143:AY143"/>
    <mergeCell ref="AV143:AW143"/>
    <mergeCell ref="AT143:AU143"/>
    <mergeCell ref="AT145:AU145"/>
    <mergeCell ref="AV145:AW145"/>
    <mergeCell ref="AX145:AY145"/>
    <mergeCell ref="AZ145:BA145"/>
    <mergeCell ref="BB145:BC145"/>
    <mergeCell ref="BD145:BE145"/>
    <mergeCell ref="BF145:BG145"/>
    <mergeCell ref="BH145:BI145"/>
    <mergeCell ref="BJ145:BK145"/>
    <mergeCell ref="BL145:BM145"/>
    <mergeCell ref="BN145:BO145"/>
    <mergeCell ref="BH154:BI154"/>
    <mergeCell ref="BJ154:BK154"/>
    <mergeCell ref="BL154:BM154"/>
    <mergeCell ref="BN154:BO154"/>
    <mergeCell ref="Z129:AA129"/>
    <mergeCell ref="X129:Y129"/>
    <mergeCell ref="AL134:AM134"/>
    <mergeCell ref="AJ134:AK134"/>
    <mergeCell ref="AH134:AI134"/>
    <mergeCell ref="AF134:AG134"/>
    <mergeCell ref="AD134:AE134"/>
    <mergeCell ref="AB134:AC134"/>
    <mergeCell ref="AJ135:AK135"/>
    <mergeCell ref="Z147:AA147"/>
    <mergeCell ref="AJ150:AK150"/>
    <mergeCell ref="AH150:AI150"/>
    <mergeCell ref="AF150:AG150"/>
    <mergeCell ref="AD150:AE150"/>
    <mergeCell ref="AB150:AC150"/>
    <mergeCell ref="Z150:AA150"/>
    <mergeCell ref="X150:Y150"/>
    <mergeCell ref="BD146:BE146"/>
    <mergeCell ref="BB146:BC146"/>
    <mergeCell ref="AZ146:BA146"/>
    <mergeCell ref="AX146:AY146"/>
    <mergeCell ref="BF154:BG154"/>
    <mergeCell ref="BF132:BG132"/>
    <mergeCell ref="AR151:AS151"/>
    <mergeCell ref="AP151:AQ151"/>
    <mergeCell ref="AN151:AO151"/>
    <mergeCell ref="AL151:AM151"/>
    <mergeCell ref="AJ151:AK151"/>
    <mergeCell ref="AH151:AI151"/>
    <mergeCell ref="AF151:AG151"/>
    <mergeCell ref="AD151:AE151"/>
    <mergeCell ref="AB151:AC151"/>
    <mergeCell ref="Z151:AA151"/>
    <mergeCell ref="X151:Y151"/>
    <mergeCell ref="BF150:BG150"/>
    <mergeCell ref="BD150:BE150"/>
    <mergeCell ref="BB150:BC150"/>
    <mergeCell ref="AL165:AM165"/>
    <mergeCell ref="AN165:AO165"/>
    <mergeCell ref="AP165:AQ165"/>
    <mergeCell ref="AR165:AS165"/>
    <mergeCell ref="AR167:AS167"/>
    <mergeCell ref="AP167:AQ167"/>
    <mergeCell ref="AN167:AO167"/>
    <mergeCell ref="AL167:AM167"/>
    <mergeCell ref="AR161:AS161"/>
    <mergeCell ref="AP161:AQ161"/>
    <mergeCell ref="AN161:AO161"/>
    <mergeCell ref="AL161:AM161"/>
    <mergeCell ref="AJ161:AK161"/>
    <mergeCell ref="AH161:AI161"/>
    <mergeCell ref="AF161:AG161"/>
    <mergeCell ref="AD161:AE161"/>
    <mergeCell ref="AB161:AC161"/>
    <mergeCell ref="Z161:AA161"/>
    <mergeCell ref="X161:Y161"/>
    <mergeCell ref="V161:W161"/>
    <mergeCell ref="T161:U161"/>
    <mergeCell ref="R161:S161"/>
    <mergeCell ref="P161:Q161"/>
    <mergeCell ref="BD129:BE129"/>
    <mergeCell ref="BB129:BC129"/>
    <mergeCell ref="AZ129:BA129"/>
    <mergeCell ref="AX129:AY129"/>
    <mergeCell ref="AV129:AW129"/>
    <mergeCell ref="AT129:AU129"/>
    <mergeCell ref="AR159:AS159"/>
    <mergeCell ref="AP159:AQ159"/>
    <mergeCell ref="AN159:AO159"/>
    <mergeCell ref="AL159:AM159"/>
    <mergeCell ref="AJ159:AK159"/>
    <mergeCell ref="AH159:AI159"/>
    <mergeCell ref="AF159:AG159"/>
    <mergeCell ref="AD159:AE159"/>
    <mergeCell ref="AB159:AC159"/>
    <mergeCell ref="Z159:AA159"/>
    <mergeCell ref="X159:Y159"/>
    <mergeCell ref="V159:W159"/>
    <mergeCell ref="T159:U159"/>
    <mergeCell ref="R159:S159"/>
    <mergeCell ref="P159:Q159"/>
    <mergeCell ref="V150:W150"/>
    <mergeCell ref="T150:U150"/>
    <mergeCell ref="R150:S150"/>
    <mergeCell ref="P150:Q150"/>
    <mergeCell ref="T143:U143"/>
    <mergeCell ref="R143:S143"/>
    <mergeCell ref="P143:Q143"/>
    <mergeCell ref="P133:Q133"/>
    <mergeCell ref="AZ154:BA154"/>
    <mergeCell ref="BB154:BC154"/>
    <mergeCell ref="BD154:BE154"/>
    <mergeCell ref="BD132:BE132"/>
    <mergeCell ref="BB132:BC132"/>
    <mergeCell ref="AZ132:BA132"/>
    <mergeCell ref="AX132:AY132"/>
    <mergeCell ref="AV132:AW132"/>
    <mergeCell ref="AT132:AU132"/>
    <mergeCell ref="AH157:AI157"/>
    <mergeCell ref="AJ157:AK157"/>
    <mergeCell ref="AL157:AM157"/>
    <mergeCell ref="BP132:BQ132"/>
    <mergeCell ref="AT135:AU135"/>
    <mergeCell ref="AV135:AW135"/>
    <mergeCell ref="AX135:AY135"/>
    <mergeCell ref="AZ135:BA135"/>
    <mergeCell ref="BB135:BC135"/>
    <mergeCell ref="BD135:BE135"/>
    <mergeCell ref="BF135:BG135"/>
    <mergeCell ref="BH135:BI135"/>
    <mergeCell ref="BJ135:BK135"/>
    <mergeCell ref="BL135:BM135"/>
    <mergeCell ref="BN135:BO135"/>
    <mergeCell ref="BP135:BQ135"/>
    <mergeCell ref="BF131:BG131"/>
    <mergeCell ref="BH131:BI131"/>
    <mergeCell ref="BJ131:BK131"/>
    <mergeCell ref="BL131:BM131"/>
    <mergeCell ref="BN131:BO131"/>
    <mergeCell ref="BP131:BQ131"/>
    <mergeCell ref="N169:O169"/>
    <mergeCell ref="L169:M169"/>
    <mergeCell ref="AP168:AQ168"/>
    <mergeCell ref="AR168:AS168"/>
    <mergeCell ref="AR163:AS163"/>
    <mergeCell ref="AP163:AQ163"/>
    <mergeCell ref="AN163:AO163"/>
    <mergeCell ref="AL163:AM163"/>
    <mergeCell ref="AJ163:AK163"/>
    <mergeCell ref="AH163:AI163"/>
    <mergeCell ref="AF163:AG163"/>
    <mergeCell ref="AD163:AE163"/>
    <mergeCell ref="AB163:AC163"/>
    <mergeCell ref="Z163:AA163"/>
    <mergeCell ref="X163:Y163"/>
    <mergeCell ref="V163:W163"/>
    <mergeCell ref="T163:U163"/>
    <mergeCell ref="R163:S163"/>
    <mergeCell ref="P163:Q163"/>
    <mergeCell ref="N163:O163"/>
    <mergeCell ref="L163:M163"/>
    <mergeCell ref="L166:M166"/>
    <mergeCell ref="Z167:AA167"/>
    <mergeCell ref="X167:Y167"/>
    <mergeCell ref="V167:W167"/>
    <mergeCell ref="T167:U167"/>
    <mergeCell ref="R167:S167"/>
    <mergeCell ref="P167:Q167"/>
    <mergeCell ref="N167:O167"/>
    <mergeCell ref="L167:M167"/>
    <mergeCell ref="AR164:AS164"/>
    <mergeCell ref="AP164:AQ164"/>
    <mergeCell ref="AN164:AO164"/>
    <mergeCell ref="AL164:AM164"/>
    <mergeCell ref="AJ164:AK164"/>
    <mergeCell ref="BP143:BQ143"/>
    <mergeCell ref="BN143:BO143"/>
    <mergeCell ref="BL143:BM143"/>
    <mergeCell ref="BJ143:BK143"/>
    <mergeCell ref="BH143:BI143"/>
    <mergeCell ref="BF143:BG143"/>
    <mergeCell ref="Z134:AA134"/>
    <mergeCell ref="X134:Y134"/>
    <mergeCell ref="V134:W134"/>
    <mergeCell ref="T134:U134"/>
    <mergeCell ref="AX61:AY61"/>
    <mergeCell ref="BR64:BS64"/>
    <mergeCell ref="BT64:BU64"/>
    <mergeCell ref="BV64:BW64"/>
    <mergeCell ref="CT75:CU75"/>
    <mergeCell ref="BP145:BQ145"/>
    <mergeCell ref="BD136:BE136"/>
    <mergeCell ref="BB136:BC136"/>
    <mergeCell ref="AZ136:BA136"/>
    <mergeCell ref="AX136:AY136"/>
    <mergeCell ref="AV136:AW136"/>
    <mergeCell ref="AT136:AU136"/>
    <mergeCell ref="BD137:BE137"/>
    <mergeCell ref="BB137:BC137"/>
    <mergeCell ref="AZ137:BA137"/>
    <mergeCell ref="AX137:AY137"/>
    <mergeCell ref="AV137:AW137"/>
    <mergeCell ref="AT137:AU137"/>
    <mergeCell ref="BF137:BG137"/>
    <mergeCell ref="BH137:BI137"/>
    <mergeCell ref="BJ137:BK137"/>
    <mergeCell ref="BL137:BM137"/>
    <mergeCell ref="BN137:BO137"/>
    <mergeCell ref="BP137:BQ137"/>
    <mergeCell ref="BF138:BG138"/>
    <mergeCell ref="BH138:BI138"/>
    <mergeCell ref="BJ138:BK138"/>
    <mergeCell ref="BL138:BM138"/>
    <mergeCell ref="BN138:BO138"/>
    <mergeCell ref="BP138:BQ138"/>
    <mergeCell ref="BD159:BE159"/>
    <mergeCell ref="BB159:BC159"/>
    <mergeCell ref="AZ159:BA159"/>
    <mergeCell ref="AX159:AY159"/>
    <mergeCell ref="AV159:AW159"/>
    <mergeCell ref="AT159:AU159"/>
    <mergeCell ref="BP156:BQ156"/>
    <mergeCell ref="BN156:BO156"/>
    <mergeCell ref="BL156:BM156"/>
    <mergeCell ref="BJ156:BK156"/>
    <mergeCell ref="BH156:BI156"/>
    <mergeCell ref="BF156:BG156"/>
    <mergeCell ref="BD156:BE156"/>
    <mergeCell ref="BB156:BC156"/>
    <mergeCell ref="AZ156:BA156"/>
    <mergeCell ref="AX156:AY156"/>
    <mergeCell ref="AV156:AW156"/>
    <mergeCell ref="AT156:AU156"/>
    <mergeCell ref="BH159:BI159"/>
    <mergeCell ref="BJ159:BK159"/>
    <mergeCell ref="BL159:BM159"/>
    <mergeCell ref="BN159:BO159"/>
    <mergeCell ref="BP159:BQ159"/>
    <mergeCell ref="BP147:BQ147"/>
    <mergeCell ref="BN147:BO147"/>
    <mergeCell ref="BL147:BM147"/>
    <mergeCell ref="BJ147:BK147"/>
    <mergeCell ref="BH147:BI147"/>
    <mergeCell ref="BF147:BG147"/>
    <mergeCell ref="BD147:BE147"/>
    <mergeCell ref="BB147:BC147"/>
    <mergeCell ref="AZ147:BA147"/>
    <mergeCell ref="AX147:AY147"/>
    <mergeCell ref="AV147:AW147"/>
    <mergeCell ref="CZ62:DA62"/>
    <mergeCell ref="CV63:CW63"/>
    <mergeCell ref="BZ64:CA64"/>
    <mergeCell ref="CB64:CC64"/>
    <mergeCell ref="CD64:CE64"/>
    <mergeCell ref="CF64:CG64"/>
    <mergeCell ref="CH64:CI64"/>
    <mergeCell ref="CJ64:CK64"/>
    <mergeCell ref="CL64:CM64"/>
    <mergeCell ref="CN64:CO64"/>
    <mergeCell ref="CP64:CQ64"/>
    <mergeCell ref="CR64:CS64"/>
    <mergeCell ref="CT64:CU64"/>
    <mergeCell ref="CV64:CW64"/>
    <mergeCell ref="AX64:AY64"/>
    <mergeCell ref="AZ64:BA64"/>
    <mergeCell ref="BB64:BC64"/>
    <mergeCell ref="BD64:BE64"/>
    <mergeCell ref="BF64:BG64"/>
    <mergeCell ref="BH64:BI64"/>
    <mergeCell ref="BJ64:BK64"/>
    <mergeCell ref="BL64:BM64"/>
    <mergeCell ref="BN64:BO64"/>
    <mergeCell ref="AH65:AI65"/>
    <mergeCell ref="AT65:AU65"/>
    <mergeCell ref="AV65:AW65"/>
    <mergeCell ref="AX65:AY65"/>
    <mergeCell ref="AZ65:BA65"/>
    <mergeCell ref="BB65:BC65"/>
    <mergeCell ref="BD65:BE65"/>
    <mergeCell ref="BF65:BG65"/>
    <mergeCell ref="BH65:BI65"/>
    <mergeCell ref="BJ65:BK65"/>
    <mergeCell ref="BL65:BM65"/>
    <mergeCell ref="BN65:BO65"/>
    <mergeCell ref="AT63:AU63"/>
    <mergeCell ref="AV63:AW63"/>
    <mergeCell ref="AX63:AY63"/>
    <mergeCell ref="AZ63:BA63"/>
    <mergeCell ref="BB63:BC63"/>
    <mergeCell ref="BD63:BE63"/>
    <mergeCell ref="BF63:BG63"/>
    <mergeCell ref="BR65:BS65"/>
    <mergeCell ref="CJ62:CK62"/>
    <mergeCell ref="CL62:CM62"/>
    <mergeCell ref="CN62:CO62"/>
    <mergeCell ref="CP62:CQ62"/>
    <mergeCell ref="CR62:CS62"/>
    <mergeCell ref="CT62:CU62"/>
    <mergeCell ref="CV62:CW62"/>
    <mergeCell ref="CX62:CY62"/>
    <mergeCell ref="A1:DC2"/>
    <mergeCell ref="CD66:CE66"/>
    <mergeCell ref="CF66:CG66"/>
    <mergeCell ref="CH66:CI66"/>
    <mergeCell ref="CJ66:CK66"/>
    <mergeCell ref="CL66:CM66"/>
    <mergeCell ref="CN66:CO66"/>
    <mergeCell ref="CP66:CQ66"/>
    <mergeCell ref="CR66:CS66"/>
    <mergeCell ref="CT66:CU66"/>
    <mergeCell ref="CV66:CW66"/>
    <mergeCell ref="CX66:CY66"/>
    <mergeCell ref="CZ66:DA66"/>
    <mergeCell ref="DB66:DC66"/>
    <mergeCell ref="CX63:CY63"/>
    <mergeCell ref="CZ63:DA63"/>
    <mergeCell ref="DB63:DC63"/>
    <mergeCell ref="CX64:CY64"/>
    <mergeCell ref="BN61:BO61"/>
    <mergeCell ref="AR59:AS59"/>
    <mergeCell ref="AP59:AQ59"/>
    <mergeCell ref="AN59:AO59"/>
    <mergeCell ref="AL59:AM59"/>
    <mergeCell ref="AJ59:AK59"/>
    <mergeCell ref="AH59:AI59"/>
    <mergeCell ref="AF59:AG59"/>
    <mergeCell ref="L59:M59"/>
    <mergeCell ref="T57:U57"/>
    <mergeCell ref="R57:S57"/>
    <mergeCell ref="BJ59:BK59"/>
    <mergeCell ref="BL59:BM59"/>
    <mergeCell ref="BN59:BO59"/>
    <mergeCell ref="BP59:BQ59"/>
    <mergeCell ref="BD59:BE59"/>
    <mergeCell ref="BB59:BC59"/>
    <mergeCell ref="AZ59:BA59"/>
    <mergeCell ref="AX59:AY59"/>
    <mergeCell ref="AV59:AW59"/>
    <mergeCell ref="AT59:AU59"/>
    <mergeCell ref="AD59:AE59"/>
    <mergeCell ref="AB59:AC59"/>
    <mergeCell ref="CL60:CM60"/>
    <mergeCell ref="CN60:CO60"/>
    <mergeCell ref="CP60:CQ60"/>
    <mergeCell ref="AT66:AU66"/>
    <mergeCell ref="AV66:AW66"/>
    <mergeCell ref="AX66:AY66"/>
    <mergeCell ref="AZ66:BA66"/>
    <mergeCell ref="BB66:BC66"/>
    <mergeCell ref="BD66:BE66"/>
    <mergeCell ref="BF66:BG66"/>
    <mergeCell ref="BH66:BI66"/>
    <mergeCell ref="BJ66:BK66"/>
    <mergeCell ref="BL66:BM66"/>
    <mergeCell ref="BN66:BO66"/>
    <mergeCell ref="BP66:BQ66"/>
    <mergeCell ref="BR66:BS66"/>
    <mergeCell ref="BT66:BU66"/>
    <mergeCell ref="BV66:BW66"/>
    <mergeCell ref="BX66:BY66"/>
    <mergeCell ref="CL65:CM65"/>
    <mergeCell ref="CN65:CO65"/>
    <mergeCell ref="CL63:CM63"/>
    <mergeCell ref="CN63:CO63"/>
    <mergeCell ref="AL106:AM106"/>
    <mergeCell ref="BD90:BE90"/>
    <mergeCell ref="BB90:BC90"/>
    <mergeCell ref="AZ90:BA90"/>
    <mergeCell ref="AX90:AY90"/>
    <mergeCell ref="DB62:DC62"/>
    <mergeCell ref="BR62:BS62"/>
    <mergeCell ref="BT62:BU62"/>
    <mergeCell ref="BV62:BW62"/>
    <mergeCell ref="BX62:BY62"/>
    <mergeCell ref="BZ62:CA62"/>
    <mergeCell ref="CZ68:DA68"/>
    <mergeCell ref="BR70:BS70"/>
    <mergeCell ref="BT70:BU70"/>
    <mergeCell ref="BV70:BW70"/>
    <mergeCell ref="BX70:BY70"/>
    <mergeCell ref="BZ70:CA70"/>
    <mergeCell ref="BT65:BU65"/>
    <mergeCell ref="BV65:BW65"/>
    <mergeCell ref="CZ72:DA72"/>
    <mergeCell ref="DB72:DC72"/>
    <mergeCell ref="CX73:CY73"/>
    <mergeCell ref="CZ73:DA73"/>
    <mergeCell ref="DB73:DC73"/>
    <mergeCell ref="CX74:CY74"/>
    <mergeCell ref="CZ74:DA74"/>
    <mergeCell ref="DB74:DC74"/>
    <mergeCell ref="BZ75:CA75"/>
    <mergeCell ref="CB75:CC75"/>
    <mergeCell ref="CD75:CE75"/>
    <mergeCell ref="CF75:CG75"/>
    <mergeCell ref="CH75:CI75"/>
    <mergeCell ref="CJ75:CK75"/>
    <mergeCell ref="CL75:CM75"/>
    <mergeCell ref="CN75:CO75"/>
    <mergeCell ref="CP75:CQ75"/>
    <mergeCell ref="CR75:CS75"/>
    <mergeCell ref="DB69:DC69"/>
    <mergeCell ref="AR68:AS68"/>
    <mergeCell ref="CB62:CC62"/>
    <mergeCell ref="CD62:CE62"/>
    <mergeCell ref="CF62:CG62"/>
    <mergeCell ref="CH62:CI62"/>
    <mergeCell ref="AP63:AQ63"/>
    <mergeCell ref="AR63:AS63"/>
    <mergeCell ref="CF105:CG105"/>
    <mergeCell ref="CJ105:CK105"/>
    <mergeCell ref="CZ64:DA64"/>
    <mergeCell ref="DB64:DC64"/>
    <mergeCell ref="CP65:CQ65"/>
    <mergeCell ref="CR65:CS65"/>
    <mergeCell ref="CT65:CU65"/>
    <mergeCell ref="CV65:CW65"/>
    <mergeCell ref="CX65:CY65"/>
    <mergeCell ref="CZ65:DA65"/>
    <mergeCell ref="DB65:DC65"/>
    <mergeCell ref="CP63:CQ63"/>
    <mergeCell ref="CR63:CS63"/>
    <mergeCell ref="CT63:CU63"/>
    <mergeCell ref="BZ66:CA66"/>
    <mergeCell ref="CH98:CI98"/>
    <mergeCell ref="BT73:BU73"/>
    <mergeCell ref="BV73:BW73"/>
    <mergeCell ref="CF63:CG63"/>
    <mergeCell ref="AB71:AC71"/>
    <mergeCell ref="Z71:AA71"/>
    <mergeCell ref="CF81:CG81"/>
    <mergeCell ref="CH81:CI81"/>
    <mergeCell ref="CJ81:CK81"/>
    <mergeCell ref="CL81:CM81"/>
    <mergeCell ref="CN81:CO81"/>
    <mergeCell ref="CP81:CQ81"/>
    <mergeCell ref="CR81:CS81"/>
    <mergeCell ref="CP84:CQ84"/>
    <mergeCell ref="CR84:CS84"/>
    <mergeCell ref="BR87:BS87"/>
    <mergeCell ref="BL87:BM87"/>
    <mergeCell ref="BJ87:BK87"/>
    <mergeCell ref="BH87:BI87"/>
    <mergeCell ref="BF85:BG85"/>
    <mergeCell ref="BD85:BE85"/>
    <mergeCell ref="BB85:BC85"/>
    <mergeCell ref="AZ85:BA85"/>
    <mergeCell ref="AX85:AY85"/>
    <mergeCell ref="AV85:AW85"/>
    <mergeCell ref="AT85:AU85"/>
    <mergeCell ref="BP82:BQ82"/>
    <mergeCell ref="BN82:BO82"/>
    <mergeCell ref="BL82:BM82"/>
    <mergeCell ref="BJ82:BK82"/>
    <mergeCell ref="BH82:BI82"/>
    <mergeCell ref="BF82:BG82"/>
    <mergeCell ref="BD82:BE82"/>
    <mergeCell ref="BB82:BC82"/>
    <mergeCell ref="AZ82:BA82"/>
    <mergeCell ref="AX82:AY82"/>
    <mergeCell ref="BZ81:CA81"/>
    <mergeCell ref="CB81:CC81"/>
    <mergeCell ref="CD81:CE81"/>
    <mergeCell ref="AZ84:BA84"/>
    <mergeCell ref="BD84:BE84"/>
    <mergeCell ref="AF87:AG87"/>
    <mergeCell ref="AD87:AE87"/>
    <mergeCell ref="AB87:AC87"/>
    <mergeCell ref="Z87:AA87"/>
    <mergeCell ref="CP77:CQ77"/>
    <mergeCell ref="CR77:CS77"/>
    <mergeCell ref="CF80:CG80"/>
    <mergeCell ref="BD108:BE108"/>
    <mergeCell ref="BB108:BC108"/>
    <mergeCell ref="AZ108:BA108"/>
    <mergeCell ref="AX108:AY108"/>
    <mergeCell ref="AV108:AW108"/>
    <mergeCell ref="AT108:AU108"/>
    <mergeCell ref="AT109:AU109"/>
    <mergeCell ref="AV109:AW109"/>
    <mergeCell ref="AX109:AY109"/>
    <mergeCell ref="AZ109:BA109"/>
    <mergeCell ref="BB109:BC109"/>
    <mergeCell ref="BD109:BE109"/>
    <mergeCell ref="BF109:BG109"/>
    <mergeCell ref="BH109:BI109"/>
    <mergeCell ref="BJ109:BK109"/>
    <mergeCell ref="BL109:BM109"/>
    <mergeCell ref="BN109:BO109"/>
    <mergeCell ref="BP109:BQ109"/>
    <mergeCell ref="AN92:AO92"/>
    <mergeCell ref="AP92:AQ92"/>
    <mergeCell ref="AR92:AS92"/>
    <mergeCell ref="CF77:CG77"/>
    <mergeCell ref="AF93:AG93"/>
    <mergeCell ref="AD93:AE93"/>
    <mergeCell ref="AV90:AW90"/>
    <mergeCell ref="AT90:AU90"/>
    <mergeCell ref="BP87:BQ87"/>
    <mergeCell ref="BN87:BO87"/>
    <mergeCell ref="BR84:BS84"/>
    <mergeCell ref="BT84:BU84"/>
    <mergeCell ref="BV84:BW84"/>
    <mergeCell ref="BX84:BY84"/>
    <mergeCell ref="BZ84:CA84"/>
    <mergeCell ref="CB84:CC84"/>
    <mergeCell ref="CD84:CE84"/>
    <mergeCell ref="AV82:AW82"/>
    <mergeCell ref="AT82:AU82"/>
    <mergeCell ref="AD84:AE84"/>
    <mergeCell ref="CB107:CC107"/>
    <mergeCell ref="CD107:CE107"/>
    <mergeCell ref="CF107:CG107"/>
    <mergeCell ref="CB98:CC98"/>
    <mergeCell ref="CD98:CE98"/>
    <mergeCell ref="AZ98:BA98"/>
    <mergeCell ref="BB98:BC98"/>
    <mergeCell ref="BD98:BE98"/>
    <mergeCell ref="BF98:BG98"/>
    <mergeCell ref="BH98:BI98"/>
    <mergeCell ref="BJ98:BK98"/>
    <mergeCell ref="BL98:BM98"/>
    <mergeCell ref="BN98:BO98"/>
    <mergeCell ref="BP98:BQ98"/>
    <mergeCell ref="BH103:BI103"/>
    <mergeCell ref="BJ103:BK103"/>
    <mergeCell ref="BL103:BM103"/>
    <mergeCell ref="BN103:BO103"/>
    <mergeCell ref="BP103:BQ103"/>
    <mergeCell ref="AJ93:AK93"/>
    <mergeCell ref="AH93:AI93"/>
    <mergeCell ref="BF103:BG103"/>
    <mergeCell ref="BD103:BE103"/>
    <mergeCell ref="BB103:BC103"/>
    <mergeCell ref="AZ103:BA103"/>
    <mergeCell ref="AX103:AY103"/>
    <mergeCell ref="N74:O74"/>
    <mergeCell ref="L74:M74"/>
    <mergeCell ref="L72:M72"/>
    <mergeCell ref="N72:O72"/>
    <mergeCell ref="P72:Q72"/>
    <mergeCell ref="R72:S72"/>
    <mergeCell ref="AN72:AO72"/>
    <mergeCell ref="BB106:BC106"/>
    <mergeCell ref="BD106:BE106"/>
    <mergeCell ref="AR107:AS107"/>
    <mergeCell ref="AP107:AQ107"/>
    <mergeCell ref="AN107:AO107"/>
    <mergeCell ref="BD96:BE96"/>
    <mergeCell ref="BB96:BC96"/>
    <mergeCell ref="AZ96:BA96"/>
    <mergeCell ref="AX96:AY96"/>
    <mergeCell ref="AV96:AW96"/>
    <mergeCell ref="AT96:AU96"/>
    <mergeCell ref="AT98:AU98"/>
    <mergeCell ref="AV98:AW98"/>
    <mergeCell ref="AX98:AY98"/>
    <mergeCell ref="CT81:CU81"/>
    <mergeCell ref="CV81:CW81"/>
    <mergeCell ref="CX81:CY81"/>
    <mergeCell ref="A59:A66"/>
    <mergeCell ref="B59:B66"/>
    <mergeCell ref="C59:C66"/>
    <mergeCell ref="D59:D66"/>
    <mergeCell ref="E59:E66"/>
    <mergeCell ref="F59:F66"/>
    <mergeCell ref="G59:G66"/>
    <mergeCell ref="I59:I66"/>
    <mergeCell ref="J59:J66"/>
    <mergeCell ref="L60:M60"/>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BR59:BS59"/>
    <mergeCell ref="BT59:BU59"/>
    <mergeCell ref="BV59:BW59"/>
    <mergeCell ref="BX59:BY59"/>
    <mergeCell ref="BZ59:CA59"/>
    <mergeCell ref="CB59:CC59"/>
    <mergeCell ref="CD59:CE59"/>
    <mergeCell ref="CF59:CG59"/>
    <mergeCell ref="CH59:CI59"/>
    <mergeCell ref="CJ59:CK59"/>
    <mergeCell ref="BX65:BY65"/>
    <mergeCell ref="AP68:AQ68"/>
    <mergeCell ref="AN68:AO68"/>
    <mergeCell ref="AL68:AM68"/>
    <mergeCell ref="CF84:CG84"/>
    <mergeCell ref="AL88:AM88"/>
    <mergeCell ref="AN88:AO88"/>
    <mergeCell ref="L69:M69"/>
    <mergeCell ref="N69:O69"/>
    <mergeCell ref="CH57:CI57"/>
    <mergeCell ref="CJ57:CK57"/>
    <mergeCell ref="CL57:CM57"/>
    <mergeCell ref="CN57:CO57"/>
    <mergeCell ref="CP57:CQ57"/>
    <mergeCell ref="CR57:CS57"/>
    <mergeCell ref="CL69:CM69"/>
    <mergeCell ref="CR68:CS68"/>
    <mergeCell ref="CT68:CU68"/>
    <mergeCell ref="CV68:CW68"/>
    <mergeCell ref="AB69:AC69"/>
    <mergeCell ref="AF69:AG69"/>
    <mergeCell ref="AH69:AI69"/>
    <mergeCell ref="AJ69:AK69"/>
    <mergeCell ref="AL69:AM69"/>
    <mergeCell ref="AN69:AO69"/>
    <mergeCell ref="L71:M71"/>
    <mergeCell ref="AH70:AI70"/>
    <mergeCell ref="AF70:AG70"/>
    <mergeCell ref="AD70:AE70"/>
    <mergeCell ref="AB70:AC70"/>
    <mergeCell ref="Z70:AA70"/>
    <mergeCell ref="X70:Y70"/>
    <mergeCell ref="V70:W70"/>
    <mergeCell ref="T70:U70"/>
    <mergeCell ref="R70:S70"/>
    <mergeCell ref="P70:Q70"/>
    <mergeCell ref="N70:O70"/>
    <mergeCell ref="L68:M68"/>
    <mergeCell ref="L70:M70"/>
    <mergeCell ref="L73:M73"/>
    <mergeCell ref="CN69:CO69"/>
    <mergeCell ref="CP69:CQ69"/>
    <mergeCell ref="CR69:CS69"/>
    <mergeCell ref="CT69:CU69"/>
    <mergeCell ref="CV69:CW69"/>
    <mergeCell ref="AJ68:AK68"/>
    <mergeCell ref="AH68:AI68"/>
    <mergeCell ref="AF68:AG68"/>
    <mergeCell ref="AD68:AE68"/>
    <mergeCell ref="AB68:AC68"/>
    <mergeCell ref="Z68:AA68"/>
    <mergeCell ref="X68:Y68"/>
    <mergeCell ref="V68:W68"/>
    <mergeCell ref="AD69:AE69"/>
    <mergeCell ref="N68:O68"/>
    <mergeCell ref="P57:Q57"/>
    <mergeCell ref="CH63:CI63"/>
    <mergeCell ref="CJ63:CK63"/>
    <mergeCell ref="CB65:CC65"/>
    <mergeCell ref="CD65:CE65"/>
    <mergeCell ref="CF65:CG65"/>
    <mergeCell ref="CH65:CI65"/>
    <mergeCell ref="CJ65:CK65"/>
    <mergeCell ref="T65:U65"/>
    <mergeCell ref="R65:S65"/>
    <mergeCell ref="P65:Q65"/>
    <mergeCell ref="BH61:BI61"/>
    <mergeCell ref="BF61:BG61"/>
    <mergeCell ref="BD61:BE61"/>
    <mergeCell ref="BB61:BC61"/>
    <mergeCell ref="AZ61:BA61"/>
    <mergeCell ref="CF67:CG67"/>
    <mergeCell ref="CH67:CI67"/>
    <mergeCell ref="CJ67:CK67"/>
    <mergeCell ref="CL67:CM67"/>
    <mergeCell ref="CN67:CO67"/>
    <mergeCell ref="CP67:CQ67"/>
    <mergeCell ref="CR67:CS67"/>
    <mergeCell ref="CX78:CY78"/>
    <mergeCell ref="CV80:CW80"/>
    <mergeCell ref="CX80:CY80"/>
    <mergeCell ref="CR60:CS60"/>
    <mergeCell ref="CT60:CU60"/>
    <mergeCell ref="CV60:CW60"/>
    <mergeCell ref="CX60:CY60"/>
    <mergeCell ref="AR57:AS57"/>
    <mergeCell ref="AP57:AQ57"/>
    <mergeCell ref="CF57:CG57"/>
    <mergeCell ref="AP69:AQ69"/>
    <mergeCell ref="AR69:AS69"/>
    <mergeCell ref="AT69:AU69"/>
    <mergeCell ref="AV69:AW69"/>
    <mergeCell ref="AX69:AY69"/>
    <mergeCell ref="AX70:AY70"/>
    <mergeCell ref="AV70:AW70"/>
    <mergeCell ref="AT70:AU70"/>
    <mergeCell ref="AR70:AS70"/>
    <mergeCell ref="AP70:AQ70"/>
    <mergeCell ref="CX68:CY68"/>
    <mergeCell ref="BT80:BU80"/>
    <mergeCell ref="BV80:BW80"/>
    <mergeCell ref="BX80:BY80"/>
    <mergeCell ref="BZ78:CA78"/>
    <mergeCell ref="CB78:CC78"/>
    <mergeCell ref="CD78:CE78"/>
    <mergeCell ref="BD62:BE62"/>
    <mergeCell ref="BB62:BC62"/>
    <mergeCell ref="AZ62:BA62"/>
    <mergeCell ref="AX62:AY62"/>
    <mergeCell ref="AV62:AW62"/>
    <mergeCell ref="AT62:AU62"/>
    <mergeCell ref="CH77:CI77"/>
    <mergeCell ref="CJ77:CK77"/>
    <mergeCell ref="CL77:CM77"/>
    <mergeCell ref="CN77:CO77"/>
    <mergeCell ref="BZ73:CA73"/>
    <mergeCell ref="BZ72:CA72"/>
    <mergeCell ref="CT80:CU80"/>
    <mergeCell ref="BP64:BQ64"/>
    <mergeCell ref="BX64:BY64"/>
    <mergeCell ref="BZ65:CA65"/>
    <mergeCell ref="CV70:CW70"/>
    <mergeCell ref="CX70:CY70"/>
    <mergeCell ref="CB70:CC70"/>
    <mergeCell ref="CD70:CE70"/>
    <mergeCell ref="CF70:CG70"/>
    <mergeCell ref="CJ74:CK74"/>
    <mergeCell ref="AX68:AY68"/>
    <mergeCell ref="BT69:BU69"/>
    <mergeCell ref="BV69:BW69"/>
    <mergeCell ref="AZ70:BA70"/>
    <mergeCell ref="BN70:BO70"/>
    <mergeCell ref="BD71:BE71"/>
    <mergeCell ref="CD76:CE76"/>
    <mergeCell ref="CF76:CG76"/>
    <mergeCell ref="AB50:AC50"/>
    <mergeCell ref="AD50:AE50"/>
    <mergeCell ref="BJ44:BK44"/>
    <mergeCell ref="BL44:BM44"/>
    <mergeCell ref="BN44:BO44"/>
    <mergeCell ref="BP44:BQ44"/>
    <mergeCell ref="BT45:BU45"/>
    <mergeCell ref="AR47:AS47"/>
    <mergeCell ref="AR55:AS55"/>
    <mergeCell ref="AR51:AS51"/>
    <mergeCell ref="AR52:AS52"/>
    <mergeCell ref="CF51:CG51"/>
    <mergeCell ref="V50:W50"/>
    <mergeCell ref="A48:A55"/>
    <mergeCell ref="B48:B55"/>
    <mergeCell ref="CF56:CG56"/>
    <mergeCell ref="CH56:CI56"/>
    <mergeCell ref="CJ56:CK56"/>
    <mergeCell ref="CL56:CM56"/>
    <mergeCell ref="L56:M56"/>
    <mergeCell ref="N56:O56"/>
    <mergeCell ref="P56:Q56"/>
    <mergeCell ref="R56:S56"/>
    <mergeCell ref="T56:U56"/>
    <mergeCell ref="V56:W56"/>
    <mergeCell ref="X56:Y56"/>
    <mergeCell ref="Z56:AA56"/>
    <mergeCell ref="AB56:AC56"/>
    <mergeCell ref="AD56:AE56"/>
    <mergeCell ref="AF56:AG56"/>
    <mergeCell ref="AH56:AI56"/>
    <mergeCell ref="AJ56:AK56"/>
    <mergeCell ref="AL56:AM56"/>
    <mergeCell ref="AN56:AO56"/>
    <mergeCell ref="AP56:AQ56"/>
    <mergeCell ref="AR56:AS56"/>
    <mergeCell ref="BV46:BW46"/>
    <mergeCell ref="BX46:BY46"/>
    <mergeCell ref="AF55:AG55"/>
    <mergeCell ref="AH55:AI55"/>
    <mergeCell ref="AJ55:AK55"/>
    <mergeCell ref="AL55:AM55"/>
    <mergeCell ref="AN55:AO55"/>
    <mergeCell ref="AP55:AQ55"/>
    <mergeCell ref="AP46:AQ46"/>
    <mergeCell ref="AN46:AO46"/>
    <mergeCell ref="AL46:AM46"/>
    <mergeCell ref="AD46:AE46"/>
    <mergeCell ref="CJ48:CK48"/>
    <mergeCell ref="CL48:CM48"/>
    <mergeCell ref="CD56:CE56"/>
    <mergeCell ref="CL52:CM52"/>
    <mergeCell ref="CF53:CG53"/>
    <mergeCell ref="CL53:CM53"/>
    <mergeCell ref="CH54:CI54"/>
    <mergeCell ref="A39:A46"/>
    <mergeCell ref="B39:B46"/>
    <mergeCell ref="P54:Q54"/>
    <mergeCell ref="C39:C46"/>
    <mergeCell ref="D39:D46"/>
    <mergeCell ref="CP56:CQ56"/>
    <mergeCell ref="CR56:CS56"/>
    <mergeCell ref="BJ53:BK53"/>
    <mergeCell ref="BL53:BM53"/>
    <mergeCell ref="BF51:BG51"/>
    <mergeCell ref="BF52:BG52"/>
    <mergeCell ref="BF53:BG53"/>
    <mergeCell ref="BT54:BU54"/>
    <mergeCell ref="BX53:BY53"/>
    <mergeCell ref="BZ53:CA53"/>
    <mergeCell ref="CJ54:CK54"/>
    <mergeCell ref="BR49:BS49"/>
    <mergeCell ref="CN56:CO56"/>
    <mergeCell ref="CZ53:DA53"/>
    <mergeCell ref="CZ49:DA49"/>
    <mergeCell ref="DB49:DC49"/>
    <mergeCell ref="CT54:CU54"/>
    <mergeCell ref="CV54:CW54"/>
    <mergeCell ref="CX54:CY54"/>
    <mergeCell ref="CZ54:DA54"/>
    <mergeCell ref="DB54:DC54"/>
    <mergeCell ref="CF48:CG48"/>
    <mergeCell ref="DB55:DC55"/>
    <mergeCell ref="CZ48:DA48"/>
    <mergeCell ref="CX55:CY55"/>
    <mergeCell ref="CZ55:DA55"/>
    <mergeCell ref="CB55:CC55"/>
    <mergeCell ref="CP53:CQ53"/>
    <mergeCell ref="CV52:CW52"/>
    <mergeCell ref="CX52:CY52"/>
    <mergeCell ref="CZ52:DA52"/>
    <mergeCell ref="DB52:DC52"/>
    <mergeCell ref="CT52:CU52"/>
    <mergeCell ref="DB53:DC53"/>
    <mergeCell ref="CP52:CQ52"/>
    <mergeCell ref="CZ51:DA51"/>
    <mergeCell ref="DB51:DC51"/>
    <mergeCell ref="BV54:BW54"/>
    <mergeCell ref="BX54:BY54"/>
    <mergeCell ref="CD52:CE52"/>
    <mergeCell ref="BP54:BQ54"/>
    <mergeCell ref="CF54:CG54"/>
    <mergeCell ref="BX48:BY48"/>
    <mergeCell ref="CL54:CM54"/>
    <mergeCell ref="CN54:CO54"/>
    <mergeCell ref="BP55:BQ55"/>
    <mergeCell ref="BR55:BS55"/>
    <mergeCell ref="CF50:CG50"/>
    <mergeCell ref="CH50:CI50"/>
    <mergeCell ref="CD51:CE51"/>
    <mergeCell ref="BH53:BI53"/>
    <mergeCell ref="BL51:BM51"/>
    <mergeCell ref="BH48:BI48"/>
    <mergeCell ref="BR54:BS54"/>
    <mergeCell ref="CD50:CE50"/>
    <mergeCell ref="BV52:BW52"/>
    <mergeCell ref="BR53:BS53"/>
    <mergeCell ref="BT53:BU53"/>
    <mergeCell ref="BR51:BS51"/>
    <mergeCell ref="BR52:BS52"/>
    <mergeCell ref="BT52:BU52"/>
    <mergeCell ref="BF54:BG54"/>
    <mergeCell ref="BT55:BU55"/>
    <mergeCell ref="BV55:BW55"/>
    <mergeCell ref="CN53:CO53"/>
    <mergeCell ref="CH53:CI53"/>
    <mergeCell ref="CJ53:CK53"/>
    <mergeCell ref="CR54:CS54"/>
    <mergeCell ref="CF52:CG52"/>
    <mergeCell ref="CH52:CI52"/>
    <mergeCell ref="CR51:CS51"/>
    <mergeCell ref="CR52:CS52"/>
    <mergeCell ref="CR55:CS55"/>
    <mergeCell ref="CR53:CS53"/>
    <mergeCell ref="CT53:CU53"/>
    <mergeCell ref="CN52:CO52"/>
    <mergeCell ref="CP55:CQ55"/>
    <mergeCell ref="CL55:CM55"/>
    <mergeCell ref="CN55:CO55"/>
    <mergeCell ref="CV50:CW50"/>
    <mergeCell ref="CL51:CM51"/>
    <mergeCell ref="CJ52:CK52"/>
    <mergeCell ref="CB49:CC49"/>
    <mergeCell ref="CH49:CI49"/>
    <mergeCell ref="CJ49:CK49"/>
    <mergeCell ref="CT48:CU48"/>
    <mergeCell ref="CV48:CW48"/>
    <mergeCell ref="CX48:CY48"/>
    <mergeCell ref="CB48:CC48"/>
    <mergeCell ref="CD48:CE48"/>
    <mergeCell ref="CJ47:CK47"/>
    <mergeCell ref="CV53:CW53"/>
    <mergeCell ref="CH55:CI55"/>
    <mergeCell ref="CJ55:CK55"/>
    <mergeCell ref="CB51:CC51"/>
    <mergeCell ref="CD49:CE49"/>
    <mergeCell ref="CH51:CI51"/>
    <mergeCell ref="CV49:CW49"/>
    <mergeCell ref="CR50:CS50"/>
    <mergeCell ref="CP50:CQ50"/>
    <mergeCell ref="CN51:CO51"/>
    <mergeCell ref="CJ51:CK51"/>
    <mergeCell ref="CF47:CG47"/>
    <mergeCell ref="CH47:CI47"/>
    <mergeCell ref="CD54:CE54"/>
    <mergeCell ref="CB53:CC53"/>
    <mergeCell ref="CD53:CE53"/>
    <mergeCell ref="CL50:CM50"/>
    <mergeCell ref="CT49:CU49"/>
    <mergeCell ref="E39:E46"/>
    <mergeCell ref="F39:F46"/>
    <mergeCell ref="G39:G46"/>
    <mergeCell ref="I39:I46"/>
    <mergeCell ref="J39:J46"/>
    <mergeCell ref="L39:M39"/>
    <mergeCell ref="N39:O39"/>
    <mergeCell ref="P39:Q39"/>
    <mergeCell ref="R39:S39"/>
    <mergeCell ref="T39:U39"/>
    <mergeCell ref="V39:W39"/>
    <mergeCell ref="X39:Y39"/>
    <mergeCell ref="AD40:AE40"/>
    <mergeCell ref="AB40:AC40"/>
    <mergeCell ref="Z40:AA40"/>
    <mergeCell ref="X50:Y50"/>
    <mergeCell ref="N47:O47"/>
    <mergeCell ref="BB55:BC55"/>
    <mergeCell ref="V51:W51"/>
    <mergeCell ref="AH44:AI44"/>
    <mergeCell ref="Z44:AA44"/>
    <mergeCell ref="X44:Y44"/>
    <mergeCell ref="V44:W44"/>
    <mergeCell ref="T44:U44"/>
    <mergeCell ref="R44:S44"/>
    <mergeCell ref="P44:Q44"/>
    <mergeCell ref="N44:O44"/>
    <mergeCell ref="L44:M44"/>
    <mergeCell ref="AL44:AM44"/>
    <mergeCell ref="N46:O46"/>
    <mergeCell ref="AB46:AC46"/>
    <mergeCell ref="Z46:AA46"/>
    <mergeCell ref="X46:Y46"/>
    <mergeCell ref="V46:W46"/>
    <mergeCell ref="T46:U46"/>
    <mergeCell ref="R46:S46"/>
    <mergeCell ref="P46:Q46"/>
    <mergeCell ref="AP47:AQ47"/>
    <mergeCell ref="AB45:AC45"/>
    <mergeCell ref="Z45:AA45"/>
    <mergeCell ref="AJ45:AK45"/>
    <mergeCell ref="AH45:AI45"/>
    <mergeCell ref="AF45:AG45"/>
    <mergeCell ref="N54:O54"/>
    <mergeCell ref="R54:S54"/>
    <mergeCell ref="AT53:AU53"/>
    <mergeCell ref="N52:O52"/>
    <mergeCell ref="L53:M53"/>
    <mergeCell ref="N53:O53"/>
    <mergeCell ref="L52:M52"/>
    <mergeCell ref="BB49:BC49"/>
    <mergeCell ref="AN51:AO51"/>
    <mergeCell ref="AP51:AQ51"/>
    <mergeCell ref="AZ51:BA51"/>
    <mergeCell ref="AZ49:BA49"/>
    <mergeCell ref="AJ52:AK52"/>
    <mergeCell ref="AR50:AS50"/>
    <mergeCell ref="N40:O40"/>
    <mergeCell ref="AP50:AQ50"/>
    <mergeCell ref="L46:M46"/>
    <mergeCell ref="R42:S42"/>
    <mergeCell ref="R41:S41"/>
    <mergeCell ref="AH42:AI42"/>
    <mergeCell ref="AF42:AG42"/>
    <mergeCell ref="D29:D36"/>
    <mergeCell ref="E29:E36"/>
    <mergeCell ref="F29:F36"/>
    <mergeCell ref="G29:G36"/>
    <mergeCell ref="R55:S55"/>
    <mergeCell ref="N50:O50"/>
    <mergeCell ref="L47:M47"/>
    <mergeCell ref="T50:U50"/>
    <mergeCell ref="T29:U29"/>
    <mergeCell ref="V29:W29"/>
    <mergeCell ref="X29:Y29"/>
    <mergeCell ref="Z29:AA29"/>
    <mergeCell ref="AB29:AC29"/>
    <mergeCell ref="L50:M50"/>
    <mergeCell ref="AH46:AI46"/>
    <mergeCell ref="BB54:BC54"/>
    <mergeCell ref="AZ46:BA46"/>
    <mergeCell ref="BB33:BC33"/>
    <mergeCell ref="AH48:AI48"/>
    <mergeCell ref="AP54:AQ54"/>
    <mergeCell ref="AN50:AO50"/>
    <mergeCell ref="AN48:AO48"/>
    <mergeCell ref="AP48:AQ48"/>
    <mergeCell ref="T52:U52"/>
    <mergeCell ref="V52:W52"/>
    <mergeCell ref="AN54:AO54"/>
    <mergeCell ref="AP49:AQ49"/>
    <mergeCell ref="AN49:AO49"/>
    <mergeCell ref="AL49:AM49"/>
    <mergeCell ref="AB52:AC52"/>
    <mergeCell ref="X53:Y53"/>
    <mergeCell ref="AF50:AG50"/>
    <mergeCell ref="AH50:AI50"/>
    <mergeCell ref="P52:Q52"/>
    <mergeCell ref="R51:S51"/>
    <mergeCell ref="P50:Q50"/>
    <mergeCell ref="R50:S50"/>
    <mergeCell ref="AP52:AQ52"/>
    <mergeCell ref="L54:M54"/>
    <mergeCell ref="AH54:AI54"/>
    <mergeCell ref="R30:S30"/>
    <mergeCell ref="N35:O35"/>
    <mergeCell ref="I29:I36"/>
    <mergeCell ref="J29:J36"/>
    <mergeCell ref="N30:O30"/>
    <mergeCell ref="AT46:AU46"/>
    <mergeCell ref="AR46:AS46"/>
    <mergeCell ref="AV41:AW41"/>
    <mergeCell ref="AR48:AS48"/>
    <mergeCell ref="AZ52:BA52"/>
    <mergeCell ref="L40:M40"/>
    <mergeCell ref="X40:Y40"/>
    <mergeCell ref="V40:W40"/>
    <mergeCell ref="AH34:AI34"/>
    <mergeCell ref="T36:U36"/>
    <mergeCell ref="X36:Y36"/>
    <mergeCell ref="X55:Y55"/>
    <mergeCell ref="Z55:AA55"/>
    <mergeCell ref="AP44:AQ44"/>
    <mergeCell ref="AR44:AS44"/>
    <mergeCell ref="X45:Y45"/>
    <mergeCell ref="V53:W53"/>
    <mergeCell ref="R52:S52"/>
    <mergeCell ref="X52:Y52"/>
    <mergeCell ref="AB92:AC92"/>
    <mergeCell ref="AD92:AE92"/>
    <mergeCell ref="AF92:AG92"/>
    <mergeCell ref="AH92:AI92"/>
    <mergeCell ref="AJ92:AK92"/>
    <mergeCell ref="AL92:AM92"/>
    <mergeCell ref="V45:W45"/>
    <mergeCell ref="AH53:AI53"/>
    <mergeCell ref="AL107:AM107"/>
    <mergeCell ref="AJ107:AK107"/>
    <mergeCell ref="AH107:AI107"/>
    <mergeCell ref="AF107:AG107"/>
    <mergeCell ref="AD107:AE107"/>
    <mergeCell ref="AB107:AC107"/>
    <mergeCell ref="Z107:AA107"/>
    <mergeCell ref="X107:Y107"/>
    <mergeCell ref="V107:W107"/>
    <mergeCell ref="T107:U107"/>
    <mergeCell ref="AF54:AG54"/>
    <mergeCell ref="AJ53:AK53"/>
    <mergeCell ref="AL53:AM53"/>
    <mergeCell ref="Z53:AA53"/>
    <mergeCell ref="AB53:AC53"/>
    <mergeCell ref="AD53:AE53"/>
    <mergeCell ref="AF53:AG53"/>
    <mergeCell ref="AL52:AM52"/>
    <mergeCell ref="AL51:AM51"/>
    <mergeCell ref="AD49:AE49"/>
    <mergeCell ref="AH49:AI49"/>
    <mergeCell ref="AF49:AG49"/>
    <mergeCell ref="AD74:AE74"/>
    <mergeCell ref="AB74:AC74"/>
    <mergeCell ref="T80:U80"/>
    <mergeCell ref="V80:W80"/>
    <mergeCell ref="X80:Y80"/>
    <mergeCell ref="Z80:AA80"/>
    <mergeCell ref="T84:U84"/>
    <mergeCell ref="V84:W84"/>
    <mergeCell ref="X84:Y84"/>
    <mergeCell ref="AH64:AI64"/>
    <mergeCell ref="AJ64:AK64"/>
    <mergeCell ref="AD54:AE54"/>
    <mergeCell ref="AD51:AE51"/>
    <mergeCell ref="AB77:AC77"/>
    <mergeCell ref="T72:U72"/>
    <mergeCell ref="V72:W72"/>
    <mergeCell ref="X72:Y72"/>
    <mergeCell ref="Z72:AA72"/>
    <mergeCell ref="AB72:AC72"/>
    <mergeCell ref="AD72:AE72"/>
    <mergeCell ref="AF72:AG72"/>
    <mergeCell ref="AH72:AI72"/>
    <mergeCell ref="AJ72:AK72"/>
    <mergeCell ref="AL72:AM72"/>
    <mergeCell ref="Z74:AA74"/>
    <mergeCell ref="X74:Y74"/>
    <mergeCell ref="V74:W74"/>
    <mergeCell ref="T74:U74"/>
    <mergeCell ref="Z84:AA84"/>
    <mergeCell ref="AB84:AC84"/>
    <mergeCell ref="AB93:AC93"/>
    <mergeCell ref="AJ106:AK106"/>
    <mergeCell ref="X54:Y54"/>
    <mergeCell ref="Z54:AA54"/>
    <mergeCell ref="AL116:AM116"/>
    <mergeCell ref="AJ116:AK116"/>
    <mergeCell ref="AL66:AM66"/>
    <mergeCell ref="AJ66:AK66"/>
    <mergeCell ref="AH66:AI66"/>
    <mergeCell ref="AL65:AM65"/>
    <mergeCell ref="AH129:AI129"/>
    <mergeCell ref="AF129:AG129"/>
    <mergeCell ref="AD129:AE129"/>
    <mergeCell ref="Z92:AA92"/>
    <mergeCell ref="AB129:AC129"/>
    <mergeCell ref="X42:Y42"/>
    <mergeCell ref="V42:W42"/>
    <mergeCell ref="T42:U42"/>
    <mergeCell ref="AL135:AM135"/>
    <mergeCell ref="AN135:AO135"/>
    <mergeCell ref="AP135:AQ135"/>
    <mergeCell ref="AR135:AS135"/>
    <mergeCell ref="AN106:AO106"/>
    <mergeCell ref="AP106:AQ106"/>
    <mergeCell ref="AR134:AS134"/>
    <mergeCell ref="AP134:AQ134"/>
    <mergeCell ref="AN134:AO134"/>
    <mergeCell ref="AT50:AU50"/>
    <mergeCell ref="BN50:BO50"/>
    <mergeCell ref="BJ50:BK50"/>
    <mergeCell ref="AN53:AO53"/>
    <mergeCell ref="AP53:AQ53"/>
    <mergeCell ref="CB54:CC54"/>
    <mergeCell ref="AR54:AS54"/>
    <mergeCell ref="AT54:AU54"/>
    <mergeCell ref="BR60:BS60"/>
    <mergeCell ref="BT60:BU60"/>
    <mergeCell ref="BV60:BW60"/>
    <mergeCell ref="BX60:BY60"/>
    <mergeCell ref="BH63:BI63"/>
    <mergeCell ref="BJ63:BK63"/>
    <mergeCell ref="BL63:BM63"/>
    <mergeCell ref="BN63:BO63"/>
    <mergeCell ref="BP63:BQ63"/>
    <mergeCell ref="BJ52:BK52"/>
    <mergeCell ref="BD53:BE53"/>
    <mergeCell ref="AR53:AS53"/>
    <mergeCell ref="AL50:AM50"/>
    <mergeCell ref="BX72:BY72"/>
    <mergeCell ref="BR75:BS75"/>
    <mergeCell ref="BT75:BU75"/>
    <mergeCell ref="BV75:BW75"/>
    <mergeCell ref="AV53:AW53"/>
    <mergeCell ref="BD51:BE51"/>
    <mergeCell ref="BD52:BE52"/>
    <mergeCell ref="BN54:BO54"/>
    <mergeCell ref="BR63:BS63"/>
    <mergeCell ref="BT63:BU63"/>
    <mergeCell ref="BV63:BW63"/>
    <mergeCell ref="BX63:BY63"/>
    <mergeCell ref="AR62:AS62"/>
    <mergeCell ref="AP62:AQ62"/>
    <mergeCell ref="AN62:AO62"/>
    <mergeCell ref="BP62:BQ62"/>
    <mergeCell ref="BP65:BQ65"/>
    <mergeCell ref="CB66:CC66"/>
    <mergeCell ref="BZ63:CA63"/>
    <mergeCell ref="CB63:CC63"/>
    <mergeCell ref="AP27:AQ27"/>
    <mergeCell ref="AR39:AS39"/>
    <mergeCell ref="BP129:BQ129"/>
    <mergeCell ref="BN129:BO129"/>
    <mergeCell ref="T41:U41"/>
    <mergeCell ref="V41:W41"/>
    <mergeCell ref="X41:Y41"/>
    <mergeCell ref="AL37:AM37"/>
    <mergeCell ref="AR30:AS30"/>
    <mergeCell ref="R34:S34"/>
    <mergeCell ref="X33:Y33"/>
    <mergeCell ref="AJ35:AK35"/>
    <mergeCell ref="AL35:AM35"/>
    <mergeCell ref="AN35:AO35"/>
    <mergeCell ref="AP35:AQ35"/>
    <mergeCell ref="AR35:AS35"/>
    <mergeCell ref="X31:Y31"/>
    <mergeCell ref="AD42:AE42"/>
    <mergeCell ref="AB42:AC42"/>
    <mergeCell ref="BB44:BC44"/>
    <mergeCell ref="V48:W48"/>
    <mergeCell ref="X48:Y48"/>
    <mergeCell ref="Z48:AA48"/>
    <mergeCell ref="AB48:AC48"/>
    <mergeCell ref="AD48:AE48"/>
    <mergeCell ref="AF48:AG48"/>
    <mergeCell ref="AD52:AE52"/>
    <mergeCell ref="Z52:AA52"/>
    <mergeCell ref="AJ49:AK49"/>
    <mergeCell ref="Z50:AA50"/>
    <mergeCell ref="AJ50:AK50"/>
    <mergeCell ref="AF65:AG65"/>
    <mergeCell ref="R64:S64"/>
    <mergeCell ref="T64:U64"/>
    <mergeCell ref="V36:W36"/>
    <mergeCell ref="AF44:AG44"/>
    <mergeCell ref="AD44:AE44"/>
    <mergeCell ref="AB44:AC44"/>
    <mergeCell ref="Z42:AA42"/>
    <mergeCell ref="R36:S36"/>
    <mergeCell ref="AN40:AO40"/>
    <mergeCell ref="AL40:AM40"/>
    <mergeCell ref="AJ40:AK40"/>
    <mergeCell ref="AL31:AM31"/>
    <mergeCell ref="AN31:AO31"/>
    <mergeCell ref="AP31:AQ31"/>
    <mergeCell ref="AR31:AS31"/>
    <mergeCell ref="AT31:AU31"/>
    <mergeCell ref="AZ35:BA35"/>
    <mergeCell ref="AZ36:BA36"/>
    <mergeCell ref="V37:W37"/>
    <mergeCell ref="Z31:AA31"/>
    <mergeCell ref="Z30:AA30"/>
    <mergeCell ref="R31:S31"/>
    <mergeCell ref="AV55:AW55"/>
    <mergeCell ref="AX55:AY55"/>
    <mergeCell ref="AX53:AY53"/>
    <mergeCell ref="BB51:BC51"/>
    <mergeCell ref="AZ55:BA55"/>
    <mergeCell ref="AV54:AW54"/>
    <mergeCell ref="AD63:AE63"/>
    <mergeCell ref="AF63:AG63"/>
    <mergeCell ref="AH63:AI63"/>
    <mergeCell ref="AJ63:AK63"/>
    <mergeCell ref="AV51:AW51"/>
    <mergeCell ref="AX54:AY54"/>
    <mergeCell ref="AZ54:BA54"/>
    <mergeCell ref="AB54:AC54"/>
    <mergeCell ref="BL24:BM24"/>
    <mergeCell ref="AX50:AY50"/>
    <mergeCell ref="AV52:AW52"/>
    <mergeCell ref="AX33:AY33"/>
    <mergeCell ref="AV40:AW40"/>
    <mergeCell ref="AT40:AU40"/>
    <mergeCell ref="BD45:BE45"/>
    <mergeCell ref="BL70:BM70"/>
    <mergeCell ref="BJ70:BK70"/>
    <mergeCell ref="BH70:BI70"/>
    <mergeCell ref="BF70:BG70"/>
    <mergeCell ref="BD70:BE70"/>
    <mergeCell ref="BB70:BC70"/>
    <mergeCell ref="AT75:AU75"/>
    <mergeCell ref="AV75:AW75"/>
    <mergeCell ref="AX75:AY75"/>
    <mergeCell ref="AZ75:BA75"/>
    <mergeCell ref="BB75:BC75"/>
    <mergeCell ref="BD75:BE75"/>
    <mergeCell ref="BF75:BG75"/>
    <mergeCell ref="BH75:BI75"/>
    <mergeCell ref="BJ75:BK75"/>
    <mergeCell ref="BL75:BM75"/>
    <mergeCell ref="BN75:BO75"/>
    <mergeCell ref="BP75:BQ75"/>
    <mergeCell ref="AT80:AU80"/>
    <mergeCell ref="BD78:BE78"/>
    <mergeCell ref="BF62:BG62"/>
    <mergeCell ref="BH62:BI62"/>
    <mergeCell ref="BJ62:BK62"/>
    <mergeCell ref="BL62:BM62"/>
    <mergeCell ref="BN62:BO62"/>
    <mergeCell ref="BB78:BC78"/>
    <mergeCell ref="AT71:AU71"/>
    <mergeCell ref="AX71:AY71"/>
    <mergeCell ref="BB52:BC52"/>
    <mergeCell ref="BN52:BO52"/>
    <mergeCell ref="BN36:BO36"/>
    <mergeCell ref="BH35:BI35"/>
    <mergeCell ref="BP39:BQ39"/>
    <mergeCell ref="BL54:BM54"/>
    <mergeCell ref="BJ55:BK55"/>
    <mergeCell ref="BL55:BM55"/>
    <mergeCell ref="BN55:BO55"/>
    <mergeCell ref="BJ54:BK54"/>
    <mergeCell ref="BH54:BI54"/>
    <mergeCell ref="AZ78:BA78"/>
    <mergeCell ref="AX78:AY78"/>
    <mergeCell ref="AN52:AO52"/>
    <mergeCell ref="BP45:BQ45"/>
    <mergeCell ref="BD48:BE48"/>
    <mergeCell ref="AJ51:AK51"/>
    <mergeCell ref="AR49:AS49"/>
    <mergeCell ref="AN29:AO29"/>
    <mergeCell ref="AN34:AO34"/>
    <mergeCell ref="AT52:AU52"/>
    <mergeCell ref="BN51:BO51"/>
    <mergeCell ref="AD32:AE32"/>
    <mergeCell ref="AB32:AC32"/>
    <mergeCell ref="AL42:AM42"/>
    <mergeCell ref="CD55:CE55"/>
    <mergeCell ref="CD57:CE57"/>
    <mergeCell ref="CD63:CE63"/>
    <mergeCell ref="AJ65:AK65"/>
    <mergeCell ref="CD67:CE67"/>
    <mergeCell ref="AR89:AS89"/>
    <mergeCell ref="AP89:AQ89"/>
    <mergeCell ref="AN89:AO89"/>
    <mergeCell ref="AL89:AM89"/>
    <mergeCell ref="AJ89:AK89"/>
    <mergeCell ref="AR77:AS77"/>
    <mergeCell ref="AP77:AQ77"/>
    <mergeCell ref="AN77:AO77"/>
    <mergeCell ref="AL77:AM77"/>
    <mergeCell ref="AJ77:AK77"/>
    <mergeCell ref="AN75:AO75"/>
    <mergeCell ref="AL75:AM75"/>
    <mergeCell ref="AJ75:AK75"/>
    <mergeCell ref="BD89:BE89"/>
    <mergeCell ref="BB89:BC89"/>
    <mergeCell ref="AZ89:BA89"/>
    <mergeCell ref="AX89:AY89"/>
    <mergeCell ref="BZ52:CA52"/>
    <mergeCell ref="BZ54:CA54"/>
    <mergeCell ref="AT55:AU55"/>
    <mergeCell ref="BF55:BG55"/>
    <mergeCell ref="BH55:BI55"/>
    <mergeCell ref="AN70:AO70"/>
    <mergeCell ref="AL70:AM70"/>
    <mergeCell ref="AJ70:AK70"/>
    <mergeCell ref="BB71:BC71"/>
    <mergeCell ref="AZ71:BA71"/>
    <mergeCell ref="BP70:BQ70"/>
    <mergeCell ref="AR73:AS73"/>
    <mergeCell ref="AR71:AS71"/>
    <mergeCell ref="AP71:AQ71"/>
    <mergeCell ref="AN71:AO71"/>
    <mergeCell ref="AL71:AM71"/>
    <mergeCell ref="BX73:BY73"/>
    <mergeCell ref="BZ74:CA74"/>
    <mergeCell ref="AN74:AO74"/>
    <mergeCell ref="AL74:AM74"/>
    <mergeCell ref="AJ74:AK74"/>
    <mergeCell ref="BF71:BG71"/>
    <mergeCell ref="BH71:BI71"/>
    <mergeCell ref="BJ71:BK71"/>
    <mergeCell ref="BL71:BM71"/>
    <mergeCell ref="BN71:BO71"/>
    <mergeCell ref="BP71:BQ71"/>
    <mergeCell ref="BR71:BS71"/>
    <mergeCell ref="BT71:BU71"/>
    <mergeCell ref="BV71:BW71"/>
    <mergeCell ref="BX71:BY71"/>
    <mergeCell ref="BZ71:CA71"/>
    <mergeCell ref="BD54:BE54"/>
    <mergeCell ref="BD55:BE55"/>
    <mergeCell ref="BP52:BQ52"/>
    <mergeCell ref="BX55:BY55"/>
    <mergeCell ref="AL63:AM63"/>
    <mergeCell ref="AN63:AO63"/>
    <mergeCell ref="AN66:AO66"/>
    <mergeCell ref="AN65:AO65"/>
    <mergeCell ref="AP88:AQ88"/>
    <mergeCell ref="AR88:AS88"/>
    <mergeCell ref="BP20:BQ20"/>
    <mergeCell ref="BL22:BM22"/>
    <mergeCell ref="AX23:AY23"/>
    <mergeCell ref="BV26:BW26"/>
    <mergeCell ref="BX30:BY30"/>
    <mergeCell ref="BT19:BU19"/>
    <mergeCell ref="AX19:AY19"/>
    <mergeCell ref="BB42:BC42"/>
    <mergeCell ref="BN26:BO26"/>
    <mergeCell ref="BR50:BS50"/>
    <mergeCell ref="BR29:BS29"/>
    <mergeCell ref="BP35:BQ35"/>
    <mergeCell ref="BB29:BC29"/>
    <mergeCell ref="BL30:BM30"/>
    <mergeCell ref="AT29:AU29"/>
    <mergeCell ref="AX52:AY52"/>
    <mergeCell ref="BD35:BE35"/>
    <mergeCell ref="BX52:BY52"/>
    <mergeCell ref="AF52:AG52"/>
    <mergeCell ref="AH52:AI52"/>
    <mergeCell ref="AV50:AW50"/>
    <mergeCell ref="BF50:BG50"/>
    <mergeCell ref="BH50:BI50"/>
    <mergeCell ref="AV49:AW49"/>
    <mergeCell ref="BB26:BC26"/>
    <mergeCell ref="BR34:BS34"/>
    <mergeCell ref="BZ42:CA42"/>
    <mergeCell ref="CB42:CC42"/>
    <mergeCell ref="CD42:CE42"/>
    <mergeCell ref="AX51:AY51"/>
    <mergeCell ref="BB40:BC40"/>
    <mergeCell ref="AZ42:BA42"/>
    <mergeCell ref="AZ41:BA41"/>
    <mergeCell ref="AR45:AS45"/>
    <mergeCell ref="AP45:AQ45"/>
    <mergeCell ref="AN45:AO45"/>
    <mergeCell ref="BF45:BG45"/>
    <mergeCell ref="AV45:AW45"/>
    <mergeCell ref="BB41:BC41"/>
    <mergeCell ref="BD41:BE41"/>
    <mergeCell ref="BF41:BG41"/>
    <mergeCell ref="BH41:BI41"/>
    <mergeCell ref="BH40:BI40"/>
    <mergeCell ref="BD43:BE43"/>
    <mergeCell ref="AT35:AU35"/>
    <mergeCell ref="AF30:AG30"/>
    <mergeCell ref="BJ48:BK48"/>
    <mergeCell ref="BB50:BC50"/>
    <mergeCell ref="BD50:BE50"/>
    <mergeCell ref="BL50:BM50"/>
    <mergeCell ref="CB41:CC41"/>
    <mergeCell ref="BL34:BM34"/>
    <mergeCell ref="CB46:CC46"/>
    <mergeCell ref="CD46:CE46"/>
    <mergeCell ref="BT34:BU34"/>
    <mergeCell ref="BX35:BY35"/>
    <mergeCell ref="AR37:AS37"/>
    <mergeCell ref="BZ41:CA41"/>
    <mergeCell ref="BX50:BY50"/>
    <mergeCell ref="BZ50:CA50"/>
    <mergeCell ref="CB50:CC50"/>
    <mergeCell ref="BP49:BQ49"/>
    <mergeCell ref="BP48:BQ48"/>
    <mergeCell ref="BX40:BY40"/>
    <mergeCell ref="AL21:AM21"/>
    <mergeCell ref="BH23:BI23"/>
    <mergeCell ref="AX21:AY21"/>
    <mergeCell ref="AN33:AO33"/>
    <mergeCell ref="AL33:AM33"/>
    <mergeCell ref="AL34:AM34"/>
    <mergeCell ref="AJ37:AK37"/>
    <mergeCell ref="AN36:AO36"/>
    <mergeCell ref="AT30:AU30"/>
    <mergeCell ref="BR32:BS32"/>
    <mergeCell ref="BT32:BU32"/>
    <mergeCell ref="BH21:BI21"/>
    <mergeCell ref="BV25:BW25"/>
    <mergeCell ref="BX25:BY25"/>
    <mergeCell ref="BZ25:CA25"/>
    <mergeCell ref="BJ21:BK21"/>
    <mergeCell ref="BX24:BY24"/>
    <mergeCell ref="BP21:BQ21"/>
    <mergeCell ref="BJ22:BK22"/>
    <mergeCell ref="BH22:BI22"/>
    <mergeCell ref="AZ39:BA39"/>
    <mergeCell ref="BB39:BC39"/>
    <mergeCell ref="BD39:BE39"/>
    <mergeCell ref="BF39:BG39"/>
    <mergeCell ref="BV53:BW53"/>
    <mergeCell ref="AF46:AG46"/>
    <mergeCell ref="AZ53:BA53"/>
    <mergeCell ref="BB53:BC53"/>
    <mergeCell ref="AT19:AU19"/>
    <mergeCell ref="AP21:AQ21"/>
    <mergeCell ref="AT44:AU44"/>
    <mergeCell ref="AV44:AW44"/>
    <mergeCell ref="AX44:AY44"/>
    <mergeCell ref="AZ44:BA44"/>
    <mergeCell ref="AV19:AW19"/>
    <mergeCell ref="BF42:BG42"/>
    <mergeCell ref="BD42:BE42"/>
    <mergeCell ref="AX42:AY42"/>
    <mergeCell ref="BP33:BQ33"/>
    <mergeCell ref="BZ26:CA26"/>
    <mergeCell ref="BX31:BY31"/>
    <mergeCell ref="BD32:BE32"/>
    <mergeCell ref="BT31:BU31"/>
    <mergeCell ref="AP19:AQ19"/>
    <mergeCell ref="AR25:AS25"/>
    <mergeCell ref="AP25:AQ25"/>
    <mergeCell ref="AT23:AU23"/>
    <mergeCell ref="AV23:AW23"/>
    <mergeCell ref="AP29:AQ29"/>
    <mergeCell ref="AV35:AW35"/>
    <mergeCell ref="AJ20:AK20"/>
    <mergeCell ref="AL20:AM20"/>
    <mergeCell ref="AJ32:AK32"/>
    <mergeCell ref="AH32:AI32"/>
    <mergeCell ref="AF32:AG32"/>
    <mergeCell ref="BH49:BI49"/>
    <mergeCell ref="AT51:AU51"/>
    <mergeCell ref="AR32:AS32"/>
    <mergeCell ref="AR21:AS21"/>
    <mergeCell ref="AH29:AI29"/>
    <mergeCell ref="AJ31:AK31"/>
    <mergeCell ref="BL52:BM52"/>
    <mergeCell ref="BR30:BS30"/>
    <mergeCell ref="BH30:BI30"/>
    <mergeCell ref="CR31:CS31"/>
    <mergeCell ref="CR35:CS35"/>
    <mergeCell ref="CL36:CM36"/>
    <mergeCell ref="CH34:CI34"/>
    <mergeCell ref="BH26:BI26"/>
    <mergeCell ref="CP36:CQ36"/>
    <mergeCell ref="CR36:CS36"/>
    <mergeCell ref="CF26:CG26"/>
    <mergeCell ref="CH26:CI26"/>
    <mergeCell ref="CT23:CU23"/>
    <mergeCell ref="CT25:CU25"/>
    <mergeCell ref="BL20:BM20"/>
    <mergeCell ref="BN20:BO20"/>
    <mergeCell ref="AV31:AW31"/>
    <mergeCell ref="BN35:BO35"/>
    <mergeCell ref="CR30:CS30"/>
    <mergeCell ref="CP29:CQ29"/>
    <mergeCell ref="BX33:BY33"/>
    <mergeCell ref="CF33:CG33"/>
    <mergeCell ref="BP30:BQ30"/>
    <mergeCell ref="CB29:CC29"/>
    <mergeCell ref="BR26:BS26"/>
    <mergeCell ref="CN36:CO36"/>
    <mergeCell ref="BF34:BG34"/>
    <mergeCell ref="BX26:BY26"/>
    <mergeCell ref="BJ26:BK26"/>
    <mergeCell ref="CD26:CE26"/>
    <mergeCell ref="BN30:BO30"/>
    <mergeCell ref="BD34:BE34"/>
    <mergeCell ref="BF29:BG29"/>
    <mergeCell ref="BD29:BE29"/>
    <mergeCell ref="BP26:BQ26"/>
    <mergeCell ref="CD33:CE33"/>
    <mergeCell ref="CD34:CE34"/>
    <mergeCell ref="CD27:CE27"/>
    <mergeCell ref="AX26:AY26"/>
    <mergeCell ref="AV33:AW33"/>
    <mergeCell ref="AX29:AY29"/>
    <mergeCell ref="AV30:AW30"/>
    <mergeCell ref="CJ33:CK33"/>
    <mergeCell ref="CL33:CM33"/>
    <mergeCell ref="CJ35:CK35"/>
    <mergeCell ref="CJ22:CK22"/>
    <mergeCell ref="BT30:BU30"/>
    <mergeCell ref="BV29:BW29"/>
    <mergeCell ref="CP22:CQ22"/>
    <mergeCell ref="CL29:CM29"/>
    <mergeCell ref="CJ25:CK25"/>
    <mergeCell ref="CL25:CM25"/>
    <mergeCell ref="CJ21:CK21"/>
    <mergeCell ref="CL21:CM21"/>
    <mergeCell ref="CR21:CS21"/>
    <mergeCell ref="AZ29:BA29"/>
    <mergeCell ref="BJ23:BK23"/>
    <mergeCell ref="BD25:BE25"/>
    <mergeCell ref="BF24:BG24"/>
    <mergeCell ref="BJ24:BK24"/>
    <mergeCell ref="BH24:BI24"/>
    <mergeCell ref="AZ24:BA24"/>
    <mergeCell ref="CD30:CE30"/>
    <mergeCell ref="BJ29:BK29"/>
    <mergeCell ref="BZ32:CA32"/>
    <mergeCell ref="CB32:CC32"/>
    <mergeCell ref="CF29:CG29"/>
    <mergeCell ref="J3:K3"/>
    <mergeCell ref="BF6:BG6"/>
    <mergeCell ref="X37:Y37"/>
    <mergeCell ref="Z37:AA37"/>
    <mergeCell ref="AB37:AC37"/>
    <mergeCell ref="AD37:AE37"/>
    <mergeCell ref="L51:M51"/>
    <mergeCell ref="N51:O51"/>
    <mergeCell ref="T53:U53"/>
    <mergeCell ref="BH6:BI6"/>
    <mergeCell ref="AT20:AU20"/>
    <mergeCell ref="AP22:AQ22"/>
    <mergeCell ref="AN20:AO20"/>
    <mergeCell ref="AP20:AQ20"/>
    <mergeCell ref="BF19:BG19"/>
    <mergeCell ref="AT22:AU22"/>
    <mergeCell ref="AD26:AE26"/>
    <mergeCell ref="Z24:AA24"/>
    <mergeCell ref="AB24:AC24"/>
    <mergeCell ref="AB26:AC26"/>
    <mergeCell ref="X49:Y49"/>
    <mergeCell ref="AD34:AE34"/>
    <mergeCell ref="BH34:BI34"/>
    <mergeCell ref="BN29:BO29"/>
    <mergeCell ref="BB34:BC34"/>
    <mergeCell ref="AJ34:AK34"/>
    <mergeCell ref="AZ26:BA26"/>
    <mergeCell ref="AX48:AY48"/>
    <mergeCell ref="AV48:AW48"/>
    <mergeCell ref="AT48:AU48"/>
    <mergeCell ref="AV29:AW29"/>
    <mergeCell ref="BD31:BE31"/>
    <mergeCell ref="BB31:BC31"/>
    <mergeCell ref="AZ31:BA31"/>
    <mergeCell ref="AH27:AI27"/>
    <mergeCell ref="AT25:AU25"/>
    <mergeCell ref="AN19:AO19"/>
    <mergeCell ref="AJ48:AK48"/>
    <mergeCell ref="X20:Y20"/>
    <mergeCell ref="Z20:AA20"/>
    <mergeCell ref="BL21:BM21"/>
    <mergeCell ref="BH19:BI19"/>
    <mergeCell ref="AJ23:AK23"/>
    <mergeCell ref="AZ40:BA40"/>
    <mergeCell ref="AT43:AU43"/>
    <mergeCell ref="AV43:AW43"/>
    <mergeCell ref="AX43:AY43"/>
    <mergeCell ref="AT45:AU45"/>
    <mergeCell ref="AL26:AM26"/>
    <mergeCell ref="T27:U27"/>
    <mergeCell ref="R27:S27"/>
    <mergeCell ref="P31:Q31"/>
    <mergeCell ref="BB23:BC23"/>
    <mergeCell ref="BD23:BE23"/>
    <mergeCell ref="BF23:BG23"/>
    <mergeCell ref="BF40:BG40"/>
    <mergeCell ref="BD40:BE40"/>
    <mergeCell ref="AX35:AY35"/>
    <mergeCell ref="AZ19:BA19"/>
    <mergeCell ref="BB19:BC19"/>
    <mergeCell ref="BB24:BC24"/>
    <mergeCell ref="BL26:BM26"/>
    <mergeCell ref="BH31:BI31"/>
    <mergeCell ref="BL36:BM36"/>
    <mergeCell ref="CJ23:CK23"/>
    <mergeCell ref="CL23:CM23"/>
    <mergeCell ref="CN23:CO23"/>
    <mergeCell ref="BV20:BW20"/>
    <mergeCell ref="BV21:BW21"/>
    <mergeCell ref="BX22:BY22"/>
    <mergeCell ref="CF19:CG19"/>
    <mergeCell ref="CD21:CE21"/>
    <mergeCell ref="BZ20:CA20"/>
    <mergeCell ref="BR24:BS24"/>
    <mergeCell ref="BT25:BU25"/>
    <mergeCell ref="BR23:BS23"/>
    <mergeCell ref="BT23:BU23"/>
    <mergeCell ref="BP29:BQ29"/>
    <mergeCell ref="BZ24:CA24"/>
    <mergeCell ref="CJ27:CK27"/>
    <mergeCell ref="CH19:CI19"/>
    <mergeCell ref="BZ31:CA31"/>
    <mergeCell ref="R29:S29"/>
    <mergeCell ref="AV21:AW21"/>
    <mergeCell ref="BV23:BW23"/>
    <mergeCell ref="BR21:BS21"/>
    <mergeCell ref="CF25:CG25"/>
    <mergeCell ref="AZ21:BA21"/>
    <mergeCell ref="CB22:CC22"/>
    <mergeCell ref="AJ22:AK22"/>
    <mergeCell ref="CD22:CE22"/>
    <mergeCell ref="CB23:CC23"/>
    <mergeCell ref="BN23:BO23"/>
    <mergeCell ref="BL23:BM23"/>
    <mergeCell ref="BB21:BC21"/>
    <mergeCell ref="BT29:BU29"/>
    <mergeCell ref="BP23:BQ23"/>
    <mergeCell ref="BP24:BQ24"/>
    <mergeCell ref="BV24:BW24"/>
    <mergeCell ref="AZ25:BA25"/>
    <mergeCell ref="BP25:BQ25"/>
    <mergeCell ref="BX23:BY23"/>
    <mergeCell ref="BZ23:CA23"/>
    <mergeCell ref="CF23:CG23"/>
    <mergeCell ref="BR25:BS25"/>
    <mergeCell ref="BN24:BO24"/>
    <mergeCell ref="CH24:CI24"/>
    <mergeCell ref="CH25:CI25"/>
    <mergeCell ref="CF21:CG21"/>
    <mergeCell ref="CH21:CI21"/>
    <mergeCell ref="V26:W26"/>
    <mergeCell ref="X26:Y26"/>
    <mergeCell ref="AX24:AY24"/>
    <mergeCell ref="BN25:BO25"/>
    <mergeCell ref="BV19:BW19"/>
    <mergeCell ref="BX19:BY19"/>
    <mergeCell ref="BZ19:CA19"/>
    <mergeCell ref="CB24:CC24"/>
    <mergeCell ref="BH20:BI20"/>
    <mergeCell ref="BF20:BG20"/>
    <mergeCell ref="Z26:AA26"/>
    <mergeCell ref="AR29:AS29"/>
    <mergeCell ref="AP26:AQ26"/>
    <mergeCell ref="AN26:AO26"/>
    <mergeCell ref="AF31:AG31"/>
    <mergeCell ref="AT26:AU26"/>
    <mergeCell ref="BF30:BG30"/>
    <mergeCell ref="BN31:BO31"/>
    <mergeCell ref="A5:A7"/>
    <mergeCell ref="B5:B7"/>
    <mergeCell ref="C5:C7"/>
    <mergeCell ref="D5:D7"/>
    <mergeCell ref="F5:F7"/>
    <mergeCell ref="G5:G6"/>
    <mergeCell ref="I5:I7"/>
    <mergeCell ref="J5:J7"/>
    <mergeCell ref="E5:E7"/>
    <mergeCell ref="V6:W6"/>
    <mergeCell ref="AJ6:AK6"/>
    <mergeCell ref="K5:K7"/>
    <mergeCell ref="BR33:BS33"/>
    <mergeCell ref="CF30:CG30"/>
    <mergeCell ref="CH30:CI30"/>
    <mergeCell ref="CJ30:CK30"/>
    <mergeCell ref="CL30:CM30"/>
    <mergeCell ref="CN30:CO30"/>
    <mergeCell ref="CL39:CM39"/>
    <mergeCell ref="CN39:CO39"/>
    <mergeCell ref="AD9:AE9"/>
    <mergeCell ref="Z9:AA9"/>
    <mergeCell ref="AB20:AC20"/>
    <mergeCell ref="AD20:AE20"/>
    <mergeCell ref="AF20:AG20"/>
    <mergeCell ref="AL29:AM29"/>
    <mergeCell ref="AJ29:AK29"/>
    <mergeCell ref="AD27:AE27"/>
    <mergeCell ref="AZ23:BA23"/>
    <mergeCell ref="AP37:AQ37"/>
    <mergeCell ref="AN37:AO37"/>
    <mergeCell ref="AZ22:BA22"/>
    <mergeCell ref="BB22:BC22"/>
    <mergeCell ref="AN22:AO22"/>
    <mergeCell ref="AR22:AS22"/>
    <mergeCell ref="T21:U21"/>
    <mergeCell ref="BF26:BG26"/>
    <mergeCell ref="X25:Y25"/>
    <mergeCell ref="BB32:BC32"/>
    <mergeCell ref="AZ30:BA30"/>
    <mergeCell ref="AX30:AY30"/>
    <mergeCell ref="BP22:BQ22"/>
    <mergeCell ref="CJ24:CK24"/>
    <mergeCell ref="AT21:AU21"/>
    <mergeCell ref="AL25:AM25"/>
    <mergeCell ref="AJ25:AK25"/>
    <mergeCell ref="AP36:AQ36"/>
    <mergeCell ref="AV26:AW26"/>
    <mergeCell ref="T35:U35"/>
    <mergeCell ref="AF26:AG26"/>
    <mergeCell ref="AH26:AI26"/>
    <mergeCell ref="AJ26:AK26"/>
    <mergeCell ref="CD9:CE9"/>
    <mergeCell ref="CF9:CG9"/>
    <mergeCell ref="CH9:CI9"/>
    <mergeCell ref="CB20:CC20"/>
    <mergeCell ref="N29:O29"/>
    <mergeCell ref="P29:Q29"/>
    <mergeCell ref="AF21:AG21"/>
    <mergeCell ref="AH21:AI21"/>
    <mergeCell ref="P32:Q32"/>
    <mergeCell ref="AX25:AY25"/>
    <mergeCell ref="CN19:CO19"/>
    <mergeCell ref="CD24:CE24"/>
    <mergeCell ref="N37:O37"/>
    <mergeCell ref="AP34:AQ34"/>
    <mergeCell ref="AH37:AI37"/>
    <mergeCell ref="R32:S32"/>
    <mergeCell ref="CL6:CM6"/>
    <mergeCell ref="CN6:CO6"/>
    <mergeCell ref="CD6:CE6"/>
    <mergeCell ref="CT22:CU22"/>
    <mergeCell ref="CV22:CW22"/>
    <mergeCell ref="CR22:CS22"/>
    <mergeCell ref="BZ22:CA22"/>
    <mergeCell ref="CT29:CU29"/>
    <mergeCell ref="CR29:CS29"/>
    <mergeCell ref="BX29:BY29"/>
    <mergeCell ref="BZ29:CA29"/>
    <mergeCell ref="CD19:CE19"/>
    <mergeCell ref="CF27:CG27"/>
    <mergeCell ref="CZ29:DA29"/>
    <mergeCell ref="CH29:CI29"/>
    <mergeCell ref="CJ29:CK29"/>
    <mergeCell ref="CZ26:DA26"/>
    <mergeCell ref="CR6:CS6"/>
    <mergeCell ref="CJ6:CK6"/>
    <mergeCell ref="BX21:BY21"/>
    <mergeCell ref="DB26:DC26"/>
    <mergeCell ref="DB23:DC23"/>
    <mergeCell ref="DB22:DC22"/>
    <mergeCell ref="CZ19:DA19"/>
    <mergeCell ref="CJ20:CK20"/>
    <mergeCell ref="CL9:CM9"/>
    <mergeCell ref="CZ33:DA33"/>
    <mergeCell ref="DB33:DC33"/>
    <mergeCell ref="DB20:DC20"/>
    <mergeCell ref="CX30:CY30"/>
    <mergeCell ref="CJ26:CK26"/>
    <mergeCell ref="CR26:CS26"/>
    <mergeCell ref="CX25:CY25"/>
    <mergeCell ref="CP24:CQ24"/>
    <mergeCell ref="CR24:CS24"/>
    <mergeCell ref="CT21:CU21"/>
    <mergeCell ref="CT19:CU19"/>
    <mergeCell ref="CR27:CS27"/>
    <mergeCell ref="CB26:CC26"/>
    <mergeCell ref="CN26:CO26"/>
    <mergeCell ref="CD29:CE29"/>
    <mergeCell ref="DB6:DC6"/>
    <mergeCell ref="CT20:CU20"/>
    <mergeCell ref="CR9:CS9"/>
    <mergeCell ref="CJ32:CK32"/>
    <mergeCell ref="CT30:CU30"/>
    <mergeCell ref="CB33:CC33"/>
    <mergeCell ref="CT33:CU33"/>
    <mergeCell ref="CV33:CW33"/>
    <mergeCell ref="CV32:CW32"/>
    <mergeCell ref="CH32:CI32"/>
    <mergeCell ref="CT12:CU12"/>
    <mergeCell ref="CV12:CW12"/>
    <mergeCell ref="CX12:CY12"/>
    <mergeCell ref="CX33:CY33"/>
    <mergeCell ref="CV25:CW25"/>
    <mergeCell ref="CX19:CY19"/>
    <mergeCell ref="CX21:CY21"/>
    <mergeCell ref="CJ9:CK9"/>
    <mergeCell ref="CN21:CO21"/>
    <mergeCell ref="CP9:CQ9"/>
    <mergeCell ref="CD23:CE23"/>
    <mergeCell ref="CR19:CS19"/>
    <mergeCell ref="CP19:CQ19"/>
    <mergeCell ref="AF36:AG36"/>
    <mergeCell ref="AH36:AI36"/>
    <mergeCell ref="AF35:AG35"/>
    <mergeCell ref="AH35:AI35"/>
    <mergeCell ref="BH33:BI33"/>
    <mergeCell ref="AL30:AM30"/>
    <mergeCell ref="AR34:AS34"/>
    <mergeCell ref="AR36:AS36"/>
    <mergeCell ref="CX24:CY24"/>
    <mergeCell ref="DB36:DC36"/>
    <mergeCell ref="CZ21:DA21"/>
    <mergeCell ref="CV20:CW20"/>
    <mergeCell ref="CX20:CY20"/>
    <mergeCell ref="CX22:CY22"/>
    <mergeCell ref="CP27:CQ27"/>
    <mergeCell ref="CP30:CQ30"/>
    <mergeCell ref="CP31:CQ31"/>
    <mergeCell ref="CP33:CQ33"/>
    <mergeCell ref="CN31:CO31"/>
    <mergeCell ref="DB30:DC30"/>
    <mergeCell ref="CX29:CY29"/>
    <mergeCell ref="DB24:DC24"/>
    <mergeCell ref="CL26:CM26"/>
    <mergeCell ref="CN27:CO27"/>
    <mergeCell ref="DB32:DC32"/>
    <mergeCell ref="CT36:CU36"/>
    <mergeCell ref="CV36:CW36"/>
    <mergeCell ref="CT51:CU51"/>
    <mergeCell ref="CV51:CW51"/>
    <mergeCell ref="CX51:CY51"/>
    <mergeCell ref="CR20:CS20"/>
    <mergeCell ref="CP43:CQ43"/>
    <mergeCell ref="CR43:CS43"/>
    <mergeCell ref="CX36:CY36"/>
    <mergeCell ref="CX35:CY35"/>
    <mergeCell ref="CX34:CY34"/>
    <mergeCell ref="CZ42:DA42"/>
    <mergeCell ref="CZ39:DA39"/>
    <mergeCell ref="DB39:DC39"/>
    <mergeCell ref="CZ40:DA40"/>
    <mergeCell ref="DB40:DC40"/>
    <mergeCell ref="CZ34:DA34"/>
    <mergeCell ref="DB25:DC25"/>
    <mergeCell ref="CN25:CO25"/>
    <mergeCell ref="CP25:CQ25"/>
    <mergeCell ref="CR25:CS25"/>
    <mergeCell ref="CL22:CM22"/>
    <mergeCell ref="CT31:CU31"/>
    <mergeCell ref="CN50:CO50"/>
    <mergeCell ref="CZ36:DA36"/>
    <mergeCell ref="CX50:CY50"/>
    <mergeCell ref="CT24:CU24"/>
    <mergeCell ref="CR23:CS23"/>
    <mergeCell ref="CT26:CU26"/>
    <mergeCell ref="CL27:CM27"/>
    <mergeCell ref="CL47:CM47"/>
    <mergeCell ref="CN47:CO47"/>
    <mergeCell ref="CP47:CQ47"/>
    <mergeCell ref="CR47:CS47"/>
    <mergeCell ref="CL31:CM31"/>
    <mergeCell ref="CB30:CC30"/>
    <mergeCell ref="AT32:AU32"/>
    <mergeCell ref="AV42:AW42"/>
    <mergeCell ref="AR42:AS42"/>
    <mergeCell ref="AP42:AQ42"/>
    <mergeCell ref="AN42:AO42"/>
    <mergeCell ref="AN41:AO41"/>
    <mergeCell ref="AP41:AQ41"/>
    <mergeCell ref="AR41:AS41"/>
    <mergeCell ref="AJ36:AK36"/>
    <mergeCell ref="AL36:AM36"/>
    <mergeCell ref="AP32:AQ32"/>
    <mergeCell ref="AN32:AO32"/>
    <mergeCell ref="AJ30:AK30"/>
    <mergeCell ref="BT49:BU49"/>
    <mergeCell ref="BV49:BW49"/>
    <mergeCell ref="BX49:BY49"/>
    <mergeCell ref="BF49:BG49"/>
    <mergeCell ref="BT43:BU43"/>
    <mergeCell ref="BP41:BQ41"/>
    <mergeCell ref="CF41:CG41"/>
    <mergeCell ref="BF43:BG43"/>
    <mergeCell ref="BZ45:CA45"/>
    <mergeCell ref="CB45:CC45"/>
    <mergeCell ref="CD45:CE45"/>
    <mergeCell ref="CF45:CG45"/>
    <mergeCell ref="BX41:BY41"/>
    <mergeCell ref="BT36:BU36"/>
    <mergeCell ref="CF34:CG34"/>
    <mergeCell ref="CF40:CG40"/>
    <mergeCell ref="BJ40:BK40"/>
    <mergeCell ref="BN32:BO32"/>
    <mergeCell ref="BL32:BM32"/>
    <mergeCell ref="BB35:BC35"/>
    <mergeCell ref="BF44:BG44"/>
    <mergeCell ref="BH44:BI44"/>
    <mergeCell ref="BZ39:CA39"/>
    <mergeCell ref="CB39:CC39"/>
    <mergeCell ref="CD39:CE39"/>
    <mergeCell ref="CF39:CG39"/>
    <mergeCell ref="CD37:CE37"/>
    <mergeCell ref="CD35:CE35"/>
    <mergeCell ref="BN39:BO39"/>
    <mergeCell ref="BL39:BM39"/>
    <mergeCell ref="BJ39:BK39"/>
    <mergeCell ref="BH39:BI39"/>
    <mergeCell ref="CB40:CC40"/>
    <mergeCell ref="CD40:CE40"/>
    <mergeCell ref="AZ33:BA33"/>
    <mergeCell ref="BH32:BI32"/>
    <mergeCell ref="BL31:BM31"/>
    <mergeCell ref="AR33:AS33"/>
    <mergeCell ref="AP33:AQ33"/>
    <mergeCell ref="BZ30:CA30"/>
    <mergeCell ref="CB31:CC31"/>
    <mergeCell ref="CD31:CE31"/>
    <mergeCell ref="BP31:BQ31"/>
    <mergeCell ref="AJ42:AK42"/>
    <mergeCell ref="BN45:BO45"/>
    <mergeCell ref="BL45:BM45"/>
    <mergeCell ref="BJ45:BK45"/>
    <mergeCell ref="BH45:BI45"/>
    <mergeCell ref="DB29:DC29"/>
    <mergeCell ref="CZ31:DA31"/>
    <mergeCell ref="CZ32:DA32"/>
    <mergeCell ref="CX31:CY31"/>
    <mergeCell ref="CV26:CW26"/>
    <mergeCell ref="CZ50:DA50"/>
    <mergeCell ref="DB50:DC50"/>
    <mergeCell ref="AZ32:BA32"/>
    <mergeCell ref="AX45:AY45"/>
    <mergeCell ref="BN22:BO22"/>
    <mergeCell ref="BP32:BQ32"/>
    <mergeCell ref="BN21:BO21"/>
    <mergeCell ref="BN48:BO48"/>
    <mergeCell ref="BT22:BU22"/>
    <mergeCell ref="AZ48:BA48"/>
    <mergeCell ref="BB48:BC48"/>
    <mergeCell ref="AX31:AY31"/>
    <mergeCell ref="BD26:BE26"/>
    <mergeCell ref="BF25:BG25"/>
    <mergeCell ref="BJ42:BK42"/>
    <mergeCell ref="BH42:BI42"/>
    <mergeCell ref="BJ41:BK41"/>
    <mergeCell ref="BP42:BQ42"/>
    <mergeCell ref="BR42:BS42"/>
    <mergeCell ref="CV31:CW31"/>
    <mergeCell ref="BR31:BS31"/>
    <mergeCell ref="CT32:CU32"/>
    <mergeCell ref="CD32:CE32"/>
    <mergeCell ref="CF32:CG32"/>
    <mergeCell ref="BV31:BW31"/>
    <mergeCell ref="BX32:BY32"/>
    <mergeCell ref="BV43:BW43"/>
    <mergeCell ref="BR41:BS41"/>
    <mergeCell ref="BT41:BU41"/>
    <mergeCell ref="BV41:BW41"/>
    <mergeCell ref="CN32:CO32"/>
    <mergeCell ref="CP32:CQ32"/>
    <mergeCell ref="CR32:CS32"/>
    <mergeCell ref="BF36:BG36"/>
    <mergeCell ref="BN34:BO34"/>
    <mergeCell ref="BD22:BE22"/>
    <mergeCell ref="BF22:BG22"/>
    <mergeCell ref="BL48:BM48"/>
    <mergeCell ref="CT50:CU50"/>
    <mergeCell ref="CH22:CI22"/>
    <mergeCell ref="CB25:CC25"/>
    <mergeCell ref="CV30:CW30"/>
    <mergeCell ref="CV29:CW29"/>
    <mergeCell ref="CT39:CU39"/>
    <mergeCell ref="CN29:CO29"/>
    <mergeCell ref="CR33:CS33"/>
    <mergeCell ref="CR40:CS40"/>
    <mergeCell ref="CN24:CO24"/>
    <mergeCell ref="CV34:CW34"/>
    <mergeCell ref="CP23:CQ23"/>
    <mergeCell ref="CH27:CI27"/>
    <mergeCell ref="DB48:DC48"/>
    <mergeCell ref="CN33:CO33"/>
    <mergeCell ref="CN43:CO43"/>
    <mergeCell ref="CT43:CU43"/>
    <mergeCell ref="CT40:CU40"/>
    <mergeCell ref="CP44:CQ44"/>
    <mergeCell ref="CL44:CM44"/>
    <mergeCell ref="CH45:CI45"/>
    <mergeCell ref="CZ20:DA20"/>
    <mergeCell ref="CB19:CC19"/>
    <mergeCell ref="BX20:BY20"/>
    <mergeCell ref="CL24:CM24"/>
    <mergeCell ref="CN22:CO22"/>
    <mergeCell ref="CJ19:CK19"/>
    <mergeCell ref="BZ21:CA21"/>
    <mergeCell ref="CB21:CC21"/>
    <mergeCell ref="BR19:BS19"/>
    <mergeCell ref="CL20:CM20"/>
    <mergeCell ref="CN20:CO20"/>
    <mergeCell ref="CL19:CM19"/>
    <mergeCell ref="BJ20:BK20"/>
    <mergeCell ref="BN19:BO19"/>
    <mergeCell ref="BT24:BU24"/>
    <mergeCell ref="BR22:BS22"/>
    <mergeCell ref="CP21:CQ21"/>
    <mergeCell ref="BD21:BE21"/>
    <mergeCell ref="CF20:CG20"/>
    <mergeCell ref="BV22:BW22"/>
    <mergeCell ref="BH25:BI25"/>
    <mergeCell ref="A19:A26"/>
    <mergeCell ref="B19:B26"/>
    <mergeCell ref="C19:C26"/>
    <mergeCell ref="D19:D26"/>
    <mergeCell ref="E19:E26"/>
    <mergeCell ref="F19:F26"/>
    <mergeCell ref="G19:G26"/>
    <mergeCell ref="I19:I26"/>
    <mergeCell ref="J19:J26"/>
    <mergeCell ref="N36:O36"/>
    <mergeCell ref="P36:Q36"/>
    <mergeCell ref="N27:O27"/>
    <mergeCell ref="P20:Q20"/>
    <mergeCell ref="AL19:AM19"/>
    <mergeCell ref="CL32:CM32"/>
    <mergeCell ref="BF32:BG32"/>
    <mergeCell ref="BF35:BG35"/>
    <mergeCell ref="BZ35:CA35"/>
    <mergeCell ref="BX34:BY34"/>
    <mergeCell ref="BZ34:CA34"/>
    <mergeCell ref="CB34:CC34"/>
    <mergeCell ref="BZ33:CA33"/>
    <mergeCell ref="CH36:CI36"/>
    <mergeCell ref="CJ31:CK31"/>
    <mergeCell ref="BP36:BQ36"/>
    <mergeCell ref="BV35:BW35"/>
    <mergeCell ref="BH36:BI36"/>
    <mergeCell ref="CJ36:CK36"/>
    <mergeCell ref="BF33:BG33"/>
    <mergeCell ref="CX23:CY23"/>
    <mergeCell ref="CZ23:DA23"/>
    <mergeCell ref="CP26:CQ26"/>
    <mergeCell ref="CZ25:DA25"/>
    <mergeCell ref="CX26:CY26"/>
    <mergeCell ref="CZ22:DA22"/>
    <mergeCell ref="CZ30:DA30"/>
    <mergeCell ref="BT26:BU26"/>
    <mergeCell ref="AZ20:BA20"/>
    <mergeCell ref="AX20:AY20"/>
    <mergeCell ref="BB25:BC25"/>
    <mergeCell ref="BL25:BM25"/>
    <mergeCell ref="BJ25:BK25"/>
    <mergeCell ref="BJ19:BK19"/>
    <mergeCell ref="C48:C55"/>
    <mergeCell ref="D48:D55"/>
    <mergeCell ref="E48:E55"/>
    <mergeCell ref="F48:F55"/>
    <mergeCell ref="G48:G55"/>
    <mergeCell ref="I48:I55"/>
    <mergeCell ref="J48:J55"/>
    <mergeCell ref="L48:M48"/>
    <mergeCell ref="A29:A36"/>
    <mergeCell ref="B29:B36"/>
    <mergeCell ref="C29:C36"/>
    <mergeCell ref="L34:M34"/>
    <mergeCell ref="L55:M55"/>
    <mergeCell ref="N55:O55"/>
    <mergeCell ref="P55:Q55"/>
    <mergeCell ref="CV19:CW19"/>
    <mergeCell ref="CV21:CW21"/>
    <mergeCell ref="CP20:CQ20"/>
    <mergeCell ref="BD24:BE24"/>
    <mergeCell ref="CH20:CI20"/>
    <mergeCell ref="BF21:BG21"/>
    <mergeCell ref="CV23:CW23"/>
    <mergeCell ref="BT21:BU21"/>
    <mergeCell ref="X19:Y19"/>
    <mergeCell ref="Z19:AA19"/>
    <mergeCell ref="AB19:AC19"/>
    <mergeCell ref="AD19:AE19"/>
    <mergeCell ref="R20:S20"/>
    <mergeCell ref="L21:M21"/>
    <mergeCell ref="N21:O21"/>
    <mergeCell ref="V20:W20"/>
    <mergeCell ref="L23:M23"/>
    <mergeCell ref="N23:O23"/>
    <mergeCell ref="P23:Q23"/>
    <mergeCell ref="P21:Q21"/>
    <mergeCell ref="BD20:BE20"/>
    <mergeCell ref="BB20:BC20"/>
    <mergeCell ref="AD22:AE22"/>
    <mergeCell ref="T20:U20"/>
    <mergeCell ref="L22:M22"/>
    <mergeCell ref="AR20:AS20"/>
    <mergeCell ref="AJ21:AK21"/>
    <mergeCell ref="AH20:AI20"/>
    <mergeCell ref="T23:U23"/>
    <mergeCell ref="V23:W23"/>
    <mergeCell ref="X23:Y23"/>
    <mergeCell ref="AZ43:BA43"/>
    <mergeCell ref="L49:M49"/>
    <mergeCell ref="T45:U45"/>
    <mergeCell ref="R45:S45"/>
    <mergeCell ref="T49:U49"/>
    <mergeCell ref="R49:S49"/>
    <mergeCell ref="P51:Q51"/>
    <mergeCell ref="AB41:AC41"/>
    <mergeCell ref="AD41:AE41"/>
    <mergeCell ref="AF41:AG41"/>
    <mergeCell ref="AH41:AI41"/>
    <mergeCell ref="P49:Q49"/>
    <mergeCell ref="Z49:AA49"/>
    <mergeCell ref="X27:Y27"/>
    <mergeCell ref="L30:M30"/>
    <mergeCell ref="CF44:CG44"/>
    <mergeCell ref="BZ48:CA48"/>
    <mergeCell ref="BF48:BG48"/>
    <mergeCell ref="AB9:AC9"/>
    <mergeCell ref="R21:S21"/>
    <mergeCell ref="AF19:AG19"/>
    <mergeCell ref="AH19:AI19"/>
    <mergeCell ref="R9:S9"/>
    <mergeCell ref="Z22:AA22"/>
    <mergeCell ref="T9:U9"/>
    <mergeCell ref="V9:W9"/>
    <mergeCell ref="X9:Y9"/>
    <mergeCell ref="Z21:AA21"/>
    <mergeCell ref="R15:S15"/>
    <mergeCell ref="T15:U15"/>
    <mergeCell ref="V15:W15"/>
    <mergeCell ref="X15:Y15"/>
    <mergeCell ref="Z15:AA15"/>
    <mergeCell ref="AB15:AC15"/>
    <mergeCell ref="AD15:AE15"/>
    <mergeCell ref="AF15:AG15"/>
    <mergeCell ref="AH15:AI15"/>
    <mergeCell ref="CN9:CO9"/>
    <mergeCell ref="DB34:DC34"/>
    <mergeCell ref="CZ35:DA35"/>
    <mergeCell ref="CL35:CM35"/>
    <mergeCell ref="CJ34:CK34"/>
    <mergeCell ref="CL34:CM34"/>
    <mergeCell ref="DB31:DC31"/>
    <mergeCell ref="DB19:DC19"/>
    <mergeCell ref="CV24:CW24"/>
    <mergeCell ref="CZ24:DA24"/>
    <mergeCell ref="DB21:DC21"/>
    <mergeCell ref="AF24:AG24"/>
    <mergeCell ref="AD21:AE21"/>
    <mergeCell ref="AR26:AS26"/>
    <mergeCell ref="AR23:AS23"/>
    <mergeCell ref="AR27:AS27"/>
    <mergeCell ref="AF22:AG22"/>
    <mergeCell ref="AH22:AI22"/>
    <mergeCell ref="CD20:CE20"/>
    <mergeCell ref="AB21:AC21"/>
    <mergeCell ref="AP9:AQ9"/>
    <mergeCell ref="AR9:AS9"/>
    <mergeCell ref="BL19:BM19"/>
    <mergeCell ref="AH30:AI30"/>
    <mergeCell ref="AN9:AO9"/>
    <mergeCell ref="BR20:BS20"/>
    <mergeCell ref="BT20:BU20"/>
    <mergeCell ref="AF9:AG9"/>
    <mergeCell ref="AL9:AM9"/>
    <mergeCell ref="AN21:AO21"/>
    <mergeCell ref="AJ9:AK9"/>
    <mergeCell ref="AJ19:AK19"/>
    <mergeCell ref="AR19:AS19"/>
    <mergeCell ref="CF22:CG22"/>
    <mergeCell ref="BP19:BQ19"/>
    <mergeCell ref="CH23:CI23"/>
    <mergeCell ref="R23:S23"/>
    <mergeCell ref="AH9:AI9"/>
    <mergeCell ref="V22:W22"/>
    <mergeCell ref="X22:Y22"/>
    <mergeCell ref="V21:W21"/>
    <mergeCell ref="X21:Y21"/>
    <mergeCell ref="Z23:AA23"/>
    <mergeCell ref="AB23:AC23"/>
    <mergeCell ref="AD23:AE23"/>
    <mergeCell ref="L18:M18"/>
    <mergeCell ref="N18:O18"/>
    <mergeCell ref="P18:Q18"/>
    <mergeCell ref="R18:S18"/>
    <mergeCell ref="T18:U18"/>
    <mergeCell ref="L19:M19"/>
    <mergeCell ref="N19:O19"/>
    <mergeCell ref="AP23:AQ23"/>
    <mergeCell ref="AV25:AW25"/>
    <mergeCell ref="AJ44:AK44"/>
    <mergeCell ref="AD31:AE31"/>
    <mergeCell ref="AB31:AC31"/>
    <mergeCell ref="AB36:AC36"/>
    <mergeCell ref="AD36:AE36"/>
    <mergeCell ref="AB30:AC30"/>
    <mergeCell ref="AD30:AE30"/>
    <mergeCell ref="AR40:AS40"/>
    <mergeCell ref="AN39:AO39"/>
    <mergeCell ref="AL39:AM39"/>
    <mergeCell ref="AJ39:AK39"/>
    <mergeCell ref="AP39:AQ39"/>
    <mergeCell ref="AV32:AW32"/>
    <mergeCell ref="AH40:AI40"/>
    <mergeCell ref="AF40:AG40"/>
    <mergeCell ref="AL32:AM32"/>
    <mergeCell ref="AD33:AE33"/>
    <mergeCell ref="AF33:AG33"/>
    <mergeCell ref="AN25:AO25"/>
    <mergeCell ref="AN44:AO44"/>
    <mergeCell ref="AN24:AO24"/>
    <mergeCell ref="AP24:AQ24"/>
    <mergeCell ref="AR24:AS24"/>
    <mergeCell ref="AV24:AW24"/>
    <mergeCell ref="AT24:AU24"/>
    <mergeCell ref="AJ33:AK33"/>
    <mergeCell ref="L20:M20"/>
    <mergeCell ref="N20:O20"/>
    <mergeCell ref="N22:O22"/>
    <mergeCell ref="AB22:AC22"/>
    <mergeCell ref="R22:S22"/>
    <mergeCell ref="N26:O26"/>
    <mergeCell ref="P26:Q26"/>
    <mergeCell ref="Z34:AA34"/>
    <mergeCell ref="T37:U37"/>
    <mergeCell ref="AH39:AI39"/>
    <mergeCell ref="AF39:AG39"/>
    <mergeCell ref="T31:U31"/>
    <mergeCell ref="V31:W31"/>
    <mergeCell ref="T40:U40"/>
    <mergeCell ref="R43:S43"/>
    <mergeCell ref="T43:U43"/>
    <mergeCell ref="V43:W43"/>
    <mergeCell ref="Z33:AA33"/>
    <mergeCell ref="AB33:AC33"/>
    <mergeCell ref="T33:U33"/>
    <mergeCell ref="T34:U34"/>
    <mergeCell ref="X32:Y32"/>
    <mergeCell ref="V32:W32"/>
    <mergeCell ref="T32:U32"/>
    <mergeCell ref="N42:O42"/>
    <mergeCell ref="L42:M42"/>
    <mergeCell ref="L41:M41"/>
    <mergeCell ref="N41:O41"/>
    <mergeCell ref="Z41:AA41"/>
    <mergeCell ref="L9:M9"/>
    <mergeCell ref="N9:O9"/>
    <mergeCell ref="P9:Q9"/>
    <mergeCell ref="P19:Q19"/>
    <mergeCell ref="R19:S19"/>
    <mergeCell ref="T19:U19"/>
    <mergeCell ref="V19:W19"/>
    <mergeCell ref="L26:M26"/>
    <mergeCell ref="L25:M25"/>
    <mergeCell ref="N24:O24"/>
    <mergeCell ref="P24:Q24"/>
    <mergeCell ref="X24:Y24"/>
    <mergeCell ref="L35:M35"/>
    <mergeCell ref="L29:M29"/>
    <mergeCell ref="T30:U30"/>
    <mergeCell ref="V30:W30"/>
    <mergeCell ref="X30:Y30"/>
    <mergeCell ref="AB34:AC34"/>
    <mergeCell ref="AB35:AC35"/>
    <mergeCell ref="AD35:AE35"/>
    <mergeCell ref="L24:M24"/>
    <mergeCell ref="BD33:BE33"/>
    <mergeCell ref="AT34:AU34"/>
    <mergeCell ref="AV34:AW34"/>
    <mergeCell ref="AX34:AY34"/>
    <mergeCell ref="AZ34:BA34"/>
    <mergeCell ref="AT33:AU33"/>
    <mergeCell ref="AX32:AY32"/>
    <mergeCell ref="V18:W18"/>
    <mergeCell ref="X18:Y18"/>
    <mergeCell ref="Z18:AA18"/>
    <mergeCell ref="AB18:AC18"/>
    <mergeCell ref="AD18:AE18"/>
    <mergeCell ref="AF18:AG18"/>
    <mergeCell ref="AH18:AI18"/>
    <mergeCell ref="AJ18:AK18"/>
    <mergeCell ref="AL18:AM18"/>
    <mergeCell ref="AN18:AO18"/>
    <mergeCell ref="AP18:AQ18"/>
    <mergeCell ref="AR18:AS18"/>
    <mergeCell ref="N31:O31"/>
    <mergeCell ref="AH31:AI31"/>
    <mergeCell ref="AV22:AW22"/>
    <mergeCell ref="AX22:AY22"/>
    <mergeCell ref="AL22:AM22"/>
    <mergeCell ref="AV20:AW20"/>
    <mergeCell ref="BD19:BE19"/>
    <mergeCell ref="L33:M33"/>
    <mergeCell ref="R24:S24"/>
    <mergeCell ref="AL23:AM23"/>
    <mergeCell ref="AN23:AO23"/>
    <mergeCell ref="AD24:AE24"/>
    <mergeCell ref="P33:Q33"/>
    <mergeCell ref="R33:S33"/>
    <mergeCell ref="N32:O32"/>
    <mergeCell ref="V33:W33"/>
    <mergeCell ref="T26:U26"/>
    <mergeCell ref="T24:U24"/>
    <mergeCell ref="AH24:AI24"/>
    <mergeCell ref="Z25:AA25"/>
    <mergeCell ref="AB25:AC25"/>
    <mergeCell ref="AD25:AE25"/>
    <mergeCell ref="AF25:AG25"/>
    <mergeCell ref="AH25:AI25"/>
    <mergeCell ref="P30:Q30"/>
    <mergeCell ref="L36:M36"/>
    <mergeCell ref="L27:M27"/>
    <mergeCell ref="L45:M45"/>
    <mergeCell ref="L32:M32"/>
    <mergeCell ref="P45:Q45"/>
    <mergeCell ref="N45:O45"/>
    <mergeCell ref="AF27:AG27"/>
    <mergeCell ref="AH51:AI51"/>
    <mergeCell ref="AB27:AC27"/>
    <mergeCell ref="AH33:AI33"/>
    <mergeCell ref="AB51:AC51"/>
    <mergeCell ref="N33:O33"/>
    <mergeCell ref="R40:S40"/>
    <mergeCell ref="AD39:AE39"/>
    <mergeCell ref="AB39:AC39"/>
    <mergeCell ref="Z39:AA39"/>
    <mergeCell ref="L43:M43"/>
    <mergeCell ref="N43:O43"/>
    <mergeCell ref="P43:Q43"/>
    <mergeCell ref="L37:M37"/>
    <mergeCell ref="L31:M31"/>
    <mergeCell ref="AF51:AG51"/>
    <mergeCell ref="AB49:AC49"/>
    <mergeCell ref="CD25:CE25"/>
    <mergeCell ref="CF24:CG24"/>
    <mergeCell ref="CJ39:CK39"/>
    <mergeCell ref="CH44:CI44"/>
    <mergeCell ref="CF49:CG49"/>
    <mergeCell ref="AX40:AY40"/>
    <mergeCell ref="AX41:AY41"/>
    <mergeCell ref="BD36:BE36"/>
    <mergeCell ref="BF46:BG46"/>
    <mergeCell ref="AZ45:BA45"/>
    <mergeCell ref="AZ50:BA50"/>
    <mergeCell ref="CJ44:CK44"/>
    <mergeCell ref="BT50:BU50"/>
    <mergeCell ref="CJ41:CK41"/>
    <mergeCell ref="CJ42:CK42"/>
    <mergeCell ref="BB46:BC46"/>
    <mergeCell ref="BB43:BC43"/>
    <mergeCell ref="BL41:BM41"/>
    <mergeCell ref="BN41:BO41"/>
    <mergeCell ref="BV30:BW30"/>
    <mergeCell ref="BJ30:BK30"/>
    <mergeCell ref="BL29:BM29"/>
    <mergeCell ref="BH29:BI29"/>
    <mergeCell ref="AT42:AU42"/>
    <mergeCell ref="AT41:AU41"/>
    <mergeCell ref="AT39:AU39"/>
    <mergeCell ref="AP40:AQ40"/>
    <mergeCell ref="AL45:AM45"/>
    <mergeCell ref="BB45:BC45"/>
    <mergeCell ref="AV39:AW39"/>
    <mergeCell ref="AN30:AO30"/>
    <mergeCell ref="AP30:AQ30"/>
    <mergeCell ref="BD30:BE30"/>
    <mergeCell ref="BB30:BC30"/>
    <mergeCell ref="BJ34:BK34"/>
    <mergeCell ref="BJ33:BK33"/>
    <mergeCell ref="AL41:AM41"/>
    <mergeCell ref="BF31:BG31"/>
    <mergeCell ref="N48:O48"/>
    <mergeCell ref="P48:Q48"/>
    <mergeCell ref="CF31:CG31"/>
    <mergeCell ref="CH31:CI31"/>
    <mergeCell ref="CF42:CG42"/>
    <mergeCell ref="CP46:CQ46"/>
    <mergeCell ref="CL40:CM40"/>
    <mergeCell ref="CN40:CO40"/>
    <mergeCell ref="CJ43:CK43"/>
    <mergeCell ref="CL43:CM43"/>
    <mergeCell ref="BL42:BM42"/>
    <mergeCell ref="CN35:CO35"/>
    <mergeCell ref="CD36:CE36"/>
    <mergeCell ref="BZ36:CA36"/>
    <mergeCell ref="BJ32:BK32"/>
    <mergeCell ref="BZ46:CA46"/>
    <mergeCell ref="BZ40:CA40"/>
    <mergeCell ref="BP46:BQ46"/>
    <mergeCell ref="BJ31:BK31"/>
    <mergeCell ref="CJ45:CK45"/>
    <mergeCell ref="CH33:CI33"/>
    <mergeCell ref="BX43:BY43"/>
    <mergeCell ref="BZ43:CA43"/>
    <mergeCell ref="CF46:CG46"/>
    <mergeCell ref="BL35:BM35"/>
    <mergeCell ref="BP34:BQ34"/>
    <mergeCell ref="CH37:CI37"/>
    <mergeCell ref="CJ37:CK37"/>
    <mergeCell ref="CL37:CM37"/>
    <mergeCell ref="CN37:CO37"/>
    <mergeCell ref="CH40:CI40"/>
    <mergeCell ref="CJ40:CK40"/>
    <mergeCell ref="CJ50:CK50"/>
    <mergeCell ref="CF35:CG35"/>
    <mergeCell ref="BR35:BS35"/>
    <mergeCell ref="BV36:BW36"/>
    <mergeCell ref="BJ36:BK36"/>
    <mergeCell ref="BL40:BM40"/>
    <mergeCell ref="BN40:BO40"/>
    <mergeCell ref="BP40:BQ40"/>
    <mergeCell ref="BR40:BS40"/>
    <mergeCell ref="BT40:BU40"/>
    <mergeCell ref="BV40:BW40"/>
    <mergeCell ref="BJ43:BK43"/>
    <mergeCell ref="BL43:BM43"/>
    <mergeCell ref="BN43:BO43"/>
    <mergeCell ref="BN42:BO42"/>
    <mergeCell ref="CB36:CC36"/>
    <mergeCell ref="BN49:BO49"/>
    <mergeCell ref="BT39:BU39"/>
    <mergeCell ref="BV39:BW39"/>
    <mergeCell ref="BX39:BY39"/>
    <mergeCell ref="BN33:BO33"/>
    <mergeCell ref="BN46:BO46"/>
    <mergeCell ref="P42:Q42"/>
    <mergeCell ref="P41:Q41"/>
    <mergeCell ref="R48:S48"/>
    <mergeCell ref="BB36:BC36"/>
    <mergeCell ref="BL46:BM46"/>
    <mergeCell ref="BL33:BM33"/>
    <mergeCell ref="BJ35:BK35"/>
    <mergeCell ref="Z32:AA32"/>
    <mergeCell ref="BN53:BO53"/>
    <mergeCell ref="BP53:BQ53"/>
    <mergeCell ref="BP51:BQ51"/>
    <mergeCell ref="BJ51:BK51"/>
    <mergeCell ref="BH51:BI51"/>
    <mergeCell ref="BH52:BI52"/>
    <mergeCell ref="CD47:CE47"/>
    <mergeCell ref="BD44:BE44"/>
    <mergeCell ref="BD46:BE46"/>
    <mergeCell ref="BD49:BE49"/>
    <mergeCell ref="BJ49:BK49"/>
    <mergeCell ref="BT48:BU48"/>
    <mergeCell ref="AJ41:AK41"/>
    <mergeCell ref="AX49:AY49"/>
    <mergeCell ref="BH43:BI43"/>
    <mergeCell ref="BH46:BI46"/>
    <mergeCell ref="BL49:BM49"/>
    <mergeCell ref="AX46:AY46"/>
    <mergeCell ref="AL48:AM48"/>
    <mergeCell ref="BZ55:CA55"/>
    <mergeCell ref="BT51:BU51"/>
    <mergeCell ref="BR69:BS69"/>
    <mergeCell ref="DB46:DC46"/>
    <mergeCell ref="DB45:DC45"/>
    <mergeCell ref="CP45:CQ45"/>
    <mergeCell ref="CR45:CS45"/>
    <mergeCell ref="CT45:CU45"/>
    <mergeCell ref="CV45:CW45"/>
    <mergeCell ref="CX45:CY45"/>
    <mergeCell ref="CZ45:DA45"/>
    <mergeCell ref="CZ44:DA44"/>
    <mergeCell ref="DB44:DC44"/>
    <mergeCell ref="BR45:BS45"/>
    <mergeCell ref="BR44:BS44"/>
    <mergeCell ref="BT44:BU44"/>
    <mergeCell ref="BV44:BW44"/>
    <mergeCell ref="BT35:BU35"/>
    <mergeCell ref="BV45:BW45"/>
    <mergeCell ref="BX45:BY45"/>
    <mergeCell ref="CL41:CM41"/>
    <mergeCell ref="CN41:CO41"/>
    <mergeCell ref="CP41:CQ41"/>
    <mergeCell ref="DB41:DC41"/>
    <mergeCell ref="CX43:CY43"/>
    <mergeCell ref="CZ43:DA43"/>
    <mergeCell ref="DB43:DC43"/>
    <mergeCell ref="CX42:CY42"/>
    <mergeCell ref="CT44:CU44"/>
    <mergeCell ref="CV44:CW44"/>
    <mergeCell ref="CX44:CY44"/>
    <mergeCell ref="CT46:CU46"/>
    <mergeCell ref="CP37:CQ37"/>
    <mergeCell ref="CR37:CS37"/>
    <mergeCell ref="CV35:CW35"/>
    <mergeCell ref="CV43:CW43"/>
    <mergeCell ref="CV46:CW46"/>
    <mergeCell ref="R69:S69"/>
    <mergeCell ref="T69:U69"/>
    <mergeCell ref="V69:W69"/>
    <mergeCell ref="X69:Y69"/>
    <mergeCell ref="Z69:AA69"/>
    <mergeCell ref="CR44:CS44"/>
    <mergeCell ref="CL45:CM45"/>
    <mergeCell ref="CN45:CO45"/>
    <mergeCell ref="CT34:CU34"/>
    <mergeCell ref="CP34:CQ34"/>
    <mergeCell ref="BV33:BW33"/>
    <mergeCell ref="BV32:BW32"/>
    <mergeCell ref="CX39:CY39"/>
    <mergeCell ref="CX40:CY40"/>
    <mergeCell ref="CV40:CW40"/>
    <mergeCell ref="CX46:CY46"/>
    <mergeCell ref="CZ46:DA46"/>
    <mergeCell ref="CT35:CU35"/>
    <mergeCell ref="CH35:CI35"/>
    <mergeCell ref="CR34:CS34"/>
    <mergeCell ref="CB35:CC35"/>
    <mergeCell ref="BV34:BW34"/>
    <mergeCell ref="CR49:CS49"/>
    <mergeCell ref="CR46:CS46"/>
    <mergeCell ref="CH46:CI46"/>
    <mergeCell ref="CJ46:CK46"/>
    <mergeCell ref="CL46:CM46"/>
    <mergeCell ref="CN46:CO46"/>
    <mergeCell ref="BT46:BU46"/>
    <mergeCell ref="BP43:BQ43"/>
    <mergeCell ref="CF37:CG37"/>
    <mergeCell ref="CX32:CY32"/>
    <mergeCell ref="CN34:CO34"/>
    <mergeCell ref="CV39:CW39"/>
    <mergeCell ref="CR39:CS39"/>
    <mergeCell ref="BR39:BS39"/>
    <mergeCell ref="CP35:CQ35"/>
    <mergeCell ref="CB43:CC43"/>
    <mergeCell ref="BR46:BS46"/>
    <mergeCell ref="CD41:CE41"/>
    <mergeCell ref="CB44:CC44"/>
    <mergeCell ref="CD44:CE44"/>
    <mergeCell ref="BX44:BY44"/>
    <mergeCell ref="BZ44:CA44"/>
    <mergeCell ref="CP39:CQ39"/>
    <mergeCell ref="BJ46:BK46"/>
    <mergeCell ref="CH48:CI48"/>
    <mergeCell ref="CL49:CM49"/>
    <mergeCell ref="CN49:CO49"/>
    <mergeCell ref="CP49:CQ49"/>
    <mergeCell ref="BV48:BW48"/>
    <mergeCell ref="BR48:BS48"/>
    <mergeCell ref="BV50:BW50"/>
    <mergeCell ref="BP50:BQ50"/>
    <mergeCell ref="BT33:BU33"/>
    <mergeCell ref="AX36:AY36"/>
    <mergeCell ref="AX39:AY39"/>
    <mergeCell ref="AT49:AU49"/>
    <mergeCell ref="AV46:AW46"/>
    <mergeCell ref="AT36:AU36"/>
    <mergeCell ref="AV36:AW36"/>
    <mergeCell ref="BV51:BW51"/>
    <mergeCell ref="BX51:BY51"/>
    <mergeCell ref="BZ51:CA51"/>
    <mergeCell ref="CH39:CI39"/>
    <mergeCell ref="CH43:CI43"/>
    <mergeCell ref="CH41:CI41"/>
    <mergeCell ref="CH42:CI42"/>
    <mergeCell ref="CP40:CQ40"/>
    <mergeCell ref="BR43:BS43"/>
    <mergeCell ref="BT42:BU42"/>
    <mergeCell ref="BV42:BW42"/>
    <mergeCell ref="CD43:CE43"/>
    <mergeCell ref="CF43:CG43"/>
    <mergeCell ref="CF36:CG36"/>
    <mergeCell ref="BX36:BY36"/>
    <mergeCell ref="BR36:BS36"/>
    <mergeCell ref="CN44:CO44"/>
    <mergeCell ref="DB35:DC35"/>
    <mergeCell ref="A68:A75"/>
    <mergeCell ref="B68:B75"/>
    <mergeCell ref="C68:C75"/>
    <mergeCell ref="D68:D75"/>
    <mergeCell ref="E68:E75"/>
    <mergeCell ref="F68:F75"/>
    <mergeCell ref="G68:G75"/>
    <mergeCell ref="I68:I75"/>
    <mergeCell ref="J68:J75"/>
    <mergeCell ref="BF68:BG68"/>
    <mergeCell ref="BH68:BI68"/>
    <mergeCell ref="BJ68:BK68"/>
    <mergeCell ref="BL68:BM68"/>
    <mergeCell ref="BN68:BO68"/>
    <mergeCell ref="BP68:BQ68"/>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BP72:BQ72"/>
    <mergeCell ref="BR72:BS72"/>
    <mergeCell ref="BT72:BU72"/>
    <mergeCell ref="BV72:BW72"/>
    <mergeCell ref="AX73:AY73"/>
    <mergeCell ref="AZ73:BA73"/>
    <mergeCell ref="BB73:BC73"/>
    <mergeCell ref="BD73:BE73"/>
    <mergeCell ref="R71:S71"/>
    <mergeCell ref="P71:Q71"/>
    <mergeCell ref="N71:O71"/>
    <mergeCell ref="AL73:AM73"/>
    <mergeCell ref="AN73:AO73"/>
    <mergeCell ref="AP73:AQ73"/>
    <mergeCell ref="N73:O73"/>
    <mergeCell ref="CZ75:DA75"/>
    <mergeCell ref="DB75:DC75"/>
    <mergeCell ref="AH75:AI75"/>
    <mergeCell ref="AF75:AG75"/>
    <mergeCell ref="AD75:AE75"/>
    <mergeCell ref="P69:Q69"/>
    <mergeCell ref="CH76:CI76"/>
    <mergeCell ref="CJ76:CK76"/>
    <mergeCell ref="CL76:CM76"/>
    <mergeCell ref="CN76:CO76"/>
    <mergeCell ref="CP76:CQ76"/>
    <mergeCell ref="CR76:CS76"/>
    <mergeCell ref="BX75:BY75"/>
    <mergeCell ref="AV74:AW74"/>
    <mergeCell ref="AX74:AY74"/>
    <mergeCell ref="AZ74:BA74"/>
    <mergeCell ref="BB74:BC74"/>
    <mergeCell ref="BD74:BE74"/>
    <mergeCell ref="BF74:BG74"/>
    <mergeCell ref="BP74:BQ74"/>
    <mergeCell ref="BR74:BS74"/>
    <mergeCell ref="BT74:BU74"/>
    <mergeCell ref="BV74:BW74"/>
    <mergeCell ref="DB70:DC70"/>
    <mergeCell ref="DB68:DC68"/>
    <mergeCell ref="BZ69:CA69"/>
    <mergeCell ref="CB69:CC69"/>
    <mergeCell ref="CD69:CE69"/>
    <mergeCell ref="CF69:CG69"/>
    <mergeCell ref="CH69:CI69"/>
    <mergeCell ref="CJ69:CK69"/>
    <mergeCell ref="CD71:CE71"/>
    <mergeCell ref="CF71:CG71"/>
    <mergeCell ref="CH71:CI71"/>
    <mergeCell ref="CJ71:CK71"/>
    <mergeCell ref="CL71:CM71"/>
    <mergeCell ref="CN71:CO71"/>
    <mergeCell ref="CP71:CQ71"/>
    <mergeCell ref="CR71:CS71"/>
    <mergeCell ref="CT71:CU71"/>
    <mergeCell ref="CV71:CW71"/>
    <mergeCell ref="CX71:CY71"/>
    <mergeCell ref="CZ71:DA71"/>
    <mergeCell ref="DB71:DC71"/>
    <mergeCell ref="CH70:CI70"/>
    <mergeCell ref="CJ70:CK70"/>
    <mergeCell ref="CL70:CM70"/>
    <mergeCell ref="CN70:CO70"/>
    <mergeCell ref="CP70:CQ70"/>
    <mergeCell ref="CR70:CS70"/>
    <mergeCell ref="CT70:CU70"/>
    <mergeCell ref="CZ70:DA70"/>
    <mergeCell ref="BD68:BE68"/>
    <mergeCell ref="BB68:BC68"/>
    <mergeCell ref="AZ68:BA68"/>
    <mergeCell ref="BX69:BY69"/>
    <mergeCell ref="AZ69:BA69"/>
    <mergeCell ref="BB69:BC69"/>
    <mergeCell ref="BD69:BE69"/>
    <mergeCell ref="BF69:BG69"/>
    <mergeCell ref="BH69:BI69"/>
    <mergeCell ref="BJ69:BK69"/>
    <mergeCell ref="BL69:BM69"/>
    <mergeCell ref="BN69:BO69"/>
    <mergeCell ref="BP69:BQ69"/>
    <mergeCell ref="AV71:AW71"/>
    <mergeCell ref="BP73:BQ73"/>
    <mergeCell ref="BR73:BS73"/>
    <mergeCell ref="CZ69:DA69"/>
    <mergeCell ref="CX69:CY69"/>
    <mergeCell ref="R75:S75"/>
    <mergeCell ref="CX72:CY72"/>
    <mergeCell ref="CV75:CW75"/>
    <mergeCell ref="CX75:CY75"/>
    <mergeCell ref="CB71:CC71"/>
    <mergeCell ref="CB74:CC74"/>
    <mergeCell ref="X71:Y71"/>
    <mergeCell ref="V71:W71"/>
    <mergeCell ref="T71:U71"/>
    <mergeCell ref="P75:Q75"/>
    <mergeCell ref="CB73:CC73"/>
    <mergeCell ref="CD73:CE73"/>
    <mergeCell ref="CF73:CG73"/>
    <mergeCell ref="CH73:CI73"/>
    <mergeCell ref="CJ73:CK73"/>
    <mergeCell ref="CL73:CM73"/>
    <mergeCell ref="CN73:CO73"/>
    <mergeCell ref="CP73:CQ73"/>
    <mergeCell ref="CR73:CS73"/>
    <mergeCell ref="CT73:CU73"/>
    <mergeCell ref="CV73:CW73"/>
    <mergeCell ref="CP74:CQ74"/>
    <mergeCell ref="CR74:CS74"/>
    <mergeCell ref="CT74:CU74"/>
    <mergeCell ref="CV74:CW74"/>
    <mergeCell ref="CB72:CC72"/>
    <mergeCell ref="CD72:CE72"/>
    <mergeCell ref="CF72:CG72"/>
    <mergeCell ref="CH72:CI72"/>
    <mergeCell ref="CJ72:CK72"/>
    <mergeCell ref="CF74:CG74"/>
    <mergeCell ref="CH74:CI74"/>
    <mergeCell ref="CD74:CE74"/>
    <mergeCell ref="CL72:CM72"/>
    <mergeCell ref="CN72:CO72"/>
    <mergeCell ref="CP72:CQ72"/>
    <mergeCell ref="CR72:CS72"/>
    <mergeCell ref="AP72:AQ72"/>
    <mergeCell ref="AR72:AS72"/>
    <mergeCell ref="AT72:AU72"/>
    <mergeCell ref="BF73:BG73"/>
    <mergeCell ref="BH73:BI73"/>
    <mergeCell ref="BJ73:BK73"/>
    <mergeCell ref="BL73:BM73"/>
    <mergeCell ref="BN73:BO73"/>
    <mergeCell ref="AT74:AU74"/>
    <mergeCell ref="BH74:BI74"/>
    <mergeCell ref="BJ74:BK74"/>
    <mergeCell ref="BL74:BM74"/>
    <mergeCell ref="BN74:BO74"/>
    <mergeCell ref="AR74:AS74"/>
    <mergeCell ref="AP74:AQ74"/>
    <mergeCell ref="AT73:AU73"/>
    <mergeCell ref="T73:U73"/>
    <mergeCell ref="V73:W73"/>
    <mergeCell ref="X73:Y73"/>
    <mergeCell ref="AD73:AE73"/>
    <mergeCell ref="AF73:AG73"/>
    <mergeCell ref="AH73:AI73"/>
    <mergeCell ref="AJ73:AK73"/>
    <mergeCell ref="AJ71:AK71"/>
    <mergeCell ref="AH71:AI71"/>
    <mergeCell ref="AF71:AG71"/>
    <mergeCell ref="AD71:AE71"/>
    <mergeCell ref="CD80:CE80"/>
    <mergeCell ref="BZ80:CA80"/>
    <mergeCell ref="BP78:BQ78"/>
    <mergeCell ref="BN78:BO78"/>
    <mergeCell ref="BL78:BM78"/>
    <mergeCell ref="BJ78:BK78"/>
    <mergeCell ref="BH78:BI78"/>
    <mergeCell ref="BF78:BG78"/>
    <mergeCell ref="BN80:BO80"/>
    <mergeCell ref="BP80:BQ80"/>
    <mergeCell ref="CF78:CG78"/>
    <mergeCell ref="CH78:CI78"/>
    <mergeCell ref="CJ78:CK78"/>
    <mergeCell ref="CL78:CM78"/>
    <mergeCell ref="CN78:CO78"/>
    <mergeCell ref="CP78:CQ78"/>
    <mergeCell ref="CR78:CS78"/>
    <mergeCell ref="CT78:CU78"/>
    <mergeCell ref="CV78:CW78"/>
    <mergeCell ref="CD77:CE77"/>
    <mergeCell ref="R77:S77"/>
    <mergeCell ref="P77:Q77"/>
    <mergeCell ref="BD72:BE72"/>
    <mergeCell ref="BF72:BG72"/>
    <mergeCell ref="BH72:BI72"/>
    <mergeCell ref="BJ72:BK72"/>
    <mergeCell ref="BL72:BM72"/>
    <mergeCell ref="BN72:BO72"/>
    <mergeCell ref="BX74:BY74"/>
    <mergeCell ref="AH80:AI80"/>
    <mergeCell ref="AJ80:AK80"/>
    <mergeCell ref="AL80:AM80"/>
    <mergeCell ref="AN80:AO80"/>
    <mergeCell ref="AH77:AI77"/>
    <mergeCell ref="AF77:AG77"/>
    <mergeCell ref="AD77:AE77"/>
    <mergeCell ref="AV73:AW73"/>
    <mergeCell ref="Z73:AA73"/>
    <mergeCell ref="AB73:AC73"/>
    <mergeCell ref="AH74:AI74"/>
    <mergeCell ref="AF74:AG74"/>
    <mergeCell ref="AV72:AW72"/>
    <mergeCell ref="AX72:AY72"/>
    <mergeCell ref="AZ72:BA72"/>
    <mergeCell ref="BB72:BC72"/>
    <mergeCell ref="P73:Q73"/>
    <mergeCell ref="R73:S73"/>
    <mergeCell ref="CH80:CI80"/>
    <mergeCell ref="CJ80:CK80"/>
    <mergeCell ref="CL80:CM80"/>
    <mergeCell ref="CN80:CO80"/>
    <mergeCell ref="CP80:CQ80"/>
    <mergeCell ref="CR80:CS80"/>
    <mergeCell ref="CL74:CM74"/>
    <mergeCell ref="CN74:CO74"/>
    <mergeCell ref="CT72:CU72"/>
    <mergeCell ref="CV72:CW72"/>
    <mergeCell ref="R74:S74"/>
    <mergeCell ref="P74:Q74"/>
    <mergeCell ref="AB75:AC75"/>
    <mergeCell ref="Z75:AA75"/>
    <mergeCell ref="X75:Y75"/>
    <mergeCell ref="V75:W75"/>
    <mergeCell ref="T75:U75"/>
    <mergeCell ref="A78:A85"/>
    <mergeCell ref="B78:B85"/>
    <mergeCell ref="C78:C85"/>
    <mergeCell ref="D78:D85"/>
    <mergeCell ref="E78:E85"/>
    <mergeCell ref="F78:F85"/>
    <mergeCell ref="G78:G85"/>
    <mergeCell ref="I78:I85"/>
    <mergeCell ref="J78:J85"/>
    <mergeCell ref="AF79:AG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BN79:BO79"/>
    <mergeCell ref="BP79:BQ79"/>
    <mergeCell ref="BR79:BS79"/>
    <mergeCell ref="BT79:BU79"/>
    <mergeCell ref="BV79:BW79"/>
    <mergeCell ref="BX79:BY79"/>
    <mergeCell ref="P80:Q80"/>
    <mergeCell ref="R80:S80"/>
    <mergeCell ref="N84:O84"/>
    <mergeCell ref="P84:Q84"/>
    <mergeCell ref="R84:S84"/>
    <mergeCell ref="BR78:BS78"/>
    <mergeCell ref="BT78:BU78"/>
    <mergeCell ref="BV78:BW78"/>
    <mergeCell ref="BX78:BY78"/>
    <mergeCell ref="AF82:AG82"/>
    <mergeCell ref="AD82:AE82"/>
    <mergeCell ref="AB82:AC82"/>
    <mergeCell ref="Z82:AA82"/>
    <mergeCell ref="X82:Y82"/>
    <mergeCell ref="AV80:AW80"/>
    <mergeCell ref="AX80:AY80"/>
    <mergeCell ref="AZ80:BA80"/>
    <mergeCell ref="BB80:BC80"/>
    <mergeCell ref="BD80:BE80"/>
    <mergeCell ref="BF80:BG80"/>
    <mergeCell ref="BH80:BI80"/>
    <mergeCell ref="BJ80:BK80"/>
    <mergeCell ref="BL80:BM80"/>
    <mergeCell ref="AV84:AW84"/>
    <mergeCell ref="AX84:AY84"/>
    <mergeCell ref="BB84:BC84"/>
    <mergeCell ref="BF84:BG84"/>
    <mergeCell ref="BH84:BI84"/>
    <mergeCell ref="BJ84:BK84"/>
    <mergeCell ref="BL84:BM84"/>
    <mergeCell ref="BN84:BO84"/>
    <mergeCell ref="BP84:BQ84"/>
    <mergeCell ref="CZ78:DA78"/>
    <mergeCell ref="DB78:DC78"/>
    <mergeCell ref="BZ79:CA79"/>
    <mergeCell ref="CB79:CC79"/>
    <mergeCell ref="CD79:CE79"/>
    <mergeCell ref="CF79:CG79"/>
    <mergeCell ref="CH79:CI79"/>
    <mergeCell ref="CJ79:CK79"/>
    <mergeCell ref="CX79:CY79"/>
    <mergeCell ref="CL79:CM79"/>
    <mergeCell ref="CN79:CO79"/>
    <mergeCell ref="CP79:CQ79"/>
    <mergeCell ref="CR79:CS79"/>
    <mergeCell ref="CT79:CU79"/>
    <mergeCell ref="CV79:CW79"/>
    <mergeCell ref="CZ79:DA79"/>
    <mergeCell ref="DB79:DC79"/>
    <mergeCell ref="CZ81:DA81"/>
    <mergeCell ref="DB81:DC81"/>
    <mergeCell ref="CB80:CC80"/>
    <mergeCell ref="BR82:BS82"/>
    <mergeCell ref="BT82:BU82"/>
    <mergeCell ref="BV82:BW82"/>
    <mergeCell ref="BX82:BY82"/>
    <mergeCell ref="BZ82:CA82"/>
    <mergeCell ref="CB82:CC82"/>
    <mergeCell ref="CD82:CE82"/>
    <mergeCell ref="CF82:CG82"/>
    <mergeCell ref="CH82:CI82"/>
    <mergeCell ref="L80:M80"/>
    <mergeCell ref="N80:O80"/>
    <mergeCell ref="CJ82:CK82"/>
    <mergeCell ref="CL82:CM82"/>
    <mergeCell ref="CN82:CO82"/>
    <mergeCell ref="CP82:CQ82"/>
    <mergeCell ref="CR82:CS82"/>
    <mergeCell ref="CT82:CU82"/>
    <mergeCell ref="CV82:CW82"/>
    <mergeCell ref="CX82:CY82"/>
    <mergeCell ref="CZ82:DA82"/>
    <mergeCell ref="DB82:DC82"/>
    <mergeCell ref="L81:M81"/>
    <mergeCell ref="BF81:BG81"/>
    <mergeCell ref="BH81:BI81"/>
    <mergeCell ref="BJ81:BK81"/>
    <mergeCell ref="BL81:BM81"/>
    <mergeCell ref="BN81:BO81"/>
    <mergeCell ref="BP81:BQ81"/>
    <mergeCell ref="BR81:BS81"/>
    <mergeCell ref="BT81:BU81"/>
    <mergeCell ref="BV81:BW81"/>
    <mergeCell ref="BX81:BY81"/>
    <mergeCell ref="BD81:BE81"/>
    <mergeCell ref="BB81:BC81"/>
    <mergeCell ref="AZ81:BA81"/>
    <mergeCell ref="AX81:AY81"/>
    <mergeCell ref="AV81:AW81"/>
    <mergeCell ref="AT81:AU81"/>
    <mergeCell ref="AR82:AS82"/>
    <mergeCell ref="AP82:AQ82"/>
    <mergeCell ref="AN82:AO82"/>
    <mergeCell ref="AL82:AM82"/>
    <mergeCell ref="AJ82:AK82"/>
    <mergeCell ref="AH82:AI82"/>
    <mergeCell ref="CZ80:DA80"/>
    <mergeCell ref="DB80:DC80"/>
    <mergeCell ref="BR80:BS80"/>
    <mergeCell ref="CV84:CW84"/>
    <mergeCell ref="CX84:CY84"/>
    <mergeCell ref="CZ84:DA84"/>
    <mergeCell ref="DB84:DC84"/>
    <mergeCell ref="L83:M83"/>
    <mergeCell ref="N83:O83"/>
    <mergeCell ref="P83:Q83"/>
    <mergeCell ref="R83:S83"/>
    <mergeCell ref="T83:U83"/>
    <mergeCell ref="V83:W83"/>
    <mergeCell ref="X83:Y83"/>
    <mergeCell ref="Z83:AA83"/>
    <mergeCell ref="AB83:AC83"/>
    <mergeCell ref="AD83:AE83"/>
    <mergeCell ref="AF83:AG83"/>
    <mergeCell ref="AH83:AI83"/>
    <mergeCell ref="AJ83:AK83"/>
    <mergeCell ref="AL83:AM83"/>
    <mergeCell ref="AN83:AO83"/>
    <mergeCell ref="AP83:AQ83"/>
    <mergeCell ref="AR83:AS83"/>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BX83:BY83"/>
    <mergeCell ref="BZ83:CA83"/>
    <mergeCell ref="CB83:CC83"/>
    <mergeCell ref="CD83:CE83"/>
    <mergeCell ref="CF83:CG83"/>
    <mergeCell ref="CH83:CI83"/>
    <mergeCell ref="CJ83:CK83"/>
    <mergeCell ref="CL83:CM83"/>
    <mergeCell ref="CN83:CO83"/>
    <mergeCell ref="CP83:CQ83"/>
    <mergeCell ref="CR83:CS83"/>
    <mergeCell ref="CT83:CU83"/>
    <mergeCell ref="CV83:CW83"/>
    <mergeCell ref="CX83:CY83"/>
    <mergeCell ref="CZ83:DA83"/>
    <mergeCell ref="DB83:DC83"/>
    <mergeCell ref="L84:M84"/>
    <mergeCell ref="AF84:AG84"/>
    <mergeCell ref="AH84:AI84"/>
    <mergeCell ref="AJ84:AK84"/>
    <mergeCell ref="AL84:AM84"/>
    <mergeCell ref="AN84:AO84"/>
    <mergeCell ref="AP84:AQ84"/>
    <mergeCell ref="AR84:AS84"/>
    <mergeCell ref="AT84:AU84"/>
    <mergeCell ref="CH84:CI84"/>
    <mergeCell ref="CJ84:CK84"/>
    <mergeCell ref="CL84:CM84"/>
    <mergeCell ref="CJ85:CK85"/>
    <mergeCell ref="CL85:CM85"/>
    <mergeCell ref="CN85:CO85"/>
    <mergeCell ref="CF85:CG85"/>
    <mergeCell ref="CH85:CI85"/>
    <mergeCell ref="CN84:CO84"/>
    <mergeCell ref="BH85:BI85"/>
    <mergeCell ref="BJ85:BK85"/>
    <mergeCell ref="BL85:BM85"/>
    <mergeCell ref="BN85:BO85"/>
    <mergeCell ref="BP85:BQ85"/>
    <mergeCell ref="CP85:CQ85"/>
    <mergeCell ref="CR85:CS85"/>
    <mergeCell ref="CT85:CU85"/>
    <mergeCell ref="CT84:CU84"/>
    <mergeCell ref="CV85:CW85"/>
    <mergeCell ref="CX85:CY85"/>
    <mergeCell ref="CZ85:DA85"/>
    <mergeCell ref="DB85:DC85"/>
    <mergeCell ref="CD86:CE86"/>
    <mergeCell ref="CF86:CG86"/>
    <mergeCell ref="CH86:CI86"/>
    <mergeCell ref="CJ86:CK86"/>
    <mergeCell ref="CL86:CM86"/>
    <mergeCell ref="CN86:CO86"/>
    <mergeCell ref="CP86:CQ86"/>
    <mergeCell ref="CR86:CS86"/>
    <mergeCell ref="A87:A94"/>
    <mergeCell ref="B87:B94"/>
    <mergeCell ref="C87:C94"/>
    <mergeCell ref="D87:D94"/>
    <mergeCell ref="E87:E94"/>
    <mergeCell ref="F87:F94"/>
    <mergeCell ref="G87:G94"/>
    <mergeCell ref="I87:I94"/>
    <mergeCell ref="J87:J94"/>
    <mergeCell ref="BT87:BU87"/>
    <mergeCell ref="BV87:BW87"/>
    <mergeCell ref="BX87:BY87"/>
    <mergeCell ref="BZ87:CA87"/>
    <mergeCell ref="CB87:CC87"/>
    <mergeCell ref="CD87:CE87"/>
    <mergeCell ref="CF87:CG87"/>
    <mergeCell ref="CH87:CI87"/>
    <mergeCell ref="CJ87:CK87"/>
    <mergeCell ref="CL87:CM87"/>
    <mergeCell ref="CZ87:DA87"/>
    <mergeCell ref="DB87:DC87"/>
    <mergeCell ref="L88:M88"/>
    <mergeCell ref="N88:O88"/>
    <mergeCell ref="P88:Q88"/>
    <mergeCell ref="R88:S88"/>
    <mergeCell ref="T88:U88"/>
    <mergeCell ref="V88:W88"/>
    <mergeCell ref="X88:Y88"/>
    <mergeCell ref="Z88:AA88"/>
    <mergeCell ref="AB88:AC88"/>
    <mergeCell ref="AD88:AE88"/>
    <mergeCell ref="AF88:AG88"/>
    <mergeCell ref="AH88:AI88"/>
    <mergeCell ref="AJ88:AK88"/>
    <mergeCell ref="BX85:BY85"/>
    <mergeCell ref="BZ85:CA85"/>
    <mergeCell ref="CB85:CC85"/>
    <mergeCell ref="CD85:CE85"/>
    <mergeCell ref="BV88:BW88"/>
    <mergeCell ref="BX88:BY88"/>
    <mergeCell ref="BZ88:CA88"/>
    <mergeCell ref="CB88:CC88"/>
    <mergeCell ref="CD88:CE88"/>
    <mergeCell ref="CF88:CG88"/>
    <mergeCell ref="CH88:CI88"/>
    <mergeCell ref="CJ88:CK88"/>
    <mergeCell ref="CL88:CM88"/>
    <mergeCell ref="CZ88:DA88"/>
    <mergeCell ref="DB88:DC88"/>
    <mergeCell ref="BR89:BS89"/>
    <mergeCell ref="BT89:BU89"/>
    <mergeCell ref="BV89:BW89"/>
    <mergeCell ref="BX89:BY89"/>
    <mergeCell ref="BZ89:CA89"/>
    <mergeCell ref="CB89:CC89"/>
    <mergeCell ref="CD89:CE89"/>
    <mergeCell ref="CF89:CG89"/>
    <mergeCell ref="CH89:CI89"/>
    <mergeCell ref="CJ89:CK89"/>
    <mergeCell ref="CR89:CS89"/>
    <mergeCell ref="CZ89:DA89"/>
    <mergeCell ref="DB89:DC89"/>
    <mergeCell ref="BB87:BC87"/>
    <mergeCell ref="BD87:BE87"/>
    <mergeCell ref="CV89:CW89"/>
    <mergeCell ref="CX89:CY89"/>
    <mergeCell ref="CN87:CO87"/>
    <mergeCell ref="CP87:CQ87"/>
    <mergeCell ref="CR87:CS87"/>
    <mergeCell ref="CT87:CU87"/>
    <mergeCell ref="CV87:CW87"/>
    <mergeCell ref="CX87:CY87"/>
    <mergeCell ref="CN88:CO88"/>
    <mergeCell ref="CP88:CQ88"/>
    <mergeCell ref="CR88:CS88"/>
    <mergeCell ref="CT88:CU88"/>
    <mergeCell ref="CV88:CW88"/>
    <mergeCell ref="CX88:CY88"/>
    <mergeCell ref="CL89:CM89"/>
    <mergeCell ref="CN89:CO89"/>
    <mergeCell ref="CP89:CQ89"/>
    <mergeCell ref="CT89:CU89"/>
    <mergeCell ref="BH88:BI88"/>
    <mergeCell ref="BR85:BS85"/>
    <mergeCell ref="BT85:BU85"/>
    <mergeCell ref="BV85:BW85"/>
    <mergeCell ref="BR90:BS90"/>
    <mergeCell ref="BT90:BU90"/>
    <mergeCell ref="BV90:BW90"/>
    <mergeCell ref="BX90:BY90"/>
    <mergeCell ref="BZ90:CA90"/>
    <mergeCell ref="CB90:CC90"/>
    <mergeCell ref="CD90:CE90"/>
    <mergeCell ref="CF90:CG90"/>
    <mergeCell ref="CH90:CI90"/>
    <mergeCell ref="CJ90:CK90"/>
    <mergeCell ref="CL90:CM90"/>
    <mergeCell ref="CN90:CO90"/>
    <mergeCell ref="CP90:CQ90"/>
    <mergeCell ref="CR90:CS90"/>
    <mergeCell ref="CT90:CU90"/>
    <mergeCell ref="CV90:CW90"/>
    <mergeCell ref="CX90:CY90"/>
    <mergeCell ref="CZ90:DA90"/>
    <mergeCell ref="DB90:DC90"/>
    <mergeCell ref="BP89:BQ89"/>
    <mergeCell ref="BN89:BO89"/>
    <mergeCell ref="BL89:BM89"/>
    <mergeCell ref="BJ89:BK89"/>
    <mergeCell ref="BH89:BI89"/>
    <mergeCell ref="BF89:BG89"/>
    <mergeCell ref="BJ88:BK88"/>
    <mergeCell ref="BL88:BM88"/>
    <mergeCell ref="BN88:BO88"/>
    <mergeCell ref="BP88:BQ88"/>
    <mergeCell ref="BR88:BS88"/>
    <mergeCell ref="BT88:BU88"/>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CL91:CM91"/>
    <mergeCell ref="CN91:CO91"/>
    <mergeCell ref="CP91:CQ91"/>
    <mergeCell ref="CR91:CS91"/>
    <mergeCell ref="CT91:CU91"/>
    <mergeCell ref="CV91:CW91"/>
    <mergeCell ref="CX91:CY91"/>
    <mergeCell ref="CZ91:DA91"/>
    <mergeCell ref="DB91:DC91"/>
    <mergeCell ref="BZ92:CA92"/>
    <mergeCell ref="CB92:CC92"/>
    <mergeCell ref="CD92:CE92"/>
    <mergeCell ref="CF92:CG92"/>
    <mergeCell ref="CH92:CI92"/>
    <mergeCell ref="CJ92:CK92"/>
    <mergeCell ref="CL92:CM92"/>
    <mergeCell ref="CN92:CO92"/>
    <mergeCell ref="CP92:CQ92"/>
    <mergeCell ref="CR92:CS92"/>
    <mergeCell ref="CT92:CU92"/>
    <mergeCell ref="CV92:CW92"/>
    <mergeCell ref="CX92:CY92"/>
    <mergeCell ref="CZ92:DA92"/>
    <mergeCell ref="DB92:DC92"/>
    <mergeCell ref="CP93:CQ93"/>
    <mergeCell ref="CR93:CS93"/>
    <mergeCell ref="CT93:CU93"/>
    <mergeCell ref="CV93:CW93"/>
    <mergeCell ref="CX93:CY93"/>
    <mergeCell ref="CZ93:DA93"/>
    <mergeCell ref="DB93:DC93"/>
    <mergeCell ref="BZ91:CA91"/>
    <mergeCell ref="CB91:CC91"/>
    <mergeCell ref="CD91:CE91"/>
    <mergeCell ref="CF91:CG91"/>
    <mergeCell ref="CH91:CI91"/>
    <mergeCell ref="CJ91:CK91"/>
    <mergeCell ref="BR94:BS94"/>
    <mergeCell ref="BT94:BU94"/>
    <mergeCell ref="BV94:BW94"/>
    <mergeCell ref="BX94:BY94"/>
    <mergeCell ref="BR93:BS93"/>
    <mergeCell ref="BT93:BU93"/>
    <mergeCell ref="BV93:BW93"/>
    <mergeCell ref="BX93:BY93"/>
    <mergeCell ref="BZ94:CA94"/>
    <mergeCell ref="BZ93:CA93"/>
    <mergeCell ref="CB94:CC94"/>
    <mergeCell ref="CD94:CE94"/>
    <mergeCell ref="CF94:CG94"/>
    <mergeCell ref="CH94:CI94"/>
    <mergeCell ref="CJ94:CK94"/>
    <mergeCell ref="CL94:CM94"/>
    <mergeCell ref="CN94:CO94"/>
    <mergeCell ref="CP94:CQ94"/>
    <mergeCell ref="CR94:CS94"/>
    <mergeCell ref="CT94:CU94"/>
    <mergeCell ref="CV94:CW94"/>
    <mergeCell ref="CB93:CC93"/>
    <mergeCell ref="CD93:CE93"/>
    <mergeCell ref="CF93:CG93"/>
    <mergeCell ref="CH93:CI93"/>
    <mergeCell ref="CJ93:CK93"/>
    <mergeCell ref="CL93:CM93"/>
    <mergeCell ref="CN93:CO93"/>
    <mergeCell ref="CX94:CY94"/>
    <mergeCell ref="CZ94:DA94"/>
    <mergeCell ref="DB94:DC94"/>
    <mergeCell ref="CD95:CE95"/>
    <mergeCell ref="CF95:CG95"/>
    <mergeCell ref="CH95:CI95"/>
    <mergeCell ref="CJ95:CK95"/>
    <mergeCell ref="CL95:CM95"/>
    <mergeCell ref="CN95:CO95"/>
    <mergeCell ref="CP95:CQ95"/>
    <mergeCell ref="CR95:CS95"/>
    <mergeCell ref="A96:A103"/>
    <mergeCell ref="B96:B103"/>
    <mergeCell ref="C96:C103"/>
    <mergeCell ref="D96:D103"/>
    <mergeCell ref="E96:E103"/>
    <mergeCell ref="F96:F103"/>
    <mergeCell ref="G96:G103"/>
    <mergeCell ref="I96:I103"/>
    <mergeCell ref="J96:J103"/>
    <mergeCell ref="AF97:AG97"/>
    <mergeCell ref="AH97:AI97"/>
    <mergeCell ref="AJ97:AK97"/>
    <mergeCell ref="AL97:AM97"/>
    <mergeCell ref="AN97:AO97"/>
    <mergeCell ref="AP97:AQ97"/>
    <mergeCell ref="AR97:AS97"/>
    <mergeCell ref="AT97:AU97"/>
    <mergeCell ref="AV97:AW97"/>
    <mergeCell ref="AX97:AY97"/>
    <mergeCell ref="AZ97:BA97"/>
    <mergeCell ref="BB97:BC97"/>
    <mergeCell ref="BD97:BE97"/>
    <mergeCell ref="BF97:BG97"/>
    <mergeCell ref="BH97:BI97"/>
    <mergeCell ref="BJ97:BK97"/>
    <mergeCell ref="BL97:BM97"/>
    <mergeCell ref="BN97:BO97"/>
    <mergeCell ref="BP97:BQ97"/>
    <mergeCell ref="BR97:BS97"/>
    <mergeCell ref="BT97:BU97"/>
    <mergeCell ref="BV97:BW97"/>
    <mergeCell ref="BX97:BY97"/>
    <mergeCell ref="CF98:CG98"/>
    <mergeCell ref="CJ98:CK98"/>
    <mergeCell ref="CL98:CM98"/>
    <mergeCell ref="CN98:CO98"/>
    <mergeCell ref="CP98:CQ98"/>
    <mergeCell ref="CR98:CS98"/>
    <mergeCell ref="BZ99:CA99"/>
    <mergeCell ref="CB99:CC99"/>
    <mergeCell ref="CD99:CE99"/>
    <mergeCell ref="CF99:CG99"/>
    <mergeCell ref="CH99:CI99"/>
    <mergeCell ref="CJ99:CK99"/>
    <mergeCell ref="CL99:CM99"/>
    <mergeCell ref="CN99:CO99"/>
    <mergeCell ref="CP99:CQ99"/>
    <mergeCell ref="CR99:CS99"/>
    <mergeCell ref="BN100:BO100"/>
    <mergeCell ref="BL100:BM100"/>
    <mergeCell ref="BJ100:BK100"/>
    <mergeCell ref="BH100:BI100"/>
    <mergeCell ref="BF100:BG100"/>
    <mergeCell ref="BD100:BE100"/>
    <mergeCell ref="BB100:BC100"/>
    <mergeCell ref="CN102:CO102"/>
    <mergeCell ref="CT98:CU98"/>
    <mergeCell ref="CV98:CW98"/>
    <mergeCell ref="BR96:BS96"/>
    <mergeCell ref="BT96:BU96"/>
    <mergeCell ref="BV96:BW96"/>
    <mergeCell ref="BX96:BY96"/>
    <mergeCell ref="BZ96:CA96"/>
    <mergeCell ref="CB96:CC96"/>
    <mergeCell ref="CD96:CE96"/>
    <mergeCell ref="CF96:CG96"/>
    <mergeCell ref="CJ96:CK96"/>
    <mergeCell ref="CL96:CM96"/>
    <mergeCell ref="CN96:CO96"/>
    <mergeCell ref="CP96:CQ96"/>
    <mergeCell ref="CR96:CS96"/>
    <mergeCell ref="CT96:CU96"/>
    <mergeCell ref="CV96:CW96"/>
    <mergeCell ref="CX96:CY96"/>
    <mergeCell ref="CZ96:DA96"/>
    <mergeCell ref="DB96:DC96"/>
    <mergeCell ref="BZ97:CA97"/>
    <mergeCell ref="CB97:CC97"/>
    <mergeCell ref="CD97:CE97"/>
    <mergeCell ref="CF97:CG97"/>
    <mergeCell ref="CJ97:CK97"/>
    <mergeCell ref="CX97:CY97"/>
    <mergeCell ref="CL97:CM97"/>
    <mergeCell ref="CN97:CO97"/>
    <mergeCell ref="CP97:CQ97"/>
    <mergeCell ref="CR97:CS97"/>
    <mergeCell ref="CT97:CU97"/>
    <mergeCell ref="CV97:CW97"/>
    <mergeCell ref="CZ97:DA97"/>
    <mergeCell ref="DB97:DC97"/>
    <mergeCell ref="CT99:CU99"/>
    <mergeCell ref="CV99:CW99"/>
    <mergeCell ref="CX99:CY99"/>
    <mergeCell ref="CZ99:DA99"/>
    <mergeCell ref="DB99:DC99"/>
    <mergeCell ref="CH96:CI96"/>
    <mergeCell ref="CH97:CI97"/>
    <mergeCell ref="BR100:BS100"/>
    <mergeCell ref="BT100:BU100"/>
    <mergeCell ref="BV100:BW100"/>
    <mergeCell ref="BX100:BY100"/>
    <mergeCell ref="BZ100:CA100"/>
    <mergeCell ref="CB100:CC100"/>
    <mergeCell ref="CD100:CE100"/>
    <mergeCell ref="CF100:CG100"/>
    <mergeCell ref="CH100:CI100"/>
    <mergeCell ref="L98:M98"/>
    <mergeCell ref="N98:O98"/>
    <mergeCell ref="CJ100:CK100"/>
    <mergeCell ref="CL100:CM100"/>
    <mergeCell ref="CN100:CO100"/>
    <mergeCell ref="CP100:CQ100"/>
    <mergeCell ref="CR100:CS100"/>
    <mergeCell ref="CT100:CU100"/>
    <mergeCell ref="CV100:CW100"/>
    <mergeCell ref="CX100:CY100"/>
    <mergeCell ref="CZ100:DA100"/>
    <mergeCell ref="DB100:DC100"/>
    <mergeCell ref="L99:M99"/>
    <mergeCell ref="BF99:BG99"/>
    <mergeCell ref="BH99:BI99"/>
    <mergeCell ref="BJ99:BK99"/>
    <mergeCell ref="BL99:BM99"/>
    <mergeCell ref="BN99:BO99"/>
    <mergeCell ref="BP99:BQ99"/>
    <mergeCell ref="BR99:BS99"/>
    <mergeCell ref="BT99:BU99"/>
    <mergeCell ref="BV99:BW99"/>
    <mergeCell ref="BX99:BY99"/>
    <mergeCell ref="CX98:CY98"/>
    <mergeCell ref="CZ98:DA98"/>
    <mergeCell ref="DB98:DC98"/>
    <mergeCell ref="BR98:BS98"/>
    <mergeCell ref="BT98:BU98"/>
    <mergeCell ref="BV98:BW98"/>
    <mergeCell ref="BX98:BY98"/>
    <mergeCell ref="BZ98:CA98"/>
    <mergeCell ref="AR100:AS100"/>
    <mergeCell ref="AP100:AQ100"/>
    <mergeCell ref="AN100:AO100"/>
    <mergeCell ref="AL100:AM100"/>
    <mergeCell ref="AJ100:AK100"/>
    <mergeCell ref="AH100:AI100"/>
    <mergeCell ref="AF100:AG100"/>
    <mergeCell ref="AD100:AE100"/>
    <mergeCell ref="AB100:AC100"/>
    <mergeCell ref="Z100:AA100"/>
    <mergeCell ref="X100:Y100"/>
    <mergeCell ref="V100:W100"/>
    <mergeCell ref="T100:U100"/>
    <mergeCell ref="R100:S100"/>
    <mergeCell ref="P100:Q100"/>
    <mergeCell ref="N100:O100"/>
    <mergeCell ref="L100:M100"/>
    <mergeCell ref="CP102:CQ102"/>
    <mergeCell ref="CR102:CS102"/>
    <mergeCell ref="CT102:CU102"/>
    <mergeCell ref="CV102:CW102"/>
    <mergeCell ref="CX102:CY102"/>
    <mergeCell ref="CZ102:DA102"/>
    <mergeCell ref="DB102:DC102"/>
    <mergeCell ref="L101:M101"/>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R101:BS101"/>
    <mergeCell ref="BT101:BU101"/>
    <mergeCell ref="BV101:BW101"/>
    <mergeCell ref="BX101:BY101"/>
    <mergeCell ref="BR103:BS103"/>
    <mergeCell ref="BT103:BU103"/>
    <mergeCell ref="BV103:BW103"/>
    <mergeCell ref="BX103:BY103"/>
    <mergeCell ref="BZ101:CA101"/>
    <mergeCell ref="CB101:CC101"/>
    <mergeCell ref="CD101:CE101"/>
    <mergeCell ref="CF101:CG101"/>
    <mergeCell ref="CH101:CI101"/>
    <mergeCell ref="CJ101:CK101"/>
    <mergeCell ref="CL101:CM101"/>
    <mergeCell ref="CN101:CO101"/>
    <mergeCell ref="CP101:CQ101"/>
    <mergeCell ref="CR101:CS101"/>
    <mergeCell ref="CT101:CU101"/>
    <mergeCell ref="CV101:CW101"/>
    <mergeCell ref="CX101:CY101"/>
    <mergeCell ref="CZ101:DA101"/>
    <mergeCell ref="DB101:DC101"/>
    <mergeCell ref="L102:M102"/>
    <mergeCell ref="N102:O102"/>
    <mergeCell ref="P102:Q102"/>
    <mergeCell ref="R102:S102"/>
    <mergeCell ref="T102:U102"/>
    <mergeCell ref="V102:W102"/>
    <mergeCell ref="X102:Y102"/>
    <mergeCell ref="Z102:AA102"/>
    <mergeCell ref="AB102:AC102"/>
    <mergeCell ref="AD102:AE102"/>
    <mergeCell ref="AF102:AG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BN102:BO102"/>
    <mergeCell ref="BP102:BQ102"/>
    <mergeCell ref="BR102:BS102"/>
    <mergeCell ref="BT102:BU102"/>
    <mergeCell ref="BV102:BW102"/>
    <mergeCell ref="BX102:BY102"/>
    <mergeCell ref="BZ102:CA102"/>
    <mergeCell ref="CB102:CC102"/>
    <mergeCell ref="CD102:CE102"/>
    <mergeCell ref="CF102:CG102"/>
    <mergeCell ref="CH102:CI102"/>
    <mergeCell ref="CJ102:CK102"/>
    <mergeCell ref="CL102:CM102"/>
    <mergeCell ref="BZ103:CA103"/>
    <mergeCell ref="CB103:CC103"/>
    <mergeCell ref="CD103:CE103"/>
    <mergeCell ref="CF103:CG103"/>
    <mergeCell ref="CH103:CI103"/>
    <mergeCell ref="CJ103:CK103"/>
    <mergeCell ref="CL103:CM103"/>
    <mergeCell ref="CN103:CO103"/>
    <mergeCell ref="CP103:CQ103"/>
    <mergeCell ref="CR103:CS103"/>
    <mergeCell ref="CT103:CU103"/>
    <mergeCell ref="CV103:CW103"/>
    <mergeCell ref="CX103:CY103"/>
    <mergeCell ref="CZ103:DA103"/>
    <mergeCell ref="DB103:DC103"/>
    <mergeCell ref="CD104:CE104"/>
    <mergeCell ref="CF104:CG104"/>
    <mergeCell ref="CH104:CI104"/>
    <mergeCell ref="CJ104:CK104"/>
    <mergeCell ref="CL104:CM104"/>
    <mergeCell ref="CN104:CO104"/>
    <mergeCell ref="CP104:CQ104"/>
    <mergeCell ref="CR104:CS104"/>
    <mergeCell ref="A105:A112"/>
    <mergeCell ref="B105:B112"/>
    <mergeCell ref="C105:C112"/>
    <mergeCell ref="D105:D112"/>
    <mergeCell ref="E105:E112"/>
    <mergeCell ref="F105:F112"/>
    <mergeCell ref="G105:G112"/>
    <mergeCell ref="I105:I112"/>
    <mergeCell ref="J105:J112"/>
    <mergeCell ref="BF105:BG105"/>
    <mergeCell ref="BH105:BI105"/>
    <mergeCell ref="BJ105:BK105"/>
    <mergeCell ref="BL105:BM105"/>
    <mergeCell ref="BN105:BO105"/>
    <mergeCell ref="BP105:BQ105"/>
    <mergeCell ref="BR105:BS105"/>
    <mergeCell ref="BT105:BU105"/>
    <mergeCell ref="BV105:BW105"/>
    <mergeCell ref="BX105:BY105"/>
    <mergeCell ref="BZ105:CA105"/>
    <mergeCell ref="CB105:CC105"/>
    <mergeCell ref="CD105:CE105"/>
    <mergeCell ref="CH105:CI105"/>
    <mergeCell ref="CL105:CM105"/>
    <mergeCell ref="CN105:CO105"/>
    <mergeCell ref="CP105:CQ105"/>
    <mergeCell ref="CR105:CS105"/>
    <mergeCell ref="CT105:CU105"/>
    <mergeCell ref="CV105:CW105"/>
    <mergeCell ref="CX105:CY105"/>
    <mergeCell ref="CZ105:DA105"/>
    <mergeCell ref="DB105:DC105"/>
    <mergeCell ref="L106:M106"/>
    <mergeCell ref="N106:O106"/>
    <mergeCell ref="P106:Q106"/>
    <mergeCell ref="R106:S106"/>
    <mergeCell ref="T106:U106"/>
    <mergeCell ref="V106:W106"/>
    <mergeCell ref="X106:Y106"/>
    <mergeCell ref="Z106:AA106"/>
    <mergeCell ref="AB106:AC106"/>
    <mergeCell ref="AD106:AE106"/>
    <mergeCell ref="AF106:AG106"/>
    <mergeCell ref="AH106:AI106"/>
    <mergeCell ref="BN108:BO108"/>
    <mergeCell ref="BP108:BQ108"/>
    <mergeCell ref="CL108:CM108"/>
    <mergeCell ref="CN108:CO108"/>
    <mergeCell ref="CP108:CQ108"/>
    <mergeCell ref="CR108:CS108"/>
    <mergeCell ref="CT108:CU108"/>
    <mergeCell ref="CV108:CW108"/>
    <mergeCell ref="CX108:CY108"/>
    <mergeCell ref="CZ108:DA108"/>
    <mergeCell ref="DB108:DC108"/>
    <mergeCell ref="BF106:BG106"/>
    <mergeCell ref="BH106:BI106"/>
    <mergeCell ref="BJ106:BK106"/>
    <mergeCell ref="BL106:BM106"/>
    <mergeCell ref="BN106:BO106"/>
    <mergeCell ref="BP106:BQ106"/>
    <mergeCell ref="BR106:BS106"/>
    <mergeCell ref="BT106:BU106"/>
    <mergeCell ref="BV106:BW106"/>
    <mergeCell ref="BX106:BY106"/>
    <mergeCell ref="BZ106:CA106"/>
    <mergeCell ref="CB106:CC106"/>
    <mergeCell ref="CD106:CE106"/>
    <mergeCell ref="CH106:CI106"/>
    <mergeCell ref="CL106:CM106"/>
    <mergeCell ref="CN106:CO106"/>
    <mergeCell ref="CX106:CY106"/>
    <mergeCell ref="CF106:CG106"/>
    <mergeCell ref="CJ106:CK106"/>
    <mergeCell ref="BP107:BQ107"/>
    <mergeCell ref="BN107:BO107"/>
    <mergeCell ref="BL107:BM107"/>
    <mergeCell ref="BJ107:BK107"/>
    <mergeCell ref="BH107:BI107"/>
    <mergeCell ref="BF107:BG107"/>
    <mergeCell ref="BF108:BG108"/>
    <mergeCell ref="BH108:BI108"/>
    <mergeCell ref="BJ108:BK108"/>
    <mergeCell ref="BL108:BM108"/>
    <mergeCell ref="CP106:CQ106"/>
    <mergeCell ref="CR106:CS106"/>
    <mergeCell ref="CT106:CU106"/>
    <mergeCell ref="CV106:CW106"/>
    <mergeCell ref="CZ106:DA106"/>
    <mergeCell ref="DB106:DC106"/>
    <mergeCell ref="BR107:BS107"/>
    <mergeCell ref="BT107:BU107"/>
    <mergeCell ref="BV107:BW107"/>
    <mergeCell ref="BX107:BY107"/>
    <mergeCell ref="BZ107:CA107"/>
    <mergeCell ref="CH107:CI107"/>
    <mergeCell ref="CJ107:CK107"/>
    <mergeCell ref="CL107:CM107"/>
    <mergeCell ref="CN107:CO107"/>
    <mergeCell ref="CP107:CQ107"/>
    <mergeCell ref="CR107:CS107"/>
    <mergeCell ref="CT107:CU107"/>
    <mergeCell ref="CV107:CW107"/>
    <mergeCell ref="CX107:CY107"/>
    <mergeCell ref="CZ107:DA107"/>
    <mergeCell ref="DB107:DC107"/>
    <mergeCell ref="CL111:CM111"/>
    <mergeCell ref="CN111:CO111"/>
    <mergeCell ref="CL109:CM109"/>
    <mergeCell ref="CN109:CO109"/>
    <mergeCell ref="CP109:CQ109"/>
    <mergeCell ref="CR109:CS109"/>
    <mergeCell ref="CT109:CU109"/>
    <mergeCell ref="CV109:CW109"/>
    <mergeCell ref="CX109:CY109"/>
    <mergeCell ref="CZ109:DA109"/>
    <mergeCell ref="DB109:DC109"/>
    <mergeCell ref="BZ110:CA110"/>
    <mergeCell ref="CB110:CC110"/>
    <mergeCell ref="CD110:CE110"/>
    <mergeCell ref="CF110:CG110"/>
    <mergeCell ref="CH110:CI110"/>
    <mergeCell ref="CJ110:CK110"/>
    <mergeCell ref="CL110:CM110"/>
    <mergeCell ref="CN110:CO110"/>
    <mergeCell ref="CP110:CQ110"/>
    <mergeCell ref="CR110:CS110"/>
    <mergeCell ref="CT110:CU110"/>
    <mergeCell ref="CV110:CW110"/>
    <mergeCell ref="CX110:CY110"/>
    <mergeCell ref="CZ110:DA110"/>
    <mergeCell ref="DB110:DC110"/>
    <mergeCell ref="CP111:CQ111"/>
    <mergeCell ref="CR111:CS111"/>
    <mergeCell ref="CT111:CU111"/>
    <mergeCell ref="CV111:CW111"/>
    <mergeCell ref="CX111:CY111"/>
    <mergeCell ref="CZ111:DA111"/>
    <mergeCell ref="DB111:DC111"/>
    <mergeCell ref="BZ109:CA109"/>
    <mergeCell ref="CB109:CC109"/>
    <mergeCell ref="CD109:CE109"/>
    <mergeCell ref="CF109:CG109"/>
    <mergeCell ref="CH109:CI109"/>
    <mergeCell ref="CJ109:CK109"/>
    <mergeCell ref="BR111:BS111"/>
    <mergeCell ref="BT111:BU111"/>
    <mergeCell ref="BV111:BW111"/>
    <mergeCell ref="BX111:BY111"/>
    <mergeCell ref="BZ112:CA112"/>
    <mergeCell ref="CB112:CC112"/>
    <mergeCell ref="CD112:CE112"/>
    <mergeCell ref="CF112:CG112"/>
    <mergeCell ref="CH112:CI112"/>
    <mergeCell ref="CJ112:CK112"/>
    <mergeCell ref="CB111:CC111"/>
    <mergeCell ref="CD111:CE111"/>
    <mergeCell ref="CF111:CG111"/>
    <mergeCell ref="CH111:CI111"/>
    <mergeCell ref="CJ111:CK111"/>
    <mergeCell ref="AV110:AW110"/>
    <mergeCell ref="AX110:AY110"/>
    <mergeCell ref="AZ110:BA110"/>
    <mergeCell ref="BB110:BC110"/>
    <mergeCell ref="BD110:BE110"/>
    <mergeCell ref="BF110:BG110"/>
    <mergeCell ref="BH110:BI110"/>
    <mergeCell ref="BJ110:BK110"/>
    <mergeCell ref="BL110:BM110"/>
    <mergeCell ref="BN110:BO110"/>
    <mergeCell ref="BP110:BQ110"/>
    <mergeCell ref="BZ111:CA111"/>
    <mergeCell ref="BD107:BE107"/>
    <mergeCell ref="BB107:BC107"/>
    <mergeCell ref="AZ107:BA107"/>
    <mergeCell ref="AX107:AY107"/>
    <mergeCell ref="AV107:AW107"/>
    <mergeCell ref="AT107:AU107"/>
    <mergeCell ref="BR109:BS109"/>
    <mergeCell ref="BT109:BU109"/>
    <mergeCell ref="BV109:BW109"/>
    <mergeCell ref="BX109:BY109"/>
    <mergeCell ref="BR110:BS110"/>
    <mergeCell ref="BT110:BU110"/>
    <mergeCell ref="BV110:BW110"/>
    <mergeCell ref="BX110:BY110"/>
    <mergeCell ref="BR108:BS108"/>
    <mergeCell ref="BT108:BU108"/>
    <mergeCell ref="BV108:BW108"/>
    <mergeCell ref="BX108:BY108"/>
    <mergeCell ref="BZ108:CA108"/>
    <mergeCell ref="CB108:CC108"/>
    <mergeCell ref="CD108:CE108"/>
    <mergeCell ref="CF108:CG108"/>
    <mergeCell ref="CH108:CI108"/>
    <mergeCell ref="CJ108:CK108"/>
    <mergeCell ref="AZ111:BA111"/>
    <mergeCell ref="AT111:AU111"/>
    <mergeCell ref="AV111:AW111"/>
    <mergeCell ref="AX111:AY111"/>
    <mergeCell ref="BB111:BC111"/>
    <mergeCell ref="BD111:BE111"/>
    <mergeCell ref="BF111:BG111"/>
    <mergeCell ref="BH111:BI111"/>
    <mergeCell ref="BJ111:BK111"/>
    <mergeCell ref="BL111:BM111"/>
    <mergeCell ref="BN111:BO111"/>
    <mergeCell ref="BP111:BQ111"/>
    <mergeCell ref="AT112:AU112"/>
    <mergeCell ref="A114:A121"/>
    <mergeCell ref="B114:B121"/>
    <mergeCell ref="C114:C121"/>
    <mergeCell ref="D114:D121"/>
    <mergeCell ref="E114:E121"/>
    <mergeCell ref="F114:F121"/>
    <mergeCell ref="G114:G121"/>
    <mergeCell ref="I114:I121"/>
    <mergeCell ref="J114:J121"/>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L114:CM114"/>
    <mergeCell ref="CN114:CO114"/>
    <mergeCell ref="CP114:CQ114"/>
    <mergeCell ref="CR114:CS114"/>
    <mergeCell ref="CT114:CU114"/>
    <mergeCell ref="CV114:CW114"/>
    <mergeCell ref="CX114:CY114"/>
    <mergeCell ref="CZ114:DA114"/>
    <mergeCell ref="DB114:DC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R120:AS120"/>
    <mergeCell ref="AP120:AQ120"/>
    <mergeCell ref="AN120:AO120"/>
    <mergeCell ref="AL120:AM120"/>
    <mergeCell ref="BD115:BE115"/>
    <mergeCell ref="AP114:AQ114"/>
    <mergeCell ref="AN114:AO114"/>
    <mergeCell ref="AL114:AM114"/>
    <mergeCell ref="AJ114:AK114"/>
    <mergeCell ref="AH114:AI114"/>
    <mergeCell ref="AP115:AQ115"/>
    <mergeCell ref="AR115:AS115"/>
    <mergeCell ref="AT114:AU114"/>
    <mergeCell ref="BP115:BQ115"/>
    <mergeCell ref="BP116:BQ116"/>
    <mergeCell ref="CP115:CQ115"/>
    <mergeCell ref="CR115:CS115"/>
    <mergeCell ref="CT115:CU115"/>
    <mergeCell ref="CV115:CW115"/>
    <mergeCell ref="CX115:CY115"/>
    <mergeCell ref="CZ115:DA115"/>
    <mergeCell ref="DB115:DC115"/>
    <mergeCell ref="BR116:BS116"/>
    <mergeCell ref="BT116:BU116"/>
    <mergeCell ref="BV116:BW116"/>
    <mergeCell ref="BX116:BY116"/>
    <mergeCell ref="BZ116:CA116"/>
    <mergeCell ref="CB116:CC116"/>
    <mergeCell ref="CD116:CE116"/>
    <mergeCell ref="CF116:CG116"/>
    <mergeCell ref="CH116:CI116"/>
    <mergeCell ref="CJ116:CK116"/>
    <mergeCell ref="CL116:CM116"/>
    <mergeCell ref="CN116:CO116"/>
    <mergeCell ref="CP116:CQ116"/>
    <mergeCell ref="CR116:CS116"/>
    <mergeCell ref="CT116:CU116"/>
    <mergeCell ref="CV116:CW116"/>
    <mergeCell ref="CX116:CY116"/>
    <mergeCell ref="CZ116:DA116"/>
    <mergeCell ref="DB116:DC116"/>
    <mergeCell ref="CH115:CI115"/>
    <mergeCell ref="CJ115:CK115"/>
    <mergeCell ref="BR115:BS115"/>
    <mergeCell ref="BT115:BU115"/>
    <mergeCell ref="BV115:BW115"/>
    <mergeCell ref="BX115:BY115"/>
    <mergeCell ref="CL112:CM112"/>
    <mergeCell ref="CN112:CO112"/>
    <mergeCell ref="CP112:CQ112"/>
    <mergeCell ref="CR112:CS112"/>
    <mergeCell ref="CT112:CU112"/>
    <mergeCell ref="CV112:CW112"/>
    <mergeCell ref="CX112:CY112"/>
    <mergeCell ref="CZ112:DA112"/>
    <mergeCell ref="DB112:DC112"/>
    <mergeCell ref="CD113:CE113"/>
    <mergeCell ref="CF113:CG113"/>
    <mergeCell ref="CH113:CI113"/>
    <mergeCell ref="CJ113:CK113"/>
    <mergeCell ref="CL113:CM113"/>
    <mergeCell ref="CN113:CO113"/>
    <mergeCell ref="CP113:CQ113"/>
    <mergeCell ref="CR113:CS113"/>
    <mergeCell ref="BR112:BS112"/>
    <mergeCell ref="BT112:BU112"/>
    <mergeCell ref="BV112:BW112"/>
    <mergeCell ref="BX112:BY112"/>
    <mergeCell ref="CB115:CC115"/>
    <mergeCell ref="CD115:CE115"/>
    <mergeCell ref="CF115:CG115"/>
    <mergeCell ref="CL115:CM115"/>
    <mergeCell ref="CN115:CO115"/>
    <mergeCell ref="CH114:CI114"/>
    <mergeCell ref="CJ114:CK114"/>
    <mergeCell ref="CT125:CU125"/>
    <mergeCell ref="CV125:CW125"/>
    <mergeCell ref="CX125:CY125"/>
    <mergeCell ref="CZ125:DA125"/>
    <mergeCell ref="DB125:DC125"/>
    <mergeCell ref="DB119:DC119"/>
    <mergeCell ref="CT120:CU120"/>
    <mergeCell ref="CV120:CW120"/>
    <mergeCell ref="CX120:CY120"/>
    <mergeCell ref="CZ120:DA120"/>
    <mergeCell ref="DB120:DC120"/>
    <mergeCell ref="BX118:BY118"/>
    <mergeCell ref="BZ118:CA118"/>
    <mergeCell ref="CB118:CC118"/>
    <mergeCell ref="CD118:CE118"/>
    <mergeCell ref="CF118:CG118"/>
    <mergeCell ref="CH118:CI118"/>
    <mergeCell ref="BV117:BW117"/>
    <mergeCell ref="BX117:BY117"/>
    <mergeCell ref="BZ117:CA117"/>
    <mergeCell ref="CL118:CM118"/>
    <mergeCell ref="CN118:CO118"/>
    <mergeCell ref="CP118:CQ118"/>
    <mergeCell ref="CR118:CS118"/>
    <mergeCell ref="CT118:CU118"/>
    <mergeCell ref="CV118:CW118"/>
    <mergeCell ref="CX118:CY118"/>
    <mergeCell ref="CZ118:DA118"/>
    <mergeCell ref="CB117:CC117"/>
    <mergeCell ref="CD117:CE117"/>
    <mergeCell ref="CF117:CG117"/>
    <mergeCell ref="CH117:CI117"/>
    <mergeCell ref="CJ117:CK117"/>
    <mergeCell ref="CL117:CM117"/>
    <mergeCell ref="CN117:CO117"/>
    <mergeCell ref="CP117:CQ117"/>
    <mergeCell ref="CT119:CU119"/>
    <mergeCell ref="CV119:CW119"/>
    <mergeCell ref="CX119:CY119"/>
    <mergeCell ref="CZ119:DA119"/>
    <mergeCell ref="CR125:CS125"/>
    <mergeCell ref="CT123:DA123"/>
    <mergeCell ref="DB123:DK123"/>
    <mergeCell ref="AZ125:BA125"/>
    <mergeCell ref="AX125:AY125"/>
    <mergeCell ref="AV125:AW125"/>
    <mergeCell ref="AT125:AU125"/>
    <mergeCell ref="CZ117:DA117"/>
    <mergeCell ref="DB117:DC117"/>
    <mergeCell ref="CJ118:CK118"/>
    <mergeCell ref="CP120:CQ120"/>
    <mergeCell ref="CR120:CS120"/>
    <mergeCell ref="BV118:BW118"/>
    <mergeCell ref="CF120:CG120"/>
    <mergeCell ref="CZ126:DA126"/>
    <mergeCell ref="DB126:DC126"/>
    <mergeCell ref="CD126:CE126"/>
    <mergeCell ref="CF126:CG126"/>
    <mergeCell ref="CH126:CI126"/>
    <mergeCell ref="CJ126:CK126"/>
    <mergeCell ref="CX126:CY126"/>
    <mergeCell ref="CL126:CM126"/>
    <mergeCell ref="CN126:CO126"/>
    <mergeCell ref="CP126:CQ126"/>
    <mergeCell ref="CR126:CS126"/>
    <mergeCell ref="CT126:CU126"/>
    <mergeCell ref="CV126:CW126"/>
    <mergeCell ref="DB121:DC121"/>
    <mergeCell ref="CB121:CC121"/>
    <mergeCell ref="CD121:CE121"/>
    <mergeCell ref="BR117:BS117"/>
    <mergeCell ref="BT117:BU117"/>
    <mergeCell ref="AT121:AU121"/>
    <mergeCell ref="AV121:AW121"/>
    <mergeCell ref="AX121:AY121"/>
    <mergeCell ref="AZ121:BA121"/>
    <mergeCell ref="BB121:BC121"/>
    <mergeCell ref="BD121:BE121"/>
    <mergeCell ref="BF121:BG121"/>
    <mergeCell ref="BH121:BI121"/>
    <mergeCell ref="BJ121:BK121"/>
    <mergeCell ref="BL121:BM121"/>
    <mergeCell ref="BN121:BO121"/>
    <mergeCell ref="BP121:BQ121"/>
    <mergeCell ref="BR121:BS121"/>
    <mergeCell ref="BT121:BU121"/>
    <mergeCell ref="BV121:BW121"/>
    <mergeCell ref="BX121:BY121"/>
    <mergeCell ref="AT120:AU120"/>
    <mergeCell ref="AV120:AW120"/>
    <mergeCell ref="AX120:AY120"/>
    <mergeCell ref="AZ120:BA120"/>
    <mergeCell ref="BB120:BC120"/>
    <mergeCell ref="BD120:BE120"/>
    <mergeCell ref="BF120:BG120"/>
    <mergeCell ref="BH120:BI120"/>
    <mergeCell ref="BJ120:BK120"/>
    <mergeCell ref="BL120:BM120"/>
    <mergeCell ref="BN120:BO120"/>
    <mergeCell ref="BP120:BQ120"/>
    <mergeCell ref="BR120:BS120"/>
    <mergeCell ref="BT120:BU120"/>
    <mergeCell ref="BV120:BW120"/>
    <mergeCell ref="BX120:BY120"/>
    <mergeCell ref="BT118:BU118"/>
    <mergeCell ref="BR118:BS118"/>
    <mergeCell ref="DB118:DC118"/>
    <mergeCell ref="BR119:BS119"/>
    <mergeCell ref="BT119:BU119"/>
    <mergeCell ref="BV119:BW119"/>
    <mergeCell ref="CR117:CS117"/>
    <mergeCell ref="CT117:CU117"/>
    <mergeCell ref="CV117:CW117"/>
    <mergeCell ref="CX117:CY117"/>
    <mergeCell ref="CH120:CI120"/>
    <mergeCell ref="CJ120:CK120"/>
    <mergeCell ref="BZ120:CA120"/>
    <mergeCell ref="CB120:CC120"/>
    <mergeCell ref="CD120:CE120"/>
    <mergeCell ref="BZ119:CA119"/>
    <mergeCell ref="CB119:CC119"/>
    <mergeCell ref="CD119:CE119"/>
    <mergeCell ref="CF119:CG119"/>
    <mergeCell ref="CH119:CI119"/>
    <mergeCell ref="CJ119:CK119"/>
    <mergeCell ref="CL119:CM119"/>
    <mergeCell ref="CN119:CO119"/>
    <mergeCell ref="CP119:CQ119"/>
    <mergeCell ref="CR119:CS119"/>
    <mergeCell ref="CL120:CM120"/>
    <mergeCell ref="CN120:CO120"/>
    <mergeCell ref="CT121:CU121"/>
    <mergeCell ref="CV121:CW121"/>
    <mergeCell ref="CX121:CY121"/>
    <mergeCell ref="CZ121:DA121"/>
    <mergeCell ref="CF122:CG122"/>
    <mergeCell ref="CH122:CI122"/>
    <mergeCell ref="CJ122:CK122"/>
    <mergeCell ref="CL122:CM122"/>
    <mergeCell ref="CN122:CO122"/>
    <mergeCell ref="CP122:CQ122"/>
    <mergeCell ref="CR122:CS122"/>
    <mergeCell ref="BZ121:CA121"/>
    <mergeCell ref="CD122:CE122"/>
    <mergeCell ref="BX119:BY119"/>
    <mergeCell ref="A125:A132"/>
    <mergeCell ref="B125:B132"/>
    <mergeCell ref="C125:C132"/>
    <mergeCell ref="D125:D132"/>
    <mergeCell ref="E125:E132"/>
    <mergeCell ref="F125:F132"/>
    <mergeCell ref="G125:G132"/>
    <mergeCell ref="I125:I132"/>
    <mergeCell ref="J125:J132"/>
    <mergeCell ref="AF126:AG126"/>
    <mergeCell ref="AH126:AI126"/>
    <mergeCell ref="AJ126:AK126"/>
    <mergeCell ref="AL126:AM126"/>
    <mergeCell ref="AN126:AO126"/>
    <mergeCell ref="AP126:AQ126"/>
    <mergeCell ref="AR126:AS126"/>
    <mergeCell ref="AT126:AU126"/>
    <mergeCell ref="AV126:AW126"/>
    <mergeCell ref="AX126:AY126"/>
    <mergeCell ref="AZ126:BA126"/>
    <mergeCell ref="BB126:BC126"/>
    <mergeCell ref="BD126:BE126"/>
    <mergeCell ref="BF126:BG126"/>
    <mergeCell ref="BH126:BI126"/>
    <mergeCell ref="BJ126:BK126"/>
    <mergeCell ref="BL126:BM126"/>
    <mergeCell ref="BN126:BO126"/>
    <mergeCell ref="BP126:BQ126"/>
    <mergeCell ref="BR126:BS126"/>
    <mergeCell ref="BT126:BU126"/>
    <mergeCell ref="BV126:BW126"/>
    <mergeCell ref="BX126:BY126"/>
    <mergeCell ref="CD127:CE127"/>
    <mergeCell ref="BR132:BS132"/>
    <mergeCell ref="BT132:BU132"/>
    <mergeCell ref="BV132:BW132"/>
    <mergeCell ref="BX132:BY132"/>
    <mergeCell ref="AB131:AC131"/>
    <mergeCell ref="AD131:AE131"/>
    <mergeCell ref="AF131:AG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P125:BQ125"/>
    <mergeCell ref="BN125:BO125"/>
    <mergeCell ref="BL125:BM125"/>
    <mergeCell ref="BJ125:BK125"/>
    <mergeCell ref="BR125:BS125"/>
    <mergeCell ref="BT125:BU125"/>
    <mergeCell ref="BV125:BW125"/>
    <mergeCell ref="BX125:BY125"/>
    <mergeCell ref="BZ125:CA125"/>
    <mergeCell ref="CB125:CC125"/>
    <mergeCell ref="CD125:CE125"/>
    <mergeCell ref="BR129:BS129"/>
    <mergeCell ref="BX127:BY127"/>
    <mergeCell ref="BZ127:CA127"/>
    <mergeCell ref="CB127:CC127"/>
    <mergeCell ref="BH125:BI125"/>
    <mergeCell ref="BF125:BG125"/>
    <mergeCell ref="BZ128:CA128"/>
    <mergeCell ref="CB128:CC128"/>
    <mergeCell ref="CD128:CE128"/>
    <mergeCell ref="CF128:CG128"/>
    <mergeCell ref="CH128:CI128"/>
    <mergeCell ref="CJ128:CK128"/>
    <mergeCell ref="CJ129:CK129"/>
    <mergeCell ref="CL129:CM129"/>
    <mergeCell ref="CN129:CO129"/>
    <mergeCell ref="CP129:CQ129"/>
    <mergeCell ref="CR129:CS129"/>
    <mergeCell ref="BZ130:CA130"/>
    <mergeCell ref="CB130:CC130"/>
    <mergeCell ref="CD130:CE130"/>
    <mergeCell ref="CF130:CG130"/>
    <mergeCell ref="CH130:CI130"/>
    <mergeCell ref="CJ130:CK130"/>
    <mergeCell ref="CL130:CM130"/>
    <mergeCell ref="CN130:CO130"/>
    <mergeCell ref="CP130:CQ130"/>
    <mergeCell ref="CR130:CS130"/>
    <mergeCell ref="CB131:CC131"/>
    <mergeCell ref="CD131:CE131"/>
    <mergeCell ref="CF121:CG121"/>
    <mergeCell ref="CH121:CI121"/>
    <mergeCell ref="CJ121:CK121"/>
    <mergeCell ref="CL121:CM121"/>
    <mergeCell ref="CN121:CO121"/>
    <mergeCell ref="CP121:CQ121"/>
    <mergeCell ref="CJ127:CK127"/>
    <mergeCell ref="CL127:CM127"/>
    <mergeCell ref="CN127:CO127"/>
    <mergeCell ref="CP127:CQ127"/>
    <mergeCell ref="CF125:CG125"/>
    <mergeCell ref="CH125:CI125"/>
    <mergeCell ref="CJ125:CK125"/>
    <mergeCell ref="CL125:CM125"/>
    <mergeCell ref="CN125:CO125"/>
    <mergeCell ref="CP125:CQ125"/>
    <mergeCell ref="CL128:CM128"/>
    <mergeCell ref="CN128:CO128"/>
    <mergeCell ref="CP128:CQ128"/>
    <mergeCell ref="BB123:BI123"/>
    <mergeCell ref="BJ123:BS123"/>
    <mergeCell ref="BT123:CA123"/>
    <mergeCell ref="CB123:CI123"/>
    <mergeCell ref="CJ123:CS123"/>
    <mergeCell ref="CJ124:CK124"/>
    <mergeCell ref="CL124:CM124"/>
    <mergeCell ref="CN124:CO124"/>
    <mergeCell ref="CP124:CQ124"/>
    <mergeCell ref="CR124:CS124"/>
    <mergeCell ref="CR121:CS121"/>
    <mergeCell ref="CR128:CS128"/>
    <mergeCell ref="BZ126:CA126"/>
    <mergeCell ref="BL129:BM129"/>
    <mergeCell ref="BJ129:BK129"/>
    <mergeCell ref="BH129:BI129"/>
    <mergeCell ref="BF129:BG129"/>
    <mergeCell ref="CB126:CC126"/>
    <mergeCell ref="BB125:BC125"/>
    <mergeCell ref="CT129:CU129"/>
    <mergeCell ref="CV129:CW129"/>
    <mergeCell ref="CX129:CY129"/>
    <mergeCell ref="CZ129:DA129"/>
    <mergeCell ref="DB129:DC129"/>
    <mergeCell ref="L128:M128"/>
    <mergeCell ref="BF128:BG128"/>
    <mergeCell ref="BH128:BI128"/>
    <mergeCell ref="BJ128:BK128"/>
    <mergeCell ref="BL128:BM128"/>
    <mergeCell ref="BN128:BO128"/>
    <mergeCell ref="BP128:BQ128"/>
    <mergeCell ref="BR128:BS128"/>
    <mergeCell ref="BT128:BU128"/>
    <mergeCell ref="BV128:BW128"/>
    <mergeCell ref="BX128:BY128"/>
    <mergeCell ref="BD128:BE128"/>
    <mergeCell ref="BB128:BC128"/>
    <mergeCell ref="AZ128:BA128"/>
    <mergeCell ref="AX128:AY128"/>
    <mergeCell ref="AV128:AW128"/>
    <mergeCell ref="AT128:AU128"/>
    <mergeCell ref="AR129:AS129"/>
    <mergeCell ref="AP129:AQ129"/>
    <mergeCell ref="AN129:AO129"/>
    <mergeCell ref="AL129:AM129"/>
    <mergeCell ref="AJ129:AK129"/>
    <mergeCell ref="BF127:BG127"/>
    <mergeCell ref="BH127:BI127"/>
    <mergeCell ref="BJ127:BK127"/>
    <mergeCell ref="BL127:BM127"/>
    <mergeCell ref="BN127:BO127"/>
    <mergeCell ref="BP127:BQ127"/>
    <mergeCell ref="CR127:CS127"/>
    <mergeCell ref="CT127:CU127"/>
    <mergeCell ref="CV127:CW127"/>
    <mergeCell ref="CX127:CY127"/>
    <mergeCell ref="CZ127:DA127"/>
    <mergeCell ref="DB127:DC127"/>
    <mergeCell ref="V129:W129"/>
    <mergeCell ref="T129:U129"/>
    <mergeCell ref="R129:S129"/>
    <mergeCell ref="P129:Q129"/>
    <mergeCell ref="N129:O129"/>
    <mergeCell ref="CF127:CG127"/>
    <mergeCell ref="CH127:CI127"/>
    <mergeCell ref="AJ128:AK128"/>
    <mergeCell ref="AH128:AI128"/>
    <mergeCell ref="AF128:AG128"/>
    <mergeCell ref="AD128:AE128"/>
    <mergeCell ref="AB128:AC128"/>
    <mergeCell ref="Z128:AA128"/>
    <mergeCell ref="X128:Y128"/>
    <mergeCell ref="V128:W128"/>
    <mergeCell ref="T128:U128"/>
    <mergeCell ref="R128:S128"/>
    <mergeCell ref="P128:Q128"/>
    <mergeCell ref="L129:M129"/>
    <mergeCell ref="BT129:BU129"/>
    <mergeCell ref="BR127:BS127"/>
    <mergeCell ref="BT127:BU127"/>
    <mergeCell ref="BV127:BW127"/>
    <mergeCell ref="CT130:CU130"/>
    <mergeCell ref="CV130:CW130"/>
    <mergeCell ref="CX130:CY130"/>
    <mergeCell ref="CZ130:DA130"/>
    <mergeCell ref="DB130:DC130"/>
    <mergeCell ref="L131:M131"/>
    <mergeCell ref="N131:O131"/>
    <mergeCell ref="P131:Q131"/>
    <mergeCell ref="R131:S131"/>
    <mergeCell ref="T131:U131"/>
    <mergeCell ref="V131:W131"/>
    <mergeCell ref="X131:Y131"/>
    <mergeCell ref="Z131:AA131"/>
    <mergeCell ref="CT128:CU128"/>
    <mergeCell ref="CV128:CW128"/>
    <mergeCell ref="CX128:CY128"/>
    <mergeCell ref="CZ128:DA128"/>
    <mergeCell ref="DB128:DC128"/>
    <mergeCell ref="BV129:BW129"/>
    <mergeCell ref="BX129:BY129"/>
    <mergeCell ref="BZ129:CA129"/>
    <mergeCell ref="CB129:CC129"/>
    <mergeCell ref="CD129:CE129"/>
    <mergeCell ref="CF129:CG129"/>
    <mergeCell ref="CH129:CI129"/>
    <mergeCell ref="N128:O128"/>
    <mergeCell ref="L130:M130"/>
    <mergeCell ref="N130:O130"/>
    <mergeCell ref="P130:Q130"/>
    <mergeCell ref="R130:S130"/>
    <mergeCell ref="T130:U130"/>
    <mergeCell ref="V130:W130"/>
    <mergeCell ref="X130:Y130"/>
    <mergeCell ref="Z130:AA130"/>
    <mergeCell ref="AB130:AC130"/>
    <mergeCell ref="AD130:AE130"/>
    <mergeCell ref="AF130:AG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N130:BO130"/>
    <mergeCell ref="BP130:BQ130"/>
    <mergeCell ref="BR130:BS130"/>
    <mergeCell ref="BT130:BU130"/>
    <mergeCell ref="BV130:BW130"/>
    <mergeCell ref="BX130:BY130"/>
    <mergeCell ref="BR131:BS131"/>
    <mergeCell ref="BT131:BU131"/>
    <mergeCell ref="BV131:BW131"/>
    <mergeCell ref="BX131:BY131"/>
    <mergeCell ref="BZ131:CA131"/>
    <mergeCell ref="CF131:CG131"/>
    <mergeCell ref="CH131:CI131"/>
    <mergeCell ref="CJ131:CK131"/>
    <mergeCell ref="CL131:CM131"/>
    <mergeCell ref="BZ132:CA132"/>
    <mergeCell ref="CB132:CC132"/>
    <mergeCell ref="CD132:CE132"/>
    <mergeCell ref="CF132:CG132"/>
    <mergeCell ref="CH132:CI132"/>
    <mergeCell ref="CJ132:CK132"/>
    <mergeCell ref="CL132:CM132"/>
    <mergeCell ref="CN132:CO132"/>
    <mergeCell ref="CP132:CQ132"/>
    <mergeCell ref="CR132:CS132"/>
    <mergeCell ref="CT132:CU132"/>
    <mergeCell ref="CV132:CW132"/>
    <mergeCell ref="CX132:CY132"/>
    <mergeCell ref="CZ132:DA132"/>
    <mergeCell ref="DB132:DC132"/>
    <mergeCell ref="CD133:CE133"/>
    <mergeCell ref="CF133:CG133"/>
    <mergeCell ref="CH133:CI133"/>
    <mergeCell ref="CJ133:CK133"/>
    <mergeCell ref="CL133:CM133"/>
    <mergeCell ref="CN133:CO133"/>
    <mergeCell ref="CP133:CQ133"/>
    <mergeCell ref="CR133:CS133"/>
    <mergeCell ref="CN131:CO131"/>
    <mergeCell ref="CP131:CQ131"/>
    <mergeCell ref="CR131:CS131"/>
    <mergeCell ref="CT131:CU131"/>
    <mergeCell ref="CV131:CW131"/>
    <mergeCell ref="CX131:CY131"/>
    <mergeCell ref="CZ131:DA131"/>
    <mergeCell ref="DB131:DC131"/>
    <mergeCell ref="A134:A141"/>
    <mergeCell ref="B134:B141"/>
    <mergeCell ref="C134:C141"/>
    <mergeCell ref="D134:D141"/>
    <mergeCell ref="E134:E141"/>
    <mergeCell ref="F134:F141"/>
    <mergeCell ref="G134:G141"/>
    <mergeCell ref="I134:I141"/>
    <mergeCell ref="J134:J141"/>
    <mergeCell ref="BF134:BG134"/>
    <mergeCell ref="BH134:BI134"/>
    <mergeCell ref="BJ134:BK134"/>
    <mergeCell ref="BL134:BM134"/>
    <mergeCell ref="BN134:BO134"/>
    <mergeCell ref="BP134:BQ134"/>
    <mergeCell ref="BR134:BS134"/>
    <mergeCell ref="BT134:BU134"/>
    <mergeCell ref="BV134:BW134"/>
    <mergeCell ref="BX134:BY134"/>
    <mergeCell ref="BZ134:CA134"/>
    <mergeCell ref="CB134:CC134"/>
    <mergeCell ref="CD134:CE134"/>
    <mergeCell ref="CF134:CG134"/>
    <mergeCell ref="CH134:CI134"/>
    <mergeCell ref="CJ134:CK134"/>
    <mergeCell ref="CL134:CM134"/>
    <mergeCell ref="CN134:CO134"/>
    <mergeCell ref="CP134:CQ134"/>
    <mergeCell ref="CR134:CS134"/>
    <mergeCell ref="CT134:CU134"/>
    <mergeCell ref="CV134:CW134"/>
    <mergeCell ref="CX134:CY134"/>
    <mergeCell ref="CZ134:DA134"/>
    <mergeCell ref="BR137:BS137"/>
    <mergeCell ref="BT137:BU137"/>
    <mergeCell ref="BV137:BW137"/>
    <mergeCell ref="BX137:BY137"/>
    <mergeCell ref="BZ137:CA137"/>
    <mergeCell ref="CB137:CC137"/>
    <mergeCell ref="CD137:CE137"/>
    <mergeCell ref="CF137:CG137"/>
    <mergeCell ref="CH137:CI137"/>
    <mergeCell ref="CJ137:CK137"/>
    <mergeCell ref="CL137:CM137"/>
    <mergeCell ref="CN137:CO137"/>
    <mergeCell ref="CP137:CQ137"/>
    <mergeCell ref="CR137:CS137"/>
    <mergeCell ref="CT137:CU137"/>
    <mergeCell ref="CV137:CW137"/>
    <mergeCell ref="CX137:CY137"/>
    <mergeCell ref="CZ137:DA137"/>
    <mergeCell ref="CJ140:CK140"/>
    <mergeCell ref="CL140:CM140"/>
    <mergeCell ref="CN140:CO140"/>
    <mergeCell ref="CR139:CS139"/>
    <mergeCell ref="CT139:CU139"/>
    <mergeCell ref="CV139:CW139"/>
    <mergeCell ref="CX139:CY139"/>
    <mergeCell ref="CZ139:DA139"/>
    <mergeCell ref="CT141:CU141"/>
    <mergeCell ref="CV141:CW141"/>
    <mergeCell ref="CX141:CY141"/>
    <mergeCell ref="CZ141:DA141"/>
    <mergeCell ref="AJ140:AK140"/>
    <mergeCell ref="DB134:DC134"/>
    <mergeCell ref="L135:M135"/>
    <mergeCell ref="N135:O135"/>
    <mergeCell ref="P135:Q135"/>
    <mergeCell ref="R135:S135"/>
    <mergeCell ref="T135:U135"/>
    <mergeCell ref="V135:W135"/>
    <mergeCell ref="X135:Y135"/>
    <mergeCell ref="Z135:AA135"/>
    <mergeCell ref="AB135:AC135"/>
    <mergeCell ref="AD135:AE135"/>
    <mergeCell ref="AF135:AG135"/>
    <mergeCell ref="AH135:AI135"/>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BR136:BS136"/>
    <mergeCell ref="BT136:BU136"/>
    <mergeCell ref="BV136:BW136"/>
    <mergeCell ref="BX136:BY136"/>
    <mergeCell ref="BZ136:CA136"/>
    <mergeCell ref="CB136:CC136"/>
    <mergeCell ref="CD136:CE136"/>
    <mergeCell ref="CF136:CG136"/>
    <mergeCell ref="CH136:CI136"/>
    <mergeCell ref="CJ136:CK136"/>
    <mergeCell ref="CL136:CM136"/>
    <mergeCell ref="CN136:CO136"/>
    <mergeCell ref="CP136:CQ136"/>
    <mergeCell ref="CR136:CS136"/>
    <mergeCell ref="CT136:CU136"/>
    <mergeCell ref="CV136:CW136"/>
    <mergeCell ref="CX136:CY136"/>
    <mergeCell ref="CZ136:DA136"/>
    <mergeCell ref="DB136:DC136"/>
    <mergeCell ref="BD134:BE134"/>
    <mergeCell ref="BB134:BC134"/>
    <mergeCell ref="AZ134:BA134"/>
    <mergeCell ref="AX134:AY134"/>
    <mergeCell ref="AV134:AW134"/>
    <mergeCell ref="AT134:AU134"/>
    <mergeCell ref="N136:O136"/>
    <mergeCell ref="L136:M136"/>
    <mergeCell ref="AR136:AS136"/>
    <mergeCell ref="AP136:AQ136"/>
    <mergeCell ref="AN136:AO136"/>
    <mergeCell ref="AL136:AM136"/>
    <mergeCell ref="AJ136:AK136"/>
    <mergeCell ref="DB137:DC137"/>
    <mergeCell ref="BP136:BQ136"/>
    <mergeCell ref="BN136:BO136"/>
    <mergeCell ref="BL136:BM136"/>
    <mergeCell ref="BJ136:BK136"/>
    <mergeCell ref="BH136:BI136"/>
    <mergeCell ref="BF136:BG136"/>
    <mergeCell ref="CJ138:CK138"/>
    <mergeCell ref="N139:O139"/>
    <mergeCell ref="P139:Q139"/>
    <mergeCell ref="R139:S139"/>
    <mergeCell ref="T139:U139"/>
    <mergeCell ref="V139:W139"/>
    <mergeCell ref="X139:Y139"/>
    <mergeCell ref="Z139:AA139"/>
    <mergeCell ref="AB139:AC139"/>
    <mergeCell ref="AD139:AE139"/>
    <mergeCell ref="AF139:AG139"/>
    <mergeCell ref="AH139:AI139"/>
    <mergeCell ref="AJ139:AK139"/>
    <mergeCell ref="AL139:AM139"/>
    <mergeCell ref="AN139:AO139"/>
    <mergeCell ref="AP139:AQ139"/>
    <mergeCell ref="AR139:AS139"/>
    <mergeCell ref="AT139:AU139"/>
    <mergeCell ref="AV139:AW139"/>
    <mergeCell ref="AX139:AY139"/>
    <mergeCell ref="AZ139:BA139"/>
    <mergeCell ref="BB139:BC139"/>
    <mergeCell ref="BD139:BE139"/>
    <mergeCell ref="BF139:BG139"/>
    <mergeCell ref="BH139:BI139"/>
    <mergeCell ref="BJ139:BK139"/>
    <mergeCell ref="BL139:BM139"/>
    <mergeCell ref="BN139:BO139"/>
    <mergeCell ref="BP139:BQ139"/>
    <mergeCell ref="BR139:BS139"/>
    <mergeCell ref="BT139:BU139"/>
    <mergeCell ref="BV139:BW139"/>
    <mergeCell ref="BX139:BY139"/>
    <mergeCell ref="AT138:AU138"/>
    <mergeCell ref="AV138:AW138"/>
    <mergeCell ref="AX138:AY138"/>
    <mergeCell ref="AZ138:BA138"/>
    <mergeCell ref="BB138:BC138"/>
    <mergeCell ref="BD138:BE138"/>
    <mergeCell ref="CL138:CM138"/>
    <mergeCell ref="CN138:CO138"/>
    <mergeCell ref="CP138:CQ138"/>
    <mergeCell ref="CR138:CS138"/>
    <mergeCell ref="CT138:CU138"/>
    <mergeCell ref="CV138:CW138"/>
    <mergeCell ref="CX138:CY138"/>
    <mergeCell ref="CZ138:DA138"/>
    <mergeCell ref="DB138:DC138"/>
    <mergeCell ref="BZ139:CA139"/>
    <mergeCell ref="CB139:CC139"/>
    <mergeCell ref="CD139:CE139"/>
    <mergeCell ref="CF139:CG139"/>
    <mergeCell ref="CH139:CI139"/>
    <mergeCell ref="CJ139:CK139"/>
    <mergeCell ref="CL139:CM139"/>
    <mergeCell ref="CN139:CO139"/>
    <mergeCell ref="CP139:CQ139"/>
    <mergeCell ref="DB139:DC139"/>
    <mergeCell ref="CP140:CQ140"/>
    <mergeCell ref="CR140:CS140"/>
    <mergeCell ref="CT140:CU140"/>
    <mergeCell ref="CV140:CW140"/>
    <mergeCell ref="CX140:CY140"/>
    <mergeCell ref="CZ140:DA140"/>
    <mergeCell ref="DB140:DC140"/>
    <mergeCell ref="BR138:BS138"/>
    <mergeCell ref="BT138:BU138"/>
    <mergeCell ref="BV138:BW138"/>
    <mergeCell ref="BX138:BY138"/>
    <mergeCell ref="BZ138:CA138"/>
    <mergeCell ref="CB138:CC138"/>
    <mergeCell ref="CD138:CE138"/>
    <mergeCell ref="CF138:CG138"/>
    <mergeCell ref="CH138:CI138"/>
    <mergeCell ref="AT141:AU141"/>
    <mergeCell ref="AV141:AW141"/>
    <mergeCell ref="AX141:AY141"/>
    <mergeCell ref="AZ141:BA141"/>
    <mergeCell ref="BB141:BC141"/>
    <mergeCell ref="BD141:BE141"/>
    <mergeCell ref="BF141:BG141"/>
    <mergeCell ref="BH141:BI141"/>
    <mergeCell ref="BJ141:BK141"/>
    <mergeCell ref="BL141:BM141"/>
    <mergeCell ref="BN141:BO141"/>
    <mergeCell ref="BP141:BQ141"/>
    <mergeCell ref="BR141:BS141"/>
    <mergeCell ref="BT141:BU141"/>
    <mergeCell ref="BV141:BW141"/>
    <mergeCell ref="BX141:BY141"/>
    <mergeCell ref="AT140:AU140"/>
    <mergeCell ref="AV140:AW140"/>
    <mergeCell ref="AX140:AY140"/>
    <mergeCell ref="AZ140:BA140"/>
    <mergeCell ref="BB140:BC140"/>
    <mergeCell ref="BD140:BE140"/>
    <mergeCell ref="BF140:BG140"/>
    <mergeCell ref="BH140:BI140"/>
    <mergeCell ref="BJ140:BK140"/>
    <mergeCell ref="BL140:BM140"/>
    <mergeCell ref="BN140:BO140"/>
    <mergeCell ref="BP140:BQ140"/>
    <mergeCell ref="BR140:BS140"/>
    <mergeCell ref="BT140:BU140"/>
    <mergeCell ref="BV140:BW140"/>
    <mergeCell ref="BX140:BY140"/>
    <mergeCell ref="BZ141:CA141"/>
    <mergeCell ref="BZ140:CA140"/>
    <mergeCell ref="CB141:CC141"/>
    <mergeCell ref="CD141:CE141"/>
    <mergeCell ref="CF141:CG141"/>
    <mergeCell ref="CH141:CI141"/>
    <mergeCell ref="CB140:CC140"/>
    <mergeCell ref="CD140:CE140"/>
    <mergeCell ref="CF140:CG140"/>
    <mergeCell ref="CH140:CI140"/>
    <mergeCell ref="CJ141:CK141"/>
    <mergeCell ref="CL141:CM141"/>
    <mergeCell ref="CN141:CO141"/>
    <mergeCell ref="CP141:CQ141"/>
    <mergeCell ref="CR141:CS141"/>
    <mergeCell ref="DB141:DC141"/>
    <mergeCell ref="CD142:CE142"/>
    <mergeCell ref="CF142:CG142"/>
    <mergeCell ref="CH142:CI142"/>
    <mergeCell ref="CJ142:CK142"/>
    <mergeCell ref="CL142:CM142"/>
    <mergeCell ref="CN142:CO142"/>
    <mergeCell ref="CP142:CQ142"/>
    <mergeCell ref="CR142:CS142"/>
    <mergeCell ref="A143:A150"/>
    <mergeCell ref="B143:B150"/>
    <mergeCell ref="C143:C150"/>
    <mergeCell ref="D143:D150"/>
    <mergeCell ref="E143:E150"/>
    <mergeCell ref="F143:F150"/>
    <mergeCell ref="G143:G150"/>
    <mergeCell ref="I143:I150"/>
    <mergeCell ref="J143:J150"/>
    <mergeCell ref="AF144:AG144"/>
    <mergeCell ref="AH144:AI144"/>
    <mergeCell ref="AJ144:AK144"/>
    <mergeCell ref="AL144:AM144"/>
    <mergeCell ref="AN144:AO144"/>
    <mergeCell ref="AP144:AQ144"/>
    <mergeCell ref="AR144:AS144"/>
    <mergeCell ref="AT144:AU144"/>
    <mergeCell ref="AV144:AW144"/>
    <mergeCell ref="AX144:AY144"/>
    <mergeCell ref="AZ144:BA144"/>
    <mergeCell ref="BB144:BC144"/>
    <mergeCell ref="BD144:BE144"/>
    <mergeCell ref="BF144:BG144"/>
    <mergeCell ref="BH144:BI144"/>
    <mergeCell ref="BJ144:BK144"/>
    <mergeCell ref="BL144:BM144"/>
    <mergeCell ref="BN144:BO144"/>
    <mergeCell ref="BP144:BQ144"/>
    <mergeCell ref="BR144:BS144"/>
    <mergeCell ref="BT144:BU144"/>
    <mergeCell ref="BV144:BW144"/>
    <mergeCell ref="BX144:BY144"/>
    <mergeCell ref="CD145:CE145"/>
    <mergeCell ref="CF145:CG145"/>
    <mergeCell ref="CH145:CI145"/>
    <mergeCell ref="CJ145:CK145"/>
    <mergeCell ref="CL145:CM145"/>
    <mergeCell ref="CN145:CO145"/>
    <mergeCell ref="CP145:CQ145"/>
    <mergeCell ref="CR145:CS145"/>
    <mergeCell ref="CT145:CU145"/>
    <mergeCell ref="CV145:CW145"/>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CR143:CS143"/>
    <mergeCell ref="CT143:CU143"/>
    <mergeCell ref="CV143:CW143"/>
    <mergeCell ref="CX143:CY143"/>
    <mergeCell ref="CZ143:DA143"/>
    <mergeCell ref="DB143:DC143"/>
    <mergeCell ref="BZ144:CA144"/>
    <mergeCell ref="CB144:CC144"/>
    <mergeCell ref="CD144:CE144"/>
    <mergeCell ref="CF144:CG144"/>
    <mergeCell ref="CH144:CI144"/>
    <mergeCell ref="CJ144:CK144"/>
    <mergeCell ref="CX144:CY144"/>
    <mergeCell ref="CL144:CM144"/>
    <mergeCell ref="CN144:CO144"/>
    <mergeCell ref="CP144:CQ144"/>
    <mergeCell ref="CR144:CS144"/>
    <mergeCell ref="CT144:CU144"/>
    <mergeCell ref="CV144:CW144"/>
    <mergeCell ref="CZ144:DA144"/>
    <mergeCell ref="DB144:DC144"/>
    <mergeCell ref="BZ146:CA146"/>
    <mergeCell ref="CB146:CC146"/>
    <mergeCell ref="CD146:CE146"/>
    <mergeCell ref="CF146:CG146"/>
    <mergeCell ref="CH146:CI146"/>
    <mergeCell ref="CJ146:CK146"/>
    <mergeCell ref="CL146:CM146"/>
    <mergeCell ref="CN146:CO146"/>
    <mergeCell ref="CP146:CQ146"/>
    <mergeCell ref="CR146:CS146"/>
    <mergeCell ref="CT146:CU146"/>
    <mergeCell ref="CV146:CW146"/>
    <mergeCell ref="CX146:CY146"/>
    <mergeCell ref="CZ146:DA146"/>
    <mergeCell ref="DB146:DC146"/>
    <mergeCell ref="CV147:CW147"/>
    <mergeCell ref="CX147:CY147"/>
    <mergeCell ref="CZ147:DA147"/>
    <mergeCell ref="DB147:DC147"/>
    <mergeCell ref="L146:M146"/>
    <mergeCell ref="BF146:BG146"/>
    <mergeCell ref="BH146:BI146"/>
    <mergeCell ref="BJ146:BK146"/>
    <mergeCell ref="BL146:BM146"/>
    <mergeCell ref="BN146:BO146"/>
    <mergeCell ref="BP146:BQ146"/>
    <mergeCell ref="BR146:BS146"/>
    <mergeCell ref="BT146:BU146"/>
    <mergeCell ref="BV146:BW146"/>
    <mergeCell ref="BX146:BY146"/>
    <mergeCell ref="CX145:CY145"/>
    <mergeCell ref="CZ145:DA145"/>
    <mergeCell ref="DB145:DC145"/>
    <mergeCell ref="BR145:BS145"/>
    <mergeCell ref="BT145:BU145"/>
    <mergeCell ref="BV145:BW145"/>
    <mergeCell ref="BX145:BY145"/>
    <mergeCell ref="BZ145:CA145"/>
    <mergeCell ref="CB145:CC145"/>
    <mergeCell ref="AR147:AS147"/>
    <mergeCell ref="AP147:AQ147"/>
    <mergeCell ref="AN147:AO147"/>
    <mergeCell ref="AL147:AM147"/>
    <mergeCell ref="AJ147:AK147"/>
    <mergeCell ref="AH147:AI147"/>
    <mergeCell ref="AF147:AG147"/>
    <mergeCell ref="AD147:AE147"/>
    <mergeCell ref="X147:Y147"/>
    <mergeCell ref="V147:W147"/>
    <mergeCell ref="T147:U147"/>
    <mergeCell ref="R147:S147"/>
    <mergeCell ref="P147:Q147"/>
    <mergeCell ref="N147:O147"/>
    <mergeCell ref="L147:M147"/>
    <mergeCell ref="AF145:AG145"/>
    <mergeCell ref="AH145:AI145"/>
    <mergeCell ref="AJ145:AK145"/>
    <mergeCell ref="AL145:AM145"/>
    <mergeCell ref="AN145:AO145"/>
    <mergeCell ref="AP145:AQ145"/>
    <mergeCell ref="AR145:AS145"/>
    <mergeCell ref="AB147:AC147"/>
    <mergeCell ref="AT147:AU147"/>
    <mergeCell ref="AX150:AY150"/>
    <mergeCell ref="AV150:AW150"/>
    <mergeCell ref="AT150:AU150"/>
    <mergeCell ref="BH150:BI150"/>
    <mergeCell ref="BJ150:BK150"/>
    <mergeCell ref="BL150:BM150"/>
    <mergeCell ref="BN150:BO150"/>
    <mergeCell ref="BP150:BQ150"/>
    <mergeCell ref="AR150:AS150"/>
    <mergeCell ref="AP150:AQ150"/>
    <mergeCell ref="AN150:AO150"/>
    <mergeCell ref="AL150:AM150"/>
    <mergeCell ref="BR147:BS147"/>
    <mergeCell ref="BT147:BU147"/>
    <mergeCell ref="BV147:BW147"/>
    <mergeCell ref="BX147:BY147"/>
    <mergeCell ref="BZ147:CA147"/>
    <mergeCell ref="CB147:CC147"/>
    <mergeCell ref="CD147:CE147"/>
    <mergeCell ref="CF147:CG147"/>
    <mergeCell ref="CH147:CI147"/>
    <mergeCell ref="L145:M145"/>
    <mergeCell ref="N145:O145"/>
    <mergeCell ref="CJ147:CK147"/>
    <mergeCell ref="CL147:CM147"/>
    <mergeCell ref="CN147:CO147"/>
    <mergeCell ref="CP147:CQ147"/>
    <mergeCell ref="CR147:CS147"/>
    <mergeCell ref="CT147:CU147"/>
    <mergeCell ref="N150:O150"/>
    <mergeCell ref="L150:M150"/>
    <mergeCell ref="CN149:CO149"/>
    <mergeCell ref="CP149:CQ149"/>
    <mergeCell ref="CR149:CS149"/>
    <mergeCell ref="CT149:CU149"/>
    <mergeCell ref="BR150:BS150"/>
    <mergeCell ref="BT150:BU150"/>
    <mergeCell ref="BV150:BW150"/>
    <mergeCell ref="BX150:BY150"/>
    <mergeCell ref="AJ149:AK149"/>
    <mergeCell ref="AL149:AM149"/>
    <mergeCell ref="AN149:AO149"/>
    <mergeCell ref="AP149:AQ149"/>
    <mergeCell ref="AR149:AS149"/>
    <mergeCell ref="AT149:AU149"/>
    <mergeCell ref="AV149:AW149"/>
    <mergeCell ref="AX149:AY149"/>
    <mergeCell ref="AZ149:BA149"/>
    <mergeCell ref="BB149:BC149"/>
    <mergeCell ref="BD149:BE149"/>
    <mergeCell ref="BF149:BG149"/>
    <mergeCell ref="BH149:BI149"/>
    <mergeCell ref="BJ149:BK149"/>
    <mergeCell ref="BL149:BM149"/>
    <mergeCell ref="BN149:BO149"/>
    <mergeCell ref="BP149:BQ149"/>
    <mergeCell ref="BR149:BS149"/>
    <mergeCell ref="BT149:BU149"/>
    <mergeCell ref="BV149:BW149"/>
    <mergeCell ref="BX149:BY149"/>
    <mergeCell ref="BZ149:CA149"/>
    <mergeCell ref="CB149:CC149"/>
    <mergeCell ref="CD149:CE149"/>
    <mergeCell ref="CV149:CW149"/>
    <mergeCell ref="CX149:CY149"/>
    <mergeCell ref="CZ149:DA149"/>
    <mergeCell ref="DB149:DC149"/>
    <mergeCell ref="L148:M148"/>
    <mergeCell ref="N148:O148"/>
    <mergeCell ref="P148:Q148"/>
    <mergeCell ref="R148:S148"/>
    <mergeCell ref="T148:U148"/>
    <mergeCell ref="V148:W148"/>
    <mergeCell ref="X148:Y148"/>
    <mergeCell ref="Z148:AA148"/>
    <mergeCell ref="AB148:AC148"/>
    <mergeCell ref="AD148:AE148"/>
    <mergeCell ref="AF148:AG148"/>
    <mergeCell ref="AH148:AI148"/>
    <mergeCell ref="AJ148:AK148"/>
    <mergeCell ref="AL148:AM148"/>
    <mergeCell ref="AN148:AO148"/>
    <mergeCell ref="AP148:AQ148"/>
    <mergeCell ref="AR148:AS148"/>
    <mergeCell ref="AT148:AU148"/>
    <mergeCell ref="AV148:AW148"/>
    <mergeCell ref="AX148:AY148"/>
    <mergeCell ref="AZ148:BA148"/>
    <mergeCell ref="BB148:BC148"/>
    <mergeCell ref="BD148:BE148"/>
    <mergeCell ref="BF148:BG148"/>
    <mergeCell ref="BH148:BI148"/>
    <mergeCell ref="BJ148:BK148"/>
    <mergeCell ref="BL148:BM148"/>
    <mergeCell ref="BN148:BO148"/>
    <mergeCell ref="BP148:BQ148"/>
    <mergeCell ref="BR148:BS148"/>
    <mergeCell ref="BT148:BU148"/>
    <mergeCell ref="BV148:BW148"/>
    <mergeCell ref="BX148:BY148"/>
    <mergeCell ref="BZ148:CA148"/>
    <mergeCell ref="CB148:CC148"/>
    <mergeCell ref="CD148:CE148"/>
    <mergeCell ref="CF148:CG148"/>
    <mergeCell ref="CH148:CI148"/>
    <mergeCell ref="CJ148:CK148"/>
    <mergeCell ref="CL148:CM148"/>
    <mergeCell ref="CN148:CO148"/>
    <mergeCell ref="CP148:CQ148"/>
    <mergeCell ref="CR148:CS148"/>
    <mergeCell ref="CT148:CU148"/>
    <mergeCell ref="CV148:CW148"/>
    <mergeCell ref="CX148:CY148"/>
    <mergeCell ref="CZ148:DA148"/>
    <mergeCell ref="DB148:DC148"/>
    <mergeCell ref="L149:M149"/>
    <mergeCell ref="N149:O149"/>
    <mergeCell ref="P149:Q149"/>
    <mergeCell ref="R149:S149"/>
    <mergeCell ref="T149:U149"/>
    <mergeCell ref="V149:W149"/>
    <mergeCell ref="X149:Y149"/>
    <mergeCell ref="Z149:AA149"/>
    <mergeCell ref="AB149:AC149"/>
    <mergeCell ref="AD149:AE149"/>
    <mergeCell ref="AF149:AG149"/>
    <mergeCell ref="AH149:AI149"/>
    <mergeCell ref="CF149:CG149"/>
    <mergeCell ref="CH149:CI149"/>
    <mergeCell ref="CJ149:CK149"/>
    <mergeCell ref="CL149:CM149"/>
    <mergeCell ref="BZ150:CA150"/>
    <mergeCell ref="CB150:CC150"/>
    <mergeCell ref="CD150:CE150"/>
    <mergeCell ref="CF150:CG150"/>
    <mergeCell ref="CH150:CI150"/>
    <mergeCell ref="A152:A159"/>
    <mergeCell ref="B152:B159"/>
    <mergeCell ref="C152:C159"/>
    <mergeCell ref="D152:D159"/>
    <mergeCell ref="E152:E159"/>
    <mergeCell ref="F152:F159"/>
    <mergeCell ref="G152:G159"/>
    <mergeCell ref="I152:I159"/>
    <mergeCell ref="J152:J159"/>
    <mergeCell ref="AF153:AG153"/>
    <mergeCell ref="AH153:AI153"/>
    <mergeCell ref="AJ153:AK153"/>
    <mergeCell ref="AL153:AM153"/>
    <mergeCell ref="AN153:AO153"/>
    <mergeCell ref="AP153:AQ153"/>
    <mergeCell ref="AR153:AS153"/>
    <mergeCell ref="AT153:AU153"/>
    <mergeCell ref="AV153:AW153"/>
    <mergeCell ref="AX153:AY153"/>
    <mergeCell ref="AZ153:BA153"/>
    <mergeCell ref="BB153:BC153"/>
    <mergeCell ref="BD153:BE153"/>
    <mergeCell ref="BF153:BG153"/>
    <mergeCell ref="BH153:BI153"/>
    <mergeCell ref="BJ153:BK153"/>
    <mergeCell ref="BL153:BM153"/>
    <mergeCell ref="BN153:BO153"/>
    <mergeCell ref="BP153:BQ153"/>
    <mergeCell ref="BR153:BS153"/>
    <mergeCell ref="BT153:BU153"/>
    <mergeCell ref="BV153:BW153"/>
    <mergeCell ref="BX153:BY153"/>
    <mergeCell ref="CD154:CE154"/>
    <mergeCell ref="BD152:BE152"/>
    <mergeCell ref="BB152:BC152"/>
    <mergeCell ref="AZ152:BA152"/>
    <mergeCell ref="AX152:AY152"/>
    <mergeCell ref="AV152:AW152"/>
    <mergeCell ref="AT152:AU152"/>
    <mergeCell ref="AD153:AE153"/>
    <mergeCell ref="AB153:AC153"/>
    <mergeCell ref="Z153:AA153"/>
    <mergeCell ref="X153:Y153"/>
    <mergeCell ref="V153:W153"/>
    <mergeCell ref="T153:U153"/>
    <mergeCell ref="R153:S153"/>
    <mergeCell ref="P153:Q153"/>
    <mergeCell ref="N153:O153"/>
    <mergeCell ref="L153:M153"/>
    <mergeCell ref="AR155:AS155"/>
    <mergeCell ref="AP155:AQ155"/>
    <mergeCell ref="AN155:AO155"/>
    <mergeCell ref="AL155:AM155"/>
    <mergeCell ref="AJ155:AK155"/>
    <mergeCell ref="AH155:AI155"/>
    <mergeCell ref="AD155:AE155"/>
    <mergeCell ref="AB155:AC155"/>
    <mergeCell ref="Z155:AA155"/>
    <mergeCell ref="X155:Y155"/>
    <mergeCell ref="V155:W155"/>
    <mergeCell ref="T155:U155"/>
    <mergeCell ref="R155:S155"/>
    <mergeCell ref="P155:Q155"/>
    <mergeCell ref="CR152:CS152"/>
    <mergeCell ref="CT152:CU152"/>
    <mergeCell ref="CV152:CW152"/>
    <mergeCell ref="CX152:CY152"/>
    <mergeCell ref="CZ152:DA152"/>
    <mergeCell ref="DB152:DC152"/>
    <mergeCell ref="BZ153:CA153"/>
    <mergeCell ref="CB153:CC153"/>
    <mergeCell ref="CD153:CE153"/>
    <mergeCell ref="CF153:CG153"/>
    <mergeCell ref="CH153:CI153"/>
    <mergeCell ref="CJ153:CK153"/>
    <mergeCell ref="CX153:CY153"/>
    <mergeCell ref="CL153:CM153"/>
    <mergeCell ref="CN153:CO153"/>
    <mergeCell ref="CP153:CQ153"/>
    <mergeCell ref="CR153:CS153"/>
    <mergeCell ref="CT153:CU153"/>
    <mergeCell ref="CV153:CW153"/>
    <mergeCell ref="CZ153:DA153"/>
    <mergeCell ref="DB153:DC153"/>
    <mergeCell ref="CJ150:CK150"/>
    <mergeCell ref="CL150:CM150"/>
    <mergeCell ref="CN150:CO150"/>
    <mergeCell ref="CP150:CQ150"/>
    <mergeCell ref="CR150:CS150"/>
    <mergeCell ref="CT150:CU150"/>
    <mergeCell ref="CV150:CW150"/>
    <mergeCell ref="CX150:CY150"/>
    <mergeCell ref="CZ150:DA150"/>
    <mergeCell ref="DB150:DC150"/>
    <mergeCell ref="CD151:CE151"/>
    <mergeCell ref="CF151:CG151"/>
    <mergeCell ref="CH151:CI151"/>
    <mergeCell ref="CJ151:CK151"/>
    <mergeCell ref="CL151:CM151"/>
    <mergeCell ref="CN151:CO151"/>
    <mergeCell ref="CP151:CQ151"/>
    <mergeCell ref="CR151:CS151"/>
    <mergeCell ref="BP152:BQ152"/>
    <mergeCell ref="BN152:BO152"/>
    <mergeCell ref="BL152:BM152"/>
    <mergeCell ref="BJ152:BK152"/>
    <mergeCell ref="BH152:BI152"/>
    <mergeCell ref="BF152:BG152"/>
    <mergeCell ref="BZ155:CA155"/>
    <mergeCell ref="CB155:CC155"/>
    <mergeCell ref="CD155:CE155"/>
    <mergeCell ref="CF155:CG155"/>
    <mergeCell ref="CH155:CI155"/>
    <mergeCell ref="CJ155:CK155"/>
    <mergeCell ref="CL155:CM155"/>
    <mergeCell ref="CN155:CO155"/>
    <mergeCell ref="CP155:CQ155"/>
    <mergeCell ref="BT152:BU152"/>
    <mergeCell ref="AZ150:BA150"/>
    <mergeCell ref="BV152:BW152"/>
    <mergeCell ref="BX152:BY152"/>
    <mergeCell ref="BZ152:CA152"/>
    <mergeCell ref="CB152:CC152"/>
    <mergeCell ref="CD152:CE152"/>
    <mergeCell ref="CF152:CG152"/>
    <mergeCell ref="CH152:CI152"/>
    <mergeCell ref="CJ152:CK152"/>
    <mergeCell ref="CL152:CM152"/>
    <mergeCell ref="CN152:CO152"/>
    <mergeCell ref="CP152:CQ152"/>
    <mergeCell ref="CF154:CG154"/>
    <mergeCell ref="CH154:CI154"/>
    <mergeCell ref="CJ154:CK154"/>
    <mergeCell ref="CL154:CM154"/>
    <mergeCell ref="CN154:CO154"/>
    <mergeCell ref="CP154:CQ154"/>
    <mergeCell ref="BP154:BQ154"/>
    <mergeCell ref="BR152:BS152"/>
    <mergeCell ref="L154:M154"/>
    <mergeCell ref="N154:O154"/>
    <mergeCell ref="CJ156:CK156"/>
    <mergeCell ref="CL156:CM156"/>
    <mergeCell ref="CN156:CO156"/>
    <mergeCell ref="CP156:CQ156"/>
    <mergeCell ref="CR156:CS156"/>
    <mergeCell ref="CT156:CU156"/>
    <mergeCell ref="CV156:CW156"/>
    <mergeCell ref="CX156:CY156"/>
    <mergeCell ref="CZ156:DA156"/>
    <mergeCell ref="DB156:DC156"/>
    <mergeCell ref="L155:M155"/>
    <mergeCell ref="BF155:BG155"/>
    <mergeCell ref="BH155:BI155"/>
    <mergeCell ref="BJ155:BK155"/>
    <mergeCell ref="BL155:BM155"/>
    <mergeCell ref="BN155:BO155"/>
    <mergeCell ref="BP155:BQ155"/>
    <mergeCell ref="BR155:BS155"/>
    <mergeCell ref="BT155:BU155"/>
    <mergeCell ref="BV155:BW155"/>
    <mergeCell ref="BX155:BY155"/>
    <mergeCell ref="BD155:BE155"/>
    <mergeCell ref="BB155:BC155"/>
    <mergeCell ref="AZ155:BA155"/>
    <mergeCell ref="AX155:AY155"/>
    <mergeCell ref="AV155:AW155"/>
    <mergeCell ref="AT155:AU155"/>
    <mergeCell ref="AR156:AS156"/>
    <mergeCell ref="AP156:AQ156"/>
    <mergeCell ref="AN156:AO156"/>
    <mergeCell ref="AL156:AM156"/>
    <mergeCell ref="AJ156:AK156"/>
    <mergeCell ref="AH156:AI156"/>
    <mergeCell ref="AF156:AG156"/>
    <mergeCell ref="AD156:AE156"/>
    <mergeCell ref="AB156:AC156"/>
    <mergeCell ref="Z156:AA156"/>
    <mergeCell ref="X156:Y156"/>
    <mergeCell ref="V156:W156"/>
    <mergeCell ref="T156:U156"/>
    <mergeCell ref="R156:S156"/>
    <mergeCell ref="P156:Q156"/>
    <mergeCell ref="N156:O156"/>
    <mergeCell ref="L156:M156"/>
    <mergeCell ref="AT154:AU154"/>
    <mergeCell ref="AV154:AW154"/>
    <mergeCell ref="AX154:AY154"/>
    <mergeCell ref="BR154:BS154"/>
    <mergeCell ref="BT154:BU154"/>
    <mergeCell ref="BV154:BW154"/>
    <mergeCell ref="BX154:BY154"/>
    <mergeCell ref="BZ154:CA154"/>
    <mergeCell ref="CB154:CC154"/>
    <mergeCell ref="CR154:CS154"/>
    <mergeCell ref="CT154:CU154"/>
    <mergeCell ref="CV154:CW154"/>
    <mergeCell ref="CX154:CY154"/>
    <mergeCell ref="CZ154:DA154"/>
    <mergeCell ref="DB154:DC154"/>
    <mergeCell ref="AT157:AU157"/>
    <mergeCell ref="AV157:AW157"/>
    <mergeCell ref="AX157:AY157"/>
    <mergeCell ref="AZ157:BA157"/>
    <mergeCell ref="BB157:BC157"/>
    <mergeCell ref="BD157:BE157"/>
    <mergeCell ref="BF157:BG157"/>
    <mergeCell ref="BH157:BI157"/>
    <mergeCell ref="BJ157:BK157"/>
    <mergeCell ref="BL157:BM157"/>
    <mergeCell ref="BN157:BO157"/>
    <mergeCell ref="BP157:BQ157"/>
    <mergeCell ref="BR157:BS157"/>
    <mergeCell ref="BT157:BU157"/>
    <mergeCell ref="BV157:BW157"/>
    <mergeCell ref="BX157:BY157"/>
    <mergeCell ref="CR155:CS155"/>
    <mergeCell ref="N155:O155"/>
    <mergeCell ref="BZ157:CA157"/>
    <mergeCell ref="CB157:CC157"/>
    <mergeCell ref="CD157:CE157"/>
    <mergeCell ref="CF157:CG157"/>
    <mergeCell ref="CH157:CI157"/>
    <mergeCell ref="CJ157:CK157"/>
    <mergeCell ref="CL157:CM157"/>
    <mergeCell ref="CN157:CO157"/>
    <mergeCell ref="CP157:CQ157"/>
    <mergeCell ref="CR157:CS157"/>
    <mergeCell ref="CT157:CU157"/>
    <mergeCell ref="CV157:CW157"/>
    <mergeCell ref="CX157:CY157"/>
    <mergeCell ref="CZ157:DA157"/>
    <mergeCell ref="DB157:DC157"/>
    <mergeCell ref="CT155:CU155"/>
    <mergeCell ref="CV155:CW155"/>
    <mergeCell ref="CX155:CY155"/>
    <mergeCell ref="CZ155:DA155"/>
    <mergeCell ref="DB155:DC155"/>
    <mergeCell ref="BR156:BS156"/>
    <mergeCell ref="BT156:BU156"/>
    <mergeCell ref="BV156:BW156"/>
    <mergeCell ref="BX156:BY156"/>
    <mergeCell ref="BZ156:CA156"/>
    <mergeCell ref="CB156:CC156"/>
    <mergeCell ref="CD156:CE156"/>
    <mergeCell ref="CF156:CG156"/>
    <mergeCell ref="CH156:CI156"/>
    <mergeCell ref="AF155:AG155"/>
    <mergeCell ref="AF158:AG158"/>
    <mergeCell ref="AH158:AI158"/>
    <mergeCell ref="AJ158:AK158"/>
    <mergeCell ref="AL158:AM158"/>
    <mergeCell ref="AN158:AO158"/>
    <mergeCell ref="AP158:AQ158"/>
    <mergeCell ref="AR158:AS158"/>
    <mergeCell ref="AT158:AU158"/>
    <mergeCell ref="AV158:AW158"/>
    <mergeCell ref="AX158:AY158"/>
    <mergeCell ref="AZ158:BA158"/>
    <mergeCell ref="BB158:BC158"/>
    <mergeCell ref="BD158:BE158"/>
    <mergeCell ref="BF158:BG158"/>
    <mergeCell ref="BH158:BI158"/>
    <mergeCell ref="BJ158:BK158"/>
    <mergeCell ref="BL158:BM158"/>
    <mergeCell ref="BN158:BO158"/>
    <mergeCell ref="BP158:BQ158"/>
    <mergeCell ref="BR158:BS158"/>
    <mergeCell ref="BT158:BU158"/>
    <mergeCell ref="BV158:BW158"/>
    <mergeCell ref="BX158:BY158"/>
    <mergeCell ref="BZ158:CA158"/>
    <mergeCell ref="CB158:CC158"/>
    <mergeCell ref="CD158:CE158"/>
    <mergeCell ref="CF158:CG158"/>
    <mergeCell ref="CH158:CI158"/>
    <mergeCell ref="CJ158:CK158"/>
    <mergeCell ref="CL158:CM158"/>
    <mergeCell ref="CN158:CO158"/>
    <mergeCell ref="CP158:CQ158"/>
    <mergeCell ref="CR158:CS158"/>
    <mergeCell ref="CT158:CU158"/>
    <mergeCell ref="CV158:CW158"/>
    <mergeCell ref="CX158:CY158"/>
    <mergeCell ref="CZ158:DA158"/>
    <mergeCell ref="DB158:DC158"/>
    <mergeCell ref="L157:M157"/>
    <mergeCell ref="N157:O157"/>
    <mergeCell ref="P157:Q157"/>
    <mergeCell ref="R157:S157"/>
    <mergeCell ref="T157:U157"/>
    <mergeCell ref="V157:W157"/>
    <mergeCell ref="X157:Y157"/>
    <mergeCell ref="Z157:AA157"/>
    <mergeCell ref="AB157:AC157"/>
    <mergeCell ref="AD157:AE157"/>
    <mergeCell ref="AF157:AG157"/>
    <mergeCell ref="A161:A168"/>
    <mergeCell ref="B161:B168"/>
    <mergeCell ref="C161:C168"/>
    <mergeCell ref="D161:D168"/>
    <mergeCell ref="E161:E168"/>
    <mergeCell ref="F161:F168"/>
    <mergeCell ref="G161:G168"/>
    <mergeCell ref="I161:I168"/>
    <mergeCell ref="J161:J168"/>
    <mergeCell ref="BF161:BG161"/>
    <mergeCell ref="BH161:BI161"/>
    <mergeCell ref="BJ161:BK161"/>
    <mergeCell ref="BL161:BM161"/>
    <mergeCell ref="BN161:BO161"/>
    <mergeCell ref="BP161:BQ161"/>
    <mergeCell ref="BR161:BS161"/>
    <mergeCell ref="BT161:BU161"/>
    <mergeCell ref="BV161:BW161"/>
    <mergeCell ref="BX161:BY161"/>
    <mergeCell ref="BZ161:CA161"/>
    <mergeCell ref="CB161:CC161"/>
    <mergeCell ref="CD161:CE161"/>
    <mergeCell ref="CF161:CG161"/>
    <mergeCell ref="CH161:CI161"/>
    <mergeCell ref="CJ161:CK161"/>
    <mergeCell ref="CL161:CM161"/>
    <mergeCell ref="CN161:CO161"/>
    <mergeCell ref="CP161:CQ161"/>
    <mergeCell ref="CR161:CS161"/>
    <mergeCell ref="CT161:CU161"/>
    <mergeCell ref="CV161:CW161"/>
    <mergeCell ref="CX161:CY161"/>
    <mergeCell ref="CZ161:DA161"/>
    <mergeCell ref="L162:M162"/>
    <mergeCell ref="N162:O162"/>
    <mergeCell ref="P162:Q162"/>
    <mergeCell ref="R162:S162"/>
    <mergeCell ref="T162:U162"/>
    <mergeCell ref="V162:W162"/>
    <mergeCell ref="X162:Y162"/>
    <mergeCell ref="Z162:AA162"/>
    <mergeCell ref="AB162:AC162"/>
    <mergeCell ref="AD162:AE162"/>
    <mergeCell ref="AF162:AG162"/>
    <mergeCell ref="AH162:AI162"/>
    <mergeCell ref="AV164:AW164"/>
    <mergeCell ref="AT164:AU164"/>
    <mergeCell ref="BD161:BE161"/>
    <mergeCell ref="BB161:BC161"/>
    <mergeCell ref="AZ161:BA161"/>
    <mergeCell ref="AX161:AY161"/>
    <mergeCell ref="AV161:AW161"/>
    <mergeCell ref="AT161:AU161"/>
    <mergeCell ref="AF168:AG168"/>
    <mergeCell ref="AD168:AE168"/>
    <mergeCell ref="AB168:AC168"/>
    <mergeCell ref="Z168:AA168"/>
    <mergeCell ref="X168:Y168"/>
    <mergeCell ref="V168:W168"/>
    <mergeCell ref="T168:U168"/>
    <mergeCell ref="R168:S168"/>
    <mergeCell ref="P168:Q168"/>
    <mergeCell ref="N168:O168"/>
    <mergeCell ref="L168:M168"/>
    <mergeCell ref="CV164:CW164"/>
    <mergeCell ref="CX164:CY164"/>
    <mergeCell ref="CZ164:DA164"/>
    <mergeCell ref="DB164:DC164"/>
    <mergeCell ref="BP163:BQ163"/>
    <mergeCell ref="BN163:BO163"/>
    <mergeCell ref="BL163:BM163"/>
    <mergeCell ref="BJ163:BK163"/>
    <mergeCell ref="BH163:BI163"/>
    <mergeCell ref="BF163:BG163"/>
    <mergeCell ref="BF162:BG162"/>
    <mergeCell ref="BH162:BI162"/>
    <mergeCell ref="BJ162:BK162"/>
    <mergeCell ref="BL162:BM162"/>
    <mergeCell ref="BN162:BO162"/>
    <mergeCell ref="BP162:BQ162"/>
    <mergeCell ref="BR162:BS162"/>
    <mergeCell ref="BT162:BU162"/>
    <mergeCell ref="BV162:BW162"/>
    <mergeCell ref="BX162:BY162"/>
    <mergeCell ref="BZ162:CA162"/>
    <mergeCell ref="CB162:CC162"/>
    <mergeCell ref="CB163:CC163"/>
    <mergeCell ref="CD163:CE163"/>
    <mergeCell ref="CF163:CG163"/>
    <mergeCell ref="CH163:CI163"/>
    <mergeCell ref="CJ163:CK163"/>
    <mergeCell ref="CL163:CM163"/>
    <mergeCell ref="CN163:CO163"/>
    <mergeCell ref="CP163:CQ163"/>
    <mergeCell ref="CR163:CS163"/>
    <mergeCell ref="CT163:CU163"/>
    <mergeCell ref="CV163:CW163"/>
    <mergeCell ref="CX163:CY163"/>
    <mergeCell ref="CZ163:DA163"/>
    <mergeCell ref="DB163:DC163"/>
    <mergeCell ref="BF164:BG164"/>
    <mergeCell ref="BH164:BI164"/>
    <mergeCell ref="BJ164:BK164"/>
    <mergeCell ref="BL164:BM164"/>
    <mergeCell ref="BN164:BO164"/>
    <mergeCell ref="BP164:BQ164"/>
    <mergeCell ref="BR164:BS164"/>
    <mergeCell ref="BT164:BU164"/>
    <mergeCell ref="BV164:BW164"/>
    <mergeCell ref="BX164:BY164"/>
    <mergeCell ref="BZ164:CA164"/>
    <mergeCell ref="CB164:CC164"/>
    <mergeCell ref="CJ159:CK159"/>
    <mergeCell ref="CL159:CM159"/>
    <mergeCell ref="CN159:CO159"/>
    <mergeCell ref="CP159:CQ159"/>
    <mergeCell ref="CR159:CS159"/>
    <mergeCell ref="CT159:CU159"/>
    <mergeCell ref="CV159:CW159"/>
    <mergeCell ref="CX159:CY159"/>
    <mergeCell ref="CZ159:DA159"/>
    <mergeCell ref="DB159:DC159"/>
    <mergeCell ref="CD160:CE160"/>
    <mergeCell ref="CF160:CG160"/>
    <mergeCell ref="CH160:CI160"/>
    <mergeCell ref="CJ160:CK160"/>
    <mergeCell ref="CL160:CM160"/>
    <mergeCell ref="CN160:CO160"/>
    <mergeCell ref="CP160:CQ160"/>
    <mergeCell ref="CR160:CS160"/>
    <mergeCell ref="DB161:DC161"/>
    <mergeCell ref="BR159:BS159"/>
    <mergeCell ref="BT159:BU159"/>
    <mergeCell ref="BV159:BW159"/>
    <mergeCell ref="BX159:BY159"/>
    <mergeCell ref="BZ159:CA159"/>
    <mergeCell ref="CB159:CC159"/>
    <mergeCell ref="CD159:CE159"/>
    <mergeCell ref="CF159:CG159"/>
    <mergeCell ref="CH159:CI159"/>
    <mergeCell ref="BF159:BG159"/>
    <mergeCell ref="CD164:CE164"/>
    <mergeCell ref="CF164:CG164"/>
    <mergeCell ref="AT162:AU162"/>
    <mergeCell ref="AV162:AW162"/>
    <mergeCell ref="AX162:AY162"/>
    <mergeCell ref="AZ162:BA162"/>
    <mergeCell ref="BB162:BC162"/>
    <mergeCell ref="BD162:BE162"/>
    <mergeCell ref="CD162:CE162"/>
    <mergeCell ref="CF162:CG162"/>
    <mergeCell ref="CH162:CI162"/>
    <mergeCell ref="CJ162:CK162"/>
    <mergeCell ref="CL162:CM162"/>
    <mergeCell ref="CN162:CO162"/>
    <mergeCell ref="CP162:CQ162"/>
    <mergeCell ref="CR162:CS162"/>
    <mergeCell ref="CT162:CU162"/>
    <mergeCell ref="CV162:CW162"/>
    <mergeCell ref="BD163:BE163"/>
    <mergeCell ref="BB163:BC163"/>
    <mergeCell ref="AZ163:BA163"/>
    <mergeCell ref="AX163:AY163"/>
    <mergeCell ref="AV163:AW163"/>
    <mergeCell ref="AT163:AU163"/>
    <mergeCell ref="BD164:BE164"/>
    <mergeCell ref="BB164:BC164"/>
    <mergeCell ref="AZ164:BA164"/>
    <mergeCell ref="AX164:AY164"/>
    <mergeCell ref="CZ162:DA162"/>
    <mergeCell ref="DB162:DC162"/>
    <mergeCell ref="BR163:BS163"/>
    <mergeCell ref="BT163:BU163"/>
    <mergeCell ref="BV163:BW163"/>
    <mergeCell ref="BX163:BY163"/>
    <mergeCell ref="BZ163:CA163"/>
    <mergeCell ref="CH164:CI164"/>
    <mergeCell ref="CJ164:CK164"/>
    <mergeCell ref="CL164:CM164"/>
    <mergeCell ref="CN164:CO164"/>
    <mergeCell ref="CP164:CQ164"/>
    <mergeCell ref="BZ166:CA166"/>
    <mergeCell ref="CB166:CC166"/>
    <mergeCell ref="CD166:CE166"/>
    <mergeCell ref="CF166:CG166"/>
    <mergeCell ref="CH166:CI166"/>
    <mergeCell ref="CJ166:CK166"/>
    <mergeCell ref="CL166:CM166"/>
    <mergeCell ref="CN166:CO166"/>
    <mergeCell ref="CP166:CQ166"/>
    <mergeCell ref="CR166:CS166"/>
    <mergeCell ref="CT166:CU166"/>
    <mergeCell ref="CV166:CW166"/>
    <mergeCell ref="CX166:CY166"/>
    <mergeCell ref="CZ166:DA166"/>
    <mergeCell ref="DB166:DC166"/>
    <mergeCell ref="CP167:CQ167"/>
    <mergeCell ref="CR167:CS167"/>
    <mergeCell ref="CT167:CU167"/>
    <mergeCell ref="CV167:CW167"/>
    <mergeCell ref="CX167:CY167"/>
    <mergeCell ref="CZ167:DA167"/>
    <mergeCell ref="DB167:DC167"/>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AT166:AU166"/>
    <mergeCell ref="AV166:AW166"/>
    <mergeCell ref="AX166:AY166"/>
    <mergeCell ref="AZ166:BA166"/>
    <mergeCell ref="BB166:BC166"/>
    <mergeCell ref="BD166:BE166"/>
    <mergeCell ref="BF166:BG166"/>
    <mergeCell ref="BH166:BI166"/>
    <mergeCell ref="BJ166:BK166"/>
    <mergeCell ref="BL166:BM166"/>
    <mergeCell ref="BN166:BO166"/>
    <mergeCell ref="BP166:BQ166"/>
    <mergeCell ref="BR166:BS166"/>
    <mergeCell ref="BT166:BU166"/>
    <mergeCell ref="BV166:BW166"/>
    <mergeCell ref="BX166:BY166"/>
    <mergeCell ref="BV168:BW168"/>
    <mergeCell ref="BX168:BY168"/>
    <mergeCell ref="AT167:AU167"/>
    <mergeCell ref="AV167:AW167"/>
    <mergeCell ref="AX167:AY167"/>
    <mergeCell ref="AZ167:BA167"/>
    <mergeCell ref="BB167:BC167"/>
    <mergeCell ref="BD167:BE167"/>
    <mergeCell ref="BF167:BG167"/>
    <mergeCell ref="BH167:BI167"/>
    <mergeCell ref="BJ167:BK167"/>
    <mergeCell ref="BL167:BM167"/>
    <mergeCell ref="BN167:BO167"/>
    <mergeCell ref="BP167:BQ167"/>
    <mergeCell ref="BR167:BS167"/>
    <mergeCell ref="BT167:BU167"/>
    <mergeCell ref="BV167:BW167"/>
    <mergeCell ref="BX167:BY167"/>
    <mergeCell ref="BZ168:CA168"/>
    <mergeCell ref="BZ167:CA167"/>
    <mergeCell ref="AJ167:AK167"/>
    <mergeCell ref="AH167:AI167"/>
    <mergeCell ref="AN168:AO168"/>
    <mergeCell ref="AL168:AM168"/>
    <mergeCell ref="AJ168:AK168"/>
    <mergeCell ref="AH168:AI168"/>
    <mergeCell ref="AD167:AE167"/>
    <mergeCell ref="AB167:AC167"/>
    <mergeCell ref="CB167:CC167"/>
    <mergeCell ref="CD167:CE167"/>
    <mergeCell ref="CF167:CG167"/>
    <mergeCell ref="CH167:CI167"/>
    <mergeCell ref="BT168:BU168"/>
    <mergeCell ref="CJ167:CK167"/>
    <mergeCell ref="CD169:CE169"/>
    <mergeCell ref="CF169:CG169"/>
    <mergeCell ref="CH169:CI169"/>
    <mergeCell ref="CJ169:CK169"/>
    <mergeCell ref="CL169:CM169"/>
    <mergeCell ref="CN169:CO169"/>
    <mergeCell ref="CP169:CQ169"/>
    <mergeCell ref="CR169:CS169"/>
    <mergeCell ref="AT168:AU168"/>
    <mergeCell ref="AV168:AW168"/>
    <mergeCell ref="AX168:AY168"/>
    <mergeCell ref="DD6:DE6"/>
    <mergeCell ref="DF6:DG6"/>
    <mergeCell ref="DH6:DI6"/>
    <mergeCell ref="DJ6:DK6"/>
    <mergeCell ref="DL6:DM6"/>
    <mergeCell ref="DN6:DO6"/>
    <mergeCell ref="DP6:DQ6"/>
    <mergeCell ref="DR6:DS6"/>
    <mergeCell ref="DL8:DS8"/>
    <mergeCell ref="DD19:DE19"/>
    <mergeCell ref="DF19:DG19"/>
    <mergeCell ref="DH19:DI19"/>
    <mergeCell ref="DJ19:DK19"/>
    <mergeCell ref="DL19:DM19"/>
    <mergeCell ref="DN19:DO19"/>
    <mergeCell ref="DP19:DQ19"/>
    <mergeCell ref="DR19:DS19"/>
    <mergeCell ref="DD20:DE20"/>
    <mergeCell ref="DF20:DG20"/>
    <mergeCell ref="DH20:DI20"/>
    <mergeCell ref="DJ20:DK20"/>
    <mergeCell ref="DL20:DM20"/>
    <mergeCell ref="DN20:DO20"/>
    <mergeCell ref="DP20:DQ20"/>
    <mergeCell ref="DR20:DS20"/>
    <mergeCell ref="DD21:DE21"/>
    <mergeCell ref="DF21:DG21"/>
    <mergeCell ref="DH21:DI21"/>
    <mergeCell ref="DJ21:DK21"/>
    <mergeCell ref="DL21:DM21"/>
    <mergeCell ref="DN21:DO21"/>
    <mergeCell ref="DP21:DQ21"/>
    <mergeCell ref="DR21:DS21"/>
    <mergeCell ref="DD22:DE22"/>
    <mergeCell ref="DF22:DG22"/>
    <mergeCell ref="DH22:DI22"/>
    <mergeCell ref="DJ22:DK22"/>
    <mergeCell ref="DL22:DM22"/>
    <mergeCell ref="DN22:DO22"/>
    <mergeCell ref="DP22:DQ22"/>
    <mergeCell ref="DR22:DS22"/>
    <mergeCell ref="DD23:DE23"/>
    <mergeCell ref="AZ168:BA168"/>
    <mergeCell ref="BB168:BC168"/>
    <mergeCell ref="BD168:BE168"/>
    <mergeCell ref="BF168:BG168"/>
    <mergeCell ref="BH168:BI168"/>
    <mergeCell ref="BJ168:BK168"/>
    <mergeCell ref="BL168:BM168"/>
    <mergeCell ref="BN168:BO168"/>
    <mergeCell ref="BP168:BQ168"/>
    <mergeCell ref="BR168:BS168"/>
    <mergeCell ref="DF23:DG23"/>
    <mergeCell ref="DH23:DI23"/>
    <mergeCell ref="DJ23:DK23"/>
    <mergeCell ref="DL23:DM23"/>
    <mergeCell ref="DN23:DO23"/>
    <mergeCell ref="DP23:DQ23"/>
    <mergeCell ref="DR23:DS23"/>
    <mergeCell ref="DD24:DE24"/>
    <mergeCell ref="DF24:DG24"/>
    <mergeCell ref="DH24:DI24"/>
    <mergeCell ref="DJ24:DK24"/>
    <mergeCell ref="DL24:DM24"/>
    <mergeCell ref="DN24:DO24"/>
    <mergeCell ref="DP24:DQ24"/>
    <mergeCell ref="DR24:DS24"/>
    <mergeCell ref="DD25:DE25"/>
    <mergeCell ref="DF25:DG25"/>
    <mergeCell ref="DH25:DI25"/>
    <mergeCell ref="DJ25:DK25"/>
    <mergeCell ref="DL25:DM25"/>
    <mergeCell ref="DN25:DO25"/>
    <mergeCell ref="DP25:DQ25"/>
    <mergeCell ref="DR25:DS25"/>
    <mergeCell ref="DD26:DE26"/>
    <mergeCell ref="DF26:DG26"/>
    <mergeCell ref="DH26:DI26"/>
    <mergeCell ref="DJ26:DK26"/>
    <mergeCell ref="DL26:DM26"/>
    <mergeCell ref="DN26:DO26"/>
    <mergeCell ref="DP26:DQ26"/>
    <mergeCell ref="DR26:DS26"/>
    <mergeCell ref="DD29:DE29"/>
    <mergeCell ref="DF29:DG29"/>
    <mergeCell ref="DH29:DI29"/>
    <mergeCell ref="DJ29:DK29"/>
    <mergeCell ref="DL29:DM29"/>
    <mergeCell ref="DN29:DO29"/>
    <mergeCell ref="DP29:DQ29"/>
    <mergeCell ref="DR29:DS29"/>
    <mergeCell ref="DD30:DE30"/>
    <mergeCell ref="DF30:DG30"/>
    <mergeCell ref="DH30:DI30"/>
    <mergeCell ref="DJ30:DK30"/>
    <mergeCell ref="DL30:DM30"/>
    <mergeCell ref="DN30:DO30"/>
    <mergeCell ref="DP30:DQ30"/>
    <mergeCell ref="DR30:DS30"/>
    <mergeCell ref="DD31:DE31"/>
    <mergeCell ref="DF31:DG31"/>
    <mergeCell ref="DH31:DI31"/>
    <mergeCell ref="DJ31:DK31"/>
    <mergeCell ref="DL31:DM31"/>
    <mergeCell ref="DN31:DO31"/>
    <mergeCell ref="DP31:DQ31"/>
    <mergeCell ref="DR31:DS31"/>
    <mergeCell ref="DD32:DE32"/>
    <mergeCell ref="DF32:DG32"/>
    <mergeCell ref="DH32:DI32"/>
    <mergeCell ref="DJ32:DK32"/>
    <mergeCell ref="DL32:DM32"/>
    <mergeCell ref="DN32:DO32"/>
    <mergeCell ref="DP32:DQ32"/>
    <mergeCell ref="DR32:DS32"/>
    <mergeCell ref="DD33:DE33"/>
    <mergeCell ref="DF33:DG33"/>
    <mergeCell ref="DH33:DI33"/>
    <mergeCell ref="DJ33:DK33"/>
    <mergeCell ref="DL33:DM33"/>
    <mergeCell ref="DN33:DO33"/>
    <mergeCell ref="DP33:DQ33"/>
    <mergeCell ref="DR33:DS33"/>
    <mergeCell ref="DD34:DE34"/>
    <mergeCell ref="DF34:DG34"/>
    <mergeCell ref="DH34:DI34"/>
    <mergeCell ref="DJ34:DK34"/>
    <mergeCell ref="DL34:DM34"/>
    <mergeCell ref="DN34:DO34"/>
    <mergeCell ref="DP34:DQ34"/>
    <mergeCell ref="DR34:DS34"/>
    <mergeCell ref="DD35:DE35"/>
    <mergeCell ref="DF35:DG35"/>
    <mergeCell ref="DH35:DI35"/>
    <mergeCell ref="DJ35:DK35"/>
    <mergeCell ref="DL35:DM35"/>
    <mergeCell ref="DN35:DO35"/>
    <mergeCell ref="DP35:DQ35"/>
    <mergeCell ref="DR35:DS35"/>
    <mergeCell ref="DD36:DE36"/>
    <mergeCell ref="DF36:DG36"/>
    <mergeCell ref="DH36:DI36"/>
    <mergeCell ref="DJ36:DK36"/>
    <mergeCell ref="DL36:DM36"/>
    <mergeCell ref="DN36:DO36"/>
    <mergeCell ref="DP36:DQ36"/>
    <mergeCell ref="DR36:DS36"/>
    <mergeCell ref="DD48:DE48"/>
    <mergeCell ref="DF48:DG48"/>
    <mergeCell ref="DH48:DI48"/>
    <mergeCell ref="DJ48:DK48"/>
    <mergeCell ref="DL48:DM48"/>
    <mergeCell ref="DN48:DO48"/>
    <mergeCell ref="DP48:DQ48"/>
    <mergeCell ref="DR48:DS48"/>
    <mergeCell ref="DD49:DE49"/>
    <mergeCell ref="DF49:DG49"/>
    <mergeCell ref="DH49:DI49"/>
    <mergeCell ref="DJ49:DK49"/>
    <mergeCell ref="DL49:DM49"/>
    <mergeCell ref="DN49:DO49"/>
    <mergeCell ref="DP49:DQ49"/>
    <mergeCell ref="DR49:DS49"/>
    <mergeCell ref="DD50:DE50"/>
    <mergeCell ref="DF50:DG50"/>
    <mergeCell ref="DH50:DI50"/>
    <mergeCell ref="DJ50:DK50"/>
    <mergeCell ref="DL50:DM50"/>
    <mergeCell ref="DN50:DO50"/>
    <mergeCell ref="DP50:DQ50"/>
    <mergeCell ref="DR50:DS50"/>
    <mergeCell ref="DD39:DE39"/>
    <mergeCell ref="DF39:DG39"/>
    <mergeCell ref="DH39:DI39"/>
    <mergeCell ref="DJ39:DK39"/>
    <mergeCell ref="DL39:DM39"/>
    <mergeCell ref="DN39:DO39"/>
    <mergeCell ref="DP39:DQ39"/>
    <mergeCell ref="DR39:DS39"/>
    <mergeCell ref="DD40:DE40"/>
    <mergeCell ref="DF40:DG40"/>
    <mergeCell ref="DH40:DI40"/>
    <mergeCell ref="DJ40:DK40"/>
    <mergeCell ref="DL40:DM40"/>
    <mergeCell ref="DN40:DO40"/>
    <mergeCell ref="DP40:DQ40"/>
    <mergeCell ref="DR40:DS40"/>
    <mergeCell ref="DD41:DE41"/>
    <mergeCell ref="DF41:DG41"/>
    <mergeCell ref="DH41:DI41"/>
    <mergeCell ref="DJ41:DK41"/>
    <mergeCell ref="DL41:DM41"/>
    <mergeCell ref="DN41:DO41"/>
    <mergeCell ref="DP41:DQ41"/>
    <mergeCell ref="DR41:DS41"/>
    <mergeCell ref="DD51:DE51"/>
    <mergeCell ref="DF51:DG51"/>
    <mergeCell ref="DH51:DI51"/>
    <mergeCell ref="DJ51:DK51"/>
    <mergeCell ref="DL51:DM51"/>
    <mergeCell ref="DN51:DO51"/>
    <mergeCell ref="DP51:DQ51"/>
    <mergeCell ref="DR51:DS51"/>
    <mergeCell ref="DD52:DE52"/>
    <mergeCell ref="DF52:DG52"/>
    <mergeCell ref="DH52:DI52"/>
    <mergeCell ref="DJ52:DK52"/>
    <mergeCell ref="DL52:DM52"/>
    <mergeCell ref="DN52:DO52"/>
    <mergeCell ref="DP52:DQ52"/>
    <mergeCell ref="DR52:DS52"/>
    <mergeCell ref="DD53:DE53"/>
    <mergeCell ref="DF53:DG53"/>
    <mergeCell ref="DH53:DI53"/>
    <mergeCell ref="DJ53:DK53"/>
    <mergeCell ref="DL53:DM53"/>
    <mergeCell ref="DN53:DO53"/>
    <mergeCell ref="DP53:DQ53"/>
    <mergeCell ref="DR53:DS53"/>
    <mergeCell ref="DD54:DE54"/>
    <mergeCell ref="DF54:DG54"/>
    <mergeCell ref="DH54:DI54"/>
    <mergeCell ref="DJ54:DK54"/>
    <mergeCell ref="DL54:DM54"/>
    <mergeCell ref="DN54:DO54"/>
    <mergeCell ref="DP54:DQ54"/>
    <mergeCell ref="DR54:DS54"/>
    <mergeCell ref="DD55:DE55"/>
    <mergeCell ref="DF55:DG55"/>
    <mergeCell ref="DH55:DI55"/>
    <mergeCell ref="DJ55:DK55"/>
    <mergeCell ref="DL55:DM55"/>
    <mergeCell ref="DN55:DO55"/>
    <mergeCell ref="DP55:DQ55"/>
    <mergeCell ref="DR55:DS55"/>
    <mergeCell ref="DD42:DE42"/>
    <mergeCell ref="DF42:DG42"/>
    <mergeCell ref="DH42:DI42"/>
    <mergeCell ref="DJ42:DK42"/>
    <mergeCell ref="DL42:DM42"/>
    <mergeCell ref="DN42:DO42"/>
    <mergeCell ref="DP42:DQ42"/>
    <mergeCell ref="DR42:DS42"/>
    <mergeCell ref="DD43:DE43"/>
    <mergeCell ref="DF43:DG43"/>
    <mergeCell ref="DH43:DI43"/>
    <mergeCell ref="DJ43:DK43"/>
    <mergeCell ref="DL43:DM43"/>
    <mergeCell ref="DN43:DO43"/>
    <mergeCell ref="DP43:DQ43"/>
    <mergeCell ref="DR43:DS43"/>
    <mergeCell ref="DD44:DE44"/>
    <mergeCell ref="DF44:DG44"/>
    <mergeCell ref="DH44:DI44"/>
    <mergeCell ref="DJ44:DK44"/>
    <mergeCell ref="DL44:DM44"/>
    <mergeCell ref="DN44:DO44"/>
    <mergeCell ref="DP44:DQ44"/>
    <mergeCell ref="DR44:DS44"/>
    <mergeCell ref="DD45:DE45"/>
    <mergeCell ref="DF45:DG45"/>
    <mergeCell ref="DH45:DI45"/>
    <mergeCell ref="DJ45:DK45"/>
    <mergeCell ref="DL45:DM45"/>
    <mergeCell ref="DN45:DO45"/>
    <mergeCell ref="DP45:DQ45"/>
    <mergeCell ref="DR45:DS45"/>
    <mergeCell ref="DD46:DE46"/>
    <mergeCell ref="DF46:DG46"/>
    <mergeCell ref="DH46:DI46"/>
    <mergeCell ref="DJ46:DK46"/>
    <mergeCell ref="DL46:DM46"/>
    <mergeCell ref="DN46:DO46"/>
    <mergeCell ref="DP46:DQ46"/>
    <mergeCell ref="DR46:DS46"/>
    <mergeCell ref="DD59:DE59"/>
    <mergeCell ref="DF59:DG59"/>
    <mergeCell ref="DH59:DI59"/>
    <mergeCell ref="DJ59:DK59"/>
    <mergeCell ref="DL59:DM59"/>
    <mergeCell ref="DN59:DO59"/>
    <mergeCell ref="DP59:DQ59"/>
    <mergeCell ref="DR59:DS59"/>
    <mergeCell ref="DD60:DE60"/>
    <mergeCell ref="DF60:DG60"/>
    <mergeCell ref="DH60:DI60"/>
    <mergeCell ref="DJ60:DK60"/>
    <mergeCell ref="DL60:DM60"/>
    <mergeCell ref="DN60:DO60"/>
    <mergeCell ref="DP60:DQ60"/>
    <mergeCell ref="DR60:DS60"/>
    <mergeCell ref="DD61:DE61"/>
    <mergeCell ref="DF61:DG61"/>
    <mergeCell ref="DH61:DI61"/>
    <mergeCell ref="DJ61:DK61"/>
    <mergeCell ref="DL61:DM61"/>
    <mergeCell ref="DN61:DO61"/>
    <mergeCell ref="DP61:DQ61"/>
    <mergeCell ref="DR61:DS61"/>
    <mergeCell ref="DD62:DE62"/>
    <mergeCell ref="DF62:DG62"/>
    <mergeCell ref="DH62:DI62"/>
    <mergeCell ref="DJ62:DK62"/>
    <mergeCell ref="DL62:DM62"/>
    <mergeCell ref="DN62:DO62"/>
    <mergeCell ref="DP62:DQ62"/>
    <mergeCell ref="DR62:DS62"/>
    <mergeCell ref="DD63:DE63"/>
    <mergeCell ref="DF63:DG63"/>
    <mergeCell ref="DH63:DI63"/>
    <mergeCell ref="DJ63:DK63"/>
    <mergeCell ref="DL63:DM63"/>
    <mergeCell ref="DN63:DO63"/>
    <mergeCell ref="DP63:DQ63"/>
    <mergeCell ref="DR63:DS63"/>
    <mergeCell ref="DD64:DE64"/>
    <mergeCell ref="DF64:DG64"/>
    <mergeCell ref="DH64:DI64"/>
    <mergeCell ref="DJ64:DK64"/>
    <mergeCell ref="DL64:DM64"/>
    <mergeCell ref="DN64:DO64"/>
    <mergeCell ref="DP64:DQ64"/>
    <mergeCell ref="DR64:DS64"/>
    <mergeCell ref="DD65:DE65"/>
    <mergeCell ref="DF65:DG65"/>
    <mergeCell ref="DH65:DI65"/>
    <mergeCell ref="DJ65:DK65"/>
    <mergeCell ref="DL65:DM65"/>
    <mergeCell ref="DN65:DO65"/>
    <mergeCell ref="DP65:DQ65"/>
    <mergeCell ref="DR65:DS65"/>
    <mergeCell ref="DD66:DE66"/>
    <mergeCell ref="DF66:DG66"/>
    <mergeCell ref="DH66:DI66"/>
    <mergeCell ref="DJ66:DK66"/>
    <mergeCell ref="DL66:DM66"/>
    <mergeCell ref="DN66:DO66"/>
    <mergeCell ref="DP66:DQ66"/>
    <mergeCell ref="DR66:DS66"/>
    <mergeCell ref="DD68:DE68"/>
    <mergeCell ref="DF68:DG68"/>
    <mergeCell ref="DH68:DI68"/>
    <mergeCell ref="DJ68:DK68"/>
    <mergeCell ref="DL68:DM68"/>
    <mergeCell ref="DN68:DO68"/>
    <mergeCell ref="DP68:DQ68"/>
    <mergeCell ref="DR68:DS68"/>
    <mergeCell ref="DD69:DE69"/>
    <mergeCell ref="DF69:DG69"/>
    <mergeCell ref="DH69:DI69"/>
    <mergeCell ref="DJ69:DK69"/>
    <mergeCell ref="DL69:DM69"/>
    <mergeCell ref="DN69:DO69"/>
    <mergeCell ref="DP69:DQ69"/>
    <mergeCell ref="DR69:DS69"/>
    <mergeCell ref="DD70:DE70"/>
    <mergeCell ref="DF70:DG70"/>
    <mergeCell ref="DH70:DI70"/>
    <mergeCell ref="DJ70:DK70"/>
    <mergeCell ref="DL70:DM70"/>
    <mergeCell ref="DN70:DO70"/>
    <mergeCell ref="DP70:DQ70"/>
    <mergeCell ref="DR70:DS70"/>
    <mergeCell ref="DD71:DE71"/>
    <mergeCell ref="DF71:DG71"/>
    <mergeCell ref="DH71:DI71"/>
    <mergeCell ref="DJ71:DK71"/>
    <mergeCell ref="DL71:DM71"/>
    <mergeCell ref="DN71:DO71"/>
    <mergeCell ref="DP71:DQ71"/>
    <mergeCell ref="DR71:DS71"/>
    <mergeCell ref="DD72:DE72"/>
    <mergeCell ref="DF72:DG72"/>
    <mergeCell ref="DH72:DI72"/>
    <mergeCell ref="DJ72:DK72"/>
    <mergeCell ref="DL72:DM72"/>
    <mergeCell ref="DN72:DO72"/>
    <mergeCell ref="DP72:DQ72"/>
    <mergeCell ref="DR72:DS72"/>
    <mergeCell ref="DD73:DE73"/>
    <mergeCell ref="DF73:DG73"/>
    <mergeCell ref="DH73:DI73"/>
    <mergeCell ref="DJ73:DK73"/>
    <mergeCell ref="DL73:DM73"/>
    <mergeCell ref="DN73:DO73"/>
    <mergeCell ref="DP73:DQ73"/>
    <mergeCell ref="DR73:DS73"/>
    <mergeCell ref="DD74:DE74"/>
    <mergeCell ref="DF74:DG74"/>
    <mergeCell ref="DH74:DI74"/>
    <mergeCell ref="DJ74:DK74"/>
    <mergeCell ref="DL74:DM74"/>
    <mergeCell ref="DN74:DO74"/>
    <mergeCell ref="DP74:DQ74"/>
    <mergeCell ref="DR74:DS74"/>
    <mergeCell ref="DD75:DE75"/>
    <mergeCell ref="DF75:DG75"/>
    <mergeCell ref="DH75:DI75"/>
    <mergeCell ref="DJ75:DK75"/>
    <mergeCell ref="DL75:DM75"/>
    <mergeCell ref="DN75:DO75"/>
    <mergeCell ref="DP75:DQ75"/>
    <mergeCell ref="DR75:DS75"/>
    <mergeCell ref="DD78:DE78"/>
    <mergeCell ref="DF78:DG78"/>
    <mergeCell ref="DH78:DI78"/>
    <mergeCell ref="DJ78:DK78"/>
    <mergeCell ref="DL78:DM78"/>
    <mergeCell ref="DN78:DO78"/>
    <mergeCell ref="DP78:DQ78"/>
    <mergeCell ref="DR78:DS78"/>
    <mergeCell ref="DD79:DE79"/>
    <mergeCell ref="DF79:DG79"/>
    <mergeCell ref="DH79:DI79"/>
    <mergeCell ref="DJ79:DK79"/>
    <mergeCell ref="DL79:DM79"/>
    <mergeCell ref="DN79:DO79"/>
    <mergeCell ref="DP79:DQ79"/>
    <mergeCell ref="DR79:DS79"/>
    <mergeCell ref="DD80:DE80"/>
    <mergeCell ref="DF80:DG80"/>
    <mergeCell ref="DH80:DI80"/>
    <mergeCell ref="DJ80:DK80"/>
    <mergeCell ref="DL80:DM80"/>
    <mergeCell ref="DN80:DO80"/>
    <mergeCell ref="DP80:DQ80"/>
    <mergeCell ref="DR80:DS80"/>
    <mergeCell ref="DD81:DE81"/>
    <mergeCell ref="DF81:DG81"/>
    <mergeCell ref="DH81:DI81"/>
    <mergeCell ref="DJ81:DK81"/>
    <mergeCell ref="DL81:DM81"/>
    <mergeCell ref="DN81:DO81"/>
    <mergeCell ref="DP81:DQ81"/>
    <mergeCell ref="DR81:DS81"/>
    <mergeCell ref="DD82:DE82"/>
    <mergeCell ref="DF82:DG82"/>
    <mergeCell ref="DH82:DI82"/>
    <mergeCell ref="DJ82:DK82"/>
    <mergeCell ref="DL82:DM82"/>
    <mergeCell ref="DN82:DO82"/>
    <mergeCell ref="DP82:DQ82"/>
    <mergeCell ref="DR82:DS82"/>
    <mergeCell ref="DD83:DE83"/>
    <mergeCell ref="DF83:DG83"/>
    <mergeCell ref="DH83:DI83"/>
    <mergeCell ref="DJ83:DK83"/>
    <mergeCell ref="DL83:DM83"/>
    <mergeCell ref="DN83:DO83"/>
    <mergeCell ref="DP83:DQ83"/>
    <mergeCell ref="DR83:DS83"/>
    <mergeCell ref="DD84:DE84"/>
    <mergeCell ref="DF84:DG84"/>
    <mergeCell ref="DH84:DI84"/>
    <mergeCell ref="DJ84:DK84"/>
    <mergeCell ref="DL84:DM84"/>
    <mergeCell ref="DN84:DO84"/>
    <mergeCell ref="DP84:DQ84"/>
    <mergeCell ref="DR84:DS84"/>
    <mergeCell ref="DD85:DE85"/>
    <mergeCell ref="DF85:DG85"/>
    <mergeCell ref="DH85:DI85"/>
    <mergeCell ref="DJ85:DK85"/>
    <mergeCell ref="DL85:DM85"/>
    <mergeCell ref="DN85:DO85"/>
    <mergeCell ref="DP85:DQ85"/>
    <mergeCell ref="DR85:DS85"/>
    <mergeCell ref="DD87:DE87"/>
    <mergeCell ref="DF87:DG87"/>
    <mergeCell ref="DH87:DI87"/>
    <mergeCell ref="DJ87:DK87"/>
    <mergeCell ref="DL87:DM87"/>
    <mergeCell ref="DN87:DO87"/>
    <mergeCell ref="DP87:DQ87"/>
    <mergeCell ref="DR87:DS87"/>
    <mergeCell ref="DD88:DE88"/>
    <mergeCell ref="DF88:DG88"/>
    <mergeCell ref="DH88:DI88"/>
    <mergeCell ref="DJ88:DK88"/>
    <mergeCell ref="DL88:DM88"/>
    <mergeCell ref="DN88:DO88"/>
    <mergeCell ref="DP88:DQ88"/>
    <mergeCell ref="DR88:DS88"/>
    <mergeCell ref="DD96:DE96"/>
    <mergeCell ref="DF96:DG96"/>
    <mergeCell ref="DH96:DI96"/>
    <mergeCell ref="DJ96:DK96"/>
    <mergeCell ref="DL96:DM96"/>
    <mergeCell ref="DN96:DO96"/>
    <mergeCell ref="DP96:DQ96"/>
    <mergeCell ref="DR96:DS96"/>
    <mergeCell ref="DD97:DE97"/>
    <mergeCell ref="DF97:DG97"/>
    <mergeCell ref="DH97:DI97"/>
    <mergeCell ref="DJ97:DK97"/>
    <mergeCell ref="DL97:DM97"/>
    <mergeCell ref="DN97:DO97"/>
    <mergeCell ref="DP97:DQ97"/>
    <mergeCell ref="DR97:DS97"/>
    <mergeCell ref="DD101:DE101"/>
    <mergeCell ref="DF101:DG101"/>
    <mergeCell ref="DH101:DI101"/>
    <mergeCell ref="DJ101:DK101"/>
    <mergeCell ref="DL101:DM101"/>
    <mergeCell ref="DN101:DO101"/>
    <mergeCell ref="DP101:DQ101"/>
    <mergeCell ref="DR101:DS101"/>
    <mergeCell ref="DD102:DE102"/>
    <mergeCell ref="DF102:DG102"/>
    <mergeCell ref="DH102:DI102"/>
    <mergeCell ref="DJ102:DK102"/>
    <mergeCell ref="DL102:DM102"/>
    <mergeCell ref="DN102:DO102"/>
    <mergeCell ref="DP102:DQ102"/>
    <mergeCell ref="DR102:DS102"/>
    <mergeCell ref="DD89:DE89"/>
    <mergeCell ref="DF89:DG89"/>
    <mergeCell ref="DH89:DI89"/>
    <mergeCell ref="DJ89:DK89"/>
    <mergeCell ref="DL89:DM89"/>
    <mergeCell ref="DN89:DO89"/>
    <mergeCell ref="DP89:DQ89"/>
    <mergeCell ref="DR89:DS89"/>
    <mergeCell ref="DD90:DE90"/>
    <mergeCell ref="DF90:DG90"/>
    <mergeCell ref="DH90:DI90"/>
    <mergeCell ref="DJ90:DK90"/>
    <mergeCell ref="DL90:DM90"/>
    <mergeCell ref="DN90:DO90"/>
    <mergeCell ref="DP90:DQ90"/>
    <mergeCell ref="DR90:DS90"/>
    <mergeCell ref="DD91:DE91"/>
    <mergeCell ref="DF91:DG91"/>
    <mergeCell ref="DH91:DI91"/>
    <mergeCell ref="DJ91:DK91"/>
    <mergeCell ref="DL91:DM91"/>
    <mergeCell ref="DN91:DO91"/>
    <mergeCell ref="DP91:DQ91"/>
    <mergeCell ref="DR91:DS91"/>
    <mergeCell ref="DD92:DE92"/>
    <mergeCell ref="DF92:DG92"/>
    <mergeCell ref="DH92:DI92"/>
    <mergeCell ref="DJ92:DK92"/>
    <mergeCell ref="DL92:DM92"/>
    <mergeCell ref="DN92:DO92"/>
    <mergeCell ref="DP92:DQ92"/>
    <mergeCell ref="DR92:DS92"/>
    <mergeCell ref="DD94:DE94"/>
    <mergeCell ref="DF94:DG94"/>
    <mergeCell ref="DH94:DI94"/>
    <mergeCell ref="DJ94:DK94"/>
    <mergeCell ref="DL94:DM94"/>
    <mergeCell ref="DN94:DO94"/>
    <mergeCell ref="DP94:DQ94"/>
    <mergeCell ref="DR94:DS94"/>
    <mergeCell ref="DD100:DE100"/>
    <mergeCell ref="DF100:DG100"/>
    <mergeCell ref="DH100:DI100"/>
    <mergeCell ref="DJ100:DK100"/>
    <mergeCell ref="DL100:DM100"/>
    <mergeCell ref="DN100:DO100"/>
    <mergeCell ref="DP100:DQ100"/>
    <mergeCell ref="DR100:DS100"/>
    <mergeCell ref="DD109:DE109"/>
    <mergeCell ref="DF109:DG109"/>
    <mergeCell ref="DH109:DI109"/>
    <mergeCell ref="DJ109:DK109"/>
    <mergeCell ref="DL109:DM109"/>
    <mergeCell ref="DN109:DO109"/>
    <mergeCell ref="DP109:DQ109"/>
    <mergeCell ref="DR109:DS109"/>
    <mergeCell ref="DD103:DE103"/>
    <mergeCell ref="DF103:DG103"/>
    <mergeCell ref="DH103:DI103"/>
    <mergeCell ref="DJ103:DK103"/>
    <mergeCell ref="DL103:DM103"/>
    <mergeCell ref="DN103:DO103"/>
    <mergeCell ref="DP103:DQ103"/>
    <mergeCell ref="DR103:DS103"/>
    <mergeCell ref="DD98:DE98"/>
    <mergeCell ref="DF98:DG98"/>
    <mergeCell ref="DH98:DI98"/>
    <mergeCell ref="DJ98:DK98"/>
    <mergeCell ref="DL98:DM98"/>
    <mergeCell ref="DN98:DO98"/>
    <mergeCell ref="DP98:DQ98"/>
    <mergeCell ref="DR98:DS98"/>
    <mergeCell ref="DD99:DE99"/>
    <mergeCell ref="DF99:DG99"/>
    <mergeCell ref="DH99:DI99"/>
    <mergeCell ref="DJ99:DK99"/>
    <mergeCell ref="DL99:DM99"/>
    <mergeCell ref="DN99:DO99"/>
    <mergeCell ref="DP99:DQ99"/>
    <mergeCell ref="DR99:DS99"/>
    <mergeCell ref="DL110:DM110"/>
    <mergeCell ref="DN110:DO110"/>
    <mergeCell ref="DP110:DQ110"/>
    <mergeCell ref="DR110:DS110"/>
    <mergeCell ref="DD111:DE111"/>
    <mergeCell ref="DF111:DG111"/>
    <mergeCell ref="DH111:DI111"/>
    <mergeCell ref="DJ111:DK111"/>
    <mergeCell ref="DL111:DM111"/>
    <mergeCell ref="DN111:DO111"/>
    <mergeCell ref="DP111:DQ111"/>
    <mergeCell ref="DR111:DS111"/>
    <mergeCell ref="DD112:DE112"/>
    <mergeCell ref="DF112:DG112"/>
    <mergeCell ref="DH112:DI112"/>
    <mergeCell ref="DJ112:DK112"/>
    <mergeCell ref="DL112:DM112"/>
    <mergeCell ref="DN112:DO112"/>
    <mergeCell ref="DP112:DQ112"/>
    <mergeCell ref="DR112:DS112"/>
    <mergeCell ref="DD114:DE114"/>
    <mergeCell ref="DF114:DG114"/>
    <mergeCell ref="DH114:DI114"/>
    <mergeCell ref="DJ114:DK114"/>
    <mergeCell ref="DL114:DM114"/>
    <mergeCell ref="DN114:DO114"/>
    <mergeCell ref="DP114:DQ114"/>
    <mergeCell ref="DR114:DS114"/>
    <mergeCell ref="DD105:DE105"/>
    <mergeCell ref="DF105:DG105"/>
    <mergeCell ref="DH105:DI105"/>
    <mergeCell ref="DJ105:DK105"/>
    <mergeCell ref="DL105:DM105"/>
    <mergeCell ref="DN105:DO105"/>
    <mergeCell ref="DP105:DQ105"/>
    <mergeCell ref="DR105:DS105"/>
    <mergeCell ref="DD106:DE106"/>
    <mergeCell ref="DF106:DG106"/>
    <mergeCell ref="DH106:DI106"/>
    <mergeCell ref="DJ106:DK106"/>
    <mergeCell ref="DL106:DM106"/>
    <mergeCell ref="DN106:DO106"/>
    <mergeCell ref="DP106:DQ106"/>
    <mergeCell ref="DR106:DS106"/>
    <mergeCell ref="DD107:DE107"/>
    <mergeCell ref="DF107:DG107"/>
    <mergeCell ref="DH107:DI107"/>
    <mergeCell ref="DJ107:DK107"/>
    <mergeCell ref="DL107:DM107"/>
    <mergeCell ref="DN107:DO107"/>
    <mergeCell ref="DP107:DQ107"/>
    <mergeCell ref="DR107:DS107"/>
    <mergeCell ref="DL131:DM131"/>
    <mergeCell ref="DN131:DO131"/>
    <mergeCell ref="DP131:DQ131"/>
    <mergeCell ref="DR131:DS131"/>
    <mergeCell ref="DD117:DE117"/>
    <mergeCell ref="DF117:DG117"/>
    <mergeCell ref="DH117:DI117"/>
    <mergeCell ref="DJ117:DK117"/>
    <mergeCell ref="DL117:DM117"/>
    <mergeCell ref="DN117:DO117"/>
    <mergeCell ref="DP117:DQ117"/>
    <mergeCell ref="DR117:DS117"/>
    <mergeCell ref="DD93:DE93"/>
    <mergeCell ref="DF93:DG93"/>
    <mergeCell ref="DH93:DI93"/>
    <mergeCell ref="DJ93:DK93"/>
    <mergeCell ref="DL93:DM93"/>
    <mergeCell ref="DN93:DO93"/>
    <mergeCell ref="DP93:DQ93"/>
    <mergeCell ref="DR93:DS93"/>
    <mergeCell ref="DD116:DE116"/>
    <mergeCell ref="DF116:DG116"/>
    <mergeCell ref="DH116:DI116"/>
    <mergeCell ref="DJ116:DK116"/>
    <mergeCell ref="DL116:DM116"/>
    <mergeCell ref="DN116:DO116"/>
    <mergeCell ref="DP116:DQ116"/>
    <mergeCell ref="DR116:DS116"/>
    <mergeCell ref="DD125:DE125"/>
    <mergeCell ref="DF125:DG125"/>
    <mergeCell ref="DH125:DI125"/>
    <mergeCell ref="DJ125:DK125"/>
    <mergeCell ref="DL125:DM125"/>
    <mergeCell ref="DN125:DO125"/>
    <mergeCell ref="DP125:DQ125"/>
    <mergeCell ref="DR125:DS125"/>
    <mergeCell ref="DD126:DE126"/>
    <mergeCell ref="DF126:DG126"/>
    <mergeCell ref="DH126:DI126"/>
    <mergeCell ref="DJ126:DK126"/>
    <mergeCell ref="DL126:DM126"/>
    <mergeCell ref="DN126:DO126"/>
    <mergeCell ref="DP126:DQ126"/>
    <mergeCell ref="DR126:DS126"/>
    <mergeCell ref="DD115:DE115"/>
    <mergeCell ref="DF115:DG115"/>
    <mergeCell ref="DH115:DI115"/>
    <mergeCell ref="DJ115:DK115"/>
    <mergeCell ref="DL115:DM115"/>
    <mergeCell ref="DN115:DO115"/>
    <mergeCell ref="DP115:DQ115"/>
    <mergeCell ref="DR115:DS115"/>
    <mergeCell ref="DD108:DE108"/>
    <mergeCell ref="DF108:DG108"/>
    <mergeCell ref="DH108:DI108"/>
    <mergeCell ref="DJ108:DK108"/>
    <mergeCell ref="DL108:DM108"/>
    <mergeCell ref="DN108:DO108"/>
    <mergeCell ref="DP108:DQ108"/>
    <mergeCell ref="DR108:DS108"/>
    <mergeCell ref="DD110:DE110"/>
    <mergeCell ref="DF110:DG110"/>
    <mergeCell ref="DH110:DI110"/>
    <mergeCell ref="DJ110:DK110"/>
    <mergeCell ref="DL132:DM132"/>
    <mergeCell ref="DN132:DO132"/>
    <mergeCell ref="DP132:DQ132"/>
    <mergeCell ref="DR132:DS132"/>
    <mergeCell ref="DD134:DE134"/>
    <mergeCell ref="DF134:DG134"/>
    <mergeCell ref="DH134:DI134"/>
    <mergeCell ref="DJ134:DK134"/>
    <mergeCell ref="DL134:DM134"/>
    <mergeCell ref="DN134:DO134"/>
    <mergeCell ref="DP134:DQ134"/>
    <mergeCell ref="DR134:DS134"/>
    <mergeCell ref="DL135:DM135"/>
    <mergeCell ref="DN135:DO135"/>
    <mergeCell ref="DP135:DQ135"/>
    <mergeCell ref="DR135:DS135"/>
    <mergeCell ref="DD136:DE136"/>
    <mergeCell ref="DF136:DG136"/>
    <mergeCell ref="DH136:DI136"/>
    <mergeCell ref="DJ136:DK136"/>
    <mergeCell ref="DL136:DM136"/>
    <mergeCell ref="DN136:DO136"/>
    <mergeCell ref="DP136:DQ136"/>
    <mergeCell ref="DR136:DS136"/>
    <mergeCell ref="DD137:DE137"/>
    <mergeCell ref="DF137:DG137"/>
    <mergeCell ref="DH137:DI137"/>
    <mergeCell ref="DJ137:DK137"/>
    <mergeCell ref="DL137:DM137"/>
    <mergeCell ref="DN137:DO137"/>
    <mergeCell ref="DP137:DQ137"/>
    <mergeCell ref="DR137:DS137"/>
    <mergeCell ref="DD127:DE127"/>
    <mergeCell ref="DF127:DG127"/>
    <mergeCell ref="DH127:DI127"/>
    <mergeCell ref="DJ127:DK127"/>
    <mergeCell ref="DL127:DM127"/>
    <mergeCell ref="DN127:DO127"/>
    <mergeCell ref="DP127:DQ127"/>
    <mergeCell ref="DR127:DS127"/>
    <mergeCell ref="DD128:DE128"/>
    <mergeCell ref="DF128:DG128"/>
    <mergeCell ref="DH128:DI128"/>
    <mergeCell ref="DJ128:DK128"/>
    <mergeCell ref="DL128:DM128"/>
    <mergeCell ref="DN128:DO128"/>
    <mergeCell ref="DP128:DQ128"/>
    <mergeCell ref="DR128:DS128"/>
    <mergeCell ref="DL129:DM129"/>
    <mergeCell ref="DN129:DO129"/>
    <mergeCell ref="DP129:DQ129"/>
    <mergeCell ref="DR129:DS129"/>
    <mergeCell ref="DD130:DE130"/>
    <mergeCell ref="DF130:DG130"/>
    <mergeCell ref="DH130:DI130"/>
    <mergeCell ref="DJ130:DK130"/>
    <mergeCell ref="DL130:DM130"/>
    <mergeCell ref="DN130:DO130"/>
    <mergeCell ref="DP130:DQ130"/>
    <mergeCell ref="DR130:DS130"/>
    <mergeCell ref="DD131:DE131"/>
    <mergeCell ref="DF131:DG131"/>
    <mergeCell ref="DH131:DI131"/>
    <mergeCell ref="DJ131:DK131"/>
    <mergeCell ref="DL138:DM138"/>
    <mergeCell ref="DN138:DO138"/>
    <mergeCell ref="DP138:DQ138"/>
    <mergeCell ref="DR138:DS138"/>
    <mergeCell ref="DD148:DE148"/>
    <mergeCell ref="DF148:DG148"/>
    <mergeCell ref="DH148:DI148"/>
    <mergeCell ref="DJ148:DK148"/>
    <mergeCell ref="DL148:DM148"/>
    <mergeCell ref="DN148:DO148"/>
    <mergeCell ref="DP148:DQ148"/>
    <mergeCell ref="DR148:DS148"/>
    <mergeCell ref="DL149:DM149"/>
    <mergeCell ref="DN149:DO149"/>
    <mergeCell ref="DP149:DQ149"/>
    <mergeCell ref="DR149:DS149"/>
    <mergeCell ref="DD139:DE139"/>
    <mergeCell ref="DF139:DG139"/>
    <mergeCell ref="DH139:DI139"/>
    <mergeCell ref="DJ139:DK139"/>
    <mergeCell ref="DL139:DM139"/>
    <mergeCell ref="DN139:DO139"/>
    <mergeCell ref="DP139:DQ139"/>
    <mergeCell ref="DR139:DS139"/>
    <mergeCell ref="DD140:DE140"/>
    <mergeCell ref="DF140:DG140"/>
    <mergeCell ref="DH140:DI140"/>
    <mergeCell ref="DJ140:DK140"/>
    <mergeCell ref="DL140:DM140"/>
    <mergeCell ref="DN140:DO140"/>
    <mergeCell ref="DP140:DQ140"/>
    <mergeCell ref="DR140:DS140"/>
    <mergeCell ref="DD141:DE141"/>
    <mergeCell ref="DF141:DG141"/>
    <mergeCell ref="DH141:DI141"/>
    <mergeCell ref="DJ141:DK141"/>
    <mergeCell ref="DL141:DM141"/>
    <mergeCell ref="DN141:DO141"/>
    <mergeCell ref="DP141:DQ141"/>
    <mergeCell ref="DR141:DS141"/>
    <mergeCell ref="DD143:DE143"/>
    <mergeCell ref="DF143:DG143"/>
    <mergeCell ref="DH143:DI143"/>
    <mergeCell ref="DJ143:DK143"/>
    <mergeCell ref="DL143:DM143"/>
    <mergeCell ref="DN143:DO143"/>
    <mergeCell ref="DP143:DQ143"/>
    <mergeCell ref="DR143:DS143"/>
    <mergeCell ref="DD144:DE144"/>
    <mergeCell ref="DF144:DG144"/>
    <mergeCell ref="DH144:DI144"/>
    <mergeCell ref="DJ144:DK144"/>
    <mergeCell ref="DL144:DM144"/>
    <mergeCell ref="DN144:DO144"/>
    <mergeCell ref="DP144:DQ144"/>
    <mergeCell ref="DR144:DS144"/>
    <mergeCell ref="DL150:DM150"/>
    <mergeCell ref="DN150:DO150"/>
    <mergeCell ref="DP150:DQ150"/>
    <mergeCell ref="DR150:DS150"/>
    <mergeCell ref="DD118:DE118"/>
    <mergeCell ref="DF118:DG118"/>
    <mergeCell ref="DH118:DI118"/>
    <mergeCell ref="DJ118:DK118"/>
    <mergeCell ref="DL118:DM118"/>
    <mergeCell ref="DN118:DO118"/>
    <mergeCell ref="DP118:DQ118"/>
    <mergeCell ref="DR118:DS118"/>
    <mergeCell ref="DD119:DE119"/>
    <mergeCell ref="DF119:DG119"/>
    <mergeCell ref="DH119:DI119"/>
    <mergeCell ref="DJ119:DK119"/>
    <mergeCell ref="DL119:DM119"/>
    <mergeCell ref="DN119:DO119"/>
    <mergeCell ref="DP119:DQ119"/>
    <mergeCell ref="DR119:DS119"/>
    <mergeCell ref="DD120:DE120"/>
    <mergeCell ref="DF120:DG120"/>
    <mergeCell ref="DH120:DI120"/>
    <mergeCell ref="DJ120:DK120"/>
    <mergeCell ref="DL120:DM120"/>
    <mergeCell ref="DN120:DO120"/>
    <mergeCell ref="DP120:DQ120"/>
    <mergeCell ref="DR120:DS120"/>
    <mergeCell ref="DD121:DE121"/>
    <mergeCell ref="DF121:DG121"/>
    <mergeCell ref="DH121:DI121"/>
    <mergeCell ref="DJ121:DK121"/>
    <mergeCell ref="DL121:DM121"/>
    <mergeCell ref="DN121:DO121"/>
    <mergeCell ref="DP121:DQ121"/>
    <mergeCell ref="DR121:DS121"/>
    <mergeCell ref="DD145:DE145"/>
    <mergeCell ref="DF145:DG145"/>
    <mergeCell ref="DH145:DI145"/>
    <mergeCell ref="DJ145:DK145"/>
    <mergeCell ref="DL145:DM145"/>
    <mergeCell ref="DN145:DO145"/>
    <mergeCell ref="DP145:DQ145"/>
    <mergeCell ref="DR145:DS145"/>
    <mergeCell ref="DD146:DE146"/>
    <mergeCell ref="DF146:DG146"/>
    <mergeCell ref="DH146:DI146"/>
    <mergeCell ref="DJ146:DK146"/>
    <mergeCell ref="DL146:DM146"/>
    <mergeCell ref="DN146:DO146"/>
    <mergeCell ref="DP146:DQ146"/>
    <mergeCell ref="DR146:DS146"/>
    <mergeCell ref="DD147:DE147"/>
    <mergeCell ref="DF147:DG147"/>
    <mergeCell ref="DH147:DI147"/>
    <mergeCell ref="DJ147:DK147"/>
    <mergeCell ref="DL147:DM147"/>
    <mergeCell ref="DN147:DO147"/>
    <mergeCell ref="DP147:DQ147"/>
    <mergeCell ref="DR147:DS147"/>
    <mergeCell ref="DD149:DE149"/>
    <mergeCell ref="DF149:DG149"/>
    <mergeCell ref="DH149:DI149"/>
    <mergeCell ref="DJ149:DK149"/>
    <mergeCell ref="DL152:DM152"/>
    <mergeCell ref="DN152:DO152"/>
    <mergeCell ref="DP152:DQ152"/>
    <mergeCell ref="DR152:DS152"/>
    <mergeCell ref="DD153:DE153"/>
    <mergeCell ref="DF153:DG153"/>
    <mergeCell ref="DH153:DI153"/>
    <mergeCell ref="DJ153:DK153"/>
    <mergeCell ref="DL153:DM153"/>
    <mergeCell ref="DN153:DO153"/>
    <mergeCell ref="DP153:DQ153"/>
    <mergeCell ref="DR153:DS153"/>
    <mergeCell ref="DD154:DE154"/>
    <mergeCell ref="DF154:DG154"/>
    <mergeCell ref="DH154:DI154"/>
    <mergeCell ref="DJ154:DK154"/>
    <mergeCell ref="DL154:DM154"/>
    <mergeCell ref="DN154:DO154"/>
    <mergeCell ref="DP154:DQ154"/>
    <mergeCell ref="DR154:DS154"/>
    <mergeCell ref="DD155:DE155"/>
    <mergeCell ref="DF155:DG155"/>
    <mergeCell ref="DH155:DI155"/>
    <mergeCell ref="DJ155:DK155"/>
    <mergeCell ref="DL155:DM155"/>
    <mergeCell ref="DN155:DO155"/>
    <mergeCell ref="DP155:DQ155"/>
    <mergeCell ref="DR155:DS155"/>
    <mergeCell ref="DD156:DE156"/>
    <mergeCell ref="DF156:DG156"/>
    <mergeCell ref="DH156:DI156"/>
    <mergeCell ref="DJ156:DK156"/>
    <mergeCell ref="DL156:DM156"/>
    <mergeCell ref="DN156:DO156"/>
    <mergeCell ref="DP156:DQ156"/>
    <mergeCell ref="DR156:DS156"/>
    <mergeCell ref="DL157:DM157"/>
    <mergeCell ref="DN157:DO157"/>
    <mergeCell ref="DP157:DQ157"/>
    <mergeCell ref="DR157:DS157"/>
    <mergeCell ref="DD158:DE158"/>
    <mergeCell ref="DF158:DG158"/>
    <mergeCell ref="DH158:DI158"/>
    <mergeCell ref="DJ158:DK158"/>
    <mergeCell ref="DL158:DM158"/>
    <mergeCell ref="DN158:DO158"/>
    <mergeCell ref="DP158:DQ158"/>
    <mergeCell ref="DR158:DS158"/>
    <mergeCell ref="DD159:DE159"/>
    <mergeCell ref="DF159:DG159"/>
    <mergeCell ref="DH159:DI159"/>
    <mergeCell ref="DJ159:DK159"/>
    <mergeCell ref="DL159:DM159"/>
    <mergeCell ref="DN159:DO159"/>
    <mergeCell ref="DP159:DQ159"/>
    <mergeCell ref="DR159:DS159"/>
    <mergeCell ref="DD161:DE161"/>
    <mergeCell ref="DF161:DG161"/>
    <mergeCell ref="DH161:DI161"/>
    <mergeCell ref="DJ161:DK161"/>
    <mergeCell ref="DL161:DM161"/>
    <mergeCell ref="DN161:DO161"/>
    <mergeCell ref="DP161:DQ161"/>
    <mergeCell ref="DR161:DS161"/>
    <mergeCell ref="DD162:DE162"/>
    <mergeCell ref="DF162:DG162"/>
    <mergeCell ref="DH162:DI162"/>
    <mergeCell ref="DJ162:DK162"/>
    <mergeCell ref="DL162:DM162"/>
    <mergeCell ref="DN162:DO162"/>
    <mergeCell ref="DP162:DQ162"/>
    <mergeCell ref="DR162:DS162"/>
    <mergeCell ref="DL163:DM163"/>
    <mergeCell ref="DN163:DO163"/>
    <mergeCell ref="DP163:DQ163"/>
    <mergeCell ref="DR163:DS163"/>
    <mergeCell ref="DD164:DE164"/>
    <mergeCell ref="DF164:DG164"/>
    <mergeCell ref="DH164:DI164"/>
    <mergeCell ref="DJ164:DK164"/>
    <mergeCell ref="DL164:DM164"/>
    <mergeCell ref="DN164:DO164"/>
    <mergeCell ref="DP164:DQ164"/>
    <mergeCell ref="DR164:DS164"/>
    <mergeCell ref="DD165:DE165"/>
    <mergeCell ref="DF165:DG165"/>
    <mergeCell ref="DH165:DI165"/>
    <mergeCell ref="DJ165:DK165"/>
    <mergeCell ref="DL165:DM165"/>
    <mergeCell ref="DN165:DO165"/>
    <mergeCell ref="DP165:DQ165"/>
    <mergeCell ref="DR165:DS165"/>
    <mergeCell ref="DD166:DE166"/>
    <mergeCell ref="DF166:DG166"/>
    <mergeCell ref="DH166:DI166"/>
    <mergeCell ref="DJ166:DK166"/>
    <mergeCell ref="DL166:DM166"/>
    <mergeCell ref="DN166:DO166"/>
    <mergeCell ref="DP166:DQ166"/>
    <mergeCell ref="DR166:DS166"/>
    <mergeCell ref="DD167:DE167"/>
    <mergeCell ref="DF167:DG167"/>
    <mergeCell ref="DH167:DI167"/>
    <mergeCell ref="DJ167:DK167"/>
    <mergeCell ref="DL167:DM167"/>
    <mergeCell ref="DN167:DO167"/>
    <mergeCell ref="DP167:DQ167"/>
    <mergeCell ref="DR167:DS167"/>
    <mergeCell ref="DL168:DM168"/>
    <mergeCell ref="DN168:DO168"/>
    <mergeCell ref="DP168:DQ168"/>
    <mergeCell ref="DR168:DS168"/>
    <mergeCell ref="DV24:DW24"/>
    <mergeCell ref="DX24:DY24"/>
    <mergeCell ref="DZ24:EA24"/>
    <mergeCell ref="DV32:DW32"/>
    <mergeCell ref="DX32:DY32"/>
    <mergeCell ref="DZ32:EA32"/>
    <mergeCell ref="FP6:FQ6"/>
    <mergeCell ref="DT19:DU19"/>
    <mergeCell ref="DV19:DW19"/>
    <mergeCell ref="DX19:DY19"/>
    <mergeCell ref="DZ19:EA19"/>
    <mergeCell ref="ER20:ES20"/>
    <mergeCell ref="ET20:EU20"/>
    <mergeCell ref="EV20:EW20"/>
    <mergeCell ref="EX20:EY20"/>
    <mergeCell ref="EZ20:FA20"/>
    <mergeCell ref="EB24:EC24"/>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EB32:EC32"/>
    <mergeCell ref="EB8:EI8"/>
    <mergeCell ref="FB20:FC20"/>
    <mergeCell ref="FD20:FE20"/>
    <mergeCell ref="FF20:FG20"/>
    <mergeCell ref="FH20:FI20"/>
    <mergeCell ref="FJ20:FK20"/>
    <mergeCell ref="FL20:FM20"/>
    <mergeCell ref="FN20:FO20"/>
    <mergeCell ref="FP20:FQ20"/>
    <mergeCell ref="EB19:EC19"/>
    <mergeCell ref="ED19:EE19"/>
    <mergeCell ref="EF19:EG19"/>
    <mergeCell ref="EH19:EI19"/>
    <mergeCell ref="EJ19:EK19"/>
    <mergeCell ref="EL19:EM19"/>
    <mergeCell ref="EN19:EO19"/>
    <mergeCell ref="EP19:EQ19"/>
    <mergeCell ref="ER19:ES19"/>
    <mergeCell ref="ET19:EU19"/>
    <mergeCell ref="EV19:EW19"/>
    <mergeCell ref="EX19:EY19"/>
    <mergeCell ref="EZ19:FA19"/>
    <mergeCell ref="FB19:FC19"/>
    <mergeCell ref="FD19:FE19"/>
    <mergeCell ref="FF19:FG19"/>
    <mergeCell ref="FH19:FI19"/>
    <mergeCell ref="FJ19:FK19"/>
    <mergeCell ref="FL19:FM19"/>
    <mergeCell ref="FN19:FO19"/>
    <mergeCell ref="FP19:FQ19"/>
    <mergeCell ref="FR19:FS19"/>
    <mergeCell ref="FT19:FU19"/>
    <mergeCell ref="FV19:FW19"/>
    <mergeCell ref="FX19:FY19"/>
    <mergeCell ref="FZ19:GA19"/>
    <mergeCell ref="GB19:GC19"/>
    <mergeCell ref="GD19:GE19"/>
    <mergeCell ref="GF19:GG19"/>
    <mergeCell ref="GH19:GI19"/>
    <mergeCell ref="GJ19:GK19"/>
    <mergeCell ref="GL19:GM19"/>
    <mergeCell ref="GN19:GO19"/>
    <mergeCell ref="GP19:GQ19"/>
    <mergeCell ref="GR19:GS19"/>
    <mergeCell ref="GT19:GU19"/>
    <mergeCell ref="GH20:GI20"/>
    <mergeCell ref="GJ20:GK20"/>
    <mergeCell ref="GL20:GM20"/>
    <mergeCell ref="GN20:GO20"/>
    <mergeCell ref="GP20:GQ20"/>
    <mergeCell ref="GR20:GS20"/>
    <mergeCell ref="GT20:GU20"/>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DT20:DU20"/>
    <mergeCell ref="DV20:DW20"/>
    <mergeCell ref="DX20:DY20"/>
    <mergeCell ref="DZ20:EA20"/>
    <mergeCell ref="EB20:EC20"/>
    <mergeCell ref="ED20:EE20"/>
    <mergeCell ref="EF20:EG20"/>
    <mergeCell ref="EH20:EI20"/>
    <mergeCell ref="EJ20:EK20"/>
    <mergeCell ref="EL20:EM20"/>
    <mergeCell ref="EN20:EO20"/>
    <mergeCell ref="EP20:EQ20"/>
    <mergeCell ref="GJ22:GK22"/>
    <mergeCell ref="GL22:GM22"/>
    <mergeCell ref="GN22:GO22"/>
    <mergeCell ref="GP22:GQ22"/>
    <mergeCell ref="GR22:GS22"/>
    <mergeCell ref="GT22:GU22"/>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DT22:DU22"/>
    <mergeCell ref="DV22:DW22"/>
    <mergeCell ref="DX22:DY22"/>
    <mergeCell ref="DZ22:EA22"/>
    <mergeCell ref="EB22:EC22"/>
    <mergeCell ref="ED22:EE22"/>
    <mergeCell ref="EF22:EG22"/>
    <mergeCell ref="EH22:EI22"/>
    <mergeCell ref="EJ22:EK22"/>
    <mergeCell ref="EL22:EM22"/>
    <mergeCell ref="EN22:EO22"/>
    <mergeCell ref="EP22:EQ22"/>
    <mergeCell ref="ER22:ES22"/>
    <mergeCell ref="ET22:EU22"/>
    <mergeCell ref="EV22:EW22"/>
    <mergeCell ref="EX22:EY22"/>
    <mergeCell ref="EZ22:FA22"/>
    <mergeCell ref="FB22:FC22"/>
    <mergeCell ref="FV24:FW24"/>
    <mergeCell ref="FX24:FY24"/>
    <mergeCell ref="FZ24:GA24"/>
    <mergeCell ref="GB24:GC24"/>
    <mergeCell ref="GD24:GE24"/>
    <mergeCell ref="GF24:GG24"/>
    <mergeCell ref="GH22:GI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FB26:FC26"/>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4:GI24"/>
    <mergeCell ref="GH26:GI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EZ26:FA26"/>
    <mergeCell ref="GJ24:GK24"/>
    <mergeCell ref="GL24:GM24"/>
    <mergeCell ref="GN24:GO24"/>
    <mergeCell ref="GP24:GQ24"/>
    <mergeCell ref="GR24:GS24"/>
    <mergeCell ref="GT24:GU24"/>
    <mergeCell ref="DT25:DU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R25:FS25"/>
    <mergeCell ref="FT25:FU25"/>
    <mergeCell ref="FV25:FW25"/>
    <mergeCell ref="FX25:FY25"/>
    <mergeCell ref="FZ25:GA25"/>
    <mergeCell ref="GB25:GC25"/>
    <mergeCell ref="GD25:GE25"/>
    <mergeCell ref="GF25:GG25"/>
    <mergeCell ref="GH25:GI25"/>
    <mergeCell ref="GJ25:GK25"/>
    <mergeCell ref="GL25:GM25"/>
    <mergeCell ref="GN25:GO25"/>
    <mergeCell ref="GP25:GQ25"/>
    <mergeCell ref="GR25:GS25"/>
    <mergeCell ref="GT25:GU25"/>
    <mergeCell ref="DT24:DU24"/>
    <mergeCell ref="FR24:FS24"/>
    <mergeCell ref="FT24:FU24"/>
    <mergeCell ref="DX30:DY30"/>
    <mergeCell ref="DZ30:EA30"/>
    <mergeCell ref="EB30:EC30"/>
    <mergeCell ref="ED30:EE30"/>
    <mergeCell ref="EF30:EG30"/>
    <mergeCell ref="EH30:EI30"/>
    <mergeCell ref="EJ30:EK30"/>
    <mergeCell ref="EL30:EM30"/>
    <mergeCell ref="EN30:EO30"/>
    <mergeCell ref="EP30:EQ30"/>
    <mergeCell ref="ER30:ES30"/>
    <mergeCell ref="ET30:EU30"/>
    <mergeCell ref="EV30:EW30"/>
    <mergeCell ref="EX30:EY30"/>
    <mergeCell ref="EZ30:FA30"/>
    <mergeCell ref="FB30:FC30"/>
    <mergeCell ref="GJ26:GK26"/>
    <mergeCell ref="GL26:GM26"/>
    <mergeCell ref="GN26:GO26"/>
    <mergeCell ref="GP26:GQ26"/>
    <mergeCell ref="GR26:GS26"/>
    <mergeCell ref="GT26:GU26"/>
    <mergeCell ref="DT29:DU29"/>
    <mergeCell ref="DV29:DW29"/>
    <mergeCell ref="DX29:DY29"/>
    <mergeCell ref="DZ29:EA29"/>
    <mergeCell ref="EB29:EC29"/>
    <mergeCell ref="ED29:EE29"/>
    <mergeCell ref="EF29:EG29"/>
    <mergeCell ref="EH29:EI29"/>
    <mergeCell ref="EJ29:EK29"/>
    <mergeCell ref="EL29:EM29"/>
    <mergeCell ref="EN29:EO29"/>
    <mergeCell ref="EP29:EQ29"/>
    <mergeCell ref="ER29:ES29"/>
    <mergeCell ref="ET29:EU29"/>
    <mergeCell ref="EV29:EW29"/>
    <mergeCell ref="EX29:EY29"/>
    <mergeCell ref="EZ29:FA29"/>
    <mergeCell ref="FB29:FC29"/>
    <mergeCell ref="FD29:FE29"/>
    <mergeCell ref="FF29:FG29"/>
    <mergeCell ref="FH29:FI29"/>
    <mergeCell ref="FJ29:FK29"/>
    <mergeCell ref="FL29:FM29"/>
    <mergeCell ref="FN29:FO29"/>
    <mergeCell ref="FP29:FQ29"/>
    <mergeCell ref="FR29:FS29"/>
    <mergeCell ref="FT29:FU29"/>
    <mergeCell ref="FV29:FW29"/>
    <mergeCell ref="FX29:FY29"/>
    <mergeCell ref="FZ29:GA29"/>
    <mergeCell ref="GB29:GC29"/>
    <mergeCell ref="GD29:GE29"/>
    <mergeCell ref="GF29:GG29"/>
    <mergeCell ref="GH29:GI29"/>
    <mergeCell ref="GJ29:GK29"/>
    <mergeCell ref="GL29:GM29"/>
    <mergeCell ref="GN29:GO29"/>
    <mergeCell ref="GP29:GQ29"/>
    <mergeCell ref="GR29:GS29"/>
    <mergeCell ref="GT29:GU29"/>
    <mergeCell ref="DT26:DU26"/>
    <mergeCell ref="DV26:DW26"/>
    <mergeCell ref="GH30:GI30"/>
    <mergeCell ref="FD30:FE30"/>
    <mergeCell ref="FF30:FG30"/>
    <mergeCell ref="FH30:FI30"/>
    <mergeCell ref="FJ30:FK30"/>
    <mergeCell ref="FL30:FM30"/>
    <mergeCell ref="FN30:FO30"/>
    <mergeCell ref="FP30:FQ30"/>
    <mergeCell ref="FR30:FS30"/>
    <mergeCell ref="FT30:FU30"/>
    <mergeCell ref="FV30:FW30"/>
    <mergeCell ref="FX30:FY30"/>
    <mergeCell ref="FZ30:GA30"/>
    <mergeCell ref="GB30:GC30"/>
    <mergeCell ref="GD30:GE30"/>
    <mergeCell ref="GF30:GG30"/>
    <mergeCell ref="GJ30:GK30"/>
    <mergeCell ref="GL30:GM30"/>
    <mergeCell ref="GN30:GO30"/>
    <mergeCell ref="GP30:GQ30"/>
    <mergeCell ref="GR30:GS30"/>
    <mergeCell ref="GT30:GU30"/>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DT30:DU30"/>
    <mergeCell ref="DV30:DW30"/>
    <mergeCell ref="GF33:GG33"/>
    <mergeCell ref="GH33:GI33"/>
    <mergeCell ref="GJ33:GK33"/>
    <mergeCell ref="GL33:GM33"/>
    <mergeCell ref="GN33:GO33"/>
    <mergeCell ref="GP33:GQ33"/>
    <mergeCell ref="GR33:GS33"/>
    <mergeCell ref="GT33:GU33"/>
    <mergeCell ref="ED32:EE32"/>
    <mergeCell ref="EF32:EG32"/>
    <mergeCell ref="EH32:EI32"/>
    <mergeCell ref="EJ32:EK32"/>
    <mergeCell ref="EL32:EM32"/>
    <mergeCell ref="EN32:EO32"/>
    <mergeCell ref="EP32:EQ32"/>
    <mergeCell ref="ER32:ES32"/>
    <mergeCell ref="ET32:EU32"/>
    <mergeCell ref="EV32:EW32"/>
    <mergeCell ref="EX32:EY32"/>
    <mergeCell ref="EZ32:FA32"/>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EJ34:EK34"/>
    <mergeCell ref="EL34:EM34"/>
    <mergeCell ref="EN34:EO34"/>
    <mergeCell ref="EP34:EQ34"/>
    <mergeCell ref="ER34:ES34"/>
    <mergeCell ref="ET34:EU34"/>
    <mergeCell ref="EV34:EW34"/>
    <mergeCell ref="EX34:EY34"/>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2:GI32"/>
    <mergeCell ref="GH34:GI34"/>
    <mergeCell ref="GJ32:GK32"/>
    <mergeCell ref="GL32:GM32"/>
    <mergeCell ref="GN32:GO32"/>
    <mergeCell ref="GP32:GQ32"/>
    <mergeCell ref="GR32:GS32"/>
    <mergeCell ref="GT32:GU32"/>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EL36:EM36"/>
    <mergeCell ref="EN36:EO36"/>
    <mergeCell ref="EP36:EQ36"/>
    <mergeCell ref="ER36:ES36"/>
    <mergeCell ref="ET36:EU36"/>
    <mergeCell ref="EV36:EW36"/>
    <mergeCell ref="EX36:EY36"/>
    <mergeCell ref="EZ36:FA36"/>
    <mergeCell ref="DT32:DU32"/>
    <mergeCell ref="GF32:GG32"/>
    <mergeCell ref="GJ34:GK34"/>
    <mergeCell ref="GL34:GM34"/>
    <mergeCell ref="GN34:GO34"/>
    <mergeCell ref="GP34:GQ34"/>
    <mergeCell ref="GR34:GS34"/>
    <mergeCell ref="GT34:GU34"/>
    <mergeCell ref="DT35:DU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R35:FS35"/>
    <mergeCell ref="FT35:FU35"/>
    <mergeCell ref="FV35:FW35"/>
    <mergeCell ref="FX35:FY35"/>
    <mergeCell ref="FZ35:GA35"/>
    <mergeCell ref="GB35:GC35"/>
    <mergeCell ref="GD35:GE35"/>
    <mergeCell ref="GF35:GG35"/>
    <mergeCell ref="GH35:GI35"/>
    <mergeCell ref="GJ35:GK35"/>
    <mergeCell ref="GL35:GM35"/>
    <mergeCell ref="GN35:GO35"/>
    <mergeCell ref="GP35:GQ35"/>
    <mergeCell ref="GR35:GS35"/>
    <mergeCell ref="GT35:GU35"/>
    <mergeCell ref="DT34:DU34"/>
    <mergeCell ref="DV34:DW34"/>
    <mergeCell ref="DX34:DY34"/>
    <mergeCell ref="DZ34:EA34"/>
    <mergeCell ref="EB34:EC34"/>
    <mergeCell ref="ED34:EE34"/>
    <mergeCell ref="EF34:EG34"/>
    <mergeCell ref="EH34:EI34"/>
    <mergeCell ref="FL44:FM44"/>
    <mergeCell ref="FN44:FO44"/>
    <mergeCell ref="FP44:FQ44"/>
    <mergeCell ref="FR44:FS44"/>
    <mergeCell ref="FT44:FU44"/>
    <mergeCell ref="FV44:FW44"/>
    <mergeCell ref="FX44:FY44"/>
    <mergeCell ref="FZ44:GA44"/>
    <mergeCell ref="EZ34:FA34"/>
    <mergeCell ref="GJ36:GK36"/>
    <mergeCell ref="GL36:GM36"/>
    <mergeCell ref="GN36:GO36"/>
    <mergeCell ref="GP36:GQ36"/>
    <mergeCell ref="GR36:GS36"/>
    <mergeCell ref="GT36:GU36"/>
    <mergeCell ref="DT48:DU48"/>
    <mergeCell ref="DV48:DW48"/>
    <mergeCell ref="DX48:DY48"/>
    <mergeCell ref="DZ48:EA48"/>
    <mergeCell ref="EB48:EC48"/>
    <mergeCell ref="ED48:EE48"/>
    <mergeCell ref="EF48:EG48"/>
    <mergeCell ref="EH48:EI48"/>
    <mergeCell ref="EJ48:EK48"/>
    <mergeCell ref="EL48:EM48"/>
    <mergeCell ref="EN48:EO48"/>
    <mergeCell ref="EP48:EQ48"/>
    <mergeCell ref="ER48:ES48"/>
    <mergeCell ref="ET48:EU48"/>
    <mergeCell ref="EV48:EW48"/>
    <mergeCell ref="EX48:EY48"/>
    <mergeCell ref="EZ48:FA48"/>
    <mergeCell ref="FB48:FC48"/>
    <mergeCell ref="FD48:FE48"/>
    <mergeCell ref="FF48:FG48"/>
    <mergeCell ref="FH48:FI48"/>
    <mergeCell ref="FJ48:FK48"/>
    <mergeCell ref="FL48:FM48"/>
    <mergeCell ref="FN48:FO48"/>
    <mergeCell ref="FP48:FQ48"/>
    <mergeCell ref="FR48:FS48"/>
    <mergeCell ref="FT48:FU48"/>
    <mergeCell ref="FV48:FW48"/>
    <mergeCell ref="FX48:FY48"/>
    <mergeCell ref="FZ48:GA48"/>
    <mergeCell ref="GB48:GC48"/>
    <mergeCell ref="GD48:GE48"/>
    <mergeCell ref="GF48:GG48"/>
    <mergeCell ref="GH48:GI48"/>
    <mergeCell ref="GJ48:GK48"/>
    <mergeCell ref="GL48:GM48"/>
    <mergeCell ref="GN48:GO48"/>
    <mergeCell ref="GP48:GQ48"/>
    <mergeCell ref="GR48:GS48"/>
    <mergeCell ref="GT48:GU48"/>
    <mergeCell ref="DT36:DU36"/>
    <mergeCell ref="DV36:DW36"/>
    <mergeCell ref="DX36:DY36"/>
    <mergeCell ref="DZ36:EA36"/>
    <mergeCell ref="EB36:EC36"/>
    <mergeCell ref="ED36:EE36"/>
    <mergeCell ref="EF36:EG36"/>
    <mergeCell ref="EH36:EI36"/>
    <mergeCell ref="EJ36:EK36"/>
    <mergeCell ref="EL49:EM49"/>
    <mergeCell ref="EN49:EO49"/>
    <mergeCell ref="EP49:EQ49"/>
    <mergeCell ref="ER49:ES49"/>
    <mergeCell ref="ET49:EU49"/>
    <mergeCell ref="EV49:EW49"/>
    <mergeCell ref="EX49:EY49"/>
    <mergeCell ref="EZ49:FA49"/>
    <mergeCell ref="GH36:GI36"/>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49:GI49"/>
    <mergeCell ref="GH51:GI51"/>
    <mergeCell ref="FB36:FC36"/>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FB44:FC44"/>
    <mergeCell ref="FD44:FE44"/>
    <mergeCell ref="FF44:FG44"/>
    <mergeCell ref="FH44:FI44"/>
    <mergeCell ref="FJ44:FK44"/>
    <mergeCell ref="EJ51:EK51"/>
    <mergeCell ref="EL51:EM51"/>
    <mergeCell ref="EN51:EO51"/>
    <mergeCell ref="EP51:EQ51"/>
    <mergeCell ref="ER51:ES51"/>
    <mergeCell ref="ET51:EU51"/>
    <mergeCell ref="EV51:EW51"/>
    <mergeCell ref="EX51:EY51"/>
    <mergeCell ref="EZ51:FA51"/>
    <mergeCell ref="GJ49:GK49"/>
    <mergeCell ref="GL49:GM49"/>
    <mergeCell ref="GN49:GO49"/>
    <mergeCell ref="GP49:GQ49"/>
    <mergeCell ref="GR49:GS49"/>
    <mergeCell ref="GT49:GU49"/>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H50:GI50"/>
    <mergeCell ref="GJ50:GK50"/>
    <mergeCell ref="GL50:GM50"/>
    <mergeCell ref="GN50:GO50"/>
    <mergeCell ref="GP50:GQ50"/>
    <mergeCell ref="GR50:GS50"/>
    <mergeCell ref="GT50:GU50"/>
    <mergeCell ref="DT49:DU49"/>
    <mergeCell ref="DV49:DW49"/>
    <mergeCell ref="DX49:DY49"/>
    <mergeCell ref="DZ49:EA49"/>
    <mergeCell ref="EB49:EC49"/>
    <mergeCell ref="ED49:EE49"/>
    <mergeCell ref="EF49:EG49"/>
    <mergeCell ref="EH49:EI49"/>
    <mergeCell ref="EJ49:EK49"/>
    <mergeCell ref="EJ53:EK53"/>
    <mergeCell ref="EL53:EM53"/>
    <mergeCell ref="EN53:EO53"/>
    <mergeCell ref="EP53:EQ53"/>
    <mergeCell ref="ER53:ES53"/>
    <mergeCell ref="ET53:EU53"/>
    <mergeCell ref="EV53:EW53"/>
    <mergeCell ref="EX53:EY53"/>
    <mergeCell ref="EZ53:FA53"/>
    <mergeCell ref="FB53:FC53"/>
    <mergeCell ref="GJ51:GK51"/>
    <mergeCell ref="GL51:GM51"/>
    <mergeCell ref="GN51:GO51"/>
    <mergeCell ref="GP51:GQ51"/>
    <mergeCell ref="GR51:GS51"/>
    <mergeCell ref="GT51:GU51"/>
    <mergeCell ref="DT52:DU52"/>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2:GI52"/>
    <mergeCell ref="GJ52:GK52"/>
    <mergeCell ref="GL52:GM52"/>
    <mergeCell ref="GN52:GO52"/>
    <mergeCell ref="GP52:GQ52"/>
    <mergeCell ref="GR52:GS52"/>
    <mergeCell ref="GT52:GU52"/>
    <mergeCell ref="DT51:DU51"/>
    <mergeCell ref="DV51:DW51"/>
    <mergeCell ref="DX51:DY51"/>
    <mergeCell ref="DZ51:EA51"/>
    <mergeCell ref="EB51:EC51"/>
    <mergeCell ref="ED51:EE51"/>
    <mergeCell ref="EF51:EG51"/>
    <mergeCell ref="EH51:EI51"/>
    <mergeCell ref="FP53:FQ53"/>
    <mergeCell ref="FR53:FS53"/>
    <mergeCell ref="FT53:FU53"/>
    <mergeCell ref="FV53:FW53"/>
    <mergeCell ref="FX53:FY53"/>
    <mergeCell ref="FZ53:GA53"/>
    <mergeCell ref="GB53:GC53"/>
    <mergeCell ref="GD53:GE53"/>
    <mergeCell ref="GF53:GG53"/>
    <mergeCell ref="GH55:GI55"/>
    <mergeCell ref="GJ53:GK53"/>
    <mergeCell ref="GL53:GM53"/>
    <mergeCell ref="GN53:GO53"/>
    <mergeCell ref="GP53:GQ53"/>
    <mergeCell ref="GR53:GS53"/>
    <mergeCell ref="GT53:GU53"/>
    <mergeCell ref="DT54:DU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R54:FS54"/>
    <mergeCell ref="FT54:FU54"/>
    <mergeCell ref="FV54:FW54"/>
    <mergeCell ref="FX54:FY54"/>
    <mergeCell ref="FZ54:GA54"/>
    <mergeCell ref="GB54:GC54"/>
    <mergeCell ref="GD54:GE54"/>
    <mergeCell ref="GF54:GG54"/>
    <mergeCell ref="GH54:GI54"/>
    <mergeCell ref="GJ54:GK54"/>
    <mergeCell ref="GL54:GM54"/>
    <mergeCell ref="GN54:GO54"/>
    <mergeCell ref="GP54:GQ54"/>
    <mergeCell ref="GR54:GS54"/>
    <mergeCell ref="GT54:GU54"/>
    <mergeCell ref="DT53:DU53"/>
    <mergeCell ref="DV53:DW53"/>
    <mergeCell ref="DX53:DY53"/>
    <mergeCell ref="DZ53:EA53"/>
    <mergeCell ref="EB53:EC53"/>
    <mergeCell ref="ED53:EE53"/>
    <mergeCell ref="EF53:EG53"/>
    <mergeCell ref="EH53:EI53"/>
    <mergeCell ref="GF39:GG39"/>
    <mergeCell ref="GH39:GI39"/>
    <mergeCell ref="GJ39:GK39"/>
    <mergeCell ref="GL39:GM39"/>
    <mergeCell ref="GN39:GO39"/>
    <mergeCell ref="GP39:GQ39"/>
    <mergeCell ref="GR39:GS39"/>
    <mergeCell ref="GT39:GU39"/>
    <mergeCell ref="GJ40:GK40"/>
    <mergeCell ref="GL40:GM40"/>
    <mergeCell ref="GN40:GO40"/>
    <mergeCell ref="GP40:GQ40"/>
    <mergeCell ref="GR40:GS40"/>
    <mergeCell ref="GT40:GU40"/>
    <mergeCell ref="DT41:DU41"/>
    <mergeCell ref="DV41:DW41"/>
    <mergeCell ref="DX41:DY41"/>
    <mergeCell ref="DZ41:EA41"/>
    <mergeCell ref="EB41:EC41"/>
    <mergeCell ref="ED41:EE41"/>
    <mergeCell ref="EF41:EG41"/>
    <mergeCell ref="EH41:EI41"/>
    <mergeCell ref="EJ41:EK41"/>
    <mergeCell ref="EL41:EM41"/>
    <mergeCell ref="EN41:EO41"/>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3:GI53"/>
    <mergeCell ref="FD53:FE53"/>
    <mergeCell ref="FF53:FG53"/>
    <mergeCell ref="FH53:FI53"/>
    <mergeCell ref="FJ53:FK53"/>
    <mergeCell ref="FL53:FM53"/>
    <mergeCell ref="FN53:FO53"/>
    <mergeCell ref="GH41:GI41"/>
    <mergeCell ref="GJ41:GK41"/>
    <mergeCell ref="GL41:GM41"/>
    <mergeCell ref="GN41:GO41"/>
    <mergeCell ref="GP41:GQ41"/>
    <mergeCell ref="GR41:GS41"/>
    <mergeCell ref="GT41:GU41"/>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GJ55:GK55"/>
    <mergeCell ref="GL55:GM55"/>
    <mergeCell ref="GN55:GO55"/>
    <mergeCell ref="GP55:GQ55"/>
    <mergeCell ref="GR55:GS55"/>
    <mergeCell ref="GT55:GU55"/>
    <mergeCell ref="DT55:DU55"/>
    <mergeCell ref="DT39:DU39"/>
    <mergeCell ref="DV39:DW39"/>
    <mergeCell ref="DX39:DY39"/>
    <mergeCell ref="DZ39:EA39"/>
    <mergeCell ref="EB39:EC39"/>
    <mergeCell ref="ED39:EE39"/>
    <mergeCell ref="EF39:EG39"/>
    <mergeCell ref="EH39:EI39"/>
    <mergeCell ref="EJ39:EK39"/>
    <mergeCell ref="EL39:EM39"/>
    <mergeCell ref="EN39:EO39"/>
    <mergeCell ref="EP39:EQ39"/>
    <mergeCell ref="ER39:ES39"/>
    <mergeCell ref="ET39:EU39"/>
    <mergeCell ref="EV39:EW39"/>
    <mergeCell ref="EX39:EY39"/>
    <mergeCell ref="EZ39:FA39"/>
    <mergeCell ref="FB39:FC39"/>
    <mergeCell ref="FD39:FE39"/>
    <mergeCell ref="FF39:FG39"/>
    <mergeCell ref="FH39:FI39"/>
    <mergeCell ref="FJ39:FK39"/>
    <mergeCell ref="FL39:FM39"/>
    <mergeCell ref="FN39:FO39"/>
    <mergeCell ref="FP39:FQ39"/>
    <mergeCell ref="FR39:FS39"/>
    <mergeCell ref="FT39:FU39"/>
    <mergeCell ref="FV39:FW39"/>
    <mergeCell ref="FX39:FY39"/>
    <mergeCell ref="FZ39:GA39"/>
    <mergeCell ref="GB39:GC39"/>
    <mergeCell ref="GD39:GE39"/>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0:GI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EP41:EQ41"/>
    <mergeCell ref="ER41:ES41"/>
    <mergeCell ref="ET41:EU41"/>
    <mergeCell ref="EV41:EW41"/>
    <mergeCell ref="EX41:EY41"/>
    <mergeCell ref="EZ41:FA41"/>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GB44:GC44"/>
    <mergeCell ref="GD44:GE44"/>
    <mergeCell ref="GF44:GG44"/>
    <mergeCell ref="GH42:GI42"/>
    <mergeCell ref="GJ42:GK42"/>
    <mergeCell ref="GL42:GM42"/>
    <mergeCell ref="GN42:GO42"/>
    <mergeCell ref="GP42:GQ42"/>
    <mergeCell ref="GR42:GS42"/>
    <mergeCell ref="GT42:GU42"/>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H43:GI43"/>
    <mergeCell ref="GJ43:GK43"/>
    <mergeCell ref="GL43:GM43"/>
    <mergeCell ref="GN43:GO43"/>
    <mergeCell ref="GP43:GQ43"/>
    <mergeCell ref="GR43:GS43"/>
    <mergeCell ref="GT43:GU43"/>
    <mergeCell ref="DT42:DU42"/>
    <mergeCell ref="GH44:GI44"/>
    <mergeCell ref="GJ44:GK44"/>
    <mergeCell ref="GL44:GM44"/>
    <mergeCell ref="GN44:GO44"/>
    <mergeCell ref="GP44:GQ44"/>
    <mergeCell ref="GR44:GS44"/>
    <mergeCell ref="GT44:GU44"/>
    <mergeCell ref="DV42:DW42"/>
    <mergeCell ref="DX42:DY42"/>
    <mergeCell ref="DZ42:EA42"/>
    <mergeCell ref="EB42:EC42"/>
    <mergeCell ref="ED42:EE42"/>
    <mergeCell ref="EF42:EG42"/>
    <mergeCell ref="DT45:DU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R45:FS45"/>
    <mergeCell ref="FT45:FU45"/>
    <mergeCell ref="FV45:FW45"/>
    <mergeCell ref="FX45:FY45"/>
    <mergeCell ref="FZ45:GA45"/>
    <mergeCell ref="GB45:GC45"/>
    <mergeCell ref="GD45:GE45"/>
    <mergeCell ref="GF45:GG45"/>
    <mergeCell ref="GH45:GI45"/>
    <mergeCell ref="GJ45:GK45"/>
    <mergeCell ref="GL45:GM45"/>
    <mergeCell ref="GN45:GO45"/>
    <mergeCell ref="GP45:GQ45"/>
    <mergeCell ref="GR45:GS45"/>
    <mergeCell ref="GT45:GU45"/>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GJ46:GK46"/>
    <mergeCell ref="GL46:GM46"/>
    <mergeCell ref="GN46:GO46"/>
    <mergeCell ref="GP46:GQ46"/>
    <mergeCell ref="GR46:GS46"/>
    <mergeCell ref="GT46:GU46"/>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GH46:GI46"/>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59:GI59"/>
    <mergeCell ref="GJ59:GK59"/>
    <mergeCell ref="GL59:GM59"/>
    <mergeCell ref="GN59:GO59"/>
    <mergeCell ref="GP59:GQ59"/>
    <mergeCell ref="GR59:GS59"/>
    <mergeCell ref="GT59:GU59"/>
    <mergeCell ref="GJ60:GK60"/>
    <mergeCell ref="GL60:GM60"/>
    <mergeCell ref="GN60:GO60"/>
    <mergeCell ref="GP60:GQ60"/>
    <mergeCell ref="GR60:GS60"/>
    <mergeCell ref="GT60:GU60"/>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61:GI61"/>
    <mergeCell ref="GJ61:GK61"/>
    <mergeCell ref="GL61:GM61"/>
    <mergeCell ref="GN61:GO61"/>
    <mergeCell ref="GP61:GQ61"/>
    <mergeCell ref="GR61:GS61"/>
    <mergeCell ref="GT61:GU61"/>
    <mergeCell ref="DT60:DU60"/>
    <mergeCell ref="DV60:DW60"/>
    <mergeCell ref="DX60:DY60"/>
    <mergeCell ref="DZ60:EA60"/>
    <mergeCell ref="EB60:EC60"/>
    <mergeCell ref="ED60:EE60"/>
    <mergeCell ref="EF60:EG60"/>
    <mergeCell ref="EH60:EI60"/>
    <mergeCell ref="EJ60:EK60"/>
    <mergeCell ref="EL60:EM60"/>
    <mergeCell ref="EN60:EO60"/>
    <mergeCell ref="EP60:EQ60"/>
    <mergeCell ref="ER60:ES60"/>
    <mergeCell ref="ET60:EU60"/>
    <mergeCell ref="EV60:EW60"/>
    <mergeCell ref="EX60:EY60"/>
    <mergeCell ref="EZ60:FA60"/>
    <mergeCell ref="FB60:FC60"/>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GH60:GI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FB64:FC64"/>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2:GI62"/>
    <mergeCell ref="GH64:GI64"/>
    <mergeCell ref="GJ62:GK62"/>
    <mergeCell ref="GL62:GM62"/>
    <mergeCell ref="GN62:GO62"/>
    <mergeCell ref="GP62:GQ62"/>
    <mergeCell ref="GR62:GS62"/>
    <mergeCell ref="GT62:GU62"/>
    <mergeCell ref="DT63:DU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FD63:FE63"/>
    <mergeCell ref="FF63:FG63"/>
    <mergeCell ref="FH63:FI63"/>
    <mergeCell ref="FJ63:FK63"/>
    <mergeCell ref="FL63:FM63"/>
    <mergeCell ref="FN63:FO63"/>
    <mergeCell ref="FP63:FQ63"/>
    <mergeCell ref="FR63:FS63"/>
    <mergeCell ref="FT63:FU63"/>
    <mergeCell ref="FV63:FW63"/>
    <mergeCell ref="FX63:FY63"/>
    <mergeCell ref="FZ63:GA63"/>
    <mergeCell ref="GB63:GC63"/>
    <mergeCell ref="GD63:GE63"/>
    <mergeCell ref="GF63:GG63"/>
    <mergeCell ref="GH63:GI63"/>
    <mergeCell ref="GJ63:GK63"/>
    <mergeCell ref="GL63:GM63"/>
    <mergeCell ref="GN63:GO63"/>
    <mergeCell ref="GP63:GQ63"/>
    <mergeCell ref="GR63:GS63"/>
    <mergeCell ref="GT63:GU63"/>
    <mergeCell ref="DT62:DU62"/>
    <mergeCell ref="FV62:FW62"/>
    <mergeCell ref="FX62:FY62"/>
    <mergeCell ref="FZ62:GA62"/>
    <mergeCell ref="GB62:GC62"/>
    <mergeCell ref="GD62:GE62"/>
    <mergeCell ref="GF62:GG62"/>
    <mergeCell ref="GJ64:GK64"/>
    <mergeCell ref="GL64:GM64"/>
    <mergeCell ref="GN64:GO64"/>
    <mergeCell ref="GP64:GQ64"/>
    <mergeCell ref="GR64:GS64"/>
    <mergeCell ref="GT64:GU64"/>
    <mergeCell ref="DT65:DU65"/>
    <mergeCell ref="DV65:DW65"/>
    <mergeCell ref="DX65:DY65"/>
    <mergeCell ref="DZ65:EA65"/>
    <mergeCell ref="EB65:EC65"/>
    <mergeCell ref="ED65:EE65"/>
    <mergeCell ref="EF65:EG65"/>
    <mergeCell ref="EH65:EI65"/>
    <mergeCell ref="EJ65:EK65"/>
    <mergeCell ref="EL65:EM65"/>
    <mergeCell ref="EN65:EO65"/>
    <mergeCell ref="EP65:EQ65"/>
    <mergeCell ref="ER65:ES65"/>
    <mergeCell ref="ET65:EU65"/>
    <mergeCell ref="EV65:EW65"/>
    <mergeCell ref="EX65:EY65"/>
    <mergeCell ref="EZ65:FA65"/>
    <mergeCell ref="FB65:FC65"/>
    <mergeCell ref="FD65:FE65"/>
    <mergeCell ref="FF65:FG65"/>
    <mergeCell ref="FH65:FI65"/>
    <mergeCell ref="FJ65:FK65"/>
    <mergeCell ref="FL65:FM65"/>
    <mergeCell ref="FN65:FO65"/>
    <mergeCell ref="FP65:FQ65"/>
    <mergeCell ref="FR65:FS65"/>
    <mergeCell ref="FT65:FU65"/>
    <mergeCell ref="FV65:FW65"/>
    <mergeCell ref="FX65:FY65"/>
    <mergeCell ref="FZ65:GA65"/>
    <mergeCell ref="GB65:GC65"/>
    <mergeCell ref="GD65:GE65"/>
    <mergeCell ref="GF65:GG65"/>
    <mergeCell ref="GH65:GI65"/>
    <mergeCell ref="GJ65:GK65"/>
    <mergeCell ref="GL65:GM65"/>
    <mergeCell ref="GN65:GO65"/>
    <mergeCell ref="GP65:GQ65"/>
    <mergeCell ref="GR65:GS65"/>
    <mergeCell ref="GT65:GU65"/>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GJ66:GK66"/>
    <mergeCell ref="GL66:GM66"/>
    <mergeCell ref="GN66:GO66"/>
    <mergeCell ref="GP66:GQ66"/>
    <mergeCell ref="GR66:GS66"/>
    <mergeCell ref="GT66:GU66"/>
    <mergeCell ref="DT66:DU66"/>
    <mergeCell ref="DV66:DW66"/>
    <mergeCell ref="DX66:DY66"/>
    <mergeCell ref="DZ66:EA66"/>
    <mergeCell ref="EB66:EC66"/>
    <mergeCell ref="ED66:EE66"/>
    <mergeCell ref="EF66:EG66"/>
    <mergeCell ref="EH66:EI66"/>
    <mergeCell ref="EJ66:EK66"/>
    <mergeCell ref="EL66:EM66"/>
    <mergeCell ref="EN66:EO66"/>
    <mergeCell ref="EP66:EQ66"/>
    <mergeCell ref="ER66:ES66"/>
    <mergeCell ref="ET66:EU66"/>
    <mergeCell ref="EV66:EW66"/>
    <mergeCell ref="EX66:EY66"/>
    <mergeCell ref="EZ66:FA66"/>
    <mergeCell ref="FB66:FC66"/>
    <mergeCell ref="GH66:GI66"/>
    <mergeCell ref="FD66:FE66"/>
    <mergeCell ref="FF66:FG66"/>
    <mergeCell ref="FH66:FI66"/>
    <mergeCell ref="FJ66:FK66"/>
    <mergeCell ref="FL66:FM66"/>
    <mergeCell ref="FN66:FO66"/>
    <mergeCell ref="FP66:FQ66"/>
    <mergeCell ref="FR66:FS66"/>
    <mergeCell ref="FT66:FU66"/>
    <mergeCell ref="FV66:FW66"/>
    <mergeCell ref="FX66:FY66"/>
    <mergeCell ref="FZ66:GA66"/>
    <mergeCell ref="GB66:GC66"/>
    <mergeCell ref="GD66:GE66"/>
    <mergeCell ref="GF66:GG66"/>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H68:GI68"/>
    <mergeCell ref="GJ68:GK68"/>
    <mergeCell ref="GL68:GM68"/>
    <mergeCell ref="GN68:GO68"/>
    <mergeCell ref="GP68:GQ68"/>
    <mergeCell ref="GR68:GS68"/>
    <mergeCell ref="GT68:GU68"/>
    <mergeCell ref="GJ69:GK69"/>
    <mergeCell ref="GL69:GM69"/>
    <mergeCell ref="GN69:GO69"/>
    <mergeCell ref="GP69:GQ69"/>
    <mergeCell ref="GR69:GS69"/>
    <mergeCell ref="GT69:GU69"/>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DT69:DU69"/>
    <mergeCell ref="DV69:DW69"/>
    <mergeCell ref="DX69:DY69"/>
    <mergeCell ref="DZ69:EA69"/>
    <mergeCell ref="EB69:EC69"/>
    <mergeCell ref="ED69:EE69"/>
    <mergeCell ref="EF69:EG69"/>
    <mergeCell ref="EH69:EI69"/>
    <mergeCell ref="EJ69:EK69"/>
    <mergeCell ref="EL69:EM69"/>
    <mergeCell ref="EN69:EO69"/>
    <mergeCell ref="EP69:EQ69"/>
    <mergeCell ref="ER69:ES69"/>
    <mergeCell ref="ET69:EU69"/>
    <mergeCell ref="EV69:EW69"/>
    <mergeCell ref="EX69:EY69"/>
    <mergeCell ref="EZ69:FA69"/>
    <mergeCell ref="FB69:FC69"/>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FZ71:GA71"/>
    <mergeCell ref="GB71:GC71"/>
    <mergeCell ref="GD71:GE71"/>
    <mergeCell ref="GF71:GG71"/>
    <mergeCell ref="GH69:GI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FB73:FC73"/>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1:GI71"/>
    <mergeCell ref="GH73:GI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GJ71:GK71"/>
    <mergeCell ref="GL71:GM71"/>
    <mergeCell ref="GN71:GO71"/>
    <mergeCell ref="GP71:GQ71"/>
    <mergeCell ref="GR71:GS71"/>
    <mergeCell ref="GT71:GU71"/>
    <mergeCell ref="DT72:DU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R72:FS72"/>
    <mergeCell ref="FT72:FU72"/>
    <mergeCell ref="FV72:FW72"/>
    <mergeCell ref="FX72:FY72"/>
    <mergeCell ref="FZ72:GA72"/>
    <mergeCell ref="GB72:GC72"/>
    <mergeCell ref="GD72:GE72"/>
    <mergeCell ref="GF72:GG72"/>
    <mergeCell ref="GH72:GI72"/>
    <mergeCell ref="GJ72:GK72"/>
    <mergeCell ref="GL72:GM72"/>
    <mergeCell ref="GN72:GO72"/>
    <mergeCell ref="GP72:GQ72"/>
    <mergeCell ref="GR72:GS72"/>
    <mergeCell ref="GT72:GU72"/>
    <mergeCell ref="DT71:DU71"/>
    <mergeCell ref="FV71:FW71"/>
    <mergeCell ref="FX71:FY71"/>
    <mergeCell ref="DX75:DY75"/>
    <mergeCell ref="DZ75:EA75"/>
    <mergeCell ref="EB75:EC75"/>
    <mergeCell ref="ED75:EE75"/>
    <mergeCell ref="EF75:EG75"/>
    <mergeCell ref="EH75:EI75"/>
    <mergeCell ref="EJ75:EK75"/>
    <mergeCell ref="EL75:EM75"/>
    <mergeCell ref="EN75:EO75"/>
    <mergeCell ref="EP75:EQ75"/>
    <mergeCell ref="ER75:ES75"/>
    <mergeCell ref="ET75:EU75"/>
    <mergeCell ref="EV75:EW75"/>
    <mergeCell ref="EX75:EY75"/>
    <mergeCell ref="EZ75:FA75"/>
    <mergeCell ref="FB75:FC75"/>
    <mergeCell ref="GJ73:GK73"/>
    <mergeCell ref="GL73:GM73"/>
    <mergeCell ref="GN73:GO73"/>
    <mergeCell ref="GP73:GQ73"/>
    <mergeCell ref="GR73:GS73"/>
    <mergeCell ref="GT73:GU73"/>
    <mergeCell ref="DT74:DU74"/>
    <mergeCell ref="DV74:DW74"/>
    <mergeCell ref="DX74:DY74"/>
    <mergeCell ref="DZ74:EA74"/>
    <mergeCell ref="EB74:EC74"/>
    <mergeCell ref="ED74:EE74"/>
    <mergeCell ref="EF74:EG74"/>
    <mergeCell ref="EH74:EI74"/>
    <mergeCell ref="EJ74:EK74"/>
    <mergeCell ref="EL74:EM74"/>
    <mergeCell ref="EN74:EO74"/>
    <mergeCell ref="EP74:EQ74"/>
    <mergeCell ref="ER74:ES74"/>
    <mergeCell ref="ET74:EU74"/>
    <mergeCell ref="EV74:EW74"/>
    <mergeCell ref="EX74:EY74"/>
    <mergeCell ref="EZ74:FA74"/>
    <mergeCell ref="FB74:FC74"/>
    <mergeCell ref="FD74:FE74"/>
    <mergeCell ref="FF74:FG74"/>
    <mergeCell ref="FH74:FI74"/>
    <mergeCell ref="FJ74:FK74"/>
    <mergeCell ref="FL74:FM74"/>
    <mergeCell ref="FN74:FO74"/>
    <mergeCell ref="FP74:FQ74"/>
    <mergeCell ref="FR74:FS74"/>
    <mergeCell ref="FT74:FU74"/>
    <mergeCell ref="FV74:FW74"/>
    <mergeCell ref="FX74:FY74"/>
    <mergeCell ref="FZ74:GA74"/>
    <mergeCell ref="GB74:GC74"/>
    <mergeCell ref="GD74:GE74"/>
    <mergeCell ref="GF74:GG74"/>
    <mergeCell ref="GH74:GI74"/>
    <mergeCell ref="GJ74:GK74"/>
    <mergeCell ref="GL74:GM74"/>
    <mergeCell ref="GN74:GO74"/>
    <mergeCell ref="GP74:GQ74"/>
    <mergeCell ref="GR74:GS74"/>
    <mergeCell ref="GT74:GU74"/>
    <mergeCell ref="DT73:DU73"/>
    <mergeCell ref="DV73:DW73"/>
    <mergeCell ref="GH75:GI75"/>
    <mergeCell ref="FD75:FE75"/>
    <mergeCell ref="FF75:FG75"/>
    <mergeCell ref="FH75:FI75"/>
    <mergeCell ref="FJ75:FK75"/>
    <mergeCell ref="FL75:FM75"/>
    <mergeCell ref="FN75:FO75"/>
    <mergeCell ref="FP75:FQ75"/>
    <mergeCell ref="FR75:FS75"/>
    <mergeCell ref="FT75:FU75"/>
    <mergeCell ref="FV75:FW75"/>
    <mergeCell ref="FX75:FY75"/>
    <mergeCell ref="FZ75:GA75"/>
    <mergeCell ref="GB75:GC75"/>
    <mergeCell ref="GD75:GE75"/>
    <mergeCell ref="GF75:GG75"/>
    <mergeCell ref="GJ75:GK75"/>
    <mergeCell ref="GL75:GM75"/>
    <mergeCell ref="GN75:GO75"/>
    <mergeCell ref="GP75:GQ75"/>
    <mergeCell ref="GR75:GS75"/>
    <mergeCell ref="GT75:GU75"/>
    <mergeCell ref="DT75:DU75"/>
    <mergeCell ref="DV75:DW75"/>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DT78:DU78"/>
    <mergeCell ref="DV78:DW78"/>
    <mergeCell ref="DX78:DY78"/>
    <mergeCell ref="DZ78:EA78"/>
    <mergeCell ref="EB78:EC78"/>
    <mergeCell ref="ED78:EE78"/>
    <mergeCell ref="EF78:EG78"/>
    <mergeCell ref="EH78:EI78"/>
    <mergeCell ref="EJ78:EK78"/>
    <mergeCell ref="EL78:EM78"/>
    <mergeCell ref="EN78:EO78"/>
    <mergeCell ref="EP78:EQ78"/>
    <mergeCell ref="ER78:ES78"/>
    <mergeCell ref="ET78:EU78"/>
    <mergeCell ref="EV78:EW78"/>
    <mergeCell ref="EX78:EY78"/>
    <mergeCell ref="EZ78:FA78"/>
    <mergeCell ref="FB78:FC78"/>
    <mergeCell ref="FD78:FE78"/>
    <mergeCell ref="FF78:FG78"/>
    <mergeCell ref="FH78:FI78"/>
    <mergeCell ref="FJ78:FK78"/>
    <mergeCell ref="FL78:FM78"/>
    <mergeCell ref="FN78:FO78"/>
    <mergeCell ref="FP80:FQ80"/>
    <mergeCell ref="FR80:FS80"/>
    <mergeCell ref="FT80:FU80"/>
    <mergeCell ref="FV80:FW80"/>
    <mergeCell ref="FX80:FY80"/>
    <mergeCell ref="FZ80:GA80"/>
    <mergeCell ref="GB80:GC80"/>
    <mergeCell ref="GD80:GE80"/>
    <mergeCell ref="GF80:GG80"/>
    <mergeCell ref="FP78:FQ78"/>
    <mergeCell ref="FR78:FS78"/>
    <mergeCell ref="FT78:FU78"/>
    <mergeCell ref="FV78:FW78"/>
    <mergeCell ref="FX78:FY78"/>
    <mergeCell ref="FZ78:GA78"/>
    <mergeCell ref="GB78:GC78"/>
    <mergeCell ref="GD78:GE78"/>
    <mergeCell ref="GF78:GG78"/>
    <mergeCell ref="GH78:GI78"/>
    <mergeCell ref="GJ78:GK78"/>
    <mergeCell ref="GL78:GM78"/>
    <mergeCell ref="GN78:GO78"/>
    <mergeCell ref="GP78:GQ78"/>
    <mergeCell ref="GR78:GS78"/>
    <mergeCell ref="GT78:GU78"/>
    <mergeCell ref="GH79:GI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J79:GK79"/>
    <mergeCell ref="GL79:GM79"/>
    <mergeCell ref="GN79:GO79"/>
    <mergeCell ref="GP79:GQ79"/>
    <mergeCell ref="GR79:GS79"/>
    <mergeCell ref="GT79:GU79"/>
    <mergeCell ref="DT81:DU81"/>
    <mergeCell ref="DV81:DW81"/>
    <mergeCell ref="DX81:DY81"/>
    <mergeCell ref="DZ81:EA81"/>
    <mergeCell ref="EB81:EC81"/>
    <mergeCell ref="ED81:EE81"/>
    <mergeCell ref="EF81:EG81"/>
    <mergeCell ref="EH81:EI81"/>
    <mergeCell ref="EJ81:EK81"/>
    <mergeCell ref="DT80:DU80"/>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EZ83:FA83"/>
    <mergeCell ref="FB83:FC83"/>
    <mergeCell ref="FD83:FE83"/>
    <mergeCell ref="FF83:FG83"/>
    <mergeCell ref="FH83:FI83"/>
    <mergeCell ref="FJ83:FK83"/>
    <mergeCell ref="FL83:FM83"/>
    <mergeCell ref="FN83:FO83"/>
    <mergeCell ref="FP83:FQ83"/>
    <mergeCell ref="GH80:GI80"/>
    <mergeCell ref="GJ80:GK80"/>
    <mergeCell ref="GL80:GM80"/>
    <mergeCell ref="GN80:GO80"/>
    <mergeCell ref="GP80:GQ80"/>
    <mergeCell ref="GR80:GS80"/>
    <mergeCell ref="GT80:GU80"/>
    <mergeCell ref="DT79:DU79"/>
    <mergeCell ref="DV79:DW79"/>
    <mergeCell ref="GJ81:GK81"/>
    <mergeCell ref="GL81:GM81"/>
    <mergeCell ref="GN81:GO81"/>
    <mergeCell ref="GP81:GQ81"/>
    <mergeCell ref="GR81:GS81"/>
    <mergeCell ref="GT81:GU81"/>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ET82:EU82"/>
    <mergeCell ref="EV82:EW82"/>
    <mergeCell ref="EX82:EY82"/>
    <mergeCell ref="EZ82:FA82"/>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GD82:GE82"/>
    <mergeCell ref="GF82:GG82"/>
    <mergeCell ref="GH82:GI82"/>
    <mergeCell ref="GJ82:GK82"/>
    <mergeCell ref="GL82:GM82"/>
    <mergeCell ref="GN82:GO82"/>
    <mergeCell ref="GP82:GQ82"/>
    <mergeCell ref="GR82:GS82"/>
    <mergeCell ref="GT82:GU82"/>
    <mergeCell ref="GH81:GI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DX85:DY85"/>
    <mergeCell ref="DZ85:EA85"/>
    <mergeCell ref="EB85:EC85"/>
    <mergeCell ref="ED85:EE85"/>
    <mergeCell ref="EF85:EG85"/>
    <mergeCell ref="EH85:EI85"/>
    <mergeCell ref="EJ85:EK85"/>
    <mergeCell ref="EL85:EM85"/>
    <mergeCell ref="EN85:EO85"/>
    <mergeCell ref="EP85:EQ85"/>
    <mergeCell ref="ER85:ES85"/>
    <mergeCell ref="ET85:EU85"/>
    <mergeCell ref="EV85:EW85"/>
    <mergeCell ref="EX85:EY85"/>
    <mergeCell ref="EZ85:FA85"/>
    <mergeCell ref="FB85:FC85"/>
    <mergeCell ref="GH83:GI83"/>
    <mergeCell ref="GH85:GI85"/>
    <mergeCell ref="FD85:FE85"/>
    <mergeCell ref="FF85:FG85"/>
    <mergeCell ref="FH85:FI85"/>
    <mergeCell ref="FJ85:FK85"/>
    <mergeCell ref="FL85:FM85"/>
    <mergeCell ref="FN85:FO85"/>
    <mergeCell ref="FP85:FQ85"/>
    <mergeCell ref="FR85:FS85"/>
    <mergeCell ref="FT85:FU85"/>
    <mergeCell ref="FV85:FW85"/>
    <mergeCell ref="FX85:FY85"/>
    <mergeCell ref="FZ85:GA85"/>
    <mergeCell ref="GB85:GC85"/>
    <mergeCell ref="GD85:GE85"/>
    <mergeCell ref="GF85:GG85"/>
    <mergeCell ref="EL81:EM81"/>
    <mergeCell ref="EN81:EO81"/>
    <mergeCell ref="EP81:EQ81"/>
    <mergeCell ref="ER81:ES81"/>
    <mergeCell ref="ET81:EU81"/>
    <mergeCell ref="EV81:EW81"/>
    <mergeCell ref="EX81:EY81"/>
    <mergeCell ref="EZ81:FA81"/>
    <mergeCell ref="FB81:FC81"/>
    <mergeCell ref="DX83:DY83"/>
    <mergeCell ref="DZ83:EA83"/>
    <mergeCell ref="EB83:EC83"/>
    <mergeCell ref="ED83:EE83"/>
    <mergeCell ref="EF83:EG83"/>
    <mergeCell ref="EH83:EI83"/>
    <mergeCell ref="GJ83:GK83"/>
    <mergeCell ref="GL83:GM83"/>
    <mergeCell ref="GN83:GO83"/>
    <mergeCell ref="GP83:GQ83"/>
    <mergeCell ref="GR83:GS83"/>
    <mergeCell ref="GT83:GU83"/>
    <mergeCell ref="DT84:DU84"/>
    <mergeCell ref="DV84:DW84"/>
    <mergeCell ref="DX84:DY84"/>
    <mergeCell ref="DZ84:EA84"/>
    <mergeCell ref="EB84:EC84"/>
    <mergeCell ref="ED84:EE84"/>
    <mergeCell ref="EF84:EG84"/>
    <mergeCell ref="EH84:EI84"/>
    <mergeCell ref="EJ84:EK84"/>
    <mergeCell ref="EL84:EM84"/>
    <mergeCell ref="EN84:EO84"/>
    <mergeCell ref="EP84:EQ84"/>
    <mergeCell ref="ER84:ES84"/>
    <mergeCell ref="ET84:EU84"/>
    <mergeCell ref="EV84:EW84"/>
    <mergeCell ref="EX84:EY84"/>
    <mergeCell ref="EZ84:FA84"/>
    <mergeCell ref="FB84:FC84"/>
    <mergeCell ref="FD84:FE84"/>
    <mergeCell ref="FF84:FG84"/>
    <mergeCell ref="FH84:FI84"/>
    <mergeCell ref="FJ84:FK84"/>
    <mergeCell ref="FL84:FM84"/>
    <mergeCell ref="FN84:FO84"/>
    <mergeCell ref="FP84:FQ84"/>
    <mergeCell ref="FR84:FS84"/>
    <mergeCell ref="FT84:FU84"/>
    <mergeCell ref="FV84:FW84"/>
    <mergeCell ref="FX84:FY84"/>
    <mergeCell ref="FZ84:GA84"/>
    <mergeCell ref="GB84:GC84"/>
    <mergeCell ref="GD84:GE84"/>
    <mergeCell ref="GF84:GG84"/>
    <mergeCell ref="GH84:GI84"/>
    <mergeCell ref="GJ84:GK84"/>
    <mergeCell ref="GL84:GM84"/>
    <mergeCell ref="GN84:GO84"/>
    <mergeCell ref="GP84:GQ84"/>
    <mergeCell ref="GR84:GS84"/>
    <mergeCell ref="GT84:GU84"/>
    <mergeCell ref="DT83:DU83"/>
    <mergeCell ref="FR83:FS83"/>
    <mergeCell ref="FT83:FU83"/>
    <mergeCell ref="FV83:FW83"/>
    <mergeCell ref="FX83:FY83"/>
    <mergeCell ref="FZ83:GA83"/>
    <mergeCell ref="GB83:GC83"/>
    <mergeCell ref="GD83:GE83"/>
    <mergeCell ref="GF83:GG83"/>
    <mergeCell ref="DV83:DW83"/>
    <mergeCell ref="EJ83:EK83"/>
    <mergeCell ref="EL83:EM83"/>
    <mergeCell ref="EN83:EO83"/>
    <mergeCell ref="EP83:EQ83"/>
    <mergeCell ref="ER83:ES83"/>
    <mergeCell ref="ET83:EU83"/>
    <mergeCell ref="EV83:EW83"/>
    <mergeCell ref="EX83:EY83"/>
    <mergeCell ref="GJ85:GK85"/>
    <mergeCell ref="GL85:GM85"/>
    <mergeCell ref="GN85:GO85"/>
    <mergeCell ref="GP85:GQ85"/>
    <mergeCell ref="GR85:GS85"/>
    <mergeCell ref="GT85:GU85"/>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H87:GI87"/>
    <mergeCell ref="GJ87:GK87"/>
    <mergeCell ref="GL87:GM87"/>
    <mergeCell ref="GN87:GO87"/>
    <mergeCell ref="GP87:GQ87"/>
    <mergeCell ref="GR87:GS87"/>
    <mergeCell ref="GT87:GU87"/>
    <mergeCell ref="DT85:DU85"/>
    <mergeCell ref="DV85:DW85"/>
    <mergeCell ref="GJ88:GK88"/>
    <mergeCell ref="GL88:GM88"/>
    <mergeCell ref="GN88:GO88"/>
    <mergeCell ref="GP88:GQ88"/>
    <mergeCell ref="GR88:GS88"/>
    <mergeCell ref="GT88:GU88"/>
    <mergeCell ref="DT89:DU89"/>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9:GI89"/>
    <mergeCell ref="GJ89:GK89"/>
    <mergeCell ref="GL89:GM89"/>
    <mergeCell ref="GN89:GO89"/>
    <mergeCell ref="GP89:GQ89"/>
    <mergeCell ref="GR89:GS89"/>
    <mergeCell ref="GT89:GU89"/>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88:GI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GH90:GI90"/>
    <mergeCell ref="GJ90:GK90"/>
    <mergeCell ref="GL90:GM90"/>
    <mergeCell ref="GN90:GO90"/>
    <mergeCell ref="GP90:GQ90"/>
    <mergeCell ref="GR90:GS90"/>
    <mergeCell ref="GT90:GU90"/>
    <mergeCell ref="DT91:DU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FD91:FE91"/>
    <mergeCell ref="FF91:FG91"/>
    <mergeCell ref="FH91:FI91"/>
    <mergeCell ref="FJ91:FK91"/>
    <mergeCell ref="FL91:FM91"/>
    <mergeCell ref="FN91:FO91"/>
    <mergeCell ref="FP91:FQ91"/>
    <mergeCell ref="FR91:FS91"/>
    <mergeCell ref="FT91:FU91"/>
    <mergeCell ref="FV91:FW91"/>
    <mergeCell ref="FX91:FY91"/>
    <mergeCell ref="FZ91:GA91"/>
    <mergeCell ref="GB91:GC91"/>
    <mergeCell ref="GD91:GE91"/>
    <mergeCell ref="GF91:GG91"/>
    <mergeCell ref="GH91:GI91"/>
    <mergeCell ref="GJ91:GK91"/>
    <mergeCell ref="GL91:GM91"/>
    <mergeCell ref="GN91:GO91"/>
    <mergeCell ref="GP91:GQ91"/>
    <mergeCell ref="GR91:GS91"/>
    <mergeCell ref="GT91:GU91"/>
    <mergeCell ref="DT90:DU90"/>
    <mergeCell ref="GH92:GI92"/>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J92:GK92"/>
    <mergeCell ref="GL92:GM92"/>
    <mergeCell ref="GN92:GO92"/>
    <mergeCell ref="GP92:GQ92"/>
    <mergeCell ref="GR92:GS92"/>
    <mergeCell ref="GT92:GU92"/>
    <mergeCell ref="DT93:DU93"/>
    <mergeCell ref="DV93:DW93"/>
    <mergeCell ref="DX93:DY93"/>
    <mergeCell ref="DZ93:EA93"/>
    <mergeCell ref="EB93:EC93"/>
    <mergeCell ref="ED93:EE93"/>
    <mergeCell ref="EF93:EG93"/>
    <mergeCell ref="EH93:EI93"/>
    <mergeCell ref="EJ93:EK93"/>
    <mergeCell ref="EL93:EM93"/>
    <mergeCell ref="EN93:EO93"/>
    <mergeCell ref="EP93:EQ93"/>
    <mergeCell ref="ER93:ES93"/>
    <mergeCell ref="ET93:EU93"/>
    <mergeCell ref="EV93:EW93"/>
    <mergeCell ref="EX93:EY93"/>
    <mergeCell ref="EZ93:FA93"/>
    <mergeCell ref="FB93:FC93"/>
    <mergeCell ref="FD93:FE93"/>
    <mergeCell ref="FF93:FG93"/>
    <mergeCell ref="FH93:FI93"/>
    <mergeCell ref="FJ93:FK93"/>
    <mergeCell ref="FL93:FM93"/>
    <mergeCell ref="FN93:FO93"/>
    <mergeCell ref="FP93:FQ93"/>
    <mergeCell ref="FR93:FS93"/>
    <mergeCell ref="FT93:FU93"/>
    <mergeCell ref="FV93:FW93"/>
    <mergeCell ref="FX93:FY93"/>
    <mergeCell ref="FZ93:GA93"/>
    <mergeCell ref="GB93:GC93"/>
    <mergeCell ref="GD93:GE93"/>
    <mergeCell ref="GF93:GG93"/>
    <mergeCell ref="GH93:GI93"/>
    <mergeCell ref="GJ93:GK93"/>
    <mergeCell ref="GL93:GM93"/>
    <mergeCell ref="GN93:GO93"/>
    <mergeCell ref="GP93:GQ93"/>
    <mergeCell ref="GR93:GS93"/>
    <mergeCell ref="GT93:GU93"/>
    <mergeCell ref="DT92:DU92"/>
    <mergeCell ref="DV92:DW92"/>
    <mergeCell ref="GJ94:GK94"/>
    <mergeCell ref="GL94:GM94"/>
    <mergeCell ref="GN94:GO94"/>
    <mergeCell ref="GP94:GQ94"/>
    <mergeCell ref="GR94:GS94"/>
    <mergeCell ref="GT94:GU94"/>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DT94:DU94"/>
    <mergeCell ref="DV94:DW94"/>
    <mergeCell ref="DX94:DY94"/>
    <mergeCell ref="DZ94:EA94"/>
    <mergeCell ref="EB94:EC94"/>
    <mergeCell ref="ED94:EE94"/>
    <mergeCell ref="EF94:EG94"/>
    <mergeCell ref="EH94:EI94"/>
    <mergeCell ref="EJ94:EK94"/>
    <mergeCell ref="EL94:EM94"/>
    <mergeCell ref="EN94:EO94"/>
    <mergeCell ref="EP94:EQ94"/>
    <mergeCell ref="ER94:ES94"/>
    <mergeCell ref="ET94:EU94"/>
    <mergeCell ref="EV94:EW94"/>
    <mergeCell ref="EX94:EY94"/>
    <mergeCell ref="EZ94:FA94"/>
    <mergeCell ref="FB94:FC94"/>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4:GI94"/>
    <mergeCell ref="FD94:FE94"/>
    <mergeCell ref="FF94:FG94"/>
    <mergeCell ref="FH94:FI94"/>
    <mergeCell ref="FJ94:FK94"/>
    <mergeCell ref="FL94:FM94"/>
    <mergeCell ref="FN94:FO94"/>
    <mergeCell ref="FP94:FQ94"/>
    <mergeCell ref="FR94:FS94"/>
    <mergeCell ref="FT94:FU94"/>
    <mergeCell ref="FV94:FW94"/>
    <mergeCell ref="FX94:FY94"/>
    <mergeCell ref="FZ94:GA94"/>
    <mergeCell ref="GB94:GC94"/>
    <mergeCell ref="GD94:GE94"/>
    <mergeCell ref="GF94:GG94"/>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GH97:GI97"/>
    <mergeCell ref="GJ97:GK97"/>
    <mergeCell ref="GL97:GM97"/>
    <mergeCell ref="GN97:GO97"/>
    <mergeCell ref="GP97:GQ97"/>
    <mergeCell ref="GR97:GS97"/>
    <mergeCell ref="GT97:GU97"/>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DT97:DU97"/>
    <mergeCell ref="GH99:GI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J99:GK99"/>
    <mergeCell ref="GL99:GM99"/>
    <mergeCell ref="GN99:GO99"/>
    <mergeCell ref="GP99:GQ99"/>
    <mergeCell ref="GR99:GS99"/>
    <mergeCell ref="GT99:GU99"/>
    <mergeCell ref="DT100:DU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R100:FS100"/>
    <mergeCell ref="FT100:FU100"/>
    <mergeCell ref="FV100:FW100"/>
    <mergeCell ref="FX100:FY100"/>
    <mergeCell ref="FZ100:GA100"/>
    <mergeCell ref="GB100:GC100"/>
    <mergeCell ref="GD100:GE100"/>
    <mergeCell ref="GF100:GG100"/>
    <mergeCell ref="GH100:GI100"/>
    <mergeCell ref="GJ100:GK100"/>
    <mergeCell ref="GL100:GM100"/>
    <mergeCell ref="GN100:GO100"/>
    <mergeCell ref="GP100:GQ100"/>
    <mergeCell ref="GR100:GS100"/>
    <mergeCell ref="GT100:GU100"/>
    <mergeCell ref="DT99:DU99"/>
    <mergeCell ref="DV99:DW99"/>
    <mergeCell ref="GJ101:GK101"/>
    <mergeCell ref="GL101:GM101"/>
    <mergeCell ref="GN101:GO101"/>
    <mergeCell ref="GP101:GQ101"/>
    <mergeCell ref="GR101:GS101"/>
    <mergeCell ref="GT101:GU101"/>
    <mergeCell ref="DT102:DU102"/>
    <mergeCell ref="DV102:DW102"/>
    <mergeCell ref="DX102:DY102"/>
    <mergeCell ref="DZ102:EA102"/>
    <mergeCell ref="EB102:EC102"/>
    <mergeCell ref="ED102:EE102"/>
    <mergeCell ref="EF102:EG102"/>
    <mergeCell ref="EH102:EI102"/>
    <mergeCell ref="EJ102:EK102"/>
    <mergeCell ref="EL102:EM102"/>
    <mergeCell ref="EN102:EO102"/>
    <mergeCell ref="EP102:EQ102"/>
    <mergeCell ref="ER102:ES102"/>
    <mergeCell ref="ET102:EU102"/>
    <mergeCell ref="EV102:EW102"/>
    <mergeCell ref="EX102:EY102"/>
    <mergeCell ref="EZ102:FA102"/>
    <mergeCell ref="FB102:FC102"/>
    <mergeCell ref="FD102:FE102"/>
    <mergeCell ref="FF102:FG102"/>
    <mergeCell ref="FH102:FI102"/>
    <mergeCell ref="FJ102:FK102"/>
    <mergeCell ref="FL102:FM102"/>
    <mergeCell ref="FN102:FO102"/>
    <mergeCell ref="FP102:FQ102"/>
    <mergeCell ref="FR102:FS102"/>
    <mergeCell ref="FT102:FU102"/>
    <mergeCell ref="FV102:FW102"/>
    <mergeCell ref="FX102:FY102"/>
    <mergeCell ref="FZ102:GA102"/>
    <mergeCell ref="GB102:GC102"/>
    <mergeCell ref="GD102:GE102"/>
    <mergeCell ref="GF102:GG102"/>
    <mergeCell ref="GH102:GI102"/>
    <mergeCell ref="GJ102:GK102"/>
    <mergeCell ref="GL102:GM102"/>
    <mergeCell ref="GN102:GO102"/>
    <mergeCell ref="GP102:GQ102"/>
    <mergeCell ref="GR102:GS102"/>
    <mergeCell ref="GT102:GU102"/>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1:GI101"/>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GH103:GI103"/>
    <mergeCell ref="GJ103:GK103"/>
    <mergeCell ref="GL103:GM103"/>
    <mergeCell ref="GN103:GO103"/>
    <mergeCell ref="GP103:GQ103"/>
    <mergeCell ref="GR103:GS103"/>
    <mergeCell ref="GT103:GU103"/>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DT103:DU103"/>
    <mergeCell ref="GH106:GI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J106:GK106"/>
    <mergeCell ref="GL106:GM106"/>
    <mergeCell ref="GN106:GO106"/>
    <mergeCell ref="GP106:GQ106"/>
    <mergeCell ref="GR106:GS106"/>
    <mergeCell ref="GT106:GU106"/>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DT106:DU106"/>
    <mergeCell ref="DV106:DW106"/>
    <mergeCell ref="GL108:GM108"/>
    <mergeCell ref="GN108:GO108"/>
    <mergeCell ref="GP108:GQ108"/>
    <mergeCell ref="GR108:GS108"/>
    <mergeCell ref="GT108:GU108"/>
    <mergeCell ref="DT109:DU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R109:FS109"/>
    <mergeCell ref="FT109:FU109"/>
    <mergeCell ref="FV109:FW109"/>
    <mergeCell ref="FX109:FY109"/>
    <mergeCell ref="FZ109:GA109"/>
    <mergeCell ref="GB109:GC109"/>
    <mergeCell ref="GD109:GE109"/>
    <mergeCell ref="GF109:GG109"/>
    <mergeCell ref="GH109:GI109"/>
    <mergeCell ref="GJ109:GK109"/>
    <mergeCell ref="GL109:GM109"/>
    <mergeCell ref="GN109:GO109"/>
    <mergeCell ref="GP109:GQ109"/>
    <mergeCell ref="GR109:GS109"/>
    <mergeCell ref="GT109:GU109"/>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08:GI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GJ108:GK108"/>
    <mergeCell ref="GH110:GI110"/>
    <mergeCell ref="GJ110:GK110"/>
    <mergeCell ref="GL110:GM110"/>
    <mergeCell ref="GN110:GO110"/>
    <mergeCell ref="GP110:GQ110"/>
    <mergeCell ref="GR110:GS110"/>
    <mergeCell ref="GT110:GU110"/>
    <mergeCell ref="DT111:DU111"/>
    <mergeCell ref="DV111:DW111"/>
    <mergeCell ref="DX111:DY111"/>
    <mergeCell ref="DZ111:EA111"/>
    <mergeCell ref="EB111:EC111"/>
    <mergeCell ref="ED111:EE111"/>
    <mergeCell ref="EF111:EG111"/>
    <mergeCell ref="EH111:EI111"/>
    <mergeCell ref="EJ111:EK111"/>
    <mergeCell ref="EL111:EM111"/>
    <mergeCell ref="EN111:EO111"/>
    <mergeCell ref="EP111:EQ111"/>
    <mergeCell ref="ER111:ES111"/>
    <mergeCell ref="ET111:EU111"/>
    <mergeCell ref="EV111:EW111"/>
    <mergeCell ref="EX111:EY111"/>
    <mergeCell ref="EZ111:FA111"/>
    <mergeCell ref="FB111:FC111"/>
    <mergeCell ref="FD111:FE111"/>
    <mergeCell ref="FF111:FG111"/>
    <mergeCell ref="FH111:FI111"/>
    <mergeCell ref="FJ111:FK111"/>
    <mergeCell ref="FL111:FM111"/>
    <mergeCell ref="FN111:FO111"/>
    <mergeCell ref="FP111:FQ111"/>
    <mergeCell ref="FR111:FS111"/>
    <mergeCell ref="FT111:FU111"/>
    <mergeCell ref="FV111:FW111"/>
    <mergeCell ref="FX111:FY111"/>
    <mergeCell ref="FZ111:GA111"/>
    <mergeCell ref="GB111:GC111"/>
    <mergeCell ref="GD111:GE111"/>
    <mergeCell ref="GF111:GG111"/>
    <mergeCell ref="GH111:GI111"/>
    <mergeCell ref="GJ111:GK111"/>
    <mergeCell ref="GL111:GM111"/>
    <mergeCell ref="GN111:GO111"/>
    <mergeCell ref="GP111:GQ111"/>
    <mergeCell ref="GR111:GS111"/>
    <mergeCell ref="GT111:GU111"/>
    <mergeCell ref="DT110:DU110"/>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D110:FE110"/>
    <mergeCell ref="GR112:GS112"/>
    <mergeCell ref="GT112:GU112"/>
    <mergeCell ref="DT112:DU112"/>
    <mergeCell ref="DV112:DW112"/>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FJ112:FK112"/>
    <mergeCell ref="FL112:FM112"/>
    <mergeCell ref="FN112:FO112"/>
    <mergeCell ref="FP112:FQ112"/>
    <mergeCell ref="FR112:FS112"/>
    <mergeCell ref="FT112:FU112"/>
    <mergeCell ref="FV112:FW112"/>
    <mergeCell ref="FX112:FY112"/>
    <mergeCell ref="FZ112:GA112"/>
    <mergeCell ref="GB112:GC112"/>
    <mergeCell ref="GD112:GE112"/>
    <mergeCell ref="GF112:GG112"/>
    <mergeCell ref="GH115:GI115"/>
    <mergeCell ref="GH117:GI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J112:GK112"/>
    <mergeCell ref="GL112:GM112"/>
    <mergeCell ref="GN112:GO112"/>
    <mergeCell ref="GP112:GQ112"/>
    <mergeCell ref="GT115:GU115"/>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R116:GS116"/>
    <mergeCell ref="GT116:GU116"/>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FD115:FE115"/>
    <mergeCell ref="FF115:FG115"/>
    <mergeCell ref="FH115:FI115"/>
    <mergeCell ref="FJ115:FK115"/>
    <mergeCell ref="FL115:FM115"/>
    <mergeCell ref="GT117:GU117"/>
    <mergeCell ref="DT118:DU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R118:FS118"/>
    <mergeCell ref="FT118:FU118"/>
    <mergeCell ref="FV118:FW118"/>
    <mergeCell ref="FX118:FY118"/>
    <mergeCell ref="FZ118:GA118"/>
    <mergeCell ref="GB118:GC118"/>
    <mergeCell ref="GD118:GE118"/>
    <mergeCell ref="GF118:GG118"/>
    <mergeCell ref="GH118:GI118"/>
    <mergeCell ref="GJ118:GK118"/>
    <mergeCell ref="GL118:GM118"/>
    <mergeCell ref="GN118:GO118"/>
    <mergeCell ref="GP118:GQ118"/>
    <mergeCell ref="GR118:GS118"/>
    <mergeCell ref="GT118:GU118"/>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GT119:GU119"/>
    <mergeCell ref="DT120:DU120"/>
    <mergeCell ref="DV120:DW120"/>
    <mergeCell ref="DX120:DY120"/>
    <mergeCell ref="DZ120:EA120"/>
    <mergeCell ref="EB120:EC120"/>
    <mergeCell ref="ED120:EE120"/>
    <mergeCell ref="EF120:EG120"/>
    <mergeCell ref="EH120:EI120"/>
    <mergeCell ref="EJ120:EK120"/>
    <mergeCell ref="EL120:EM120"/>
    <mergeCell ref="EN120:EO120"/>
    <mergeCell ref="EP120:EQ120"/>
    <mergeCell ref="ER120:ES120"/>
    <mergeCell ref="ET120:EU120"/>
    <mergeCell ref="EV120:EW120"/>
    <mergeCell ref="EX120:EY120"/>
    <mergeCell ref="EZ120:FA120"/>
    <mergeCell ref="FB120:FC120"/>
    <mergeCell ref="FD120:FE120"/>
    <mergeCell ref="FF120:FG120"/>
    <mergeCell ref="FH120:FI120"/>
    <mergeCell ref="FJ120:FK120"/>
    <mergeCell ref="FL120:FM120"/>
    <mergeCell ref="FN120:FO120"/>
    <mergeCell ref="FP120:FQ120"/>
    <mergeCell ref="FR120:FS120"/>
    <mergeCell ref="FT120:FU120"/>
    <mergeCell ref="FV120:FW120"/>
    <mergeCell ref="FX120:FY120"/>
    <mergeCell ref="FZ120:GA120"/>
    <mergeCell ref="GB120:GC120"/>
    <mergeCell ref="GD120:GE120"/>
    <mergeCell ref="GF120:GG120"/>
    <mergeCell ref="GH120:GI120"/>
    <mergeCell ref="GJ120:GK120"/>
    <mergeCell ref="GL120:GM120"/>
    <mergeCell ref="GN120:GO120"/>
    <mergeCell ref="GP120:GQ120"/>
    <mergeCell ref="GR120:GS120"/>
    <mergeCell ref="GT120:GU120"/>
    <mergeCell ref="DT119:DU119"/>
    <mergeCell ref="DV119:DW119"/>
    <mergeCell ref="DX119:DY119"/>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H126:GI126"/>
    <mergeCell ref="GH125:GI125"/>
    <mergeCell ref="GJ121:GK121"/>
    <mergeCell ref="GJ125:GK125"/>
    <mergeCell ref="ET126:EU126"/>
    <mergeCell ref="EV126:EW126"/>
    <mergeCell ref="EX126:EY126"/>
    <mergeCell ref="EZ126:FA126"/>
    <mergeCell ref="FB126:FC126"/>
    <mergeCell ref="GL121:GM121"/>
    <mergeCell ref="GN121:GO121"/>
    <mergeCell ref="GP121:GQ121"/>
    <mergeCell ref="GR121:GS121"/>
    <mergeCell ref="GT121:GU121"/>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GH121:GI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L125:GM125"/>
    <mergeCell ref="GN125:GO125"/>
    <mergeCell ref="GP125:GQ125"/>
    <mergeCell ref="GR125:GS125"/>
    <mergeCell ref="GT125:GU125"/>
    <mergeCell ref="GJ126:GK126"/>
    <mergeCell ref="GL126:GM126"/>
    <mergeCell ref="GN126:GO126"/>
    <mergeCell ref="GP126:GQ126"/>
    <mergeCell ref="GR126:GS126"/>
    <mergeCell ref="GT126:GU126"/>
    <mergeCell ref="DT127:DU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R127:FS127"/>
    <mergeCell ref="FT127:FU127"/>
    <mergeCell ref="FV127:FW127"/>
    <mergeCell ref="FX127:FY127"/>
    <mergeCell ref="FZ127:GA127"/>
    <mergeCell ref="GB127:GC127"/>
    <mergeCell ref="GD127:GE127"/>
    <mergeCell ref="GF127:GG127"/>
    <mergeCell ref="GH127:GI127"/>
    <mergeCell ref="GJ127:GK127"/>
    <mergeCell ref="GL127:GM127"/>
    <mergeCell ref="GN127:GO127"/>
    <mergeCell ref="GP127:GQ127"/>
    <mergeCell ref="GR127:GS127"/>
    <mergeCell ref="GT127:GU127"/>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GJ128:GK128"/>
    <mergeCell ref="GL128:GM128"/>
    <mergeCell ref="GN128:GO128"/>
    <mergeCell ref="GP128:GQ128"/>
    <mergeCell ref="GR128:GS128"/>
    <mergeCell ref="GT128:GU128"/>
    <mergeCell ref="DT129:DU129"/>
    <mergeCell ref="DV129:DW129"/>
    <mergeCell ref="DX129:DY129"/>
    <mergeCell ref="DZ129:EA129"/>
    <mergeCell ref="EB129:EC129"/>
    <mergeCell ref="ED129:EE129"/>
    <mergeCell ref="EF129:EG129"/>
    <mergeCell ref="EH129:EI129"/>
    <mergeCell ref="EJ129:EK129"/>
    <mergeCell ref="EL129:EM129"/>
    <mergeCell ref="EN129:EO129"/>
    <mergeCell ref="EP129:EQ129"/>
    <mergeCell ref="ER129:ES129"/>
    <mergeCell ref="ET129:EU129"/>
    <mergeCell ref="EV129:EW129"/>
    <mergeCell ref="EX129:EY129"/>
    <mergeCell ref="EZ129:FA129"/>
    <mergeCell ref="FB129:FC129"/>
    <mergeCell ref="FD129:FE129"/>
    <mergeCell ref="FF129:FG129"/>
    <mergeCell ref="FH129:FI129"/>
    <mergeCell ref="FJ129:FK129"/>
    <mergeCell ref="FL129:FM129"/>
    <mergeCell ref="FN129:FO129"/>
    <mergeCell ref="FP129:FQ129"/>
    <mergeCell ref="FR129:FS129"/>
    <mergeCell ref="FT129:FU129"/>
    <mergeCell ref="FV129:FW129"/>
    <mergeCell ref="FX129:FY129"/>
    <mergeCell ref="FZ129:GA129"/>
    <mergeCell ref="GB129:GC129"/>
    <mergeCell ref="GD129:GE129"/>
    <mergeCell ref="GF129:GG129"/>
    <mergeCell ref="GH129:GI129"/>
    <mergeCell ref="GJ129:GK129"/>
    <mergeCell ref="GL129:GM129"/>
    <mergeCell ref="GN129:GO129"/>
    <mergeCell ref="GP129:GQ129"/>
    <mergeCell ref="GR129:GS129"/>
    <mergeCell ref="GT129:GU129"/>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GH128:GI128"/>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0:GI130"/>
    <mergeCell ref="GH132:GI132"/>
    <mergeCell ref="GJ130:GK130"/>
    <mergeCell ref="GL130:GM130"/>
    <mergeCell ref="GN130:GO130"/>
    <mergeCell ref="GP130:GQ130"/>
    <mergeCell ref="GR130:GS130"/>
    <mergeCell ref="GT130:GU130"/>
    <mergeCell ref="DT131:DU131"/>
    <mergeCell ref="DV131:DW131"/>
    <mergeCell ref="DX131:DY131"/>
    <mergeCell ref="DZ131:EA131"/>
    <mergeCell ref="EB131:EC131"/>
    <mergeCell ref="ED131:EE131"/>
    <mergeCell ref="EF131:EG131"/>
    <mergeCell ref="EH131:EI131"/>
    <mergeCell ref="EJ131:EK131"/>
    <mergeCell ref="EL131:EM131"/>
    <mergeCell ref="EN131:EO131"/>
    <mergeCell ref="EP131:EQ131"/>
    <mergeCell ref="ER131:ES131"/>
    <mergeCell ref="ET131:EU131"/>
    <mergeCell ref="EV131:EW131"/>
    <mergeCell ref="EX131:EY131"/>
    <mergeCell ref="EZ131:FA131"/>
    <mergeCell ref="FB131:FC131"/>
    <mergeCell ref="FD131:FE131"/>
    <mergeCell ref="FF131:FG131"/>
    <mergeCell ref="FH131:FI131"/>
    <mergeCell ref="FJ131:FK131"/>
    <mergeCell ref="FL131:FM131"/>
    <mergeCell ref="FN131:FO131"/>
    <mergeCell ref="FP131:FQ131"/>
    <mergeCell ref="FR131:FS131"/>
    <mergeCell ref="FT131:FU131"/>
    <mergeCell ref="FV131:FW131"/>
    <mergeCell ref="FX131:FY131"/>
    <mergeCell ref="FZ131:GA131"/>
    <mergeCell ref="GB131:GC131"/>
    <mergeCell ref="GD131:GE131"/>
    <mergeCell ref="GF131:GG131"/>
    <mergeCell ref="GH131:GI131"/>
    <mergeCell ref="GJ131:GK131"/>
    <mergeCell ref="GL131:GM131"/>
    <mergeCell ref="GN131:GO131"/>
    <mergeCell ref="GP131:GQ131"/>
    <mergeCell ref="GR131:GS131"/>
    <mergeCell ref="GT131:GU131"/>
    <mergeCell ref="DT130:DU130"/>
    <mergeCell ref="FZ130:GA130"/>
    <mergeCell ref="GB130:GC130"/>
    <mergeCell ref="GD130:GE130"/>
    <mergeCell ref="GF130:GG130"/>
    <mergeCell ref="FX130:FY130"/>
    <mergeCell ref="GJ132:GK132"/>
    <mergeCell ref="GL132:GM132"/>
    <mergeCell ref="GN132:GO132"/>
    <mergeCell ref="GP132:GQ132"/>
    <mergeCell ref="GR132:GS132"/>
    <mergeCell ref="GT132:GU132"/>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ER132:ES132"/>
    <mergeCell ref="ET132:EU132"/>
    <mergeCell ref="EV132:EW132"/>
    <mergeCell ref="EX132:EY132"/>
    <mergeCell ref="EZ132:FA132"/>
    <mergeCell ref="GJ135:GK135"/>
    <mergeCell ref="GL135:GM135"/>
    <mergeCell ref="GN135:GO135"/>
    <mergeCell ref="GP135:GQ135"/>
    <mergeCell ref="GR135:GS135"/>
    <mergeCell ref="GT135:GU135"/>
    <mergeCell ref="DT136:DU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R136:FS136"/>
    <mergeCell ref="FT136:FU136"/>
    <mergeCell ref="FV136:FW136"/>
    <mergeCell ref="FX136:FY136"/>
    <mergeCell ref="FZ136:GA136"/>
    <mergeCell ref="GB136:GC136"/>
    <mergeCell ref="GD136:GE136"/>
    <mergeCell ref="GF136:GG136"/>
    <mergeCell ref="GH136:GI136"/>
    <mergeCell ref="GJ136:GK136"/>
    <mergeCell ref="GL136:GM136"/>
    <mergeCell ref="GN136:GO136"/>
    <mergeCell ref="GP136:GQ136"/>
    <mergeCell ref="GR136:GS136"/>
    <mergeCell ref="GT136:GU136"/>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ET135:EU135"/>
    <mergeCell ref="EV135:EW135"/>
    <mergeCell ref="EX135:EY135"/>
    <mergeCell ref="EZ135:FA135"/>
    <mergeCell ref="FB135:FC135"/>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D137:FE137"/>
    <mergeCell ref="FF137:FG137"/>
    <mergeCell ref="FH137:FI137"/>
    <mergeCell ref="FJ137:FK137"/>
    <mergeCell ref="FL137:FM137"/>
    <mergeCell ref="FN137:FO137"/>
    <mergeCell ref="FP137:FQ137"/>
    <mergeCell ref="FR137:FS137"/>
    <mergeCell ref="FT137:FU137"/>
    <mergeCell ref="FV137:FW137"/>
    <mergeCell ref="FX137:FY137"/>
    <mergeCell ref="GH135:GI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FB139:FC139"/>
    <mergeCell ref="FD139:FE139"/>
    <mergeCell ref="FF139:FG139"/>
    <mergeCell ref="FH139:FI139"/>
    <mergeCell ref="FJ139:FK139"/>
    <mergeCell ref="FL139:FM139"/>
    <mergeCell ref="FN139:FO139"/>
    <mergeCell ref="FP139:FQ139"/>
    <mergeCell ref="FR139:FS139"/>
    <mergeCell ref="FT139:FU139"/>
    <mergeCell ref="FV139:FW139"/>
    <mergeCell ref="FX139:FY139"/>
    <mergeCell ref="FZ139:GA139"/>
    <mergeCell ref="GB139:GC139"/>
    <mergeCell ref="GD139:GE139"/>
    <mergeCell ref="GF139:GG139"/>
    <mergeCell ref="GH137:GI137"/>
    <mergeCell ref="GH139:GI139"/>
    <mergeCell ref="GJ137:GK137"/>
    <mergeCell ref="GL137:GM137"/>
    <mergeCell ref="GN137:GO137"/>
    <mergeCell ref="GP137:GQ137"/>
    <mergeCell ref="GR137:GS137"/>
    <mergeCell ref="GT137:GU137"/>
    <mergeCell ref="DT138:DU138"/>
    <mergeCell ref="DV138:DW138"/>
    <mergeCell ref="DX138:DY138"/>
    <mergeCell ref="DZ138:EA138"/>
    <mergeCell ref="EB138:EC138"/>
    <mergeCell ref="ED138:EE138"/>
    <mergeCell ref="EF138:EG138"/>
    <mergeCell ref="EH138:EI138"/>
    <mergeCell ref="EJ138:EK138"/>
    <mergeCell ref="EL138:EM138"/>
    <mergeCell ref="EN138:EO138"/>
    <mergeCell ref="EP138:EQ138"/>
    <mergeCell ref="ER138:ES138"/>
    <mergeCell ref="ET138:EU138"/>
    <mergeCell ref="EV138:EW138"/>
    <mergeCell ref="EX138:EY138"/>
    <mergeCell ref="EZ138:FA138"/>
    <mergeCell ref="FB138:FC138"/>
    <mergeCell ref="FD138:FE138"/>
    <mergeCell ref="FF138:FG138"/>
    <mergeCell ref="FH138:FI138"/>
    <mergeCell ref="FJ138:FK138"/>
    <mergeCell ref="FL138:FM138"/>
    <mergeCell ref="FN138:FO138"/>
    <mergeCell ref="FP138:FQ138"/>
    <mergeCell ref="FR138:FS138"/>
    <mergeCell ref="FT138:FU138"/>
    <mergeCell ref="FV138:FW138"/>
    <mergeCell ref="FX138:FY138"/>
    <mergeCell ref="FZ138:GA138"/>
    <mergeCell ref="GB138:GC138"/>
    <mergeCell ref="GD138:GE138"/>
    <mergeCell ref="GF138:GG138"/>
    <mergeCell ref="GH138:GI138"/>
    <mergeCell ref="GJ138:GK138"/>
    <mergeCell ref="GL138:GM138"/>
    <mergeCell ref="GN138:GO138"/>
    <mergeCell ref="GP138:GQ138"/>
    <mergeCell ref="GR138:GS138"/>
    <mergeCell ref="GT138:GU138"/>
    <mergeCell ref="DT137:DU137"/>
    <mergeCell ref="GB137:GC137"/>
    <mergeCell ref="GD137:GE137"/>
    <mergeCell ref="GF137:GG137"/>
    <mergeCell ref="FZ137:GA137"/>
    <mergeCell ref="GJ139:GK139"/>
    <mergeCell ref="GL139:GM139"/>
    <mergeCell ref="GN139:GO139"/>
    <mergeCell ref="GP139:GQ139"/>
    <mergeCell ref="GR139:GS139"/>
    <mergeCell ref="GT139:GU139"/>
    <mergeCell ref="DT140:DU140"/>
    <mergeCell ref="DV140:DW140"/>
    <mergeCell ref="DX140:DY140"/>
    <mergeCell ref="DZ140:EA140"/>
    <mergeCell ref="EB140:EC140"/>
    <mergeCell ref="ED140:EE140"/>
    <mergeCell ref="EF140:EG140"/>
    <mergeCell ref="EH140:EI140"/>
    <mergeCell ref="EJ140:EK140"/>
    <mergeCell ref="EL140:EM140"/>
    <mergeCell ref="EN140:EO140"/>
    <mergeCell ref="EP140:EQ140"/>
    <mergeCell ref="ER140:ES140"/>
    <mergeCell ref="ET140:EU140"/>
    <mergeCell ref="EV140:EW140"/>
    <mergeCell ref="EX140:EY140"/>
    <mergeCell ref="EZ140:FA140"/>
    <mergeCell ref="FB140:FC140"/>
    <mergeCell ref="FD140:FE140"/>
    <mergeCell ref="FF140:FG140"/>
    <mergeCell ref="FH140:FI140"/>
    <mergeCell ref="FJ140:FK140"/>
    <mergeCell ref="FL140:FM140"/>
    <mergeCell ref="FN140:FO140"/>
    <mergeCell ref="FP140:FQ140"/>
    <mergeCell ref="FR140:FS140"/>
    <mergeCell ref="FT140:FU140"/>
    <mergeCell ref="FV140:FW140"/>
    <mergeCell ref="FX140:FY140"/>
    <mergeCell ref="FZ140:GA140"/>
    <mergeCell ref="GB140:GC140"/>
    <mergeCell ref="GD140:GE140"/>
    <mergeCell ref="GF140:GG140"/>
    <mergeCell ref="GH140:GI140"/>
    <mergeCell ref="GJ140:GK140"/>
    <mergeCell ref="GL140:GM140"/>
    <mergeCell ref="GN140:GO140"/>
    <mergeCell ref="GP140:GQ140"/>
    <mergeCell ref="GR140:GS140"/>
    <mergeCell ref="GT140:GU140"/>
    <mergeCell ref="DT139:DU139"/>
    <mergeCell ref="DV139:DW139"/>
    <mergeCell ref="DX139:DY139"/>
    <mergeCell ref="DZ139:EA139"/>
    <mergeCell ref="EB139:EC139"/>
    <mergeCell ref="ED139:EE139"/>
    <mergeCell ref="EF139:EG139"/>
    <mergeCell ref="EH139:EI139"/>
    <mergeCell ref="EJ139:EK139"/>
    <mergeCell ref="EL139:EM139"/>
    <mergeCell ref="EN139:EO139"/>
    <mergeCell ref="EP139:EQ139"/>
    <mergeCell ref="ER139:ES139"/>
    <mergeCell ref="ET139:EU139"/>
    <mergeCell ref="EV139:EW139"/>
    <mergeCell ref="EX139:EY139"/>
    <mergeCell ref="EZ139:FA139"/>
    <mergeCell ref="GL141:GM141"/>
    <mergeCell ref="GN141:GO141"/>
    <mergeCell ref="GP141:GQ141"/>
    <mergeCell ref="GR141:GS141"/>
    <mergeCell ref="GT141:GU141"/>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H141:GI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J141:GK141"/>
    <mergeCell ref="GH144:GI144"/>
    <mergeCell ref="GJ144:GK144"/>
    <mergeCell ref="GL144:GM144"/>
    <mergeCell ref="GN144:GO144"/>
    <mergeCell ref="GP144:GQ144"/>
    <mergeCell ref="GR144:GS144"/>
    <mergeCell ref="GT144:GU144"/>
    <mergeCell ref="DT145:DU145"/>
    <mergeCell ref="DV145:DW145"/>
    <mergeCell ref="DX145:DY145"/>
    <mergeCell ref="DZ145:EA145"/>
    <mergeCell ref="EB145:EC145"/>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GR145:GS145"/>
    <mergeCell ref="GT145:GU145"/>
    <mergeCell ref="DT144:DU144"/>
    <mergeCell ref="DV144:DW144"/>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FD144:FE144"/>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ET146:EU146"/>
    <mergeCell ref="EV146:EW146"/>
    <mergeCell ref="EX146:EY146"/>
    <mergeCell ref="EZ146:FA146"/>
    <mergeCell ref="FB146:FC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GD146:GE146"/>
    <mergeCell ref="GF146:GG146"/>
    <mergeCell ref="DV148:DW148"/>
    <mergeCell ref="DX148:DY148"/>
    <mergeCell ref="DZ148:EA148"/>
    <mergeCell ref="EB148:EC148"/>
    <mergeCell ref="ED148:EE148"/>
    <mergeCell ref="EF148:EG148"/>
    <mergeCell ref="EH148:EI148"/>
    <mergeCell ref="EJ148:EK148"/>
    <mergeCell ref="EL148:EM148"/>
    <mergeCell ref="EN148:EO148"/>
    <mergeCell ref="EP148:EQ148"/>
    <mergeCell ref="ER148:ES148"/>
    <mergeCell ref="ET148:EU148"/>
    <mergeCell ref="EV148:EW148"/>
    <mergeCell ref="EX148:EY148"/>
    <mergeCell ref="EZ148:FA148"/>
    <mergeCell ref="FB148:FC148"/>
    <mergeCell ref="GH146:GI146"/>
    <mergeCell ref="GJ146:GK146"/>
    <mergeCell ref="GL146:GM146"/>
    <mergeCell ref="GN146:GO146"/>
    <mergeCell ref="GP146:GQ146"/>
    <mergeCell ref="GR146:GS146"/>
    <mergeCell ref="GT146:GU146"/>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GH148:GI148"/>
    <mergeCell ref="FD148:FE148"/>
    <mergeCell ref="FF148:FG148"/>
    <mergeCell ref="FH148:FI148"/>
    <mergeCell ref="FJ148:FK148"/>
    <mergeCell ref="FL148:FM148"/>
    <mergeCell ref="FN148:FO148"/>
    <mergeCell ref="FP148:FQ148"/>
    <mergeCell ref="FR148:FS148"/>
    <mergeCell ref="FT148:FU148"/>
    <mergeCell ref="FV148:FW148"/>
    <mergeCell ref="FX148:FY148"/>
    <mergeCell ref="FZ148:GA148"/>
    <mergeCell ref="GB148:GC148"/>
    <mergeCell ref="GD148:GE148"/>
    <mergeCell ref="GF148:GG148"/>
    <mergeCell ref="GH150:GI150"/>
    <mergeCell ref="GJ148:GK148"/>
    <mergeCell ref="GL148:GM148"/>
    <mergeCell ref="GN148:GO148"/>
    <mergeCell ref="GP148:GQ148"/>
    <mergeCell ref="GR148:GS148"/>
    <mergeCell ref="GT148:GU148"/>
    <mergeCell ref="DT149:DU149"/>
    <mergeCell ref="DV149:DW149"/>
    <mergeCell ref="DX149:DY149"/>
    <mergeCell ref="DZ149:EA149"/>
    <mergeCell ref="EB149:EC149"/>
    <mergeCell ref="ED149:EE149"/>
    <mergeCell ref="EF149:EG149"/>
    <mergeCell ref="EH149:EI149"/>
    <mergeCell ref="EJ149:EK149"/>
    <mergeCell ref="EL149:EM149"/>
    <mergeCell ref="EN149:EO149"/>
    <mergeCell ref="EP149:EQ149"/>
    <mergeCell ref="ER149:ES149"/>
    <mergeCell ref="ET149:EU149"/>
    <mergeCell ref="EV149:EW149"/>
    <mergeCell ref="EX149:EY149"/>
    <mergeCell ref="EZ149:FA149"/>
    <mergeCell ref="FB149:FC149"/>
    <mergeCell ref="FD149:FE149"/>
    <mergeCell ref="FF149:FG149"/>
    <mergeCell ref="FH149:FI149"/>
    <mergeCell ref="FJ149:FK149"/>
    <mergeCell ref="FL149:FM149"/>
    <mergeCell ref="FN149:FO149"/>
    <mergeCell ref="FP149:FQ149"/>
    <mergeCell ref="FR149:FS149"/>
    <mergeCell ref="FT149:FU149"/>
    <mergeCell ref="FV149:FW149"/>
    <mergeCell ref="FX149:FY149"/>
    <mergeCell ref="FZ149:GA149"/>
    <mergeCell ref="GB149:GC149"/>
    <mergeCell ref="GD149:GE149"/>
    <mergeCell ref="GF149:GG149"/>
    <mergeCell ref="GH149:GI149"/>
    <mergeCell ref="GJ149:GK149"/>
    <mergeCell ref="GL149:GM149"/>
    <mergeCell ref="GN149:GO149"/>
    <mergeCell ref="GP149:GQ149"/>
    <mergeCell ref="GR149:GS149"/>
    <mergeCell ref="GT149:GU149"/>
    <mergeCell ref="DT148:DU148"/>
    <mergeCell ref="GL150:GM150"/>
    <mergeCell ref="GN150:GO150"/>
    <mergeCell ref="GP150:GQ150"/>
    <mergeCell ref="GR150:GS150"/>
    <mergeCell ref="GT150:GU150"/>
    <mergeCell ref="DT150:DU150"/>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FB155:FC155"/>
    <mergeCell ref="FD155:FE155"/>
    <mergeCell ref="FF155:FG155"/>
    <mergeCell ref="FH155:FI155"/>
    <mergeCell ref="FJ155:FK155"/>
    <mergeCell ref="FL155:FM155"/>
    <mergeCell ref="FN155:FO155"/>
    <mergeCell ref="FP155:FQ155"/>
    <mergeCell ref="FR155:FS155"/>
    <mergeCell ref="FT155:FU155"/>
    <mergeCell ref="FV155:FW155"/>
    <mergeCell ref="FX155:FY155"/>
    <mergeCell ref="FZ155:GA155"/>
    <mergeCell ref="GB155:GC155"/>
    <mergeCell ref="GD155:GE155"/>
    <mergeCell ref="GF155:GG155"/>
    <mergeCell ref="GJ150:GK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3:GI153"/>
    <mergeCell ref="GJ153:GK153"/>
    <mergeCell ref="GH155:GI155"/>
    <mergeCell ref="GJ155:GK155"/>
    <mergeCell ref="GL153:GM153"/>
    <mergeCell ref="GN153:GO153"/>
    <mergeCell ref="GP153:GQ153"/>
    <mergeCell ref="GR153:GS153"/>
    <mergeCell ref="GT153:GU153"/>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DT153:DU153"/>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FB153:FC153"/>
    <mergeCell ref="FD153:FE153"/>
    <mergeCell ref="GL155:GM155"/>
    <mergeCell ref="GN155:GO155"/>
    <mergeCell ref="GP155:GQ155"/>
    <mergeCell ref="GR155:GS155"/>
    <mergeCell ref="GT155:GU155"/>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DT155:DU155"/>
    <mergeCell ref="DV155:DW155"/>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GJ157:GK157"/>
    <mergeCell ref="GL157:GM157"/>
    <mergeCell ref="GN157:GO157"/>
    <mergeCell ref="GP157:GQ157"/>
    <mergeCell ref="GR157:GS157"/>
    <mergeCell ref="GT157:GU157"/>
    <mergeCell ref="DT158:DU158"/>
    <mergeCell ref="DV158:DW158"/>
    <mergeCell ref="DX158:DY158"/>
    <mergeCell ref="DZ158:EA158"/>
    <mergeCell ref="EB158:EC158"/>
    <mergeCell ref="ED158:EE158"/>
    <mergeCell ref="EF158:EG158"/>
    <mergeCell ref="EH158:EI158"/>
    <mergeCell ref="EJ158:EK158"/>
    <mergeCell ref="EL158:EM158"/>
    <mergeCell ref="EN158:EO158"/>
    <mergeCell ref="EP158:EQ158"/>
    <mergeCell ref="ER158:ES158"/>
    <mergeCell ref="ET158:EU158"/>
    <mergeCell ref="EV158:EW158"/>
    <mergeCell ref="EX158:EY158"/>
    <mergeCell ref="EZ158:FA158"/>
    <mergeCell ref="FB158:FC158"/>
    <mergeCell ref="FD158:FE158"/>
    <mergeCell ref="FF158:FG158"/>
    <mergeCell ref="FH158:FI158"/>
    <mergeCell ref="FJ158:FK158"/>
    <mergeCell ref="FL158:FM158"/>
    <mergeCell ref="FN158:FO158"/>
    <mergeCell ref="FP158:FQ158"/>
    <mergeCell ref="FR158:FS158"/>
    <mergeCell ref="FT158:FU158"/>
    <mergeCell ref="FV158:FW158"/>
    <mergeCell ref="FX158:FY158"/>
    <mergeCell ref="FZ158:GA158"/>
    <mergeCell ref="GB158:GC158"/>
    <mergeCell ref="GD158:GE158"/>
    <mergeCell ref="GF158:GG158"/>
    <mergeCell ref="GH158:GI158"/>
    <mergeCell ref="GJ158:GK158"/>
    <mergeCell ref="GL158:GM158"/>
    <mergeCell ref="GN158:GO158"/>
    <mergeCell ref="GP158:GQ158"/>
    <mergeCell ref="GR158:GS158"/>
    <mergeCell ref="GT158:GU158"/>
    <mergeCell ref="DT157:DU157"/>
    <mergeCell ref="DV157:DW157"/>
    <mergeCell ref="DX157:DY157"/>
    <mergeCell ref="DZ157:EA157"/>
    <mergeCell ref="EB157:EC157"/>
    <mergeCell ref="ED157:EE157"/>
    <mergeCell ref="EF157:EG157"/>
    <mergeCell ref="EH157:EI157"/>
    <mergeCell ref="EJ157:EK157"/>
    <mergeCell ref="EL157:EM157"/>
    <mergeCell ref="EN157:EO157"/>
    <mergeCell ref="EP157:EQ157"/>
    <mergeCell ref="ER157:ES157"/>
    <mergeCell ref="ET157:EU157"/>
    <mergeCell ref="EV157:EW157"/>
    <mergeCell ref="EX157:EY157"/>
    <mergeCell ref="EZ157:FA157"/>
    <mergeCell ref="FB157:FC157"/>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7:GI157"/>
    <mergeCell ref="FD157:FE157"/>
    <mergeCell ref="FF157:FG157"/>
    <mergeCell ref="FH157:FI157"/>
    <mergeCell ref="FJ157:FK157"/>
    <mergeCell ref="FL157:FM157"/>
    <mergeCell ref="FN157:FO157"/>
    <mergeCell ref="FP157:FQ157"/>
    <mergeCell ref="FR157:FS157"/>
    <mergeCell ref="FT157:FU157"/>
    <mergeCell ref="FV157:FW157"/>
    <mergeCell ref="FX157:FY157"/>
    <mergeCell ref="FZ157:GA157"/>
    <mergeCell ref="GB157:GC157"/>
    <mergeCell ref="GD157:GE157"/>
    <mergeCell ref="GF157:GG157"/>
    <mergeCell ref="FB162:FC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H159:GI159"/>
    <mergeCell ref="GJ159:GK159"/>
    <mergeCell ref="GL159:GM159"/>
    <mergeCell ref="GN159:GO159"/>
    <mergeCell ref="GP159:GQ159"/>
    <mergeCell ref="GR159:GS159"/>
    <mergeCell ref="GT159:GU159"/>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DT159:DU159"/>
    <mergeCell ref="GH162:GI162"/>
    <mergeCell ref="GJ162:GK162"/>
    <mergeCell ref="GL162:GM162"/>
    <mergeCell ref="GN162:GO162"/>
    <mergeCell ref="GP162:GQ162"/>
    <mergeCell ref="GR162:GS162"/>
    <mergeCell ref="GT162:GU162"/>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GJ164:GK164"/>
    <mergeCell ref="GL164:GM164"/>
    <mergeCell ref="GN164:GO164"/>
    <mergeCell ref="GP164:GQ164"/>
    <mergeCell ref="GR164:GS164"/>
    <mergeCell ref="GT164:GU164"/>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DT164:DU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DV166:DW166"/>
    <mergeCell ref="DX166:DY166"/>
    <mergeCell ref="DZ166:EA166"/>
    <mergeCell ref="EB166:EC166"/>
    <mergeCell ref="ED166:EE166"/>
    <mergeCell ref="EF166:EG166"/>
    <mergeCell ref="EH166:EI166"/>
    <mergeCell ref="EJ166:EK166"/>
    <mergeCell ref="EL166:EM166"/>
    <mergeCell ref="EN166:EO166"/>
    <mergeCell ref="EP166:EQ166"/>
    <mergeCell ref="ER166:ES166"/>
    <mergeCell ref="ET166:EU166"/>
    <mergeCell ref="EV166:EW166"/>
    <mergeCell ref="EX166:EY166"/>
    <mergeCell ref="EZ166:FA166"/>
    <mergeCell ref="FB166:FC166"/>
    <mergeCell ref="FD166:FE166"/>
    <mergeCell ref="FF166:FG166"/>
    <mergeCell ref="FH166:FI166"/>
    <mergeCell ref="FJ166:FK166"/>
    <mergeCell ref="FL166:FM166"/>
    <mergeCell ref="FN166:FO166"/>
    <mergeCell ref="FP166:FQ166"/>
    <mergeCell ref="FR166:FS166"/>
    <mergeCell ref="FT166:FU166"/>
    <mergeCell ref="FV166:FW166"/>
    <mergeCell ref="FX166:FY166"/>
    <mergeCell ref="FZ166:GA166"/>
    <mergeCell ref="GB166:GC166"/>
    <mergeCell ref="GD166:GE166"/>
    <mergeCell ref="GF166:GG166"/>
    <mergeCell ref="GH164:GI164"/>
    <mergeCell ref="FD164:FE164"/>
    <mergeCell ref="FF164:FG164"/>
    <mergeCell ref="FH164:FI164"/>
    <mergeCell ref="FJ164:FK164"/>
    <mergeCell ref="FL164:FM164"/>
    <mergeCell ref="FN164:FO164"/>
    <mergeCell ref="FP164:FQ164"/>
    <mergeCell ref="FR164:FS164"/>
    <mergeCell ref="FT164:FU164"/>
    <mergeCell ref="FV164:FW164"/>
    <mergeCell ref="FX164:FY164"/>
    <mergeCell ref="FZ164:GA164"/>
    <mergeCell ref="GB164:GC164"/>
    <mergeCell ref="GD164:GE164"/>
    <mergeCell ref="GF164:GG164"/>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6:GI166"/>
    <mergeCell ref="GJ166:GK166"/>
    <mergeCell ref="GL166:GM166"/>
    <mergeCell ref="GN166:GO166"/>
    <mergeCell ref="GP166:GQ166"/>
    <mergeCell ref="GR166:GS166"/>
    <mergeCell ref="GT166:GU166"/>
    <mergeCell ref="DT167:DU167"/>
    <mergeCell ref="DV167:DW167"/>
    <mergeCell ref="DX167:DY167"/>
    <mergeCell ref="DZ167:EA167"/>
    <mergeCell ref="EB167:EC167"/>
    <mergeCell ref="ED167:EE167"/>
    <mergeCell ref="EF167:EG167"/>
    <mergeCell ref="EH167:EI167"/>
    <mergeCell ref="EJ167:EK167"/>
    <mergeCell ref="EL167:EM167"/>
    <mergeCell ref="EN167:EO167"/>
    <mergeCell ref="EP167:EQ167"/>
    <mergeCell ref="ER167:ES167"/>
    <mergeCell ref="ET167:EU167"/>
    <mergeCell ref="EV167:EW167"/>
    <mergeCell ref="EX167:EY167"/>
    <mergeCell ref="EZ167:FA167"/>
    <mergeCell ref="FB167:FC167"/>
    <mergeCell ref="FD167:FE167"/>
    <mergeCell ref="FF167:FG167"/>
    <mergeCell ref="FH167:FI167"/>
    <mergeCell ref="FJ167:FK167"/>
    <mergeCell ref="FL167:FM167"/>
    <mergeCell ref="FN167:FO167"/>
    <mergeCell ref="FP167:FQ167"/>
    <mergeCell ref="FR167:FS167"/>
    <mergeCell ref="FT167:FU167"/>
    <mergeCell ref="FV167:FW167"/>
    <mergeCell ref="FX167:FY167"/>
    <mergeCell ref="FZ167:GA167"/>
    <mergeCell ref="GB167:GC167"/>
    <mergeCell ref="GD167:GE167"/>
    <mergeCell ref="GF167:GG167"/>
    <mergeCell ref="GH167:GI167"/>
    <mergeCell ref="GJ167:GK167"/>
    <mergeCell ref="GL167:GM167"/>
    <mergeCell ref="GN167:GO167"/>
    <mergeCell ref="GP167:GQ167"/>
    <mergeCell ref="GR167:GS167"/>
    <mergeCell ref="GT167:GU167"/>
    <mergeCell ref="DT166:DU166"/>
    <mergeCell ref="GH168:GI168"/>
    <mergeCell ref="GJ168:GK168"/>
    <mergeCell ref="GL168:GM168"/>
    <mergeCell ref="GN168:GO168"/>
    <mergeCell ref="GP168:GQ168"/>
    <mergeCell ref="GR168:GS168"/>
    <mergeCell ref="GT168:GU168"/>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DL12:DM12"/>
    <mergeCell ref="DN12:DO12"/>
    <mergeCell ref="DJ13:DK13"/>
    <mergeCell ref="DL13:DM13"/>
    <mergeCell ref="DN13:DO13"/>
    <mergeCell ref="DB14:DC14"/>
    <mergeCell ref="DD14:DE14"/>
    <mergeCell ref="DF14:DG14"/>
    <mergeCell ref="DH14:DI14"/>
    <mergeCell ref="DJ14:DK14"/>
    <mergeCell ref="DL14:DM14"/>
    <mergeCell ref="EB12:EC12"/>
    <mergeCell ref="ED12:EE12"/>
    <mergeCell ref="EF12:EG12"/>
    <mergeCell ref="EH12:EI12"/>
    <mergeCell ref="EJ12:EK12"/>
    <mergeCell ref="EL12:EM12"/>
    <mergeCell ref="EN12:EO12"/>
    <mergeCell ref="EP12:EQ12"/>
    <mergeCell ref="ER12:ES12"/>
    <mergeCell ref="ET12:EU12"/>
    <mergeCell ref="EV12:EW12"/>
    <mergeCell ref="EX12:EY12"/>
    <mergeCell ref="EZ12:FA12"/>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A10:A17"/>
    <mergeCell ref="B10:B17"/>
    <mergeCell ref="C10:C17"/>
    <mergeCell ref="D10:D17"/>
    <mergeCell ref="E10:E17"/>
    <mergeCell ref="F10:F17"/>
    <mergeCell ref="G10:G17"/>
    <mergeCell ref="I10:I17"/>
    <mergeCell ref="J10:J17"/>
    <mergeCell ref="L10:M10"/>
    <mergeCell ref="N10:O10"/>
    <mergeCell ref="P10:Q10"/>
    <mergeCell ref="R10:S10"/>
    <mergeCell ref="T10:U10"/>
    <mergeCell ref="V10:W10"/>
    <mergeCell ref="X10:Y10"/>
    <mergeCell ref="Z10:AA10"/>
    <mergeCell ref="AB10:AC10"/>
    <mergeCell ref="AD10:AE10"/>
    <mergeCell ref="AF10:AG10"/>
    <mergeCell ref="AH10:AI10"/>
    <mergeCell ref="AJ10:AK10"/>
    <mergeCell ref="AL10:AM10"/>
    <mergeCell ref="AN10:AO10"/>
    <mergeCell ref="AP10:AQ10"/>
    <mergeCell ref="AR10:AS10"/>
    <mergeCell ref="AT10:AU10"/>
    <mergeCell ref="AV10:AW10"/>
    <mergeCell ref="AX10:AY10"/>
    <mergeCell ref="AZ10:BA10"/>
    <mergeCell ref="BB10:BC10"/>
    <mergeCell ref="BD10:BE10"/>
    <mergeCell ref="BF10:BG10"/>
    <mergeCell ref="L15:M15"/>
    <mergeCell ref="N15:O15"/>
    <mergeCell ref="P15:Q15"/>
    <mergeCell ref="AZ15:BA15"/>
    <mergeCell ref="BB15:BC15"/>
    <mergeCell ref="BD15:BE15"/>
    <mergeCell ref="BF15:BG15"/>
    <mergeCell ref="L17:M17"/>
    <mergeCell ref="N17:O17"/>
    <mergeCell ref="P17:Q17"/>
    <mergeCell ref="R17:S17"/>
    <mergeCell ref="T17:U17"/>
    <mergeCell ref="V17:W17"/>
    <mergeCell ref="X17:Y17"/>
    <mergeCell ref="Z17:AA17"/>
    <mergeCell ref="AB17:AC17"/>
    <mergeCell ref="AD17:AE17"/>
    <mergeCell ref="AF17:AG17"/>
    <mergeCell ref="AH17:AI17"/>
    <mergeCell ref="AJ17:AK17"/>
    <mergeCell ref="AL17:AM17"/>
    <mergeCell ref="AN17:AO17"/>
    <mergeCell ref="AP17:AQ17"/>
    <mergeCell ref="AR17:AS17"/>
    <mergeCell ref="AT17:AU17"/>
    <mergeCell ref="AV17:AW17"/>
    <mergeCell ref="AX17:AY17"/>
    <mergeCell ref="AZ17:BA17"/>
    <mergeCell ref="BB17:BC17"/>
    <mergeCell ref="BD17:BE17"/>
    <mergeCell ref="BF17:BG17"/>
    <mergeCell ref="BH10:BI10"/>
    <mergeCell ref="CZ12:DA12"/>
    <mergeCell ref="DB12:DC12"/>
    <mergeCell ref="CP13:CQ13"/>
    <mergeCell ref="CR13:CS13"/>
    <mergeCell ref="CT13:CU13"/>
    <mergeCell ref="CV13:CW13"/>
    <mergeCell ref="DP10:DQ10"/>
    <mergeCell ref="DR10:DS10"/>
    <mergeCell ref="DT10:DU10"/>
    <mergeCell ref="DV10:DW10"/>
    <mergeCell ref="DX10:DY10"/>
    <mergeCell ref="DZ10:EA10"/>
    <mergeCell ref="DB11:DC11"/>
    <mergeCell ref="EB10:EC10"/>
    <mergeCell ref="ED10:EE10"/>
    <mergeCell ref="EF10:EG10"/>
    <mergeCell ref="EH10:EI10"/>
    <mergeCell ref="EJ10:EK10"/>
    <mergeCell ref="EL10:EM10"/>
    <mergeCell ref="EN10:EO10"/>
    <mergeCell ref="EP10:EQ10"/>
    <mergeCell ref="BJ10:BK10"/>
    <mergeCell ref="BL10:BM10"/>
    <mergeCell ref="BN10:BO10"/>
    <mergeCell ref="BP10:BQ10"/>
    <mergeCell ref="BR10:BS10"/>
    <mergeCell ref="BT10:BU10"/>
    <mergeCell ref="BV10:BW10"/>
    <mergeCell ref="BX10:BY10"/>
    <mergeCell ref="BZ10:CA10"/>
    <mergeCell ref="CB10:CC10"/>
    <mergeCell ref="CD10:CE10"/>
    <mergeCell ref="CF10:CG10"/>
    <mergeCell ref="CH10:CI10"/>
    <mergeCell ref="CJ10:CK10"/>
    <mergeCell ref="CL10:CM10"/>
    <mergeCell ref="CN10:CO10"/>
    <mergeCell ref="CP10:CQ10"/>
    <mergeCell ref="CR10:CS10"/>
    <mergeCell ref="CT10:CU10"/>
    <mergeCell ref="CV10:CW10"/>
    <mergeCell ref="CX10:CY10"/>
    <mergeCell ref="CZ10:DA10"/>
    <mergeCell ref="DB10:DC10"/>
    <mergeCell ref="DD10:DE10"/>
    <mergeCell ref="DF10:DG10"/>
    <mergeCell ref="DH10:DI10"/>
    <mergeCell ref="DJ10:DK10"/>
    <mergeCell ref="DL10:DM10"/>
    <mergeCell ref="DN10:DO10"/>
    <mergeCell ref="DD11:DE11"/>
    <mergeCell ref="DF11:DG11"/>
    <mergeCell ref="DH11:DI11"/>
    <mergeCell ref="DJ11:DK11"/>
    <mergeCell ref="DL11:DM11"/>
    <mergeCell ref="DN11:DO11"/>
    <mergeCell ref="DZ13:EA13"/>
    <mergeCell ref="EB13:EC13"/>
    <mergeCell ref="ED13:EE13"/>
    <mergeCell ref="EF13:EG13"/>
    <mergeCell ref="EH13:EI13"/>
    <mergeCell ref="EJ13:EK13"/>
    <mergeCell ref="CN11:CO11"/>
    <mergeCell ref="GR10:GS10"/>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GN11:GO11"/>
    <mergeCell ref="GR11:GS11"/>
    <mergeCell ref="CP11:CQ11"/>
    <mergeCell ref="CR11:CS11"/>
    <mergeCell ref="CT11:CU11"/>
    <mergeCell ref="CV11:CW11"/>
    <mergeCell ref="CX11:CY11"/>
    <mergeCell ref="CZ11:DA11"/>
    <mergeCell ref="DP11:DQ11"/>
    <mergeCell ref="DR11:DS11"/>
    <mergeCell ref="DT11:DU11"/>
    <mergeCell ref="DV11:DW11"/>
    <mergeCell ref="DX11:DY11"/>
    <mergeCell ref="DZ11:EA11"/>
    <mergeCell ref="EB11:EC11"/>
    <mergeCell ref="ED11:EE11"/>
    <mergeCell ref="GP11:GQ11"/>
    <mergeCell ref="ER10:ES10"/>
    <mergeCell ref="ET10:EU10"/>
    <mergeCell ref="EV10:EW10"/>
    <mergeCell ref="EX10:EY10"/>
    <mergeCell ref="EZ10:FA10"/>
    <mergeCell ref="FB10:FC10"/>
    <mergeCell ref="FD10:FE10"/>
    <mergeCell ref="FF10:FG10"/>
    <mergeCell ref="FH10:FI10"/>
    <mergeCell ref="FJ10:FK10"/>
    <mergeCell ref="FL10:FM10"/>
    <mergeCell ref="FN10:FO10"/>
    <mergeCell ref="FP10:FQ10"/>
    <mergeCell ref="FR10:FS10"/>
    <mergeCell ref="FT10:FU10"/>
    <mergeCell ref="FV10:FW10"/>
    <mergeCell ref="FX10:FY10"/>
    <mergeCell ref="FZ10:GA10"/>
    <mergeCell ref="GB10:GC10"/>
    <mergeCell ref="GD10:GE10"/>
    <mergeCell ref="GF10:GG10"/>
    <mergeCell ref="GH10:GI10"/>
    <mergeCell ref="GJ10:GK10"/>
    <mergeCell ref="GL10:GM10"/>
    <mergeCell ref="GN10:GO10"/>
    <mergeCell ref="GP10:GQ10"/>
    <mergeCell ref="CL12:CM12"/>
    <mergeCell ref="CN12:CO12"/>
    <mergeCell ref="CP12:CQ12"/>
    <mergeCell ref="CR12:CS12"/>
    <mergeCell ref="DD12:DE12"/>
    <mergeCell ref="DF12:DG12"/>
    <mergeCell ref="DH12:DI12"/>
    <mergeCell ref="DJ12:DK12"/>
    <mergeCell ref="DP12:DQ12"/>
    <mergeCell ref="DR12:DS12"/>
    <mergeCell ref="DT12:DU12"/>
    <mergeCell ref="DV12:DW12"/>
    <mergeCell ref="DX12:DY12"/>
    <mergeCell ref="DZ12:EA12"/>
    <mergeCell ref="GJ12:GK12"/>
    <mergeCell ref="GL12:GM12"/>
    <mergeCell ref="GV10:GW10"/>
    <mergeCell ref="GX10:GY10"/>
    <mergeCell ref="GZ10:HA10"/>
    <mergeCell ref="HB10:HC10"/>
    <mergeCell ref="HD10:HE10"/>
    <mergeCell ref="HF10:HG10"/>
    <mergeCell ref="HH10:HI10"/>
    <mergeCell ref="HJ10:HK10"/>
    <mergeCell ref="L11:M11"/>
    <mergeCell ref="N11:O11"/>
    <mergeCell ref="P11:Q11"/>
    <mergeCell ref="R11:S11"/>
    <mergeCell ref="T11:U11"/>
    <mergeCell ref="V11:W11"/>
    <mergeCell ref="X11:Y11"/>
    <mergeCell ref="Z11:AA11"/>
    <mergeCell ref="AB11:AC11"/>
    <mergeCell ref="AD11:AE11"/>
    <mergeCell ref="AF11:AG11"/>
    <mergeCell ref="AH11:AI11"/>
    <mergeCell ref="AJ11:AK11"/>
    <mergeCell ref="AL11:AM11"/>
    <mergeCell ref="AN11:AO11"/>
    <mergeCell ref="AP11:AQ11"/>
    <mergeCell ref="AR11:AS11"/>
    <mergeCell ref="AT11:AU11"/>
    <mergeCell ref="AV11:AW11"/>
    <mergeCell ref="AX11:AY11"/>
    <mergeCell ref="AZ11:BA11"/>
    <mergeCell ref="BB11:BC11"/>
    <mergeCell ref="BD11:BE11"/>
    <mergeCell ref="BF11:BG11"/>
    <mergeCell ref="BH11:BI11"/>
    <mergeCell ref="BJ11:BK11"/>
    <mergeCell ref="BL11:BM11"/>
    <mergeCell ref="BN11:BO11"/>
    <mergeCell ref="BP11:BQ11"/>
    <mergeCell ref="BR11:BS11"/>
    <mergeCell ref="BT11:BU11"/>
    <mergeCell ref="BV11:BW11"/>
    <mergeCell ref="BX11:BY11"/>
    <mergeCell ref="BZ11:CA11"/>
    <mergeCell ref="CB11:CC11"/>
    <mergeCell ref="CD11:CE11"/>
    <mergeCell ref="CF11:CG11"/>
    <mergeCell ref="CH11:CI11"/>
    <mergeCell ref="CJ11:CK11"/>
    <mergeCell ref="CL11:CM11"/>
    <mergeCell ref="CF13:CG13"/>
    <mergeCell ref="CH13:CI13"/>
    <mergeCell ref="CJ13:CK13"/>
    <mergeCell ref="CL13:CM13"/>
    <mergeCell ref="CN13:CO13"/>
    <mergeCell ref="CX13:CY13"/>
    <mergeCell ref="CZ13:DA13"/>
    <mergeCell ref="DB13:DC13"/>
    <mergeCell ref="DD13:DE13"/>
    <mergeCell ref="DF13:DG13"/>
    <mergeCell ref="DH13:DI13"/>
    <mergeCell ref="DP13:DQ13"/>
    <mergeCell ref="DR13:DS13"/>
    <mergeCell ref="DT13:DU13"/>
    <mergeCell ref="DV13:DW13"/>
    <mergeCell ref="DX13:DY13"/>
    <mergeCell ref="GT11:GU11"/>
    <mergeCell ref="GV11:GW11"/>
    <mergeCell ref="GX11:GY11"/>
    <mergeCell ref="GZ11:HA11"/>
    <mergeCell ref="HB11:HC11"/>
    <mergeCell ref="HD11:HE11"/>
    <mergeCell ref="HF11:HG11"/>
    <mergeCell ref="HH11:HI11"/>
    <mergeCell ref="HJ11:HK11"/>
    <mergeCell ref="L12:M12"/>
    <mergeCell ref="N12:O12"/>
    <mergeCell ref="P12:Q12"/>
    <mergeCell ref="R12:S12"/>
    <mergeCell ref="T12:U12"/>
    <mergeCell ref="V12:W12"/>
    <mergeCell ref="X12:Y12"/>
    <mergeCell ref="Z12:AA12"/>
    <mergeCell ref="AB12:AC12"/>
    <mergeCell ref="AD12:AE12"/>
    <mergeCell ref="AF12:AG12"/>
    <mergeCell ref="AH12:AI12"/>
    <mergeCell ref="AJ12:AK12"/>
    <mergeCell ref="AL12:AM12"/>
    <mergeCell ref="AN12:AO12"/>
    <mergeCell ref="AP12:AQ12"/>
    <mergeCell ref="AR12:AS12"/>
    <mergeCell ref="AT12:AU12"/>
    <mergeCell ref="AV12:AW12"/>
    <mergeCell ref="AX12:AY12"/>
    <mergeCell ref="AZ12:BA12"/>
    <mergeCell ref="BB12:BC12"/>
    <mergeCell ref="BD12:BE12"/>
    <mergeCell ref="BF12:BG12"/>
    <mergeCell ref="BH12:BI12"/>
    <mergeCell ref="BJ12:BK12"/>
    <mergeCell ref="BL12:BM12"/>
    <mergeCell ref="BN12:BO12"/>
    <mergeCell ref="BP12:BQ12"/>
    <mergeCell ref="BR12:BS12"/>
    <mergeCell ref="BT12:BU12"/>
    <mergeCell ref="BV12:BW12"/>
    <mergeCell ref="BX12:BY12"/>
    <mergeCell ref="BZ12:CA12"/>
    <mergeCell ref="CB12:CC12"/>
    <mergeCell ref="CD12:CE12"/>
    <mergeCell ref="CF12:CG12"/>
    <mergeCell ref="CH12:CI12"/>
    <mergeCell ref="CJ12:CK12"/>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GV13:GW13"/>
    <mergeCell ref="GX13:GY13"/>
    <mergeCell ref="GN12:GO12"/>
    <mergeCell ref="GP12:GQ12"/>
    <mergeCell ref="GR12:GS12"/>
    <mergeCell ref="GT12:GU12"/>
    <mergeCell ref="GV12:GW12"/>
    <mergeCell ref="GX12:GY12"/>
    <mergeCell ref="GZ12:HA12"/>
    <mergeCell ref="HB12:HC12"/>
    <mergeCell ref="HD12:HE12"/>
    <mergeCell ref="HF12:HG12"/>
    <mergeCell ref="HH12:HI12"/>
    <mergeCell ref="HJ12:HK12"/>
    <mergeCell ref="L13:M13"/>
    <mergeCell ref="N13:O13"/>
    <mergeCell ref="P13:Q13"/>
    <mergeCell ref="R13:S13"/>
    <mergeCell ref="T13:U13"/>
    <mergeCell ref="V13:W13"/>
    <mergeCell ref="X13:Y13"/>
    <mergeCell ref="Z13:AA13"/>
    <mergeCell ref="AB13:AC13"/>
    <mergeCell ref="AD13:AE13"/>
    <mergeCell ref="AF13:AG13"/>
    <mergeCell ref="AH13:AI13"/>
    <mergeCell ref="AJ13:AK13"/>
    <mergeCell ref="AL13:AM13"/>
    <mergeCell ref="AN13:AO13"/>
    <mergeCell ref="AP13:AQ13"/>
    <mergeCell ref="AR13:AS13"/>
    <mergeCell ref="AT13:AU13"/>
    <mergeCell ref="AV13:AW13"/>
    <mergeCell ref="AX13:AY13"/>
    <mergeCell ref="AZ13:BA13"/>
    <mergeCell ref="BB13:BC13"/>
    <mergeCell ref="BD13:BE13"/>
    <mergeCell ref="BF13:BG13"/>
    <mergeCell ref="BH13:BI13"/>
    <mergeCell ref="BJ13:BK13"/>
    <mergeCell ref="BL13:BM13"/>
    <mergeCell ref="BN13:BO13"/>
    <mergeCell ref="BP13:BQ13"/>
    <mergeCell ref="BR13:BS13"/>
    <mergeCell ref="BT13:BU13"/>
    <mergeCell ref="BV13:BW13"/>
    <mergeCell ref="BX13:BY13"/>
    <mergeCell ref="BZ13:CA13"/>
    <mergeCell ref="CB13:CC13"/>
    <mergeCell ref="CD13:CE13"/>
    <mergeCell ref="CR14:CS14"/>
    <mergeCell ref="CT14:CU14"/>
    <mergeCell ref="CV14:CW14"/>
    <mergeCell ref="CX14:CY14"/>
    <mergeCell ref="CZ14:DA14"/>
    <mergeCell ref="DP14:DQ14"/>
    <mergeCell ref="DR14:DS14"/>
    <mergeCell ref="DT14:DU14"/>
    <mergeCell ref="DV14:DW14"/>
    <mergeCell ref="DX14:DY14"/>
    <mergeCell ref="DZ14:EA14"/>
    <mergeCell ref="EB14:EC14"/>
    <mergeCell ref="ED14:EE14"/>
    <mergeCell ref="EF14:EG14"/>
    <mergeCell ref="EH14:EI14"/>
    <mergeCell ref="EJ14:EK14"/>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DN14:DO14"/>
    <mergeCell ref="FT14:FU14"/>
    <mergeCell ref="FV14:FW14"/>
    <mergeCell ref="FX14:FY14"/>
    <mergeCell ref="FZ14:GA14"/>
    <mergeCell ref="GB14:GC14"/>
    <mergeCell ref="GD14:GE14"/>
    <mergeCell ref="GF14:GG14"/>
    <mergeCell ref="GH14:GI14"/>
    <mergeCell ref="GJ14:GK14"/>
    <mergeCell ref="GL14:GM14"/>
    <mergeCell ref="GN14:GO14"/>
    <mergeCell ref="GP14:GQ14"/>
    <mergeCell ref="GR14:GS14"/>
    <mergeCell ref="GT14:GU14"/>
    <mergeCell ref="GV14:GW14"/>
    <mergeCell ref="GX14:GY14"/>
    <mergeCell ref="GZ13:HA13"/>
    <mergeCell ref="HB13:HC13"/>
    <mergeCell ref="HD13:HE13"/>
    <mergeCell ref="HF13:HG13"/>
    <mergeCell ref="HH13:HI13"/>
    <mergeCell ref="HJ13:HK13"/>
    <mergeCell ref="L14:M14"/>
    <mergeCell ref="N14:O14"/>
    <mergeCell ref="P14:Q14"/>
    <mergeCell ref="R14:S14"/>
    <mergeCell ref="T14:U14"/>
    <mergeCell ref="V14:W14"/>
    <mergeCell ref="X14:Y14"/>
    <mergeCell ref="Z14:AA14"/>
    <mergeCell ref="AB14:AC14"/>
    <mergeCell ref="AD14:AE14"/>
    <mergeCell ref="AF14:AG14"/>
    <mergeCell ref="AH14:AI14"/>
    <mergeCell ref="AJ14:AK14"/>
    <mergeCell ref="AL14:AM14"/>
    <mergeCell ref="AN14:AO14"/>
    <mergeCell ref="AP14:AQ14"/>
    <mergeCell ref="AR14:AS14"/>
    <mergeCell ref="AT14:AU14"/>
    <mergeCell ref="AV14:AW14"/>
    <mergeCell ref="AX14:AY14"/>
    <mergeCell ref="AZ14:BA14"/>
    <mergeCell ref="BB14:BC14"/>
    <mergeCell ref="BD14:BE14"/>
    <mergeCell ref="BF14:BG14"/>
    <mergeCell ref="BH14:BI14"/>
    <mergeCell ref="BJ14:BK14"/>
    <mergeCell ref="BL14:BM14"/>
    <mergeCell ref="BN14:BO14"/>
    <mergeCell ref="BP14:BQ14"/>
    <mergeCell ref="BR14:BS14"/>
    <mergeCell ref="BT14:BU14"/>
    <mergeCell ref="BV14:BW14"/>
    <mergeCell ref="BX14:BY14"/>
    <mergeCell ref="BZ14:CA14"/>
    <mergeCell ref="CB14:CC14"/>
    <mergeCell ref="CD14:CE14"/>
    <mergeCell ref="CF14:CG14"/>
    <mergeCell ref="CH14:CI14"/>
    <mergeCell ref="CJ14:CK14"/>
    <mergeCell ref="CL14:CM14"/>
    <mergeCell ref="CN14:CO14"/>
    <mergeCell ref="CP14:CQ14"/>
    <mergeCell ref="GZ14:HA14"/>
    <mergeCell ref="HB14:HC14"/>
    <mergeCell ref="HD14:HE14"/>
    <mergeCell ref="HF14:HG14"/>
    <mergeCell ref="HH14:HI14"/>
    <mergeCell ref="HJ14:HK14"/>
    <mergeCell ref="BH15:BI15"/>
    <mergeCell ref="BJ15:BK15"/>
    <mergeCell ref="BL15:BM15"/>
    <mergeCell ref="BN15:BO15"/>
    <mergeCell ref="BP15:BQ15"/>
    <mergeCell ref="BR15:BS15"/>
    <mergeCell ref="BT15:BU15"/>
    <mergeCell ref="BV15:BW15"/>
    <mergeCell ref="BX15:BY15"/>
    <mergeCell ref="BZ15:CA15"/>
    <mergeCell ref="CB15:CC15"/>
    <mergeCell ref="CD15:CE15"/>
    <mergeCell ref="CF15:CG15"/>
    <mergeCell ref="CH15:CI15"/>
    <mergeCell ref="CJ15:CK15"/>
    <mergeCell ref="CL15:CM15"/>
    <mergeCell ref="CN15:CO15"/>
    <mergeCell ref="CP15:CQ15"/>
    <mergeCell ref="CR15:CS15"/>
    <mergeCell ref="CT15:CU15"/>
    <mergeCell ref="CV15:CW15"/>
    <mergeCell ref="CX15:CY15"/>
    <mergeCell ref="CZ15:DA15"/>
    <mergeCell ref="DB15:DC15"/>
    <mergeCell ref="DD15:DE15"/>
    <mergeCell ref="DF15:DG15"/>
    <mergeCell ref="DH15:DI15"/>
    <mergeCell ref="DJ15:DK15"/>
    <mergeCell ref="DL15:DM15"/>
    <mergeCell ref="DN15:DO15"/>
    <mergeCell ref="DP15:DQ15"/>
    <mergeCell ref="DR15:DS15"/>
    <mergeCell ref="DT15:DU15"/>
    <mergeCell ref="DV15:DW15"/>
    <mergeCell ref="DX15:DY15"/>
    <mergeCell ref="DZ15:EA15"/>
    <mergeCell ref="EB15:EC15"/>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GX15:GY15"/>
    <mergeCell ref="GZ15:HA15"/>
    <mergeCell ref="HB15:HC15"/>
    <mergeCell ref="HD15:HE15"/>
    <mergeCell ref="HF15:HG15"/>
    <mergeCell ref="HH15:HI15"/>
    <mergeCell ref="HJ15:HK15"/>
    <mergeCell ref="L16:M16"/>
    <mergeCell ref="N16:O16"/>
    <mergeCell ref="P16:Q16"/>
    <mergeCell ref="R16:S16"/>
    <mergeCell ref="T16:U16"/>
    <mergeCell ref="V16:W16"/>
    <mergeCell ref="X16:Y16"/>
    <mergeCell ref="Z16:AA16"/>
    <mergeCell ref="AB16:AC16"/>
    <mergeCell ref="AD16:AE16"/>
    <mergeCell ref="AF16:AG16"/>
    <mergeCell ref="AH16:AI16"/>
    <mergeCell ref="AJ16:AK16"/>
    <mergeCell ref="AL16:AM16"/>
    <mergeCell ref="AN16:AO16"/>
    <mergeCell ref="AP16:AQ16"/>
    <mergeCell ref="AR16:AS16"/>
    <mergeCell ref="AT16:AU16"/>
    <mergeCell ref="AV16:AW16"/>
    <mergeCell ref="AX16:AY16"/>
    <mergeCell ref="AZ16:BA16"/>
    <mergeCell ref="BB16:BC16"/>
    <mergeCell ref="BD16:BE16"/>
    <mergeCell ref="BF16:BG16"/>
    <mergeCell ref="BH16:BI16"/>
    <mergeCell ref="BJ16:BK16"/>
    <mergeCell ref="BL16:BM16"/>
    <mergeCell ref="BN16:BO16"/>
    <mergeCell ref="BP16:BQ16"/>
    <mergeCell ref="BR16:BS16"/>
    <mergeCell ref="BT16:BU16"/>
    <mergeCell ref="BV16:BW16"/>
    <mergeCell ref="BX16:BY16"/>
    <mergeCell ref="BZ16:CA16"/>
    <mergeCell ref="CB16:CC16"/>
    <mergeCell ref="CD16:CE16"/>
    <mergeCell ref="CF16:CG16"/>
    <mergeCell ref="CH16:CI16"/>
    <mergeCell ref="CJ16:CK16"/>
    <mergeCell ref="CL16:CM16"/>
    <mergeCell ref="CN16:CO16"/>
    <mergeCell ref="CP16:CQ16"/>
    <mergeCell ref="HF16:HG16"/>
    <mergeCell ref="HH16:HI16"/>
    <mergeCell ref="HJ16:HK16"/>
    <mergeCell ref="GV15:GW15"/>
    <mergeCell ref="AJ15:AK15"/>
    <mergeCell ref="AL15:AM15"/>
    <mergeCell ref="AN15:AO15"/>
    <mergeCell ref="AP15:AQ15"/>
    <mergeCell ref="AR15:AS15"/>
    <mergeCell ref="AT15:AU15"/>
    <mergeCell ref="AV15:AW15"/>
    <mergeCell ref="AX15:AY15"/>
    <mergeCell ref="BH17:BI17"/>
    <mergeCell ref="BJ17:BK17"/>
    <mergeCell ref="BL17:BM17"/>
    <mergeCell ref="BN17:BO17"/>
    <mergeCell ref="BP17:BQ17"/>
    <mergeCell ref="BR17:BS17"/>
    <mergeCell ref="BT17:BU17"/>
    <mergeCell ref="BV17:BW17"/>
    <mergeCell ref="BX17:BY17"/>
    <mergeCell ref="BZ17:CA17"/>
    <mergeCell ref="CB17:CC17"/>
    <mergeCell ref="CD17:CE17"/>
    <mergeCell ref="CF17:CG17"/>
    <mergeCell ref="CH17:CI17"/>
    <mergeCell ref="EL16:EM16"/>
    <mergeCell ref="EN16:EO16"/>
    <mergeCell ref="EP16:EQ16"/>
    <mergeCell ref="ER16:ES16"/>
    <mergeCell ref="ET16:EU16"/>
    <mergeCell ref="EV16:EW16"/>
    <mergeCell ref="EX16:EY16"/>
    <mergeCell ref="EZ16:FA16"/>
    <mergeCell ref="FH16:FI16"/>
    <mergeCell ref="FJ16:FK16"/>
    <mergeCell ref="FL16:FM16"/>
    <mergeCell ref="FN16:FO16"/>
    <mergeCell ref="FP16:FQ16"/>
    <mergeCell ref="FR16:FS16"/>
    <mergeCell ref="FT16:FU16"/>
    <mergeCell ref="FH17:FI17"/>
    <mergeCell ref="BJ4:BK4"/>
    <mergeCell ref="GR17:GS17"/>
    <mergeCell ref="GT17:GU17"/>
    <mergeCell ref="FT15:FU15"/>
    <mergeCell ref="FV15:FW15"/>
    <mergeCell ref="FX15:FY15"/>
    <mergeCell ref="FZ15:GA15"/>
    <mergeCell ref="GB15:GC15"/>
    <mergeCell ref="GD15:GE15"/>
    <mergeCell ref="GF15:GG15"/>
    <mergeCell ref="GH15:GI15"/>
    <mergeCell ref="GJ15:GK15"/>
    <mergeCell ref="GL15:GM15"/>
    <mergeCell ref="GN15:GO15"/>
    <mergeCell ref="GP15:GQ15"/>
    <mergeCell ref="GR15:GS15"/>
    <mergeCell ref="GT15:GU15"/>
    <mergeCell ref="EL14:EM14"/>
    <mergeCell ref="EN14:EO14"/>
    <mergeCell ref="EP14:EQ14"/>
    <mergeCell ref="ER14:ES14"/>
    <mergeCell ref="ET14:EU14"/>
    <mergeCell ref="EV14:EW14"/>
    <mergeCell ref="EX14:EY14"/>
    <mergeCell ref="EZ14:FA14"/>
    <mergeCell ref="FB14:FC14"/>
    <mergeCell ref="FD14:FE14"/>
    <mergeCell ref="FF14:FG14"/>
    <mergeCell ref="FH14:FI14"/>
    <mergeCell ref="FJ14:FK14"/>
    <mergeCell ref="FL14:FM14"/>
    <mergeCell ref="FN14:FO14"/>
    <mergeCell ref="FP14:FQ14"/>
    <mergeCell ref="FR14:FS14"/>
    <mergeCell ref="GN117:GO117"/>
    <mergeCell ref="GP117:GQ117"/>
    <mergeCell ref="GR117:GS117"/>
    <mergeCell ref="GJ115:GK115"/>
    <mergeCell ref="GL115:GM115"/>
    <mergeCell ref="GN115:GO115"/>
    <mergeCell ref="GP115:GQ115"/>
    <mergeCell ref="GR115:GS115"/>
    <mergeCell ref="FN115:FO115"/>
    <mergeCell ref="FP115:FQ115"/>
    <mergeCell ref="FR115:FS115"/>
    <mergeCell ref="FT115:FU115"/>
    <mergeCell ref="FV115:FW115"/>
    <mergeCell ref="FX115:FY115"/>
    <mergeCell ref="FZ115:GA115"/>
    <mergeCell ref="GB115:GC115"/>
    <mergeCell ref="GD115:GE115"/>
    <mergeCell ref="GF115:GG115"/>
    <mergeCell ref="GH112:GI112"/>
    <mergeCell ref="FD112:FE112"/>
    <mergeCell ref="FF112:FG112"/>
    <mergeCell ref="FH112:FI112"/>
    <mergeCell ref="GV17:GW17"/>
    <mergeCell ref="GX17:GY17"/>
    <mergeCell ref="GZ17:HA17"/>
    <mergeCell ref="HB17:HC17"/>
    <mergeCell ref="HD17:HE17"/>
    <mergeCell ref="DH16:DI16"/>
    <mergeCell ref="DJ16:DK16"/>
    <mergeCell ref="DL16:DM16"/>
    <mergeCell ref="DT16:DU16"/>
    <mergeCell ref="DV16:DW16"/>
    <mergeCell ref="DX16:DY16"/>
    <mergeCell ref="DN16:DO16"/>
    <mergeCell ref="DP16:DQ16"/>
    <mergeCell ref="DR16:DS16"/>
    <mergeCell ref="DZ16:EA16"/>
    <mergeCell ref="EB16:EC16"/>
    <mergeCell ref="FV16:FW16"/>
    <mergeCell ref="FX16:FY16"/>
    <mergeCell ref="FZ16:GA16"/>
    <mergeCell ref="GB16:GC16"/>
    <mergeCell ref="GD16:GE16"/>
    <mergeCell ref="GF16:GG16"/>
    <mergeCell ref="GH16:GI16"/>
    <mergeCell ref="GJ16:GK16"/>
    <mergeCell ref="GL16:GM16"/>
    <mergeCell ref="GN16:GO16"/>
    <mergeCell ref="GP16:GQ16"/>
    <mergeCell ref="ED16:EE16"/>
    <mergeCell ref="EF16:EG16"/>
    <mergeCell ref="EH16:EI16"/>
    <mergeCell ref="EJ16:EK16"/>
    <mergeCell ref="GR16:GS16"/>
    <mergeCell ref="GT16:GU16"/>
    <mergeCell ref="GV16:GW16"/>
    <mergeCell ref="GX16:GY16"/>
    <mergeCell ref="GZ16:HA16"/>
    <mergeCell ref="HB16:HC16"/>
    <mergeCell ref="HD16:HE16"/>
    <mergeCell ref="GJ116:GK116"/>
    <mergeCell ref="GL116:GM116"/>
    <mergeCell ref="GN116:GO116"/>
    <mergeCell ref="GP116:GQ116"/>
    <mergeCell ref="CJ18:CK18"/>
    <mergeCell ref="CL18:CM18"/>
    <mergeCell ref="CN18:CO18"/>
    <mergeCell ref="CP18:CQ18"/>
    <mergeCell ref="CR18:CS18"/>
    <mergeCell ref="CT17:CU17"/>
    <mergeCell ref="CV17:CW17"/>
    <mergeCell ref="CX17:CY17"/>
    <mergeCell ref="CZ17:DA17"/>
    <mergeCell ref="DB17:DC17"/>
    <mergeCell ref="DD17:DE17"/>
    <mergeCell ref="DF17:DG17"/>
    <mergeCell ref="DH17:DI17"/>
    <mergeCell ref="DJ17:DK17"/>
    <mergeCell ref="DL17:DM17"/>
    <mergeCell ref="DN17:DO17"/>
    <mergeCell ref="DP17:DQ17"/>
    <mergeCell ref="DR17:DS17"/>
    <mergeCell ref="DT17:DU17"/>
    <mergeCell ref="DV17:DW17"/>
    <mergeCell ref="DX17:DY17"/>
    <mergeCell ref="DZ17:EA17"/>
    <mergeCell ref="EB17:EC17"/>
    <mergeCell ref="ED17:EE17"/>
    <mergeCell ref="EF17:EG17"/>
    <mergeCell ref="CJ17:CK17"/>
    <mergeCell ref="CL17:CM17"/>
    <mergeCell ref="CN17:CO17"/>
    <mergeCell ref="CP17:CQ17"/>
    <mergeCell ref="CR17:CS17"/>
    <mergeCell ref="FB16:FC16"/>
    <mergeCell ref="FD16:FE16"/>
    <mergeCell ref="FF16:FG16"/>
    <mergeCell ref="EH17:EI17"/>
    <mergeCell ref="EJ17:EK17"/>
    <mergeCell ref="EL17:EM17"/>
    <mergeCell ref="EN17:EO17"/>
    <mergeCell ref="EP17:EQ17"/>
    <mergeCell ref="CR16:CS16"/>
    <mergeCell ref="CT16:CU16"/>
    <mergeCell ref="CV16:CW16"/>
    <mergeCell ref="CX16:CY16"/>
    <mergeCell ref="CZ16:DA16"/>
    <mergeCell ref="DB16:DC16"/>
    <mergeCell ref="DD16:DE16"/>
    <mergeCell ref="DF16:DG16"/>
    <mergeCell ref="DL123:DS123"/>
    <mergeCell ref="DT123:EA123"/>
    <mergeCell ref="EB123:EI123"/>
    <mergeCell ref="EJ123:ES123"/>
    <mergeCell ref="ET123:FA123"/>
    <mergeCell ref="FB123:FK123"/>
    <mergeCell ref="FL123:FS123"/>
    <mergeCell ref="FT123:GC123"/>
    <mergeCell ref="GD123:GK123"/>
    <mergeCell ref="GL123:GS123"/>
    <mergeCell ref="GT123:HA123"/>
    <mergeCell ref="HB123:HI123"/>
    <mergeCell ref="HJ123:HK123"/>
    <mergeCell ref="GB17:GC17"/>
    <mergeCell ref="GD17:GE17"/>
    <mergeCell ref="GF17:GG17"/>
    <mergeCell ref="GH17:GI17"/>
    <mergeCell ref="GJ17:GK17"/>
    <mergeCell ref="GL17:GM17"/>
    <mergeCell ref="GN17:GO17"/>
    <mergeCell ref="GP17:GQ17"/>
    <mergeCell ref="ER17:ES17"/>
    <mergeCell ref="ET17:EU17"/>
    <mergeCell ref="EV17:EW17"/>
    <mergeCell ref="EX17:EY17"/>
    <mergeCell ref="EZ17:FA17"/>
    <mergeCell ref="FB17:FC17"/>
    <mergeCell ref="FD17:FE17"/>
    <mergeCell ref="FF17:FG17"/>
    <mergeCell ref="HF17:HG17"/>
    <mergeCell ref="HH17:HI17"/>
    <mergeCell ref="HJ17:HK17"/>
    <mergeCell ref="FJ17:FK17"/>
    <mergeCell ref="FL17:FM17"/>
    <mergeCell ref="FN17:FO17"/>
    <mergeCell ref="FP17:FQ17"/>
    <mergeCell ref="FR17:FS17"/>
    <mergeCell ref="FT17:FU17"/>
    <mergeCell ref="FV17:FW17"/>
    <mergeCell ref="FX17:FY17"/>
    <mergeCell ref="FZ17:GA17"/>
    <mergeCell ref="GH119:GI119"/>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J119:GK119"/>
    <mergeCell ref="GL119:GM119"/>
    <mergeCell ref="GN119:GO119"/>
    <mergeCell ref="GP119:GQ119"/>
    <mergeCell ref="GR119:GS119"/>
    <mergeCell ref="GJ117:GK117"/>
    <mergeCell ref="GL117:GM117"/>
    <mergeCell ref="CD18:CE18"/>
    <mergeCell ref="CF18:CG18"/>
    <mergeCell ref="CH18:CI18"/>
    <mergeCell ref="L124:M124"/>
    <mergeCell ref="N124:O124"/>
    <mergeCell ref="P124:Q124"/>
    <mergeCell ref="R124:S124"/>
    <mergeCell ref="T124:U124"/>
    <mergeCell ref="V124:W124"/>
    <mergeCell ref="X124:Y124"/>
    <mergeCell ref="Z124:AA124"/>
    <mergeCell ref="AB124:AC124"/>
    <mergeCell ref="AD124:AE124"/>
    <mergeCell ref="AF124:AG124"/>
    <mergeCell ref="AH124:AI124"/>
    <mergeCell ref="AJ124:AK124"/>
    <mergeCell ref="AL124:AM124"/>
    <mergeCell ref="AN124:AO124"/>
    <mergeCell ref="AP124:AQ124"/>
    <mergeCell ref="AR124:AS124"/>
    <mergeCell ref="CD124:CE124"/>
    <mergeCell ref="CF124:CG124"/>
    <mergeCell ref="CH124:CI124"/>
    <mergeCell ref="BZ115:CA115"/>
    <mergeCell ref="BB116:BC116"/>
    <mergeCell ref="AZ116:BA116"/>
    <mergeCell ref="AX116:AY116"/>
    <mergeCell ref="AV116:AW116"/>
    <mergeCell ref="AT116:AU116"/>
    <mergeCell ref="AR116:AS116"/>
    <mergeCell ref="AP116:AQ116"/>
    <mergeCell ref="AN116:AO116"/>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AT88:AU88"/>
    <mergeCell ref="AV88:AW88"/>
    <mergeCell ref="AX88:AY88"/>
    <mergeCell ref="AZ88:BA88"/>
    <mergeCell ref="BB88:BC88"/>
    <mergeCell ref="BD88:BE88"/>
    <mergeCell ref="AT87:AU87"/>
    <mergeCell ref="AV87:AW87"/>
    <mergeCell ref="AX87:AY87"/>
    <mergeCell ref="AZ87:BA87"/>
    <mergeCell ref="BF87:BG87"/>
    <mergeCell ref="BF88:BG88"/>
    <mergeCell ref="DD168:DE168"/>
    <mergeCell ref="DF168:DG168"/>
    <mergeCell ref="DH168:DI168"/>
    <mergeCell ref="DJ168:DK168"/>
    <mergeCell ref="DD163:DE163"/>
    <mergeCell ref="DF163:DG163"/>
    <mergeCell ref="DH163:DI163"/>
    <mergeCell ref="DJ163:DK163"/>
    <mergeCell ref="DD157:DE157"/>
    <mergeCell ref="DF157:DG157"/>
    <mergeCell ref="DH157:DI157"/>
    <mergeCell ref="DJ157:DK157"/>
    <mergeCell ref="DD152:DE152"/>
    <mergeCell ref="DF152:DG152"/>
    <mergeCell ref="DH152:DI152"/>
    <mergeCell ref="DJ152:DK152"/>
    <mergeCell ref="DD150:DE150"/>
    <mergeCell ref="DF150:DG150"/>
    <mergeCell ref="DH150:DI150"/>
    <mergeCell ref="DJ150:DK150"/>
    <mergeCell ref="DD135:DE135"/>
    <mergeCell ref="DF135:DG135"/>
    <mergeCell ref="DH135:DI135"/>
    <mergeCell ref="DJ135:DK135"/>
    <mergeCell ref="DD129:DE129"/>
    <mergeCell ref="DF129:DG129"/>
    <mergeCell ref="DH129:DI129"/>
    <mergeCell ref="DJ129:DK129"/>
    <mergeCell ref="CB168:CC168"/>
    <mergeCell ref="CD168:CE168"/>
    <mergeCell ref="CF168:CG168"/>
    <mergeCell ref="DD138:DE138"/>
    <mergeCell ref="DF138:DG138"/>
    <mergeCell ref="DH138:DI138"/>
    <mergeCell ref="DJ138:DK138"/>
    <mergeCell ref="DD132:DE132"/>
    <mergeCell ref="DF132:DG132"/>
    <mergeCell ref="DH132:DI132"/>
    <mergeCell ref="DJ132:DK132"/>
    <mergeCell ref="CH168:CI168"/>
    <mergeCell ref="CJ168:CK168"/>
    <mergeCell ref="CL168:CM168"/>
    <mergeCell ref="CN168:CO168"/>
    <mergeCell ref="CP168:CQ168"/>
    <mergeCell ref="CR168:CS168"/>
    <mergeCell ref="CT168:CU168"/>
    <mergeCell ref="CV168:CW168"/>
    <mergeCell ref="CX168:CY168"/>
    <mergeCell ref="CZ168:DA168"/>
    <mergeCell ref="DB168:DC168"/>
    <mergeCell ref="CL167:CM167"/>
    <mergeCell ref="CN167:CO167"/>
    <mergeCell ref="CL165:CM165"/>
    <mergeCell ref="CN165:CO165"/>
    <mergeCell ref="CP165:CQ165"/>
    <mergeCell ref="CR165:CS165"/>
    <mergeCell ref="CT165:CU165"/>
    <mergeCell ref="CV165:CW165"/>
    <mergeCell ref="CX165:CY165"/>
    <mergeCell ref="CZ165:DA165"/>
    <mergeCell ref="DB165:DC165"/>
    <mergeCell ref="CX162:CY162"/>
    <mergeCell ref="CR164:CS164"/>
    <mergeCell ref="CT164:CU164"/>
  </mergeCells>
  <phoneticPr fontId="45" type="noConversion"/>
  <conditionalFormatting sqref="N19 L19 N10 L10">
    <cfRule type="cellIs" dxfId="482" priority="27109" stopIfTrue="1" operator="greaterThan">
      <formula>6</formula>
    </cfRule>
  </conditionalFormatting>
  <conditionalFormatting sqref="AR19 CX19 CZ19 DB19 DD19 DF19 CT19 CV19 P19 R19 V19 AB19 AD19 T19 X19 Z19 AF19 CJ19 CL19 CN19 CP19 CR19 BP19 BV19 BX19 BZ19 CB19 CD19 CF19 CH19 BR19 BT19 AT19 AV19 AX19 AZ19 BN19 AR10 P10 R10 V10 AB10 T10 X10 Z10 AN10 AP10 AT10 AV10 AX10 BB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BD10 BF10 BH10 BJ10 BL10 BN10 AZ10 BB19 AD10 AF10 AH10 AJ10 AL10 BD19 BF19 BH19 BJ19 BL19 AH19 AN19 AP19 AJ19 AL19">
    <cfRule type="cellIs" dxfId="481" priority="27030" stopIfTrue="1" operator="greaterThan">
      <formula>6</formula>
    </cfRule>
  </conditionalFormatting>
  <conditionalFormatting sqref="DH19">
    <cfRule type="cellIs" dxfId="480" priority="26870" stopIfTrue="1" operator="greaterThan">
      <formula>6</formula>
    </cfRule>
  </conditionalFormatting>
  <conditionalFormatting sqref="N29 L29">
    <cfRule type="cellIs" dxfId="479" priority="26551" stopIfTrue="1" operator="greaterThan">
      <formula>6</formula>
    </cfRule>
  </conditionalFormatting>
  <conditionalFormatting sqref="P29">
    <cfRule type="cellIs" dxfId="478" priority="26531" stopIfTrue="1" operator="greaterThan">
      <formula>6</formula>
    </cfRule>
  </conditionalFormatting>
  <conditionalFormatting sqref="DH29 R29 T29 AF29 AD29 X29 Z29 V29 AH29 AR29 AT29 AV29 AB29 AX29 AZ29 BB29 CT29 CV29 CX29 CZ29 DB29 DD29 DF29 BT29 BV29 BX29 BZ29 CB29 CD29 CF29 CH29 CJ29 CL29 CN29 CP29 CR29 BD29 BF29 BH29 BJ29 BL29 BN29 BP29 BR29 AN29 AL29 AJ29">
    <cfRule type="cellIs" dxfId="477" priority="26452" stopIfTrue="1" operator="greaterThan">
      <formula>6</formula>
    </cfRule>
  </conditionalFormatting>
  <conditionalFormatting sqref="N48 L48">
    <cfRule type="cellIs" dxfId="476" priority="25993" stopIfTrue="1" operator="greaterThan">
      <formula>6</formula>
    </cfRule>
  </conditionalFormatting>
  <conditionalFormatting sqref="P48">
    <cfRule type="cellIs" dxfId="475" priority="25973" stopIfTrue="1" operator="greaterThan">
      <formula>6</formula>
    </cfRule>
  </conditionalFormatting>
  <conditionalFormatting sqref="R48">
    <cfRule type="cellIs" dxfId="474" priority="25953" stopIfTrue="1" operator="greaterThan">
      <formula>6</formula>
    </cfRule>
  </conditionalFormatting>
  <conditionalFormatting sqref="V48 T48">
    <cfRule type="cellIs" dxfId="473" priority="25914" stopIfTrue="1" operator="greaterThan">
      <formula>6</formula>
    </cfRule>
  </conditionalFormatting>
  <conditionalFormatting sqref="X48 Z48 AB48 AD48 AF48 AH48 AJ48 AL48 AN48 AT48 AV48 AX48 AZ48 BB48 BD48 BF48 BH48 BJ48 BR48 DH48 CR48 CP48 CT48 CV48 CX48 CZ48 DF48 DB48 DD48 BT48 BV48 BX48 BZ48 CB48 CD48 CF48 CH48 CJ48 CL48 CN48 BL48 BN48 BP48">
    <cfRule type="cellIs" dxfId="472" priority="25894" stopIfTrue="1" operator="greaterThan">
      <formula>6</formula>
    </cfRule>
  </conditionalFormatting>
  <conditionalFormatting sqref="N39 L39">
    <cfRule type="cellIs" dxfId="471" priority="19855" stopIfTrue="1" operator="greaterThan">
      <formula>6</formula>
    </cfRule>
  </conditionalFormatting>
  <conditionalFormatting sqref="P39">
    <cfRule type="cellIs" dxfId="470" priority="19835" stopIfTrue="1" operator="greaterThan">
      <formula>6</formula>
    </cfRule>
  </conditionalFormatting>
  <conditionalFormatting sqref="AF39 AH39 AJ39 AL39 AN39 AP39 AT39 R39 T39 V39 X39 Z39 AB39 AD39">
    <cfRule type="cellIs" dxfId="469" priority="19696" stopIfTrue="1" operator="greaterThan">
      <formula>6</formula>
    </cfRule>
  </conditionalFormatting>
  <conditionalFormatting sqref="N59 L59">
    <cfRule type="cellIs" dxfId="468" priority="10927" stopIfTrue="1" operator="greaterThan">
      <formula>6</formula>
    </cfRule>
  </conditionalFormatting>
  <conditionalFormatting sqref="P59">
    <cfRule type="cellIs" dxfId="467" priority="10907" stopIfTrue="1" operator="greaterThan">
      <formula>6</formula>
    </cfRule>
  </conditionalFormatting>
  <conditionalFormatting sqref="R59">
    <cfRule type="cellIs" dxfId="466" priority="10887" stopIfTrue="1" operator="greaterThan">
      <formula>6</formula>
    </cfRule>
  </conditionalFormatting>
  <conditionalFormatting sqref="V59 T59">
    <cfRule type="cellIs" dxfId="465" priority="10848" stopIfTrue="1" operator="greaterThan">
      <formula>6</formula>
    </cfRule>
  </conditionalFormatting>
  <conditionalFormatting sqref="X59">
    <cfRule type="cellIs" dxfId="464" priority="10828" stopIfTrue="1" operator="greaterThan">
      <formula>6</formula>
    </cfRule>
  </conditionalFormatting>
  <conditionalFormatting sqref="Z59">
    <cfRule type="cellIs" dxfId="463" priority="10808" stopIfTrue="1" operator="greaterThan">
      <formula>6</formula>
    </cfRule>
  </conditionalFormatting>
  <conditionalFormatting sqref="AB59">
    <cfRule type="cellIs" dxfId="462" priority="10788" stopIfTrue="1" operator="greaterThan">
      <formula>6</formula>
    </cfRule>
  </conditionalFormatting>
  <conditionalFormatting sqref="AD59 AF59 AH59">
    <cfRule type="cellIs" dxfId="461" priority="10768" stopIfTrue="1" operator="greaterThan">
      <formula>6</formula>
    </cfRule>
  </conditionalFormatting>
  <conditionalFormatting sqref="AJ59">
    <cfRule type="cellIs" dxfId="460" priority="10748" stopIfTrue="1" operator="greaterThan">
      <formula>6</formula>
    </cfRule>
  </conditionalFormatting>
  <conditionalFormatting sqref="AP59 AT59 AN59 AL59">
    <cfRule type="cellIs" dxfId="459" priority="10728" stopIfTrue="1" operator="greaterThan">
      <formula>6</formula>
    </cfRule>
  </conditionalFormatting>
  <conditionalFormatting sqref="AV59 AX59">
    <cfRule type="cellIs" dxfId="458" priority="10688" stopIfTrue="1" operator="greaterThan">
      <formula>6</formula>
    </cfRule>
  </conditionalFormatting>
  <conditionalFormatting sqref="AZ59">
    <cfRule type="cellIs" dxfId="457" priority="10668" stopIfTrue="1" operator="greaterThan">
      <formula>6</formula>
    </cfRule>
  </conditionalFormatting>
  <conditionalFormatting sqref="BB59 BD59 BF59 BH59 BJ59 BL59 BN59 BP59 BR59">
    <cfRule type="cellIs" dxfId="456" priority="10648" stopIfTrue="1" operator="greaterThan">
      <formula>6</formula>
    </cfRule>
  </conditionalFormatting>
  <conditionalFormatting sqref="BT59 BV59">
    <cfRule type="cellIs" dxfId="455" priority="10568" stopIfTrue="1" operator="greaterThan">
      <formula>6</formula>
    </cfRule>
  </conditionalFormatting>
  <conditionalFormatting sqref="BX59 BZ59 CB59">
    <cfRule type="cellIs" dxfId="454" priority="10548" stopIfTrue="1" operator="greaterThan">
      <formula>6</formula>
    </cfRule>
  </conditionalFormatting>
  <conditionalFormatting sqref="CF59 CH59 CJ59 CR59 CT59 CV59 CX59 CZ59 DB59 CD59 CP59 CL59 CN59">
    <cfRule type="cellIs" dxfId="453" priority="10528" stopIfTrue="1" operator="greaterThan">
      <formula>6</formula>
    </cfRule>
  </conditionalFormatting>
  <conditionalFormatting sqref="N68 L68">
    <cfRule type="cellIs" dxfId="452" priority="7979" stopIfTrue="1" operator="greaterThan">
      <formula>6</formula>
    </cfRule>
  </conditionalFormatting>
  <conditionalFormatting sqref="P68">
    <cfRule type="cellIs" dxfId="451" priority="7978" stopIfTrue="1" operator="greaterThan">
      <formula>6</formula>
    </cfRule>
  </conditionalFormatting>
  <conditionalFormatting sqref="R68">
    <cfRule type="cellIs" dxfId="450" priority="7977" stopIfTrue="1" operator="greaterThan">
      <formula>6</formula>
    </cfRule>
  </conditionalFormatting>
  <conditionalFormatting sqref="V68 T68">
    <cfRule type="cellIs" dxfId="449" priority="7976" stopIfTrue="1" operator="greaterThan">
      <formula>6</formula>
    </cfRule>
  </conditionalFormatting>
  <conditionalFormatting sqref="X68">
    <cfRule type="cellIs" dxfId="448" priority="7975" stopIfTrue="1" operator="greaterThan">
      <formula>6</formula>
    </cfRule>
  </conditionalFormatting>
  <conditionalFormatting sqref="Z68">
    <cfRule type="cellIs" dxfId="447" priority="7974" stopIfTrue="1" operator="greaterThan">
      <formula>6</formula>
    </cfRule>
  </conditionalFormatting>
  <conditionalFormatting sqref="AB68">
    <cfRule type="cellIs" dxfId="446" priority="7973" stopIfTrue="1" operator="greaterThan">
      <formula>6</formula>
    </cfRule>
  </conditionalFormatting>
  <conditionalFormatting sqref="AD68 AF68 AH68">
    <cfRule type="cellIs" dxfId="445" priority="7972" stopIfTrue="1" operator="greaterThan">
      <formula>6</formula>
    </cfRule>
  </conditionalFormatting>
  <conditionalFormatting sqref="AJ68">
    <cfRule type="cellIs" dxfId="444" priority="7971" stopIfTrue="1" operator="greaterThan">
      <formula>6</formula>
    </cfRule>
  </conditionalFormatting>
  <conditionalFormatting sqref="AT68 AV68 AX68 AZ68">
    <cfRule type="cellIs" dxfId="443" priority="7968" stopIfTrue="1" operator="greaterThan">
      <formula>6</formula>
    </cfRule>
  </conditionalFormatting>
  <conditionalFormatting sqref="BB68 BD68 BF68">
    <cfRule type="cellIs" dxfId="442" priority="7966" stopIfTrue="1" operator="greaterThan">
      <formula>6</formula>
    </cfRule>
  </conditionalFormatting>
  <conditionalFormatting sqref="BH68">
    <cfRule type="cellIs" dxfId="441" priority="7965" stopIfTrue="1" operator="greaterThan">
      <formula>6</formula>
    </cfRule>
  </conditionalFormatting>
  <conditionalFormatting sqref="BJ68 BL68 BN68 BP68 BR68">
    <cfRule type="cellIs" dxfId="440" priority="7964" stopIfTrue="1" operator="greaterThan">
      <formula>6</formula>
    </cfRule>
  </conditionalFormatting>
  <conditionalFormatting sqref="BV68">
    <cfRule type="cellIs" dxfId="439" priority="7962" stopIfTrue="1" operator="greaterThan">
      <formula>6</formula>
    </cfRule>
  </conditionalFormatting>
  <conditionalFormatting sqref="BZ68 CX68 CZ68 CN68 CT68 CV68 DB68 DD68 CP68 CR68 CF68 CH68 CD68 CB68 CJ68 CL68">
    <cfRule type="cellIs" dxfId="438" priority="7960" stopIfTrue="1" operator="greaterThan">
      <formula>6</formula>
    </cfRule>
  </conditionalFormatting>
  <conditionalFormatting sqref="L78">
    <cfRule type="cellIs" dxfId="437" priority="7901" stopIfTrue="1" operator="greaterThan">
      <formula>6</formula>
    </cfRule>
  </conditionalFormatting>
  <conditionalFormatting sqref="P78 R78 N78 CV78 CX78 CZ78 DD78 DF78 DH78 DB78 T78 V78 X78 Z78 AB78 AD78 AF78 AT78 BH78 AV78 AX78 AN78 BF78 BR78 BN78 BP78 BT78 CJ78 CT78 AH78 AJ78 AL78 AP78 AR78 AZ78 BB78 BD78 BJ78 BL78 CL78 CN78 CP78 CR78 BV78 BX78 BZ78 CB78 CD78 CF78 CH78">
    <cfRule type="cellIs" dxfId="436" priority="7900" stopIfTrue="1" operator="greaterThan">
      <formula>6</formula>
    </cfRule>
  </conditionalFormatting>
  <conditionalFormatting sqref="N87 L87">
    <cfRule type="cellIs" dxfId="435" priority="7875" stopIfTrue="1" operator="greaterThan">
      <formula>6</formula>
    </cfRule>
  </conditionalFormatting>
  <conditionalFormatting sqref="P87">
    <cfRule type="cellIs" dxfId="434" priority="7874" stopIfTrue="1" operator="greaterThan">
      <formula>6</formula>
    </cfRule>
  </conditionalFormatting>
  <conditionalFormatting sqref="R87">
    <cfRule type="cellIs" dxfId="433" priority="7873" stopIfTrue="1" operator="greaterThan">
      <formula>6</formula>
    </cfRule>
  </conditionalFormatting>
  <conditionalFormatting sqref="V87 T87">
    <cfRule type="cellIs" dxfId="432" priority="7872" stopIfTrue="1" operator="greaterThan">
      <formula>6</formula>
    </cfRule>
  </conditionalFormatting>
  <conditionalFormatting sqref="X87">
    <cfRule type="cellIs" dxfId="431" priority="7871" stopIfTrue="1" operator="greaterThan">
      <formula>6</formula>
    </cfRule>
  </conditionalFormatting>
  <conditionalFormatting sqref="Z87">
    <cfRule type="cellIs" dxfId="430" priority="7870" stopIfTrue="1" operator="greaterThan">
      <formula>6</formula>
    </cfRule>
  </conditionalFormatting>
  <conditionalFormatting sqref="AB87">
    <cfRule type="cellIs" dxfId="429" priority="7869" stopIfTrue="1" operator="greaterThan">
      <formula>6</formula>
    </cfRule>
  </conditionalFormatting>
  <conditionalFormatting sqref="AD87 AF87 AH87">
    <cfRule type="cellIs" dxfId="428" priority="7868" stopIfTrue="1" operator="greaterThan">
      <formula>6</formula>
    </cfRule>
  </conditionalFormatting>
  <conditionalFormatting sqref="AJ87">
    <cfRule type="cellIs" dxfId="427" priority="7867" stopIfTrue="1" operator="greaterThan">
      <formula>6</formula>
    </cfRule>
  </conditionalFormatting>
  <conditionalFormatting sqref="AL87 AN87 AP87">
    <cfRule type="cellIs" dxfId="426" priority="7866" stopIfTrue="1" operator="greaterThan">
      <formula>6</formula>
    </cfRule>
  </conditionalFormatting>
  <conditionalFormatting sqref="AR87">
    <cfRule type="cellIs" dxfId="425" priority="7865" stopIfTrue="1" operator="greaterThan">
      <formula>6</formula>
    </cfRule>
  </conditionalFormatting>
  <conditionalFormatting sqref="BV87">
    <cfRule type="cellIs" dxfId="424" priority="7858" stopIfTrue="1" operator="greaterThan">
      <formula>6</formula>
    </cfRule>
  </conditionalFormatting>
  <conditionalFormatting sqref="BX87">
    <cfRule type="cellIs" dxfId="423" priority="7857" stopIfTrue="1" operator="greaterThan">
      <formula>6</formula>
    </cfRule>
  </conditionalFormatting>
  <conditionalFormatting sqref="BZ87 CB87 CD87 CF87 CH87 CJ87 CL87 CN87">
    <cfRule type="cellIs" dxfId="422" priority="7856" stopIfTrue="1" operator="greaterThan">
      <formula>6</formula>
    </cfRule>
  </conditionalFormatting>
  <conditionalFormatting sqref="DB87 CP87 CX87 CZ87 CR87 CT87 CV87">
    <cfRule type="cellIs" dxfId="421" priority="7850" stopIfTrue="1" operator="greaterThan">
      <formula>6</formula>
    </cfRule>
  </conditionalFormatting>
  <conditionalFormatting sqref="N96 L96">
    <cfRule type="cellIs" dxfId="420" priority="7849" stopIfTrue="1" operator="greaterThan">
      <formula>6</formula>
    </cfRule>
  </conditionalFormatting>
  <conditionalFormatting sqref="P96">
    <cfRule type="cellIs" dxfId="419" priority="7848" stopIfTrue="1" operator="greaterThan">
      <formula>6</formula>
    </cfRule>
  </conditionalFormatting>
  <conditionalFormatting sqref="R96">
    <cfRule type="cellIs" dxfId="418" priority="7847" stopIfTrue="1" operator="greaterThan">
      <formula>6</formula>
    </cfRule>
  </conditionalFormatting>
  <conditionalFormatting sqref="T96 V96 X96 Z96 AB96 AD96 AF96">
    <cfRule type="cellIs" dxfId="417" priority="7846" stopIfTrue="1" operator="greaterThan">
      <formula>6</formula>
    </cfRule>
  </conditionalFormatting>
  <conditionalFormatting sqref="AJ96 AL96 AN96 AP96 AR96 AH96 BH96 BZ96 CB96 BJ96 BL96 BN96 BP96 BR96 BT96 BV96 BX96">
    <cfRule type="cellIs" dxfId="416" priority="7842" stopIfTrue="1" operator="greaterThan">
      <formula>6</formula>
    </cfRule>
  </conditionalFormatting>
  <conditionalFormatting sqref="CZ96 DB96 CX96 CL96 CT96 CV96 CN96 CP96 CR96 CD96 CF96 CH96 CJ96">
    <cfRule type="cellIs" dxfId="415" priority="7828" stopIfTrue="1" operator="greaterThan">
      <formula>6</formula>
    </cfRule>
  </conditionalFormatting>
  <conditionalFormatting sqref="L105">
    <cfRule type="cellIs" dxfId="414" priority="7823" stopIfTrue="1" operator="greaterThan">
      <formula>6</formula>
    </cfRule>
  </conditionalFormatting>
  <conditionalFormatting sqref="N105 P105 R105 T105 V105 X105 AN105 AP105 AR105 Z105 AB105 AD105 AF105 AH105 AJ105 AL105 BH105 BJ105 BL105 BN105 BP105 BT105 BR105 BV105 BX105 BZ105 CB105 CD105 CF105">
    <cfRule type="cellIs" dxfId="413" priority="7818" stopIfTrue="1" operator="greaterThan">
      <formula>6</formula>
    </cfRule>
  </conditionalFormatting>
  <conditionalFormatting sqref="CP105 CR105 CT105 CV105 CX105 CH105 CJ105 CN105 CL105">
    <cfRule type="cellIs" dxfId="412" priority="7816" stopIfTrue="1" operator="greaterThan">
      <formula>6</formula>
    </cfRule>
  </conditionalFormatting>
  <conditionalFormatting sqref="CZ105 DB105 DD105 DF105 DH105">
    <cfRule type="cellIs" dxfId="411" priority="7800" stopIfTrue="1" operator="greaterThan">
      <formula>6</formula>
    </cfRule>
  </conditionalFormatting>
  <conditionalFormatting sqref="N114 L114">
    <cfRule type="cellIs" dxfId="410" priority="7771" stopIfTrue="1" operator="greaterThan">
      <formula>6</formula>
    </cfRule>
  </conditionalFormatting>
  <conditionalFormatting sqref="P114">
    <cfRule type="cellIs" dxfId="409" priority="7770" stopIfTrue="1" operator="greaterThan">
      <formula>6</formula>
    </cfRule>
  </conditionalFormatting>
  <conditionalFormatting sqref="R114">
    <cfRule type="cellIs" dxfId="408" priority="7769" stopIfTrue="1" operator="greaterThan">
      <formula>6</formula>
    </cfRule>
  </conditionalFormatting>
  <conditionalFormatting sqref="V114 T114">
    <cfRule type="cellIs" dxfId="407" priority="7768" stopIfTrue="1" operator="greaterThan">
      <formula>6</formula>
    </cfRule>
  </conditionalFormatting>
  <conditionalFormatting sqref="X114">
    <cfRule type="cellIs" dxfId="406" priority="7767" stopIfTrue="1" operator="greaterThan">
      <formula>6</formula>
    </cfRule>
  </conditionalFormatting>
  <conditionalFormatting sqref="Z114">
    <cfRule type="cellIs" dxfId="405" priority="7766" stopIfTrue="1" operator="greaterThan">
      <formula>6</formula>
    </cfRule>
  </conditionalFormatting>
  <conditionalFormatting sqref="AB114">
    <cfRule type="cellIs" dxfId="404" priority="7765" stopIfTrue="1" operator="greaterThan">
      <formula>6</formula>
    </cfRule>
  </conditionalFormatting>
  <conditionalFormatting sqref="AD114 AF114 AH114">
    <cfRule type="cellIs" dxfId="403" priority="7764" stopIfTrue="1" operator="greaterThan">
      <formula>6</formula>
    </cfRule>
  </conditionalFormatting>
  <conditionalFormatting sqref="AJ114">
    <cfRule type="cellIs" dxfId="402" priority="7763" stopIfTrue="1" operator="greaterThan">
      <formula>6</formula>
    </cfRule>
  </conditionalFormatting>
  <conditionalFormatting sqref="AL114 AN114 AP114">
    <cfRule type="cellIs" dxfId="401" priority="7762" stopIfTrue="1" operator="greaterThan">
      <formula>6</formula>
    </cfRule>
  </conditionalFormatting>
  <conditionalFormatting sqref="AR114">
    <cfRule type="cellIs" dxfId="400" priority="7761" stopIfTrue="1" operator="greaterThan">
      <formula>6</formula>
    </cfRule>
  </conditionalFormatting>
  <conditionalFormatting sqref="BH114">
    <cfRule type="cellIs" dxfId="399" priority="7757" stopIfTrue="1" operator="greaterThan">
      <formula>6</formula>
    </cfRule>
  </conditionalFormatting>
  <conditionalFormatting sqref="BJ114 BL114 BN114">
    <cfRule type="cellIs" dxfId="398" priority="7756" stopIfTrue="1" operator="greaterThan">
      <formula>6</formula>
    </cfRule>
  </conditionalFormatting>
  <conditionalFormatting sqref="BP114">
    <cfRule type="cellIs" dxfId="397" priority="7755" stopIfTrue="1" operator="greaterThan">
      <formula>6</formula>
    </cfRule>
  </conditionalFormatting>
  <conditionalFormatting sqref="BR114 BT114 BV114">
    <cfRule type="cellIs" dxfId="396" priority="7754" stopIfTrue="1" operator="greaterThan">
      <formula>6</formula>
    </cfRule>
  </conditionalFormatting>
  <conditionalFormatting sqref="BX114 BZ114 CB114 CD114 CF114 CH114 CJ114 CL114">
    <cfRule type="cellIs" dxfId="395" priority="7753" stopIfTrue="1" operator="greaterThan">
      <formula>6</formula>
    </cfRule>
  </conditionalFormatting>
  <conditionalFormatting sqref="CN114 CP114 CR114">
    <cfRule type="cellIs" dxfId="394" priority="7751" stopIfTrue="1" operator="greaterThan">
      <formula>6</formula>
    </cfRule>
  </conditionalFormatting>
  <conditionalFormatting sqref="CT114 CV114 CX114">
    <cfRule type="cellIs" dxfId="393" priority="7750" stopIfTrue="1" operator="greaterThan">
      <formula>6</formula>
    </cfRule>
  </conditionalFormatting>
  <conditionalFormatting sqref="CZ114 DB114 DD114">
    <cfRule type="cellIs" dxfId="392" priority="7746" stopIfTrue="1" operator="greaterThan">
      <formula>6</formula>
    </cfRule>
  </conditionalFormatting>
  <conditionalFormatting sqref="N125 L125">
    <cfRule type="cellIs" dxfId="391" priority="7537" stopIfTrue="1" operator="greaterThan">
      <formula>6</formula>
    </cfRule>
  </conditionalFormatting>
  <conditionalFormatting sqref="P125">
    <cfRule type="cellIs" dxfId="390" priority="7536" stopIfTrue="1" operator="greaterThan">
      <formula>6</formula>
    </cfRule>
  </conditionalFormatting>
  <conditionalFormatting sqref="R125">
    <cfRule type="cellIs" dxfId="389" priority="7535" stopIfTrue="1" operator="greaterThan">
      <formula>6</formula>
    </cfRule>
  </conditionalFormatting>
  <conditionalFormatting sqref="T125">
    <cfRule type="cellIs" dxfId="388" priority="7534" stopIfTrue="1" operator="greaterThan">
      <formula>6</formula>
    </cfRule>
  </conditionalFormatting>
  <conditionalFormatting sqref="BT125 BV125 BX125 BZ125">
    <cfRule type="cellIs" dxfId="387" priority="7520" stopIfTrue="1" operator="greaterThan">
      <formula>6</formula>
    </cfRule>
  </conditionalFormatting>
  <conditionalFormatting sqref="CB125 CD125">
    <cfRule type="cellIs" dxfId="386" priority="7518" stopIfTrue="1" operator="greaterThan">
      <formula>6</formula>
    </cfRule>
  </conditionalFormatting>
  <conditionalFormatting sqref="CH125">
    <cfRule type="cellIs" dxfId="385" priority="7517" stopIfTrue="1" operator="greaterThan">
      <formula>6</formula>
    </cfRule>
  </conditionalFormatting>
  <conditionalFormatting sqref="CJ125 CL125">
    <cfRule type="cellIs" dxfId="384" priority="7516" stopIfTrue="1" operator="greaterThan">
      <formula>6</formula>
    </cfRule>
  </conditionalFormatting>
  <conditionalFormatting sqref="CN125 CP125 CR125 CT125 CV125 CX125">
    <cfRule type="cellIs" dxfId="383" priority="7515" stopIfTrue="1" operator="greaterThan">
      <formula>6</formula>
    </cfRule>
  </conditionalFormatting>
  <conditionalFormatting sqref="DB125">
    <cfRule type="cellIs" dxfId="382" priority="7512" stopIfTrue="1" operator="greaterThan">
      <formula>6</formula>
    </cfRule>
  </conditionalFormatting>
  <conditionalFormatting sqref="N134 L134">
    <cfRule type="cellIs" dxfId="381" priority="7511" stopIfTrue="1" operator="greaterThan">
      <formula>6</formula>
    </cfRule>
  </conditionalFormatting>
  <conditionalFormatting sqref="P134">
    <cfRule type="cellIs" dxfId="380" priority="7510" stopIfTrue="1" operator="greaterThan">
      <formula>6</formula>
    </cfRule>
  </conditionalFormatting>
  <conditionalFormatting sqref="R134">
    <cfRule type="cellIs" dxfId="379" priority="7509" stopIfTrue="1" operator="greaterThan">
      <formula>6</formula>
    </cfRule>
  </conditionalFormatting>
  <conditionalFormatting sqref="AT134 AV134">
    <cfRule type="cellIs" dxfId="378" priority="7500" stopIfTrue="1" operator="greaterThan">
      <formula>6</formula>
    </cfRule>
  </conditionalFormatting>
  <conditionalFormatting sqref="BB134 BD134 BF134">
    <cfRule type="cellIs" dxfId="377" priority="7498" stopIfTrue="1" operator="greaterThan">
      <formula>6</formula>
    </cfRule>
  </conditionalFormatting>
  <conditionalFormatting sqref="BH134">
    <cfRule type="cellIs" dxfId="376" priority="7497" stopIfTrue="1" operator="greaterThan">
      <formula>6</formula>
    </cfRule>
  </conditionalFormatting>
  <conditionalFormatting sqref="BJ134 BL134 BN134">
    <cfRule type="cellIs" dxfId="375" priority="7496" stopIfTrue="1" operator="greaterThan">
      <formula>6</formula>
    </cfRule>
  </conditionalFormatting>
  <conditionalFormatting sqref="BP134">
    <cfRule type="cellIs" dxfId="374" priority="7495" stopIfTrue="1" operator="greaterThan">
      <formula>6</formula>
    </cfRule>
  </conditionalFormatting>
  <conditionalFormatting sqref="BR134 BT134 BV134 BX134 BZ134 CB134 CD134">
    <cfRule type="cellIs" dxfId="373" priority="7494" stopIfTrue="1" operator="greaterThan">
      <formula>6</formula>
    </cfRule>
  </conditionalFormatting>
  <conditionalFormatting sqref="CF134">
    <cfRule type="cellIs" dxfId="372" priority="7491" stopIfTrue="1" operator="greaterThan">
      <formula>6</formula>
    </cfRule>
  </conditionalFormatting>
  <conditionalFormatting sqref="CH134 CJ134 CL134">
    <cfRule type="cellIs" dxfId="371" priority="7490" stopIfTrue="1" operator="greaterThan">
      <formula>6</formula>
    </cfRule>
  </conditionalFormatting>
  <conditionalFormatting sqref="CN134">
    <cfRule type="cellIs" dxfId="370" priority="7489" stopIfTrue="1" operator="greaterThan">
      <formula>6</formula>
    </cfRule>
  </conditionalFormatting>
  <conditionalFormatting sqref="CP134">
    <cfRule type="cellIs" dxfId="369" priority="7488" stopIfTrue="1" operator="greaterThan">
      <formula>6</formula>
    </cfRule>
  </conditionalFormatting>
  <conditionalFormatting sqref="DB134">
    <cfRule type="cellIs" dxfId="368" priority="7486" stopIfTrue="1" operator="greaterThan">
      <formula>6</formula>
    </cfRule>
  </conditionalFormatting>
  <conditionalFormatting sqref="N143 L143">
    <cfRule type="cellIs" dxfId="367" priority="7485" stopIfTrue="1" operator="greaterThan">
      <formula>6</formula>
    </cfRule>
  </conditionalFormatting>
  <conditionalFormatting sqref="P143">
    <cfRule type="cellIs" dxfId="366" priority="7484" stopIfTrue="1" operator="greaterThan">
      <formula>6</formula>
    </cfRule>
  </conditionalFormatting>
  <conditionalFormatting sqref="R143">
    <cfRule type="cellIs" dxfId="365" priority="7483" stopIfTrue="1" operator="greaterThan">
      <formula>6</formula>
    </cfRule>
  </conditionalFormatting>
  <conditionalFormatting sqref="T143 V143 X143 Z143 AB143 AD143 AF143 AH143 AJ143 AL143 AN143 AP143 AR143">
    <cfRule type="cellIs" dxfId="364" priority="7482" stopIfTrue="1" operator="greaterThan">
      <formula>6</formula>
    </cfRule>
  </conditionalFormatting>
  <conditionalFormatting sqref="AT143 AV143 AX143">
    <cfRule type="cellIs" dxfId="363" priority="7474" stopIfTrue="1" operator="greaterThan">
      <formula>6</formula>
    </cfRule>
  </conditionalFormatting>
  <conditionalFormatting sqref="AZ143">
    <cfRule type="cellIs" dxfId="362" priority="7473" stopIfTrue="1" operator="greaterThan">
      <formula>6</formula>
    </cfRule>
  </conditionalFormatting>
  <conditionalFormatting sqref="BB143 BD143 BF143">
    <cfRule type="cellIs" dxfId="361" priority="7472" stopIfTrue="1" operator="greaterThan">
      <formula>6</formula>
    </cfRule>
  </conditionalFormatting>
  <conditionalFormatting sqref="BH143">
    <cfRule type="cellIs" dxfId="360" priority="7471" stopIfTrue="1" operator="greaterThan">
      <formula>6</formula>
    </cfRule>
  </conditionalFormatting>
  <conditionalFormatting sqref="BJ143 BL143 BN143">
    <cfRule type="cellIs" dxfId="359" priority="7470" stopIfTrue="1" operator="greaterThan">
      <formula>6</formula>
    </cfRule>
  </conditionalFormatting>
  <conditionalFormatting sqref="BP143">
    <cfRule type="cellIs" dxfId="358" priority="7469" stopIfTrue="1" operator="greaterThan">
      <formula>6</formula>
    </cfRule>
  </conditionalFormatting>
  <conditionalFormatting sqref="BR143 BT143">
    <cfRule type="cellIs" dxfId="357" priority="7468" stopIfTrue="1" operator="greaterThan">
      <formula>6</formula>
    </cfRule>
  </conditionalFormatting>
  <conditionalFormatting sqref="BX143">
    <cfRule type="cellIs" dxfId="356" priority="7467" stopIfTrue="1" operator="greaterThan">
      <formula>6</formula>
    </cfRule>
  </conditionalFormatting>
  <conditionalFormatting sqref="BZ143 CB143 CD143">
    <cfRule type="cellIs" dxfId="355" priority="7466" stopIfTrue="1" operator="greaterThan">
      <formula>6</formula>
    </cfRule>
  </conditionalFormatting>
  <conditionalFormatting sqref="N152 L152">
    <cfRule type="cellIs" dxfId="354" priority="7329" stopIfTrue="1" operator="greaterThan">
      <formula>6</formula>
    </cfRule>
  </conditionalFormatting>
  <conditionalFormatting sqref="P152">
    <cfRule type="cellIs" dxfId="353" priority="7328" stopIfTrue="1" operator="greaterThan">
      <formula>6</formula>
    </cfRule>
  </conditionalFormatting>
  <conditionalFormatting sqref="R152">
    <cfRule type="cellIs" dxfId="352" priority="7327" stopIfTrue="1" operator="greaterThan">
      <formula>6</formula>
    </cfRule>
  </conditionalFormatting>
  <conditionalFormatting sqref="V152 T152">
    <cfRule type="cellIs" dxfId="351" priority="7326" stopIfTrue="1" operator="greaterThan">
      <formula>6</formula>
    </cfRule>
  </conditionalFormatting>
  <conditionalFormatting sqref="X152">
    <cfRule type="cellIs" dxfId="350" priority="7325" stopIfTrue="1" operator="greaterThan">
      <formula>6</formula>
    </cfRule>
  </conditionalFormatting>
  <conditionalFormatting sqref="Z152">
    <cfRule type="cellIs" dxfId="349" priority="7324" stopIfTrue="1" operator="greaterThan">
      <formula>6</formula>
    </cfRule>
  </conditionalFormatting>
  <conditionalFormatting sqref="AB152">
    <cfRule type="cellIs" dxfId="348" priority="7323" stopIfTrue="1" operator="greaterThan">
      <formula>6</formula>
    </cfRule>
  </conditionalFormatting>
  <conditionalFormatting sqref="AD152 AF152 AH152">
    <cfRule type="cellIs" dxfId="347" priority="7322" stopIfTrue="1" operator="greaterThan">
      <formula>6</formula>
    </cfRule>
  </conditionalFormatting>
  <conditionalFormatting sqref="AJ152">
    <cfRule type="cellIs" dxfId="346" priority="7321" stopIfTrue="1" operator="greaterThan">
      <formula>6</formula>
    </cfRule>
  </conditionalFormatting>
  <conditionalFormatting sqref="AL152 AN152 AP152">
    <cfRule type="cellIs" dxfId="345" priority="7320" stopIfTrue="1" operator="greaterThan">
      <formula>6</formula>
    </cfRule>
  </conditionalFormatting>
  <conditionalFormatting sqref="AR152">
    <cfRule type="cellIs" dxfId="344" priority="7319" stopIfTrue="1" operator="greaterThan">
      <formula>6</formula>
    </cfRule>
  </conditionalFormatting>
  <conditionalFormatting sqref="AT152 AV152">
    <cfRule type="cellIs" dxfId="343" priority="7318" stopIfTrue="1" operator="greaterThan">
      <formula>6</formula>
    </cfRule>
  </conditionalFormatting>
  <conditionalFormatting sqref="AZ152 AX152">
    <cfRule type="cellIs" dxfId="342" priority="7317" stopIfTrue="1" operator="greaterThan">
      <formula>6</formula>
    </cfRule>
  </conditionalFormatting>
  <conditionalFormatting sqref="BB152 BD152 BF152">
    <cfRule type="cellIs" dxfId="341" priority="7316" stopIfTrue="1" operator="greaterThan">
      <formula>6</formula>
    </cfRule>
  </conditionalFormatting>
  <conditionalFormatting sqref="BH152">
    <cfRule type="cellIs" dxfId="340" priority="7315" stopIfTrue="1" operator="greaterThan">
      <formula>6</formula>
    </cfRule>
  </conditionalFormatting>
  <conditionalFormatting sqref="BJ152 BL152 BN152">
    <cfRule type="cellIs" dxfId="339" priority="7314" stopIfTrue="1" operator="greaterThan">
      <formula>6</formula>
    </cfRule>
  </conditionalFormatting>
  <conditionalFormatting sqref="BP152">
    <cfRule type="cellIs" dxfId="338" priority="7313" stopIfTrue="1" operator="greaterThan">
      <formula>6</formula>
    </cfRule>
  </conditionalFormatting>
  <conditionalFormatting sqref="BR152 BT152 BV152">
    <cfRule type="cellIs" dxfId="337" priority="7312" stopIfTrue="1" operator="greaterThan">
      <formula>6</formula>
    </cfRule>
  </conditionalFormatting>
  <conditionalFormatting sqref="BX152">
    <cfRule type="cellIs" dxfId="336" priority="7311" stopIfTrue="1" operator="greaterThan">
      <formula>6</formula>
    </cfRule>
  </conditionalFormatting>
  <conditionalFormatting sqref="BZ152 CB152 CD152">
    <cfRule type="cellIs" dxfId="335" priority="7310" stopIfTrue="1" operator="greaterThan">
      <formula>6</formula>
    </cfRule>
  </conditionalFormatting>
  <conditionalFormatting sqref="CF152 CH152 CJ152 CL152 CN152 CP152 CR152 CT152 CV152 CX152 CZ152 DB152 DD152 DF152 DH152 DJ152 DL152 DN152 DP152 DR152 DT152 DV152 DX152 DZ152 EB152">
    <cfRule type="cellIs" dxfId="334" priority="7309" stopIfTrue="1" operator="greaterThan">
      <formula>6</formula>
    </cfRule>
  </conditionalFormatting>
  <conditionalFormatting sqref="N161 L161">
    <cfRule type="cellIs" dxfId="333" priority="7303" stopIfTrue="1" operator="greaterThan">
      <formula>6</formula>
    </cfRule>
  </conditionalFormatting>
  <conditionalFormatting sqref="P161">
    <cfRule type="cellIs" dxfId="332" priority="7302" stopIfTrue="1" operator="greaterThan">
      <formula>6</formula>
    </cfRule>
  </conditionalFormatting>
  <conditionalFormatting sqref="R161">
    <cfRule type="cellIs" dxfId="331" priority="7301" stopIfTrue="1" operator="greaterThan">
      <formula>6</formula>
    </cfRule>
  </conditionalFormatting>
  <conditionalFormatting sqref="V161 T161">
    <cfRule type="cellIs" dxfId="330" priority="7300" stopIfTrue="1" operator="greaterThan">
      <formula>6</formula>
    </cfRule>
  </conditionalFormatting>
  <conditionalFormatting sqref="X161">
    <cfRule type="cellIs" dxfId="329" priority="7299" stopIfTrue="1" operator="greaterThan">
      <formula>6</formula>
    </cfRule>
  </conditionalFormatting>
  <conditionalFormatting sqref="Z161">
    <cfRule type="cellIs" dxfId="328" priority="7298" stopIfTrue="1" operator="greaterThan">
      <formula>6</formula>
    </cfRule>
  </conditionalFormatting>
  <conditionalFormatting sqref="AB161">
    <cfRule type="cellIs" dxfId="327" priority="7297" stopIfTrue="1" operator="greaterThan">
      <formula>6</formula>
    </cfRule>
  </conditionalFormatting>
  <conditionalFormatting sqref="AD161 AF161 AH161">
    <cfRule type="cellIs" dxfId="326" priority="7296" stopIfTrue="1" operator="greaterThan">
      <formula>6</formula>
    </cfRule>
  </conditionalFormatting>
  <conditionalFormatting sqref="AJ161">
    <cfRule type="cellIs" dxfId="325" priority="7295" stopIfTrue="1" operator="greaterThan">
      <formula>6</formula>
    </cfRule>
  </conditionalFormatting>
  <conditionalFormatting sqref="AL161 AN161 AP161">
    <cfRule type="cellIs" dxfId="324" priority="7294" stopIfTrue="1" operator="greaterThan">
      <formula>6</formula>
    </cfRule>
  </conditionalFormatting>
  <conditionalFormatting sqref="AR161">
    <cfRule type="cellIs" dxfId="323" priority="7293" stopIfTrue="1" operator="greaterThan">
      <formula>6</formula>
    </cfRule>
  </conditionalFormatting>
  <conditionalFormatting sqref="AT161 AV161 AX161">
    <cfRule type="cellIs" dxfId="322" priority="7292" stopIfTrue="1" operator="greaterThan">
      <formula>6</formula>
    </cfRule>
  </conditionalFormatting>
  <conditionalFormatting sqref="BB161 BD161 BF161 AZ161">
    <cfRule type="cellIs" dxfId="321" priority="7290" stopIfTrue="1" operator="greaterThan">
      <formula>6</formula>
    </cfRule>
  </conditionalFormatting>
  <conditionalFormatting sqref="BH161">
    <cfRule type="cellIs" dxfId="320" priority="7289" stopIfTrue="1" operator="greaterThan">
      <formula>6</formula>
    </cfRule>
  </conditionalFormatting>
  <conditionalFormatting sqref="BJ161 BL161 BN161">
    <cfRule type="cellIs" dxfId="319" priority="7288" stopIfTrue="1" operator="greaterThan">
      <formula>6</formula>
    </cfRule>
  </conditionalFormatting>
  <conditionalFormatting sqref="BP161">
    <cfRule type="cellIs" dxfId="318" priority="7287" stopIfTrue="1" operator="greaterThan">
      <formula>6</formula>
    </cfRule>
  </conditionalFormatting>
  <conditionalFormatting sqref="BR161 BT161 BV161">
    <cfRule type="cellIs" dxfId="317" priority="7286" stopIfTrue="1" operator="greaterThan">
      <formula>6</formula>
    </cfRule>
  </conditionalFormatting>
  <conditionalFormatting sqref="BX161">
    <cfRule type="cellIs" dxfId="316" priority="7285" stopIfTrue="1" operator="greaterThan">
      <formula>6</formula>
    </cfRule>
  </conditionalFormatting>
  <conditionalFormatting sqref="BZ161 CB161 CD161 CF161 CH161">
    <cfRule type="cellIs" dxfId="315" priority="7284" stopIfTrue="1" operator="greaterThan">
      <formula>6</formula>
    </cfRule>
  </conditionalFormatting>
  <conditionalFormatting sqref="CJ161">
    <cfRule type="cellIs" dxfId="314" priority="7282" stopIfTrue="1" operator="greaterThan">
      <formula>6</formula>
    </cfRule>
  </conditionalFormatting>
  <conditionalFormatting sqref="CL161 CN161 CP161 CR161 CT161 CV161 CX161">
    <cfRule type="cellIs" dxfId="313" priority="7281" stopIfTrue="1" operator="greaterThan">
      <formula>6</formula>
    </cfRule>
  </conditionalFormatting>
  <conditionalFormatting sqref="CZ161 DB161">
    <cfRule type="cellIs" dxfId="312" priority="7278" stopIfTrue="1" operator="greaterThan">
      <formula>6</formula>
    </cfRule>
  </conditionalFormatting>
  <conditionalFormatting sqref="DJ19">
    <cfRule type="cellIs" dxfId="311" priority="5051" stopIfTrue="1" operator="greaterThan">
      <formula>6</formula>
    </cfRule>
  </conditionalFormatting>
  <conditionalFormatting sqref="DJ29">
    <cfRule type="cellIs" dxfId="310" priority="5049" stopIfTrue="1" operator="greaterThan">
      <formula>6</formula>
    </cfRule>
  </conditionalFormatting>
  <conditionalFormatting sqref="DJ48">
    <cfRule type="cellIs" dxfId="309" priority="5047" stopIfTrue="1" operator="greaterThan">
      <formula>6</formula>
    </cfRule>
  </conditionalFormatting>
  <conditionalFormatting sqref="DJ39">
    <cfRule type="cellIs" dxfId="308" priority="5025" stopIfTrue="1" operator="greaterThan">
      <formula>6</formula>
    </cfRule>
  </conditionalFormatting>
  <conditionalFormatting sqref="DD59">
    <cfRule type="cellIs" dxfId="307" priority="4996" stopIfTrue="1" operator="greaterThan">
      <formula>6</formula>
    </cfRule>
  </conditionalFormatting>
  <conditionalFormatting sqref="DF59 DH59 DJ59">
    <cfRule type="cellIs" dxfId="306" priority="4995" stopIfTrue="1" operator="greaterThan">
      <formula>6</formula>
    </cfRule>
  </conditionalFormatting>
  <conditionalFormatting sqref="DF68 DH68">
    <cfRule type="cellIs" dxfId="305" priority="4935" stopIfTrue="1" operator="greaterThan">
      <formula>6</formula>
    </cfRule>
  </conditionalFormatting>
  <conditionalFormatting sqref="DJ78">
    <cfRule type="cellIs" dxfId="304" priority="4929" stopIfTrue="1" operator="greaterThan">
      <formula>6</formula>
    </cfRule>
  </conditionalFormatting>
  <conditionalFormatting sqref="DD87">
    <cfRule type="cellIs" dxfId="303" priority="4928" stopIfTrue="1" operator="greaterThan">
      <formula>6</formula>
    </cfRule>
  </conditionalFormatting>
  <conditionalFormatting sqref="DF87 DH87 DJ87">
    <cfRule type="cellIs" dxfId="302" priority="4927" stopIfTrue="1" operator="greaterThan">
      <formula>6</formula>
    </cfRule>
  </conditionalFormatting>
  <conditionalFormatting sqref="DD96">
    <cfRule type="cellIs" dxfId="301" priority="4926" stopIfTrue="1" operator="greaterThan">
      <formula>6</formula>
    </cfRule>
  </conditionalFormatting>
  <conditionalFormatting sqref="DF96 DH96 DJ96">
    <cfRule type="cellIs" dxfId="300" priority="4925" stopIfTrue="1" operator="greaterThan">
      <formula>6</formula>
    </cfRule>
  </conditionalFormatting>
  <conditionalFormatting sqref="DJ105">
    <cfRule type="cellIs" dxfId="299" priority="4923" stopIfTrue="1" operator="greaterThan">
      <formula>6</formula>
    </cfRule>
  </conditionalFormatting>
  <conditionalFormatting sqref="DF114 DH114 DJ114">
    <cfRule type="cellIs" dxfId="298" priority="4919" stopIfTrue="1" operator="greaterThan">
      <formula>6</formula>
    </cfRule>
  </conditionalFormatting>
  <conditionalFormatting sqref="DD125">
    <cfRule type="cellIs" dxfId="297" priority="4902" stopIfTrue="1" operator="greaterThan">
      <formula>6</formula>
    </cfRule>
  </conditionalFormatting>
  <conditionalFormatting sqref="DF125">
    <cfRule type="cellIs" dxfId="296" priority="4901" stopIfTrue="1" operator="greaterThan">
      <formula>6</formula>
    </cfRule>
  </conditionalFormatting>
  <conditionalFormatting sqref="DD134">
    <cfRule type="cellIs" dxfId="295" priority="4900" stopIfTrue="1" operator="greaterThan">
      <formula>6</formula>
    </cfRule>
  </conditionalFormatting>
  <conditionalFormatting sqref="DF134">
    <cfRule type="cellIs" dxfId="294" priority="4899" stopIfTrue="1" operator="greaterThan">
      <formula>6</formula>
    </cfRule>
  </conditionalFormatting>
  <conditionalFormatting sqref="DJ143">
    <cfRule type="cellIs" dxfId="293" priority="4897" stopIfTrue="1" operator="greaterThan">
      <formula>6</formula>
    </cfRule>
  </conditionalFormatting>
  <conditionalFormatting sqref="DD161">
    <cfRule type="cellIs" dxfId="292" priority="4884" stopIfTrue="1" operator="greaterThan">
      <formula>6</formula>
    </cfRule>
  </conditionalFormatting>
  <conditionalFormatting sqref="DF161 DH161 DJ161">
    <cfRule type="cellIs" dxfId="291" priority="4883" stopIfTrue="1" operator="greaterThan">
      <formula>6</formula>
    </cfRule>
  </conditionalFormatting>
  <conditionalFormatting sqref="DL19">
    <cfRule type="cellIs" dxfId="290" priority="4770" stopIfTrue="1" operator="greaterThan">
      <formula>6</formula>
    </cfRule>
  </conditionalFormatting>
  <conditionalFormatting sqref="DN19 DP19 DR19">
    <cfRule type="cellIs" dxfId="289" priority="4769" stopIfTrue="1" operator="greaterThan">
      <formula>6</formula>
    </cfRule>
  </conditionalFormatting>
  <conditionalFormatting sqref="EJ29 EL29 EN29 EP29 ER29 ET29 EV29 EX29 EZ29 FB29 FD29 FF29 FH29 FJ29 FL29 FN29 FP29 FR29 FT29 EH29 DL29 DN29 DP29 DR29 DT29 DV29 DX29 DZ29 EB29 ED29 EF29">
    <cfRule type="cellIs" dxfId="288" priority="4768" stopIfTrue="1" operator="greaterThan">
      <formula>6</formula>
    </cfRule>
  </conditionalFormatting>
  <conditionalFormatting sqref="DL48 FT48 EJ48 EL48 EN48 EP48 ER48 ET48 EV48 EX48 EZ48 FB48 FD48 FF48 FH48 FJ48 FL48 FN48 FP48 FR48 EH48 DN48 DP48 DR48 DT48 DV48 DX48 DZ48 EB48 ED48 EF48">
    <cfRule type="cellIs" dxfId="287" priority="4766" stopIfTrue="1" operator="greaterThan">
      <formula>6</formula>
    </cfRule>
  </conditionalFormatting>
  <conditionalFormatting sqref="DL39 EL39 EN39 EP39 ER39 ET39 EV39 EX39 EZ39 FB39 FD39 FF39 FH39 FJ39 FL39 FN39 FP39 FR39 FT39 FV39 FX39 DN39 DP39 DR39 DT39 DV39 DX39 DZ39 EB39 ED39 EF39 EH39 EJ39">
    <cfRule type="cellIs" dxfId="286" priority="4744" stopIfTrue="1" operator="greaterThan">
      <formula>6</formula>
    </cfRule>
  </conditionalFormatting>
  <conditionalFormatting sqref="DL59">
    <cfRule type="cellIs" dxfId="285" priority="4714" stopIfTrue="1" operator="greaterThan">
      <formula>6</formula>
    </cfRule>
  </conditionalFormatting>
  <conditionalFormatting sqref="DN59 DP59 DR59">
    <cfRule type="cellIs" dxfId="284" priority="4713" stopIfTrue="1" operator="greaterThan">
      <formula>6</formula>
    </cfRule>
  </conditionalFormatting>
  <conditionalFormatting sqref="DL78 EB78 ED78 EF78 EH78 EJ78 EL78 EN78 DN78 DP78 DR78 DT78 DV78 DX78 DZ78">
    <cfRule type="cellIs" dxfId="283" priority="4648" stopIfTrue="1" operator="greaterThan">
      <formula>6</formula>
    </cfRule>
  </conditionalFormatting>
  <conditionalFormatting sqref="DL105">
    <cfRule type="cellIs" dxfId="282" priority="4642" stopIfTrue="1" operator="greaterThan">
      <formula>6</formula>
    </cfRule>
  </conditionalFormatting>
  <conditionalFormatting sqref="DN105 DP105 DR105">
    <cfRule type="cellIs" dxfId="281" priority="4641" stopIfTrue="1" operator="greaterThan">
      <formula>6</formula>
    </cfRule>
  </conditionalFormatting>
  <conditionalFormatting sqref="DP114 DR114 DL114 DN114">
    <cfRule type="cellIs" dxfId="280" priority="4637" stopIfTrue="1" operator="greaterThan">
      <formula>6</formula>
    </cfRule>
  </conditionalFormatting>
  <conditionalFormatting sqref="DL161">
    <cfRule type="cellIs" dxfId="279" priority="4602" stopIfTrue="1" operator="greaterThan">
      <formula>6</formula>
    </cfRule>
  </conditionalFormatting>
  <conditionalFormatting sqref="DN161 DP161 DR161">
    <cfRule type="cellIs" dxfId="278" priority="4601" stopIfTrue="1" operator="greaterThan">
      <formula>6</formula>
    </cfRule>
  </conditionalFormatting>
  <conditionalFormatting sqref="DT19 DV19 DX19 DZ19 EB19 ED19 EF19 EH19 EJ19">
    <cfRule type="cellIs" dxfId="277" priority="4488" stopIfTrue="1" operator="greaterThan">
      <formula>6</formula>
    </cfRule>
  </conditionalFormatting>
  <conditionalFormatting sqref="DT59">
    <cfRule type="cellIs" dxfId="276" priority="4432" stopIfTrue="1" operator="greaterThan">
      <formula>6</formula>
    </cfRule>
  </conditionalFormatting>
  <conditionalFormatting sqref="DV59 DX59 DZ59 EB59 ED59 EF59">
    <cfRule type="cellIs" dxfId="275" priority="4431" stopIfTrue="1" operator="greaterThan">
      <formula>6</formula>
    </cfRule>
  </conditionalFormatting>
  <conditionalFormatting sqref="DL87 EB87 DN87 DP87 DR87 DT87 DV87 DX87 DZ87">
    <cfRule type="cellIs" dxfId="274" priority="4363" stopIfTrue="1" operator="greaterThan">
      <formula>6</formula>
    </cfRule>
  </conditionalFormatting>
  <conditionalFormatting sqref="DT105">
    <cfRule type="cellIs" dxfId="273" priority="4360" stopIfTrue="1" operator="greaterThan">
      <formula>6</formula>
    </cfRule>
  </conditionalFormatting>
  <conditionalFormatting sqref="DV105 DX105 DZ105 EB105 ED105 EF105 EH105 EJ105 EL105 EN105 EP105 ER105">
    <cfRule type="cellIs" dxfId="272" priority="4359" stopIfTrue="1" operator="greaterThan">
      <formula>6</formula>
    </cfRule>
  </conditionalFormatting>
  <conditionalFormatting sqref="DT114">
    <cfRule type="cellIs" dxfId="271" priority="4356" stopIfTrue="1" operator="greaterThan">
      <formula>6</formula>
    </cfRule>
  </conditionalFormatting>
  <conditionalFormatting sqref="DV114 DX114 DZ114">
    <cfRule type="cellIs" dxfId="270" priority="4355" stopIfTrue="1" operator="greaterThan">
      <formula>6</formula>
    </cfRule>
  </conditionalFormatting>
  <conditionalFormatting sqref="DT143 DV143 DX143 DZ143 EB143 ED143 DL143 DN143 DP143 DR143">
    <cfRule type="cellIs" dxfId="269" priority="4334" stopIfTrue="1" operator="greaterThan">
      <formula>6</formula>
    </cfRule>
  </conditionalFormatting>
  <conditionalFormatting sqref="DT161">
    <cfRule type="cellIs" dxfId="268" priority="4320" stopIfTrue="1" operator="greaterThan">
      <formula>6</formula>
    </cfRule>
  </conditionalFormatting>
  <conditionalFormatting sqref="DV161 DX161 DZ161">
    <cfRule type="cellIs" dxfId="267" priority="4319" stopIfTrue="1" operator="greaterThan">
      <formula>6</formula>
    </cfRule>
  </conditionalFormatting>
  <conditionalFormatting sqref="ED87 EF87 EH87">
    <cfRule type="cellIs" dxfId="266" priority="4081" stopIfTrue="1" operator="greaterThan">
      <formula>6</formula>
    </cfRule>
  </conditionalFormatting>
  <conditionalFormatting sqref="EF96 EH96">
    <cfRule type="cellIs" dxfId="265" priority="4079" stopIfTrue="1" operator="greaterThan">
      <formula>6</formula>
    </cfRule>
  </conditionalFormatting>
  <conditionalFormatting sqref="EB114">
    <cfRule type="cellIs" dxfId="264" priority="4074" stopIfTrue="1" operator="greaterThan">
      <formula>6</formula>
    </cfRule>
  </conditionalFormatting>
  <conditionalFormatting sqref="ED114 EF114 EH114">
    <cfRule type="cellIs" dxfId="263" priority="4073" stopIfTrue="1" operator="greaterThan">
      <formula>6</formula>
    </cfRule>
  </conditionalFormatting>
  <conditionalFormatting sqref="EF125 EH125">
    <cfRule type="cellIs" dxfId="262" priority="4055" stopIfTrue="1" operator="greaterThan">
      <formula>6</formula>
    </cfRule>
  </conditionalFormatting>
  <conditionalFormatting sqref="EF134 EH134">
    <cfRule type="cellIs" dxfId="261" priority="4053" stopIfTrue="1" operator="greaterThan">
      <formula>6</formula>
    </cfRule>
  </conditionalFormatting>
  <conditionalFormatting sqref="EF143 EH143">
    <cfRule type="cellIs" dxfId="260" priority="4051" stopIfTrue="1" operator="greaterThan">
      <formula>6</formula>
    </cfRule>
  </conditionalFormatting>
  <conditionalFormatting sqref="ED152 EF152 EH152">
    <cfRule type="cellIs" dxfId="259" priority="4039" stopIfTrue="1" operator="greaterThan">
      <formula>6</formula>
    </cfRule>
  </conditionalFormatting>
  <conditionalFormatting sqref="EB161">
    <cfRule type="cellIs" dxfId="258" priority="4038" stopIfTrue="1" operator="greaterThan">
      <formula>6</formula>
    </cfRule>
  </conditionalFormatting>
  <conditionalFormatting sqref="ED161 EF161 EH161">
    <cfRule type="cellIs" dxfId="257" priority="4037" stopIfTrue="1" operator="greaterThan">
      <formula>6</formula>
    </cfRule>
  </conditionalFormatting>
  <conditionalFormatting sqref="EL19 EN19 EP19">
    <cfRule type="cellIs" dxfId="256" priority="3923" stopIfTrue="1" operator="greaterThan">
      <formula>6</formula>
    </cfRule>
  </conditionalFormatting>
  <conditionalFormatting sqref="ER59 ET59 EV59 EX59 EZ59">
    <cfRule type="cellIs" dxfId="255" priority="3867" stopIfTrue="1" operator="greaterThan">
      <formula>6</formula>
    </cfRule>
  </conditionalFormatting>
  <conditionalFormatting sqref="EP78">
    <cfRule type="cellIs" dxfId="254" priority="3801" stopIfTrue="1" operator="greaterThan">
      <formula>6</formula>
    </cfRule>
  </conditionalFormatting>
  <conditionalFormatting sqref="EJ87">
    <cfRule type="cellIs" dxfId="253" priority="3800" stopIfTrue="1" operator="greaterThan">
      <formula>6</formula>
    </cfRule>
  </conditionalFormatting>
  <conditionalFormatting sqref="EL87 EN87 EP87">
    <cfRule type="cellIs" dxfId="252" priority="3799" stopIfTrue="1" operator="greaterThan">
      <formula>6</formula>
    </cfRule>
  </conditionalFormatting>
  <conditionalFormatting sqref="EJ96">
    <cfRule type="cellIs" dxfId="251" priority="3798" stopIfTrue="1" operator="greaterThan">
      <formula>6</formula>
    </cfRule>
  </conditionalFormatting>
  <conditionalFormatting sqref="EL96 EN96 EP96">
    <cfRule type="cellIs" dxfId="250" priority="3797" stopIfTrue="1" operator="greaterThan">
      <formula>6</formula>
    </cfRule>
  </conditionalFormatting>
  <conditionalFormatting sqref="EJ114">
    <cfRule type="cellIs" dxfId="249" priority="3792" stopIfTrue="1" operator="greaterThan">
      <formula>6</formula>
    </cfRule>
  </conditionalFormatting>
  <conditionalFormatting sqref="EL114 EN114 EP114">
    <cfRule type="cellIs" dxfId="248" priority="3791" stopIfTrue="1" operator="greaterThan">
      <formula>6</formula>
    </cfRule>
  </conditionalFormatting>
  <conditionalFormatting sqref="EJ125">
    <cfRule type="cellIs" dxfId="247" priority="3774" stopIfTrue="1" operator="greaterThan">
      <formula>6</formula>
    </cfRule>
  </conditionalFormatting>
  <conditionalFormatting sqref="EL125 EN125 EP125 ER125 ET125">
    <cfRule type="cellIs" dxfId="246" priority="3773" stopIfTrue="1" operator="greaterThan">
      <formula>6</formula>
    </cfRule>
  </conditionalFormatting>
  <conditionalFormatting sqref="EJ134">
    <cfRule type="cellIs" dxfId="245" priority="3772" stopIfTrue="1" operator="greaterThan">
      <formula>6</formula>
    </cfRule>
  </conditionalFormatting>
  <conditionalFormatting sqref="EL134 EN134 EP134">
    <cfRule type="cellIs" dxfId="244" priority="3771" stopIfTrue="1" operator="greaterThan">
      <formula>6</formula>
    </cfRule>
  </conditionalFormatting>
  <conditionalFormatting sqref="EJ143">
    <cfRule type="cellIs" dxfId="243" priority="3770" stopIfTrue="1" operator="greaterThan">
      <formula>6</formula>
    </cfRule>
  </conditionalFormatting>
  <conditionalFormatting sqref="EL143 EN143 EP143">
    <cfRule type="cellIs" dxfId="242" priority="3769" stopIfTrue="1" operator="greaterThan">
      <formula>6</formula>
    </cfRule>
  </conditionalFormatting>
  <conditionalFormatting sqref="EJ152">
    <cfRule type="cellIs" dxfId="241" priority="3758" stopIfTrue="1" operator="greaterThan">
      <formula>6</formula>
    </cfRule>
  </conditionalFormatting>
  <conditionalFormatting sqref="EL152 EN152 EP152">
    <cfRule type="cellIs" dxfId="240" priority="3757" stopIfTrue="1" operator="greaterThan">
      <formula>6</formula>
    </cfRule>
  </conditionalFormatting>
  <conditionalFormatting sqref="EJ161">
    <cfRule type="cellIs" dxfId="239" priority="3756" stopIfTrue="1" operator="greaterThan">
      <formula>6</formula>
    </cfRule>
  </conditionalFormatting>
  <conditionalFormatting sqref="EL161 EN161 EP161">
    <cfRule type="cellIs" dxfId="238" priority="3755" stopIfTrue="1" operator="greaterThan">
      <formula>6</formula>
    </cfRule>
  </conditionalFormatting>
  <conditionalFormatting sqref="ER19">
    <cfRule type="cellIs" dxfId="237" priority="3642" stopIfTrue="1" operator="greaterThan">
      <formula>6</formula>
    </cfRule>
  </conditionalFormatting>
  <conditionalFormatting sqref="ET19 EV19 EX19">
    <cfRule type="cellIs" dxfId="236" priority="3641" stopIfTrue="1" operator="greaterThan">
      <formula>6</formula>
    </cfRule>
  </conditionalFormatting>
  <conditionalFormatting sqref="ER87">
    <cfRule type="cellIs" dxfId="235" priority="3518" stopIfTrue="1" operator="greaterThan">
      <formula>6</formula>
    </cfRule>
  </conditionalFormatting>
  <conditionalFormatting sqref="ET87 EV87 EX87">
    <cfRule type="cellIs" dxfId="234" priority="3517" stopIfTrue="1" operator="greaterThan">
      <formula>6</formula>
    </cfRule>
  </conditionalFormatting>
  <conditionalFormatting sqref="ER96">
    <cfRule type="cellIs" dxfId="233" priority="3516" stopIfTrue="1" operator="greaterThan">
      <formula>6</formula>
    </cfRule>
  </conditionalFormatting>
  <conditionalFormatting sqref="ET96 EV96 EX96">
    <cfRule type="cellIs" dxfId="232" priority="3515" stopIfTrue="1" operator="greaterThan">
      <formula>6</formula>
    </cfRule>
  </conditionalFormatting>
  <conditionalFormatting sqref="ET105 EV105 EX105">
    <cfRule type="cellIs" dxfId="231" priority="3513" stopIfTrue="1" operator="greaterThan">
      <formula>6</formula>
    </cfRule>
  </conditionalFormatting>
  <conditionalFormatting sqref="ER114">
    <cfRule type="cellIs" dxfId="230" priority="3510" stopIfTrue="1" operator="greaterThan">
      <formula>6</formula>
    </cfRule>
  </conditionalFormatting>
  <conditionalFormatting sqref="ET114 EV114 EX114">
    <cfRule type="cellIs" dxfId="229" priority="3509" stopIfTrue="1" operator="greaterThan">
      <formula>6</formula>
    </cfRule>
  </conditionalFormatting>
  <conditionalFormatting sqref="EV125 EX125">
    <cfRule type="cellIs" dxfId="228" priority="3491" stopIfTrue="1" operator="greaterThan">
      <formula>6</formula>
    </cfRule>
  </conditionalFormatting>
  <conditionalFormatting sqref="ER134">
    <cfRule type="cellIs" dxfId="227" priority="3490" stopIfTrue="1" operator="greaterThan">
      <formula>6</formula>
    </cfRule>
  </conditionalFormatting>
  <conditionalFormatting sqref="ET134 EV134 EX134">
    <cfRule type="cellIs" dxfId="226" priority="3489" stopIfTrue="1" operator="greaterThan">
      <formula>6</formula>
    </cfRule>
  </conditionalFormatting>
  <conditionalFormatting sqref="ER143 ET143">
    <cfRule type="cellIs" dxfId="225" priority="3488" stopIfTrue="1" operator="greaterThan">
      <formula>6</formula>
    </cfRule>
  </conditionalFormatting>
  <conditionalFormatting sqref="EV143 EX143 EZ143">
    <cfRule type="cellIs" dxfId="224" priority="3487" stopIfTrue="1" operator="greaterThan">
      <formula>6</formula>
    </cfRule>
  </conditionalFormatting>
  <conditionalFormatting sqref="ER152">
    <cfRule type="cellIs" dxfId="223" priority="3476" stopIfTrue="1" operator="greaterThan">
      <formula>6</formula>
    </cfRule>
  </conditionalFormatting>
  <conditionalFormatting sqref="ET152 EV152 EX152">
    <cfRule type="cellIs" dxfId="222" priority="3475" stopIfTrue="1" operator="greaterThan">
      <formula>6</formula>
    </cfRule>
  </conditionalFormatting>
  <conditionalFormatting sqref="ER161">
    <cfRule type="cellIs" dxfId="221" priority="3474" stopIfTrue="1" operator="greaterThan">
      <formula>6</formula>
    </cfRule>
  </conditionalFormatting>
  <conditionalFormatting sqref="ET161 EV161 EX161">
    <cfRule type="cellIs" dxfId="220" priority="3473" stopIfTrue="1" operator="greaterThan">
      <formula>6</formula>
    </cfRule>
  </conditionalFormatting>
  <conditionalFormatting sqref="EZ19">
    <cfRule type="cellIs" dxfId="219" priority="3360" stopIfTrue="1" operator="greaterThan">
      <formula>6</formula>
    </cfRule>
  </conditionalFormatting>
  <conditionalFormatting sqref="FB19 FD19 FF19">
    <cfRule type="cellIs" dxfId="218" priority="3359" stopIfTrue="1" operator="greaterThan">
      <formula>6</formula>
    </cfRule>
  </conditionalFormatting>
  <conditionalFormatting sqref="FB59 FD59 FF59">
    <cfRule type="cellIs" dxfId="217" priority="3303" stopIfTrue="1" operator="greaterThan">
      <formula>6</formula>
    </cfRule>
  </conditionalFormatting>
  <conditionalFormatting sqref="EZ68">
    <cfRule type="cellIs" dxfId="216" priority="3244" stopIfTrue="1" operator="greaterThan">
      <formula>6</formula>
    </cfRule>
  </conditionalFormatting>
  <conditionalFormatting sqref="FB68 FD68 FF68">
    <cfRule type="cellIs" dxfId="215" priority="3243" stopIfTrue="1" operator="greaterThan">
      <formula>6</formula>
    </cfRule>
  </conditionalFormatting>
  <conditionalFormatting sqref="FB78 FD78 FF78">
    <cfRule type="cellIs" dxfId="214" priority="3237" stopIfTrue="1" operator="greaterThan">
      <formula>6</formula>
    </cfRule>
  </conditionalFormatting>
  <conditionalFormatting sqref="EZ87">
    <cfRule type="cellIs" dxfId="213" priority="3236" stopIfTrue="1" operator="greaterThan">
      <formula>6</formula>
    </cfRule>
  </conditionalFormatting>
  <conditionalFormatting sqref="FB87 FD87 FF87">
    <cfRule type="cellIs" dxfId="212" priority="3235" stopIfTrue="1" operator="greaterThan">
      <formula>6</formula>
    </cfRule>
  </conditionalFormatting>
  <conditionalFormatting sqref="EZ96">
    <cfRule type="cellIs" dxfId="211" priority="3234" stopIfTrue="1" operator="greaterThan">
      <formula>6</formula>
    </cfRule>
  </conditionalFormatting>
  <conditionalFormatting sqref="FB96 FD96 FF96">
    <cfRule type="cellIs" dxfId="210" priority="3233" stopIfTrue="1" operator="greaterThan">
      <formula>6</formula>
    </cfRule>
  </conditionalFormatting>
  <conditionalFormatting sqref="EZ105">
    <cfRule type="cellIs" dxfId="209" priority="3232" stopIfTrue="1" operator="greaterThan">
      <formula>6</formula>
    </cfRule>
  </conditionalFormatting>
  <conditionalFormatting sqref="FB105 FD105 FF105">
    <cfRule type="cellIs" dxfId="208" priority="3231" stopIfTrue="1" operator="greaterThan">
      <formula>6</formula>
    </cfRule>
  </conditionalFormatting>
  <conditionalFormatting sqref="EZ114">
    <cfRule type="cellIs" dxfId="207" priority="3228" stopIfTrue="1" operator="greaterThan">
      <formula>6</formula>
    </cfRule>
  </conditionalFormatting>
  <conditionalFormatting sqref="FB114 FD114 FF114">
    <cfRule type="cellIs" dxfId="206" priority="3227" stopIfTrue="1" operator="greaterThan">
      <formula>6</formula>
    </cfRule>
  </conditionalFormatting>
  <conditionalFormatting sqref="FD125 FF125 EZ125 FB125">
    <cfRule type="cellIs" dxfId="205" priority="3209" stopIfTrue="1" operator="greaterThan">
      <formula>6</formula>
    </cfRule>
  </conditionalFormatting>
  <conditionalFormatting sqref="EZ134">
    <cfRule type="cellIs" dxfId="204" priority="3208" stopIfTrue="1" operator="greaterThan">
      <formula>6</formula>
    </cfRule>
  </conditionalFormatting>
  <conditionalFormatting sqref="FB134 FD134 FF134">
    <cfRule type="cellIs" dxfId="203" priority="3207" stopIfTrue="1" operator="greaterThan">
      <formula>6</formula>
    </cfRule>
  </conditionalFormatting>
  <conditionalFormatting sqref="FF143">
    <cfRule type="cellIs" dxfId="202" priority="3205" stopIfTrue="1" operator="greaterThan">
      <formula>6</formula>
    </cfRule>
  </conditionalFormatting>
  <conditionalFormatting sqref="EZ152">
    <cfRule type="cellIs" dxfId="201" priority="3194" stopIfTrue="1" operator="greaterThan">
      <formula>6</formula>
    </cfRule>
  </conditionalFormatting>
  <conditionalFormatting sqref="FB152 FD152 FF152">
    <cfRule type="cellIs" dxfId="200" priority="3193" stopIfTrue="1" operator="greaterThan">
      <formula>6</formula>
    </cfRule>
  </conditionalFormatting>
  <conditionalFormatting sqref="EZ161">
    <cfRule type="cellIs" dxfId="199" priority="3192" stopIfTrue="1" operator="greaterThan">
      <formula>6</formula>
    </cfRule>
  </conditionalFormatting>
  <conditionalFormatting sqref="FB161 FD161 FF161">
    <cfRule type="cellIs" dxfId="198" priority="3191" stopIfTrue="1" operator="greaterThan">
      <formula>6</formula>
    </cfRule>
  </conditionalFormatting>
  <conditionalFormatting sqref="FH19">
    <cfRule type="cellIs" dxfId="197" priority="3078" stopIfTrue="1" operator="greaterThan">
      <formula>6</formula>
    </cfRule>
  </conditionalFormatting>
  <conditionalFormatting sqref="FJ19 FL19 FN19">
    <cfRule type="cellIs" dxfId="196" priority="3077" stopIfTrue="1" operator="greaterThan">
      <formula>6</formula>
    </cfRule>
  </conditionalFormatting>
  <conditionalFormatting sqref="FH59">
    <cfRule type="cellIs" dxfId="195" priority="3022" stopIfTrue="1" operator="greaterThan">
      <formula>6</formula>
    </cfRule>
  </conditionalFormatting>
  <conditionalFormatting sqref="FJ59 FL59 FN59">
    <cfRule type="cellIs" dxfId="194" priority="3021" stopIfTrue="1" operator="greaterThan">
      <formula>6</formula>
    </cfRule>
  </conditionalFormatting>
  <conditionalFormatting sqref="FH68">
    <cfRule type="cellIs" dxfId="193" priority="2962" stopIfTrue="1" operator="greaterThan">
      <formula>6</formula>
    </cfRule>
  </conditionalFormatting>
  <conditionalFormatting sqref="FJ68 FL68 FN68">
    <cfRule type="cellIs" dxfId="192" priority="2961" stopIfTrue="1" operator="greaterThan">
      <formula>6</formula>
    </cfRule>
  </conditionalFormatting>
  <conditionalFormatting sqref="FH78">
    <cfRule type="cellIs" dxfId="191" priority="2956" stopIfTrue="1" operator="greaterThan">
      <formula>6</formula>
    </cfRule>
  </conditionalFormatting>
  <conditionalFormatting sqref="FJ78 FL78 FN78">
    <cfRule type="cellIs" dxfId="190" priority="2955" stopIfTrue="1" operator="greaterThan">
      <formula>6</formula>
    </cfRule>
  </conditionalFormatting>
  <conditionalFormatting sqref="FH87">
    <cfRule type="cellIs" dxfId="189" priority="2954" stopIfTrue="1" operator="greaterThan">
      <formula>6</formula>
    </cfRule>
  </conditionalFormatting>
  <conditionalFormatting sqref="FJ87 FL87 FN87">
    <cfRule type="cellIs" dxfId="188" priority="2953" stopIfTrue="1" operator="greaterThan">
      <formula>6</formula>
    </cfRule>
  </conditionalFormatting>
  <conditionalFormatting sqref="FH96">
    <cfRule type="cellIs" dxfId="187" priority="2952" stopIfTrue="1" operator="greaterThan">
      <formula>6</formula>
    </cfRule>
  </conditionalFormatting>
  <conditionalFormatting sqref="FJ96 FL96 FN96">
    <cfRule type="cellIs" dxfId="186" priority="2951" stopIfTrue="1" operator="greaterThan">
      <formula>6</formula>
    </cfRule>
  </conditionalFormatting>
  <conditionalFormatting sqref="FH105">
    <cfRule type="cellIs" dxfId="185" priority="2950" stopIfTrue="1" operator="greaterThan">
      <formula>6</formula>
    </cfRule>
  </conditionalFormatting>
  <conditionalFormatting sqref="FJ105 FL105 FN105">
    <cfRule type="cellIs" dxfId="184" priority="2949" stopIfTrue="1" operator="greaterThan">
      <formula>6</formula>
    </cfRule>
  </conditionalFormatting>
  <conditionalFormatting sqref="FH114">
    <cfRule type="cellIs" dxfId="183" priority="2946" stopIfTrue="1" operator="greaterThan">
      <formula>6</formula>
    </cfRule>
  </conditionalFormatting>
  <conditionalFormatting sqref="FJ114 FL114 FN114">
    <cfRule type="cellIs" dxfId="182" priority="2945" stopIfTrue="1" operator="greaterThan">
      <formula>6</formula>
    </cfRule>
  </conditionalFormatting>
  <conditionalFormatting sqref="FH125">
    <cfRule type="cellIs" dxfId="181" priority="2928" stopIfTrue="1" operator="greaterThan">
      <formula>6</formula>
    </cfRule>
  </conditionalFormatting>
  <conditionalFormatting sqref="FJ125 FL125 FN125">
    <cfRule type="cellIs" dxfId="180" priority="2927" stopIfTrue="1" operator="greaterThan">
      <formula>6</formula>
    </cfRule>
  </conditionalFormatting>
  <conditionalFormatting sqref="FH134">
    <cfRule type="cellIs" dxfId="179" priority="2926" stopIfTrue="1" operator="greaterThan">
      <formula>6</formula>
    </cfRule>
  </conditionalFormatting>
  <conditionalFormatting sqref="FJ134 FL134 FN134">
    <cfRule type="cellIs" dxfId="178" priority="2925" stopIfTrue="1" operator="greaterThan">
      <formula>6</formula>
    </cfRule>
  </conditionalFormatting>
  <conditionalFormatting sqref="FH143">
    <cfRule type="cellIs" dxfId="177" priority="2924" stopIfTrue="1" operator="greaterThan">
      <formula>6</formula>
    </cfRule>
  </conditionalFormatting>
  <conditionalFormatting sqref="FJ143 FL143 FN143">
    <cfRule type="cellIs" dxfId="176" priority="2923" stopIfTrue="1" operator="greaterThan">
      <formula>6</formula>
    </cfRule>
  </conditionalFormatting>
  <conditionalFormatting sqref="FH152">
    <cfRule type="cellIs" dxfId="175" priority="2912" stopIfTrue="1" operator="greaterThan">
      <formula>6</formula>
    </cfRule>
  </conditionalFormatting>
  <conditionalFormatting sqref="FJ152 FL152 FN152">
    <cfRule type="cellIs" dxfId="174" priority="2911" stopIfTrue="1" operator="greaterThan">
      <formula>6</formula>
    </cfRule>
  </conditionalFormatting>
  <conditionalFormatting sqref="FH161">
    <cfRule type="cellIs" dxfId="173" priority="2910" stopIfTrue="1" operator="greaterThan">
      <formula>6</formula>
    </cfRule>
  </conditionalFormatting>
  <conditionalFormatting sqref="FJ161 FL161 FN161">
    <cfRule type="cellIs" dxfId="172" priority="2909" stopIfTrue="1" operator="greaterThan">
      <formula>6</formula>
    </cfRule>
  </conditionalFormatting>
  <conditionalFormatting sqref="FP19">
    <cfRule type="cellIs" dxfId="171" priority="2796" stopIfTrue="1" operator="greaterThan">
      <formula>6</formula>
    </cfRule>
  </conditionalFormatting>
  <conditionalFormatting sqref="FR19 FT19 FV19">
    <cfRule type="cellIs" dxfId="170" priority="2795" stopIfTrue="1" operator="greaterThan">
      <formula>6</formula>
    </cfRule>
  </conditionalFormatting>
  <conditionalFormatting sqref="FV29">
    <cfRule type="cellIs" dxfId="169" priority="2793" stopIfTrue="1" operator="greaterThan">
      <formula>6</formula>
    </cfRule>
  </conditionalFormatting>
  <conditionalFormatting sqref="FV48">
    <cfRule type="cellIs" dxfId="168" priority="2791" stopIfTrue="1" operator="greaterThan">
      <formula>6</formula>
    </cfRule>
  </conditionalFormatting>
  <conditionalFormatting sqref="FP59">
    <cfRule type="cellIs" dxfId="167" priority="2740" stopIfTrue="1" operator="greaterThan">
      <formula>6</formula>
    </cfRule>
  </conditionalFormatting>
  <conditionalFormatting sqref="FR59 FT59 FV59">
    <cfRule type="cellIs" dxfId="166" priority="2739" stopIfTrue="1" operator="greaterThan">
      <formula>6</formula>
    </cfRule>
  </conditionalFormatting>
  <conditionalFormatting sqref="FP68">
    <cfRule type="cellIs" dxfId="165" priority="2680" stopIfTrue="1" operator="greaterThan">
      <formula>6</formula>
    </cfRule>
  </conditionalFormatting>
  <conditionalFormatting sqref="FR68 FT68 FV68">
    <cfRule type="cellIs" dxfId="164" priority="2679" stopIfTrue="1" operator="greaterThan">
      <formula>6</formula>
    </cfRule>
  </conditionalFormatting>
  <conditionalFormatting sqref="FP78">
    <cfRule type="cellIs" dxfId="163" priority="2674" stopIfTrue="1" operator="greaterThan">
      <formula>6</formula>
    </cfRule>
  </conditionalFormatting>
  <conditionalFormatting sqref="FR78 FT78 FV78">
    <cfRule type="cellIs" dxfId="162" priority="2673" stopIfTrue="1" operator="greaterThan">
      <formula>6</formula>
    </cfRule>
  </conditionalFormatting>
  <conditionalFormatting sqref="FP87">
    <cfRule type="cellIs" dxfId="161" priority="2672" stopIfTrue="1" operator="greaterThan">
      <formula>6</formula>
    </cfRule>
  </conditionalFormatting>
  <conditionalFormatting sqref="FR87 FT87 FV87">
    <cfRule type="cellIs" dxfId="160" priority="2671" stopIfTrue="1" operator="greaterThan">
      <formula>6</formula>
    </cfRule>
  </conditionalFormatting>
  <conditionalFormatting sqref="FP96">
    <cfRule type="cellIs" dxfId="159" priority="2670" stopIfTrue="1" operator="greaterThan">
      <formula>6</formula>
    </cfRule>
  </conditionalFormatting>
  <conditionalFormatting sqref="FR96 FT96 FV96">
    <cfRule type="cellIs" dxfId="158" priority="2669" stopIfTrue="1" operator="greaterThan">
      <formula>6</formula>
    </cfRule>
  </conditionalFormatting>
  <conditionalFormatting sqref="FP105">
    <cfRule type="cellIs" dxfId="157" priority="2668" stopIfTrue="1" operator="greaterThan">
      <formula>6</formula>
    </cfRule>
  </conditionalFormatting>
  <conditionalFormatting sqref="FR105 FT105 FV105">
    <cfRule type="cellIs" dxfId="156" priority="2667" stopIfTrue="1" operator="greaterThan">
      <formula>6</formula>
    </cfRule>
  </conditionalFormatting>
  <conditionalFormatting sqref="FP114">
    <cfRule type="cellIs" dxfId="155" priority="2664" stopIfTrue="1" operator="greaterThan">
      <formula>6</formula>
    </cfRule>
  </conditionalFormatting>
  <conditionalFormatting sqref="FR114 FT114 FV114">
    <cfRule type="cellIs" dxfId="154" priority="2663" stopIfTrue="1" operator="greaterThan">
      <formula>6</formula>
    </cfRule>
  </conditionalFormatting>
  <conditionalFormatting sqref="FP125">
    <cfRule type="cellIs" dxfId="153" priority="2646" stopIfTrue="1" operator="greaterThan">
      <formula>6</formula>
    </cfRule>
  </conditionalFormatting>
  <conditionalFormatting sqref="FR125 FT125 FV125">
    <cfRule type="cellIs" dxfId="152" priority="2645" stopIfTrue="1" operator="greaterThan">
      <formula>6</formula>
    </cfRule>
  </conditionalFormatting>
  <conditionalFormatting sqref="FP134">
    <cfRule type="cellIs" dxfId="151" priority="2644" stopIfTrue="1" operator="greaterThan">
      <formula>6</formula>
    </cfRule>
  </conditionalFormatting>
  <conditionalFormatting sqref="FR134 FT134 FV134">
    <cfRule type="cellIs" dxfId="150" priority="2643" stopIfTrue="1" operator="greaterThan">
      <formula>6</formula>
    </cfRule>
  </conditionalFormatting>
  <conditionalFormatting sqref="FP143">
    <cfRule type="cellIs" dxfId="149" priority="2642" stopIfTrue="1" operator="greaterThan">
      <formula>6</formula>
    </cfRule>
  </conditionalFormatting>
  <conditionalFormatting sqref="FR143 FT143 FV143">
    <cfRule type="cellIs" dxfId="148" priority="2641" stopIfTrue="1" operator="greaterThan">
      <formula>6</formula>
    </cfRule>
  </conditionalFormatting>
  <conditionalFormatting sqref="FP152">
    <cfRule type="cellIs" dxfId="147" priority="2630" stopIfTrue="1" operator="greaterThan">
      <formula>6</formula>
    </cfRule>
  </conditionalFormatting>
  <conditionalFormatting sqref="FR152 FT152 FV152">
    <cfRule type="cellIs" dxfId="146" priority="2629" stopIfTrue="1" operator="greaterThan">
      <formula>6</formula>
    </cfRule>
  </conditionalFormatting>
  <conditionalFormatting sqref="FP161">
    <cfRule type="cellIs" dxfId="145" priority="2628" stopIfTrue="1" operator="greaterThan">
      <formula>6</formula>
    </cfRule>
  </conditionalFormatting>
  <conditionalFormatting sqref="FR161 FT161 FV161">
    <cfRule type="cellIs" dxfId="144" priority="2627" stopIfTrue="1" operator="greaterThan">
      <formula>6</formula>
    </cfRule>
  </conditionalFormatting>
  <conditionalFormatting sqref="FX19">
    <cfRule type="cellIs" dxfId="143" priority="2514" stopIfTrue="1" operator="greaterThan">
      <formula>6</formula>
    </cfRule>
  </conditionalFormatting>
  <conditionalFormatting sqref="FZ19 GB19 GD19">
    <cfRule type="cellIs" dxfId="142" priority="2513" stopIfTrue="1" operator="greaterThan">
      <formula>6</formula>
    </cfRule>
  </conditionalFormatting>
  <conditionalFormatting sqref="FX29 FZ29">
    <cfRule type="cellIs" dxfId="141" priority="2512" stopIfTrue="1" operator="greaterThan">
      <formula>6</formula>
    </cfRule>
  </conditionalFormatting>
  <conditionalFormatting sqref="GB29 GD29">
    <cfRule type="cellIs" dxfId="140" priority="2511" stopIfTrue="1" operator="greaterThan">
      <formula>6</formula>
    </cfRule>
  </conditionalFormatting>
  <conditionalFormatting sqref="FX48 FZ48">
    <cfRule type="cellIs" dxfId="139" priority="2510" stopIfTrue="1" operator="greaterThan">
      <formula>6</formula>
    </cfRule>
  </conditionalFormatting>
  <conditionalFormatting sqref="GB48 GD48">
    <cfRule type="cellIs" dxfId="138" priority="2509" stopIfTrue="1" operator="greaterThan">
      <formula>6</formula>
    </cfRule>
  </conditionalFormatting>
  <conditionalFormatting sqref="FZ39 GB39 GD39">
    <cfRule type="cellIs" dxfId="137" priority="2487" stopIfTrue="1" operator="greaterThan">
      <formula>6</formula>
    </cfRule>
  </conditionalFormatting>
  <conditionalFormatting sqref="FX59">
    <cfRule type="cellIs" dxfId="136" priority="2458" stopIfTrue="1" operator="greaterThan">
      <formula>6</formula>
    </cfRule>
  </conditionalFormatting>
  <conditionalFormatting sqref="FZ59 GB59 GD59">
    <cfRule type="cellIs" dxfId="135" priority="2457" stopIfTrue="1" operator="greaterThan">
      <formula>6</formula>
    </cfRule>
  </conditionalFormatting>
  <conditionalFormatting sqref="FX68">
    <cfRule type="cellIs" dxfId="134" priority="2398" stopIfTrue="1" operator="greaterThan">
      <formula>6</formula>
    </cfRule>
  </conditionalFormatting>
  <conditionalFormatting sqref="FZ68 GB68 GD68">
    <cfRule type="cellIs" dxfId="133" priority="2397" stopIfTrue="1" operator="greaterThan">
      <formula>6</formula>
    </cfRule>
  </conditionalFormatting>
  <conditionalFormatting sqref="FX78 FZ78 GB78">
    <cfRule type="cellIs" dxfId="132" priority="2392" stopIfTrue="1" operator="greaterThan">
      <formula>6</formula>
    </cfRule>
  </conditionalFormatting>
  <conditionalFormatting sqref="GD78">
    <cfRule type="cellIs" dxfId="131" priority="2391" stopIfTrue="1" operator="greaterThan">
      <formula>6</formula>
    </cfRule>
  </conditionalFormatting>
  <conditionalFormatting sqref="FX87">
    <cfRule type="cellIs" dxfId="130" priority="2390" stopIfTrue="1" operator="greaterThan">
      <formula>6</formula>
    </cfRule>
  </conditionalFormatting>
  <conditionalFormatting sqref="FZ87 GD87 GF87 GB87">
    <cfRule type="cellIs" dxfId="129" priority="2389" stopIfTrue="1" operator="greaterThan">
      <formula>6</formula>
    </cfRule>
  </conditionalFormatting>
  <conditionalFormatting sqref="FX96">
    <cfRule type="cellIs" dxfId="128" priority="2388" stopIfTrue="1" operator="greaterThan">
      <formula>6</formula>
    </cfRule>
  </conditionalFormatting>
  <conditionalFormatting sqref="FZ96 GB96 GD96">
    <cfRule type="cellIs" dxfId="127" priority="2387" stopIfTrue="1" operator="greaterThan">
      <formula>6</formula>
    </cfRule>
  </conditionalFormatting>
  <conditionalFormatting sqref="FX105">
    <cfRule type="cellIs" dxfId="126" priority="2386" stopIfTrue="1" operator="greaterThan">
      <formula>6</formula>
    </cfRule>
  </conditionalFormatting>
  <conditionalFormatting sqref="FZ105 GB105 GD105">
    <cfRule type="cellIs" dxfId="125" priority="2385" stopIfTrue="1" operator="greaterThan">
      <formula>6</formula>
    </cfRule>
  </conditionalFormatting>
  <conditionalFormatting sqref="FX114">
    <cfRule type="cellIs" dxfId="124" priority="2382" stopIfTrue="1" operator="greaterThan">
      <formula>6</formula>
    </cfRule>
  </conditionalFormatting>
  <conditionalFormatting sqref="FZ114 GB114 GD114">
    <cfRule type="cellIs" dxfId="123" priority="2381" stopIfTrue="1" operator="greaterThan">
      <formula>6</formula>
    </cfRule>
  </conditionalFormatting>
  <conditionalFormatting sqref="FX125">
    <cfRule type="cellIs" dxfId="122" priority="2364" stopIfTrue="1" operator="greaterThan">
      <formula>6</formula>
    </cfRule>
  </conditionalFormatting>
  <conditionalFormatting sqref="FZ125 GB125 GD125">
    <cfRule type="cellIs" dxfId="121" priority="2363" stopIfTrue="1" operator="greaterThan">
      <formula>6</formula>
    </cfRule>
  </conditionalFormatting>
  <conditionalFormatting sqref="FX134">
    <cfRule type="cellIs" dxfId="120" priority="2362" stopIfTrue="1" operator="greaterThan">
      <formula>6</formula>
    </cfRule>
  </conditionalFormatting>
  <conditionalFormatting sqref="FZ134 GB134 GD134">
    <cfRule type="cellIs" dxfId="119" priority="2361" stopIfTrue="1" operator="greaterThan">
      <formula>6</formula>
    </cfRule>
  </conditionalFormatting>
  <conditionalFormatting sqref="FX143">
    <cfRule type="cellIs" dxfId="118" priority="2360" stopIfTrue="1" operator="greaterThan">
      <formula>6</formula>
    </cfRule>
  </conditionalFormatting>
  <conditionalFormatting sqref="FZ143 GB143 GD143">
    <cfRule type="cellIs" dxfId="117" priority="2359" stopIfTrue="1" operator="greaterThan">
      <formula>6</formula>
    </cfRule>
  </conditionalFormatting>
  <conditionalFormatting sqref="FX152">
    <cfRule type="cellIs" dxfId="116" priority="2348" stopIfTrue="1" operator="greaterThan">
      <formula>6</formula>
    </cfRule>
  </conditionalFormatting>
  <conditionalFormatting sqref="FZ152 GB152 GD152">
    <cfRule type="cellIs" dxfId="115" priority="2347" stopIfTrue="1" operator="greaterThan">
      <formula>6</formula>
    </cfRule>
  </conditionalFormatting>
  <conditionalFormatting sqref="FX161">
    <cfRule type="cellIs" dxfId="114" priority="2346" stopIfTrue="1" operator="greaterThan">
      <formula>6</formula>
    </cfRule>
  </conditionalFormatting>
  <conditionalFormatting sqref="FZ161 GB161 GD161">
    <cfRule type="cellIs" dxfId="113" priority="2345" stopIfTrue="1" operator="greaterThan">
      <formula>6</formula>
    </cfRule>
  </conditionalFormatting>
  <conditionalFormatting sqref="GF19">
    <cfRule type="cellIs" dxfId="112" priority="2232" stopIfTrue="1" operator="greaterThan">
      <formula>6</formula>
    </cfRule>
  </conditionalFormatting>
  <conditionalFormatting sqref="GH19 GJ19 GL19">
    <cfRule type="cellIs" dxfId="111" priority="2231" stopIfTrue="1" operator="greaterThan">
      <formula>6</formula>
    </cfRule>
  </conditionalFormatting>
  <conditionalFormatting sqref="GF29">
    <cfRule type="cellIs" dxfId="110" priority="2230" stopIfTrue="1" operator="greaterThan">
      <formula>6</formula>
    </cfRule>
  </conditionalFormatting>
  <conditionalFormatting sqref="GH29 GJ29 GL29">
    <cfRule type="cellIs" dxfId="109" priority="2229" stopIfTrue="1" operator="greaterThan">
      <formula>6</formula>
    </cfRule>
  </conditionalFormatting>
  <conditionalFormatting sqref="GF48">
    <cfRule type="cellIs" dxfId="108" priority="2228" stopIfTrue="1" operator="greaterThan">
      <formula>6</formula>
    </cfRule>
  </conditionalFormatting>
  <conditionalFormatting sqref="GH48 GJ48 GL48">
    <cfRule type="cellIs" dxfId="107" priority="2227" stopIfTrue="1" operator="greaterThan">
      <formula>6</formula>
    </cfRule>
  </conditionalFormatting>
  <conditionalFormatting sqref="GF39">
    <cfRule type="cellIs" dxfId="106" priority="2206" stopIfTrue="1" operator="greaterThan">
      <formula>6</formula>
    </cfRule>
  </conditionalFormatting>
  <conditionalFormatting sqref="GH39 GJ39 GL39">
    <cfRule type="cellIs" dxfId="105" priority="2205" stopIfTrue="1" operator="greaterThan">
      <formula>6</formula>
    </cfRule>
  </conditionalFormatting>
  <conditionalFormatting sqref="GF59">
    <cfRule type="cellIs" dxfId="104" priority="2176" stopIfTrue="1" operator="greaterThan">
      <formula>6</formula>
    </cfRule>
  </conditionalFormatting>
  <conditionalFormatting sqref="GH59 GJ59 GL59">
    <cfRule type="cellIs" dxfId="103" priority="2175" stopIfTrue="1" operator="greaterThan">
      <formula>6</formula>
    </cfRule>
  </conditionalFormatting>
  <conditionalFormatting sqref="GF68">
    <cfRule type="cellIs" dxfId="102" priority="2116" stopIfTrue="1" operator="greaterThan">
      <formula>6</formula>
    </cfRule>
  </conditionalFormatting>
  <conditionalFormatting sqref="GH68 GJ68 GL68">
    <cfRule type="cellIs" dxfId="101" priority="2115" stopIfTrue="1" operator="greaterThan">
      <formula>6</formula>
    </cfRule>
  </conditionalFormatting>
  <conditionalFormatting sqref="GF78">
    <cfRule type="cellIs" dxfId="100" priority="2110" stopIfTrue="1" operator="greaterThan">
      <formula>6</formula>
    </cfRule>
  </conditionalFormatting>
  <conditionalFormatting sqref="GH78 GJ78 GL78">
    <cfRule type="cellIs" dxfId="99" priority="2109" stopIfTrue="1" operator="greaterThan">
      <formula>6</formula>
    </cfRule>
  </conditionalFormatting>
  <conditionalFormatting sqref="GH87 GJ87 GL87">
    <cfRule type="cellIs" dxfId="98" priority="2107" stopIfTrue="1" operator="greaterThan">
      <formula>6</formula>
    </cfRule>
  </conditionalFormatting>
  <conditionalFormatting sqref="GF96">
    <cfRule type="cellIs" dxfId="97" priority="2106" stopIfTrue="1" operator="greaterThan">
      <formula>6</formula>
    </cfRule>
  </conditionalFormatting>
  <conditionalFormatting sqref="GH96 GJ96 GL96">
    <cfRule type="cellIs" dxfId="96" priority="2105" stopIfTrue="1" operator="greaterThan">
      <formula>6</formula>
    </cfRule>
  </conditionalFormatting>
  <conditionalFormatting sqref="GF105 GH105 GJ105 GL105 GN105 GP105 GR105 HJ105 GX105 GZ105 HB105 HD105 HF105 HH105 GT105 GV105">
    <cfRule type="cellIs" dxfId="95" priority="2104" stopIfTrue="1" operator="greaterThan">
      <formula>6</formula>
    </cfRule>
  </conditionalFormatting>
  <conditionalFormatting sqref="GF114">
    <cfRule type="cellIs" dxfId="94" priority="2100" stopIfTrue="1" operator="greaterThan">
      <formula>6</formula>
    </cfRule>
  </conditionalFormatting>
  <conditionalFormatting sqref="GH114 GJ114 GL114">
    <cfRule type="cellIs" dxfId="93" priority="2099" stopIfTrue="1" operator="greaterThan">
      <formula>6</formula>
    </cfRule>
  </conditionalFormatting>
  <conditionalFormatting sqref="GF125">
    <cfRule type="cellIs" dxfId="92" priority="2082" stopIfTrue="1" operator="greaterThan">
      <formula>6</formula>
    </cfRule>
  </conditionalFormatting>
  <conditionalFormatting sqref="GH125 GJ125 GL125">
    <cfRule type="cellIs" dxfId="91" priority="2081" stopIfTrue="1" operator="greaterThan">
      <formula>6</formula>
    </cfRule>
  </conditionalFormatting>
  <conditionalFormatting sqref="GF134">
    <cfRule type="cellIs" dxfId="90" priority="2080" stopIfTrue="1" operator="greaterThan">
      <formula>6</formula>
    </cfRule>
  </conditionalFormatting>
  <conditionalFormatting sqref="GH134 GJ134 GL134">
    <cfRule type="cellIs" dxfId="89" priority="2079" stopIfTrue="1" operator="greaterThan">
      <formula>6</formula>
    </cfRule>
  </conditionalFormatting>
  <conditionalFormatting sqref="GF143">
    <cfRule type="cellIs" dxfId="88" priority="2078" stopIfTrue="1" operator="greaterThan">
      <formula>6</formula>
    </cfRule>
  </conditionalFormatting>
  <conditionalFormatting sqref="GH143 GJ143 GL143">
    <cfRule type="cellIs" dxfId="87" priority="2077" stopIfTrue="1" operator="greaterThan">
      <formula>6</formula>
    </cfRule>
  </conditionalFormatting>
  <conditionalFormatting sqref="GF152">
    <cfRule type="cellIs" dxfId="86" priority="2066" stopIfTrue="1" operator="greaterThan">
      <formula>6</formula>
    </cfRule>
  </conditionalFormatting>
  <conditionalFormatting sqref="GH152 GJ152 GL152">
    <cfRule type="cellIs" dxfId="85" priority="2065" stopIfTrue="1" operator="greaterThan">
      <formula>6</formula>
    </cfRule>
  </conditionalFormatting>
  <conditionalFormatting sqref="GF161">
    <cfRule type="cellIs" dxfId="84" priority="2064" stopIfTrue="1" operator="greaterThan">
      <formula>6</formula>
    </cfRule>
  </conditionalFormatting>
  <conditionalFormatting sqref="GH161 GJ161 GL161">
    <cfRule type="cellIs" dxfId="83" priority="2063" stopIfTrue="1" operator="greaterThan">
      <formula>6</formula>
    </cfRule>
  </conditionalFormatting>
  <conditionalFormatting sqref="GN19">
    <cfRule type="cellIs" dxfId="82" priority="1950" stopIfTrue="1" operator="greaterThan">
      <formula>6</formula>
    </cfRule>
  </conditionalFormatting>
  <conditionalFormatting sqref="GP19 GR19 GT19 GV19 GX19 GZ19 HB19 HD19 HF19 HH19 HJ19">
    <cfRule type="cellIs" dxfId="81" priority="1949" stopIfTrue="1" operator="greaterThan">
      <formula>6</formula>
    </cfRule>
  </conditionalFormatting>
  <conditionalFormatting sqref="GN29">
    <cfRule type="cellIs" dxfId="80" priority="1948" stopIfTrue="1" operator="greaterThan">
      <formula>6</formula>
    </cfRule>
  </conditionalFormatting>
  <conditionalFormatting sqref="GP29 GR29 GT29 GV29 GX29 GZ29 HB29 HD29 HF29 HH29 HJ29">
    <cfRule type="cellIs" dxfId="79" priority="1947" stopIfTrue="1" operator="greaterThan">
      <formula>6</formula>
    </cfRule>
  </conditionalFormatting>
  <conditionalFormatting sqref="GN48">
    <cfRule type="cellIs" dxfId="78" priority="1946" stopIfTrue="1" operator="greaterThan">
      <formula>6</formula>
    </cfRule>
  </conditionalFormatting>
  <conditionalFormatting sqref="GP48 GR48 GT48 GV48 GX48 GZ48 HB48 HD48 HF48 HH48 HJ48">
    <cfRule type="cellIs" dxfId="77" priority="1945" stopIfTrue="1" operator="greaterThan">
      <formula>6</formula>
    </cfRule>
  </conditionalFormatting>
  <conditionalFormatting sqref="GN39">
    <cfRule type="cellIs" dxfId="76" priority="1924" stopIfTrue="1" operator="greaterThan">
      <formula>6</formula>
    </cfRule>
  </conditionalFormatting>
  <conditionalFormatting sqref="GP39 GR39 GT39 GV39 GX39 GZ39 HB39 HD39 HF39 HH39 HJ39">
    <cfRule type="cellIs" dxfId="75" priority="1923" stopIfTrue="1" operator="greaterThan">
      <formula>6</formula>
    </cfRule>
  </conditionalFormatting>
  <conditionalFormatting sqref="GN59">
    <cfRule type="cellIs" dxfId="74" priority="1894" stopIfTrue="1" operator="greaterThan">
      <formula>6</formula>
    </cfRule>
  </conditionalFormatting>
  <conditionalFormatting sqref="GP59 GR59 GT59 GV59 GX59 GZ59 HB59 HD59 HF59 HH59 HJ59">
    <cfRule type="cellIs" dxfId="73" priority="1893" stopIfTrue="1" operator="greaterThan">
      <formula>6</formula>
    </cfRule>
  </conditionalFormatting>
  <conditionalFormatting sqref="GN68">
    <cfRule type="cellIs" dxfId="72" priority="1834" stopIfTrue="1" operator="greaterThan">
      <formula>6</formula>
    </cfRule>
  </conditionalFormatting>
  <conditionalFormatting sqref="GP68 GR68 GT68 GV68 GX68 GZ68 HB68 HD68 HF68 HH68 HJ68">
    <cfRule type="cellIs" dxfId="71" priority="1833" stopIfTrue="1" operator="greaterThan">
      <formula>6</formula>
    </cfRule>
  </conditionalFormatting>
  <conditionalFormatting sqref="GN78">
    <cfRule type="cellIs" dxfId="70" priority="1828" stopIfTrue="1" operator="greaterThan">
      <formula>6</formula>
    </cfRule>
  </conditionalFormatting>
  <conditionalFormatting sqref="GP78 GR78 GT78 GV78 GX78 GZ78 HB78 HD78 HF78 HH78 HJ78">
    <cfRule type="cellIs" dxfId="69" priority="1827" stopIfTrue="1" operator="greaterThan">
      <formula>6</formula>
    </cfRule>
  </conditionalFormatting>
  <conditionalFormatting sqref="GN87">
    <cfRule type="cellIs" dxfId="68" priority="1826" stopIfTrue="1" operator="greaterThan">
      <formula>6</formula>
    </cfRule>
  </conditionalFormatting>
  <conditionalFormatting sqref="GP87 GR87 GT87 GV87 GX87 GZ87 HB87 HD87 HF87 HH87 HJ87">
    <cfRule type="cellIs" dxfId="67" priority="1825" stopIfTrue="1" operator="greaterThan">
      <formula>6</formula>
    </cfRule>
  </conditionalFormatting>
  <conditionalFormatting sqref="GN96">
    <cfRule type="cellIs" dxfId="66" priority="1824" stopIfTrue="1" operator="greaterThan">
      <formula>6</formula>
    </cfRule>
  </conditionalFormatting>
  <conditionalFormatting sqref="GP96 GR96 GT96 GV96 GX96 GZ96 HB96 HD96 HF96 HH96 HJ96">
    <cfRule type="cellIs" dxfId="65" priority="1823" stopIfTrue="1" operator="greaterThan">
      <formula>6</formula>
    </cfRule>
  </conditionalFormatting>
  <conditionalFormatting sqref="GN114">
    <cfRule type="cellIs" dxfId="64" priority="1818" stopIfTrue="1" operator="greaterThan">
      <formula>6</formula>
    </cfRule>
  </conditionalFormatting>
  <conditionalFormatting sqref="GP114 GR114 GT114 GV114 GX114 GZ114 HB114 HD114 HF114 HH114 HJ114">
    <cfRule type="cellIs" dxfId="63" priority="1817" stopIfTrue="1" operator="greaterThan">
      <formula>6</formula>
    </cfRule>
  </conditionalFormatting>
  <conditionalFormatting sqref="GN125">
    <cfRule type="cellIs" dxfId="62" priority="1800" stopIfTrue="1" operator="greaterThan">
      <formula>6</formula>
    </cfRule>
  </conditionalFormatting>
  <conditionalFormatting sqref="GP125 GR125 GT125 GV125 GX125 GZ125 HB125 HD125 HF125 HH125 HJ125">
    <cfRule type="cellIs" dxfId="61" priority="1799" stopIfTrue="1" operator="greaterThan">
      <formula>6</formula>
    </cfRule>
  </conditionalFormatting>
  <conditionalFormatting sqref="GN134">
    <cfRule type="cellIs" dxfId="60" priority="1798" stopIfTrue="1" operator="greaterThan">
      <formula>6</formula>
    </cfRule>
  </conditionalFormatting>
  <conditionalFormatting sqref="GP134 GR134 GT134 GV134 GX134 GZ134 HB134 HD134 HF134 HH134 HJ134">
    <cfRule type="cellIs" dxfId="59" priority="1797" stopIfTrue="1" operator="greaterThan">
      <formula>6</formula>
    </cfRule>
  </conditionalFormatting>
  <conditionalFormatting sqref="GN143">
    <cfRule type="cellIs" dxfId="58" priority="1796" stopIfTrue="1" operator="greaterThan">
      <formula>6</formula>
    </cfRule>
  </conditionalFormatting>
  <conditionalFormatting sqref="GP143 GR143 GT143 GV143 GX143 GZ143 HB143 HD143 HF143 HH143 HJ143">
    <cfRule type="cellIs" dxfId="57" priority="1795" stopIfTrue="1" operator="greaterThan">
      <formula>6</formula>
    </cfRule>
  </conditionalFormatting>
  <conditionalFormatting sqref="GN152">
    <cfRule type="cellIs" dxfId="56" priority="1784" stopIfTrue="1" operator="greaterThan">
      <formula>6</formula>
    </cfRule>
  </conditionalFormatting>
  <conditionalFormatting sqref="GP152 GR152 GT152 GV152 GX152 GZ152 HB152 HD152 HF152 HH152 HJ152">
    <cfRule type="cellIs" dxfId="55" priority="1783" stopIfTrue="1" operator="greaterThan">
      <formula>6</formula>
    </cfRule>
  </conditionalFormatting>
  <conditionalFormatting sqref="GN161">
    <cfRule type="cellIs" dxfId="54" priority="1782" stopIfTrue="1" operator="greaterThan">
      <formula>6</formula>
    </cfRule>
  </conditionalFormatting>
  <conditionalFormatting sqref="GP161 GR161 GT161 GV161 GX161 GZ161 HB161 HD161 HF161 HH161 HJ161">
    <cfRule type="cellIs" dxfId="53" priority="1781" stopIfTrue="1" operator="greaterThan">
      <formula>6</formula>
    </cfRule>
  </conditionalFormatting>
  <conditionalFormatting sqref="DJ68 DL68 DN68 DP68">
    <cfRule type="cellIs" dxfId="52" priority="1364" stopIfTrue="1" operator="greaterThan">
      <formula>6</formula>
    </cfRule>
  </conditionalFormatting>
  <conditionalFormatting sqref="EB68 ED68 EF68 EH68 EJ68 EL68 EN68 EP68 DZ68 DR68 DT68 DV68 DX68">
    <cfRule type="cellIs" dxfId="51" priority="1363" stopIfTrue="1" operator="greaterThan">
      <formula>6</formula>
    </cfRule>
  </conditionalFormatting>
  <conditionalFormatting sqref="ER68 ET68 EV68 EX68">
    <cfRule type="cellIs" dxfId="50" priority="1362" stopIfTrue="1" operator="greaterThan">
      <formula>6</formula>
    </cfRule>
  </conditionalFormatting>
  <conditionalFormatting sqref="ER78 ET78 EV78">
    <cfRule type="cellIs" dxfId="49" priority="1355" stopIfTrue="1" operator="greaterThan">
      <formula>6</formula>
    </cfRule>
  </conditionalFormatting>
  <conditionalFormatting sqref="EX78 EZ78">
    <cfRule type="cellIs" dxfId="48" priority="1354" stopIfTrue="1" operator="greaterThan">
      <formula>6</formula>
    </cfRule>
  </conditionalFormatting>
  <conditionalFormatting sqref="CZ125">
    <cfRule type="cellIs" dxfId="47" priority="1348" stopIfTrue="1" operator="greaterThan">
      <formula>6</formula>
    </cfRule>
  </conditionalFormatting>
  <conditionalFormatting sqref="CR134 CT134">
    <cfRule type="cellIs" dxfId="46" priority="1347" stopIfTrue="1" operator="greaterThan">
      <formula>6</formula>
    </cfRule>
  </conditionalFormatting>
  <conditionalFormatting sqref="CV134 CX134 CZ134">
    <cfRule type="cellIs" dxfId="45" priority="1345" stopIfTrue="1" operator="greaterThan">
      <formula>6</formula>
    </cfRule>
  </conditionalFormatting>
  <conditionalFormatting sqref="DH125 DJ125 DL125">
    <cfRule type="cellIs" dxfId="44" priority="1342" stopIfTrue="1" operator="greaterThan">
      <formula>6</formula>
    </cfRule>
  </conditionalFormatting>
  <conditionalFormatting sqref="DH134">
    <cfRule type="cellIs" dxfId="43" priority="1341" stopIfTrue="1" operator="greaterThan">
      <formula>6</formula>
    </cfRule>
  </conditionalFormatting>
  <conditionalFormatting sqref="DJ134 DL134">
    <cfRule type="cellIs" dxfId="42" priority="1340" stopIfTrue="1" operator="greaterThan">
      <formula>6</formula>
    </cfRule>
  </conditionalFormatting>
  <conditionalFormatting sqref="DN125 DP125 DR125">
    <cfRule type="cellIs" dxfId="41" priority="1337" stopIfTrue="1" operator="greaterThan">
      <formula>6</formula>
    </cfRule>
  </conditionalFormatting>
  <conditionalFormatting sqref="DN134 DP134 DR134">
    <cfRule type="cellIs" dxfId="40" priority="1336" stopIfTrue="1" operator="greaterThan">
      <formula>6</formula>
    </cfRule>
  </conditionalFormatting>
  <conditionalFormatting sqref="DT125 DV125 DX125 DZ125 EB125">
    <cfRule type="cellIs" dxfId="39" priority="1332" stopIfTrue="1" operator="greaterThan">
      <formula>6</formula>
    </cfRule>
  </conditionalFormatting>
  <conditionalFormatting sqref="DT134 DV134 DX134 DZ134">
    <cfRule type="cellIs" dxfId="38" priority="1331" stopIfTrue="1" operator="greaterThan">
      <formula>6</formula>
    </cfRule>
  </conditionalFormatting>
  <conditionalFormatting sqref="ED125">
    <cfRule type="cellIs" dxfId="37" priority="1329" stopIfTrue="1" operator="greaterThan">
      <formula>6</formula>
    </cfRule>
  </conditionalFormatting>
  <conditionalFormatting sqref="EB134 ED134">
    <cfRule type="cellIs" dxfId="36" priority="1327" stopIfTrue="1" operator="greaterThan">
      <formula>6</formula>
    </cfRule>
  </conditionalFormatting>
  <conditionalFormatting sqref="EH59">
    <cfRule type="cellIs" dxfId="35" priority="1322" stopIfTrue="1" operator="greaterThan">
      <formula>6</formula>
    </cfRule>
  </conditionalFormatting>
  <conditionalFormatting sqref="EJ59 EL59 EN59 EP59">
    <cfRule type="cellIs" dxfId="34" priority="1321" stopIfTrue="1" operator="greaterThan">
      <formula>6</formula>
    </cfRule>
  </conditionalFormatting>
  <conditionalFormatting sqref="CH143 CJ143 CL143 CN143 CP143 CR143 CT143 CV143 CX143 CZ143 DB143 DD143 DF143">
    <cfRule type="cellIs" dxfId="33" priority="1278" stopIfTrue="1" operator="greaterThan">
      <formula>6</formula>
    </cfRule>
  </conditionalFormatting>
  <conditionalFormatting sqref="DX96 DZ96 DP96 DR96 DT96 DV96">
    <cfRule type="cellIs" dxfId="32" priority="1267" stopIfTrue="1" operator="greaterThan">
      <formula>6</formula>
    </cfRule>
  </conditionalFormatting>
  <conditionalFormatting sqref="DL96 DN96">
    <cfRule type="cellIs" dxfId="31" priority="1265" stopIfTrue="1" operator="greaterThan">
      <formula>6</formula>
    </cfRule>
  </conditionalFormatting>
  <conditionalFormatting sqref="EB96 ED96">
    <cfRule type="cellIs" dxfId="30" priority="1264" stopIfTrue="1" operator="greaterThan">
      <formula>6</formula>
    </cfRule>
  </conditionalFormatting>
  <conditionalFormatting sqref="FB143">
    <cfRule type="cellIs" dxfId="29" priority="1037" stopIfTrue="1" operator="greaterThan">
      <formula>6</formula>
    </cfRule>
  </conditionalFormatting>
  <conditionalFormatting sqref="FD143">
    <cfRule type="cellIs" dxfId="28" priority="1036" stopIfTrue="1" operator="greaterThan">
      <formula>6</formula>
    </cfRule>
  </conditionalFormatting>
  <conditionalFormatting sqref="BT68">
    <cfRule type="cellIs" dxfId="27" priority="1020" stopIfTrue="1" operator="greaterThan">
      <formula>6</formula>
    </cfRule>
  </conditionalFormatting>
  <conditionalFormatting sqref="BX68">
    <cfRule type="cellIs" dxfId="26" priority="1017" stopIfTrue="1" operator="greaterThan">
      <formula>6</formula>
    </cfRule>
  </conditionalFormatting>
  <conditionalFormatting sqref="BV143">
    <cfRule type="cellIs" dxfId="25" priority="1014" stopIfTrue="1" operator="greaterThan">
      <formula>6</formula>
    </cfRule>
  </conditionalFormatting>
  <conditionalFormatting sqref="CF125">
    <cfRule type="cellIs" dxfId="24" priority="1012" stopIfTrue="1" operator="greaterThan">
      <formula>6</formula>
    </cfRule>
  </conditionalFormatting>
  <conditionalFormatting sqref="CF143">
    <cfRule type="cellIs" dxfId="23" priority="1011" stopIfTrue="1" operator="greaterThan">
      <formula>6</formula>
    </cfRule>
  </conditionalFormatting>
  <conditionalFormatting sqref="AV39 AX39 AZ39 BB39 BD39 BF39 DH39 BH39 BJ39 BL39 BR39 BT39 BV39 BX39 BZ39 CB39 CD39 CF39 CH39 CJ39 CL39 CN39 CP39 CR39 CT39 CV39 CX39 DD39 DF39 BN39 BP39 CZ39 DB39">
    <cfRule type="cellIs" dxfId="22" priority="1010" stopIfTrue="1" operator="greaterThan">
      <formula>6</formula>
    </cfRule>
  </conditionalFormatting>
  <conditionalFormatting sqref="Z134 AD134 AB134 X134 T134 V134 AF134 AH134 AJ134 AL134 AN134 AP134 AR134">
    <cfRule type="cellIs" dxfId="21" priority="1006" stopIfTrue="1" operator="greaterThan">
      <formula>6</formula>
    </cfRule>
  </conditionalFormatting>
  <conditionalFormatting sqref="V125 X125 AT125 Z125 AB125 AD125 AF125 AH125 AJ125 AL125 AV125 AX125 AZ125 BB125 BD125 BF125 BH125 BJ125 BL125 BN125 BP125 BR125 AN125 AP125 AR125">
    <cfRule type="cellIs" dxfId="20" priority="1005" stopIfTrue="1" operator="greaterThan">
      <formula>6</formula>
    </cfRule>
  </conditionalFormatting>
  <conditionalFormatting sqref="DH143">
    <cfRule type="cellIs" dxfId="19" priority="987" stopIfTrue="1" operator="greaterThan">
      <formula>6</formula>
    </cfRule>
  </conditionalFormatting>
  <conditionalFormatting sqref="AL68 AN68">
    <cfRule type="cellIs" dxfId="18" priority="19" stopIfTrue="1" operator="greaterThan">
      <formula>6</formula>
    </cfRule>
  </conditionalFormatting>
  <conditionalFormatting sqref="AX134 AZ134">
    <cfRule type="cellIs" dxfId="17" priority="17" stopIfTrue="1" operator="greaterThan">
      <formula>6</formula>
    </cfRule>
  </conditionalFormatting>
  <conditionalFormatting sqref="AP29">
    <cfRule type="cellIs" dxfId="16" priority="13" stopIfTrue="1" operator="greaterThan">
      <formula>6</formula>
    </cfRule>
  </conditionalFormatting>
  <conditionalFormatting sqref="AR39">
    <cfRule type="cellIs" dxfId="15" priority="12" stopIfTrue="1" operator="greaterThan">
      <formula>6</formula>
    </cfRule>
  </conditionalFormatting>
  <conditionalFormatting sqref="AP48">
    <cfRule type="cellIs" dxfId="14" priority="11" stopIfTrue="1" operator="greaterThan">
      <formula>6</formula>
    </cfRule>
  </conditionalFormatting>
  <conditionalFormatting sqref="AR48">
    <cfRule type="cellIs" dxfId="13" priority="10" stopIfTrue="1" operator="greaterThan">
      <formula>6</formula>
    </cfRule>
  </conditionalFormatting>
  <conditionalFormatting sqref="AR59">
    <cfRule type="cellIs" dxfId="12" priority="9" stopIfTrue="1" operator="greaterThan">
      <formula>6</formula>
    </cfRule>
  </conditionalFormatting>
  <conditionalFormatting sqref="AP68">
    <cfRule type="cellIs" dxfId="11" priority="8" stopIfTrue="1" operator="greaterThan">
      <formula>6</formula>
    </cfRule>
  </conditionalFormatting>
  <conditionalFormatting sqref="AR68">
    <cfRule type="cellIs" dxfId="10" priority="7" stopIfTrue="1" operator="greaterThan">
      <formula>6</formula>
    </cfRule>
  </conditionalFormatting>
  <conditionalFormatting sqref="BH87 BJ87 BL87 BT87 BN87 BP87 BR87">
    <cfRule type="cellIs" dxfId="9" priority="6" stopIfTrue="1" operator="greaterThan">
      <formula>6</formula>
    </cfRule>
  </conditionalFormatting>
  <conditionalFormatting sqref="AT96 AV96 AX96 BF96 AZ96 BB96 BD96">
    <cfRule type="cellIs" dxfId="8" priority="5" stopIfTrue="1" operator="greaterThan">
      <formula>6</formula>
    </cfRule>
  </conditionalFormatting>
  <conditionalFormatting sqref="AT105 AV105 AX105 BF105 AZ105 BB105 BD105">
    <cfRule type="cellIs" dxfId="7" priority="4" stopIfTrue="1" operator="greaterThan">
      <formula>6</formula>
    </cfRule>
  </conditionalFormatting>
  <conditionalFormatting sqref="AT114 AV114 AX114 BF114 AZ114 BB114 BD114">
    <cfRule type="cellIs" dxfId="6" priority="3" stopIfTrue="1" operator="greaterThan">
      <formula>6</formula>
    </cfRule>
  </conditionalFormatting>
  <conditionalFormatting sqref="AT87 AV87 AX87 AZ87 BB87 BD87">
    <cfRule type="cellIs" dxfId="5" priority="2" stopIfTrue="1" operator="greaterThan">
      <formula>6</formula>
    </cfRule>
  </conditionalFormatting>
  <conditionalFormatting sqref="BF87">
    <cfRule type="cellIs" dxfId="4" priority="1" stopIfTrue="1" operator="greaterThan">
      <formula>6</formula>
    </cfRule>
  </conditionalFormatting>
  <pageMargins left="0.51181102362204722" right="0.51181102362204722" top="0.78740157480314965" bottom="0.78740157480314965" header="0.31496062992125984" footer="0.31496062992125984"/>
  <pageSetup paperSize="66" scale="10" orientation="landscape" horizontalDpi="4294967293" verticalDpi="4294967293" r:id="rId1"/>
  <colBreaks count="1" manualBreakCount="1">
    <brk id="191" max="619"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tabColor theme="0" tint="-0.249977111117893"/>
  </sheetPr>
  <dimension ref="A1:AE83"/>
  <sheetViews>
    <sheetView showGridLines="0" zoomScale="80" zoomScaleNormal="80" zoomScaleSheetLayoutView="100" workbookViewId="0">
      <pane xSplit="5" ySplit="8" topLeftCell="T43" activePane="bottomRight" state="frozen"/>
      <selection activeCell="S23" sqref="S23:T23"/>
      <selection pane="topRight" activeCell="S23" sqref="S23:T23"/>
      <selection pane="bottomLeft" activeCell="S23" sqref="S23:T23"/>
      <selection pane="bottomRight" activeCell="X69" sqref="X69"/>
    </sheetView>
  </sheetViews>
  <sheetFormatPr defaultColWidth="11.44140625" defaultRowHeight="14.4" outlineLevelRow="1" outlineLevelCol="1"/>
  <cols>
    <col min="1" max="1" width="9.6640625" style="7" customWidth="1"/>
    <col min="2" max="2" width="6.88671875" style="7" customWidth="1"/>
    <col min="3" max="3" width="45.88671875" style="7" customWidth="1"/>
    <col min="4" max="4" width="7.6640625" style="17" customWidth="1"/>
    <col min="5" max="5" width="12.6640625" style="13" customWidth="1"/>
    <col min="6" max="7" width="11" style="13" bestFit="1" customWidth="1"/>
    <col min="8" max="8" width="12.44140625" style="12" bestFit="1" customWidth="1"/>
    <col min="9" max="9" width="13.5546875" style="12" bestFit="1" customWidth="1"/>
    <col min="10" max="10" width="5.5546875" style="12" bestFit="1" customWidth="1"/>
    <col min="11" max="12" width="11" style="12" bestFit="1" customWidth="1"/>
    <col min="13" max="13" width="10.88671875" style="12" customWidth="1"/>
    <col min="14" max="14" width="12.44140625" style="12" customWidth="1"/>
    <col min="15" max="15" width="25.88671875" style="12" bestFit="1" customWidth="1"/>
    <col min="16" max="17" width="15.6640625" style="12" bestFit="1" customWidth="1" outlineLevel="1"/>
    <col min="18" max="19" width="15.6640625" style="12" bestFit="1" customWidth="1"/>
    <col min="20" max="20" width="24.33203125" style="12" bestFit="1" customWidth="1"/>
    <col min="21" max="22" width="15.6640625" style="12" bestFit="1" customWidth="1"/>
    <col min="23" max="23" width="15.6640625" style="7" bestFit="1" customWidth="1"/>
    <col min="24" max="24" width="19.5546875" style="7" customWidth="1"/>
    <col min="25" max="25" width="17.44140625" style="7" bestFit="1" customWidth="1"/>
    <col min="26" max="26" width="15.88671875" style="7" bestFit="1" customWidth="1"/>
    <col min="27" max="27" width="5.88671875" style="7" bestFit="1" customWidth="1"/>
    <col min="28" max="28" width="16.88671875" style="7" customWidth="1"/>
    <col min="29" max="29" width="9.44140625" style="7" customWidth="1"/>
    <col min="30" max="30" width="6.6640625" style="7" bestFit="1" customWidth="1"/>
    <col min="31" max="31" width="14.6640625" style="7" customWidth="1"/>
    <col min="32" max="16384" width="11.44140625" style="7"/>
  </cols>
  <sheetData>
    <row r="1" spans="1:31" ht="15.6">
      <c r="A1" s="764"/>
      <c r="B1" s="27"/>
      <c r="C1" s="765"/>
      <c r="D1" s="766"/>
      <c r="E1" s="28"/>
      <c r="F1" s="28"/>
      <c r="G1" s="28"/>
      <c r="H1" s="1424"/>
      <c r="I1" s="1424"/>
      <c r="J1" s="1424"/>
      <c r="K1" s="1424"/>
      <c r="L1" s="1424"/>
      <c r="M1" s="1424"/>
      <c r="N1" s="1424"/>
      <c r="O1" s="1424"/>
      <c r="P1" s="1424"/>
      <c r="Q1" s="115"/>
      <c r="R1" s="115"/>
      <c r="S1" s="115"/>
      <c r="T1" s="115"/>
      <c r="U1" s="115"/>
      <c r="V1" s="115"/>
      <c r="W1" s="29"/>
      <c r="X1" s="29"/>
      <c r="Y1" s="29"/>
      <c r="Z1" s="29"/>
      <c r="AA1" s="899"/>
      <c r="AB1" s="153"/>
    </row>
    <row r="2" spans="1:31" ht="15.75" customHeight="1">
      <c r="A2" s="193"/>
      <c r="B2" s="8"/>
      <c r="C2" s="1425"/>
      <c r="E2" s="30" t="s">
        <v>178</v>
      </c>
      <c r="F2" s="1450" t="s">
        <v>1465</v>
      </c>
      <c r="G2" s="1450"/>
      <c r="H2" s="1450"/>
      <c r="I2" s="1450"/>
      <c r="J2" s="1450"/>
      <c r="K2" s="1450"/>
      <c r="L2" s="1450"/>
      <c r="M2" s="1450"/>
      <c r="N2" s="1450"/>
      <c r="O2" s="1450"/>
      <c r="P2" s="1450"/>
      <c r="Q2" s="1450"/>
      <c r="R2" s="1450"/>
      <c r="S2" s="1450"/>
      <c r="T2" s="1450"/>
      <c r="U2" s="1450"/>
      <c r="V2" s="1450"/>
      <c r="W2" s="1450"/>
      <c r="X2" s="1450"/>
      <c r="Y2" s="1450"/>
      <c r="Z2" s="1450"/>
      <c r="AA2" s="895"/>
    </row>
    <row r="3" spans="1:31" ht="15.75" customHeight="1">
      <c r="A3" s="193"/>
      <c r="B3" s="8"/>
      <c r="C3" s="1425"/>
      <c r="E3" s="30" t="s">
        <v>179</v>
      </c>
      <c r="F3" s="1450" t="s">
        <v>1368</v>
      </c>
      <c r="G3" s="1450"/>
      <c r="H3" s="1450"/>
      <c r="I3" s="1450"/>
      <c r="J3" s="1450"/>
      <c r="K3" s="1450"/>
      <c r="L3" s="1450"/>
      <c r="M3" s="1450"/>
      <c r="N3" s="1450"/>
      <c r="O3" s="1450"/>
      <c r="P3" s="1450"/>
      <c r="Q3" s="1450"/>
      <c r="R3" s="1450"/>
      <c r="S3" s="1450"/>
      <c r="T3" s="1450"/>
      <c r="U3" s="1450"/>
      <c r="V3" s="1450"/>
      <c r="W3" s="1450"/>
      <c r="X3" s="1450"/>
      <c r="Y3" s="1450"/>
      <c r="Z3" s="1450"/>
      <c r="AA3" s="895"/>
    </row>
    <row r="4" spans="1:31" ht="21">
      <c r="A4" s="193"/>
      <c r="B4" s="31"/>
      <c r="C4" s="698"/>
      <c r="E4" s="30" t="s">
        <v>180</v>
      </c>
      <c r="F4" s="1451">
        <f ca="1">TODAY()</f>
        <v>46140</v>
      </c>
      <c r="G4" s="1451"/>
      <c r="H4" s="1451"/>
      <c r="I4" s="1451"/>
      <c r="J4" s="1451"/>
      <c r="K4" s="1451"/>
      <c r="L4" s="1451"/>
      <c r="M4" s="1451"/>
      <c r="N4" s="1451"/>
      <c r="O4" s="1451"/>
      <c r="P4" s="1451"/>
      <c r="Q4" s="1451"/>
      <c r="R4" s="1451"/>
      <c r="S4" s="1451"/>
      <c r="T4" s="1451"/>
      <c r="U4" s="1451"/>
      <c r="V4" s="1451"/>
      <c r="W4" s="1451"/>
      <c r="X4" s="1451"/>
      <c r="Y4" s="1451"/>
      <c r="Z4" s="1451"/>
      <c r="AA4" s="895"/>
    </row>
    <row r="5" spans="1:31" ht="16.5" customHeight="1" thickBot="1">
      <c r="A5" s="9"/>
      <c r="B5" s="8"/>
      <c r="C5" s="182"/>
      <c r="D5" s="1002"/>
      <c r="E5" s="1003"/>
      <c r="F5" s="1452" t="s">
        <v>181</v>
      </c>
      <c r="G5" s="1453"/>
      <c r="H5" s="1453"/>
      <c r="I5" s="1453"/>
      <c r="J5" s="1453"/>
      <c r="K5" s="1453"/>
      <c r="L5" s="1453"/>
      <c r="M5" s="1453"/>
      <c r="N5" s="1453"/>
      <c r="O5" s="1453"/>
      <c r="P5" s="1453"/>
      <c r="Q5" s="1453"/>
      <c r="R5" s="1453"/>
      <c r="S5" s="1453"/>
      <c r="T5" s="1453"/>
      <c r="U5" s="1453"/>
      <c r="V5" s="1453"/>
      <c r="W5" s="1453"/>
      <c r="X5" s="1453"/>
      <c r="Y5" s="1453"/>
      <c r="Z5" s="1453"/>
      <c r="AA5" s="894"/>
    </row>
    <row r="6" spans="1:31" s="190" customFormat="1" ht="15" customHeight="1" thickBot="1">
      <c r="A6" s="1414" t="s">
        <v>182</v>
      </c>
      <c r="B6" s="1419" t="s">
        <v>183</v>
      </c>
      <c r="C6" s="1443" t="s">
        <v>184</v>
      </c>
      <c r="D6" s="1447" t="s">
        <v>185</v>
      </c>
      <c r="E6" s="1445" t="s">
        <v>186</v>
      </c>
      <c r="F6" s="1426" t="s">
        <v>187</v>
      </c>
      <c r="G6" s="1427"/>
      <c r="H6" s="1427"/>
      <c r="I6" s="1427"/>
      <c r="J6" s="1427"/>
      <c r="K6" s="1427"/>
      <c r="L6" s="1427"/>
      <c r="M6" s="1427"/>
      <c r="N6" s="1427"/>
      <c r="O6" s="1427"/>
      <c r="P6" s="1427"/>
      <c r="Q6" s="1427"/>
      <c r="R6" s="1427"/>
      <c r="S6" s="1427"/>
      <c r="T6" s="1427"/>
      <c r="U6" s="1427"/>
      <c r="V6" s="1427"/>
      <c r="W6" s="1427"/>
      <c r="X6" s="1427"/>
      <c r="Y6" s="1427"/>
      <c r="Z6" s="1421" t="s">
        <v>188</v>
      </c>
      <c r="AA6" s="900"/>
      <c r="AB6" s="896"/>
    </row>
    <row r="7" spans="1:31" s="190" customFormat="1" ht="12.75" customHeight="1">
      <c r="A7" s="1415"/>
      <c r="B7" s="1420"/>
      <c r="C7" s="1444"/>
      <c r="D7" s="1448"/>
      <c r="E7" s="1446"/>
      <c r="F7" s="1428" t="s">
        <v>189</v>
      </c>
      <c r="G7" s="1429"/>
      <c r="H7" s="1429"/>
      <c r="I7" s="1430"/>
      <c r="J7" s="1439" t="s">
        <v>190</v>
      </c>
      <c r="K7" s="1440"/>
      <c r="L7" s="1441"/>
      <c r="M7" s="1441"/>
      <c r="N7" s="1442"/>
      <c r="O7" s="131" t="s">
        <v>191</v>
      </c>
      <c r="P7" s="1431" t="s">
        <v>192</v>
      </c>
      <c r="Q7" s="1432"/>
      <c r="R7" s="1432"/>
      <c r="S7" s="1433"/>
      <c r="T7" s="131" t="s">
        <v>193</v>
      </c>
      <c r="U7" s="1434" t="s">
        <v>194</v>
      </c>
      <c r="V7" s="1435"/>
      <c r="W7" s="1435"/>
      <c r="X7" s="1436"/>
      <c r="Y7" s="1437" t="s">
        <v>195</v>
      </c>
      <c r="Z7" s="1422"/>
      <c r="AA7" s="900"/>
      <c r="AB7" s="343" t="s">
        <v>1422</v>
      </c>
    </row>
    <row r="8" spans="1:31" s="190" customFormat="1" ht="14.1" customHeight="1">
      <c r="A8" s="10"/>
      <c r="B8" s="1420"/>
      <c r="C8" s="1444"/>
      <c r="D8" s="1449"/>
      <c r="E8" s="1446"/>
      <c r="F8" s="318" t="s">
        <v>112</v>
      </c>
      <c r="G8" s="312" t="s">
        <v>196</v>
      </c>
      <c r="H8" s="310" t="s">
        <v>197</v>
      </c>
      <c r="I8" s="311" t="s">
        <v>199</v>
      </c>
      <c r="J8" s="101" t="s">
        <v>198</v>
      </c>
      <c r="K8" s="323" t="s">
        <v>112</v>
      </c>
      <c r="L8" s="89" t="s">
        <v>196</v>
      </c>
      <c r="M8" s="89" t="s">
        <v>197</v>
      </c>
      <c r="N8" s="102" t="s">
        <v>199</v>
      </c>
      <c r="O8" s="108" t="s">
        <v>200</v>
      </c>
      <c r="P8" s="134" t="s">
        <v>112</v>
      </c>
      <c r="Q8" s="325" t="s">
        <v>196</v>
      </c>
      <c r="R8" s="135" t="s">
        <v>197</v>
      </c>
      <c r="S8" s="94" t="s">
        <v>199</v>
      </c>
      <c r="T8" s="324" t="s">
        <v>201</v>
      </c>
      <c r="U8" s="134" t="s">
        <v>112</v>
      </c>
      <c r="V8" s="335" t="s">
        <v>196</v>
      </c>
      <c r="W8" s="89" t="s">
        <v>197</v>
      </c>
      <c r="X8" s="94" t="s">
        <v>199</v>
      </c>
      <c r="Y8" s="1438"/>
      <c r="Z8" s="1423"/>
      <c r="AA8" s="900"/>
      <c r="AB8" s="896">
        <f>DADOS!AB20+DADOS!AB35</f>
        <v>135218</v>
      </c>
    </row>
    <row r="9" spans="1:31" s="190" customFormat="1" ht="13.8">
      <c r="A9" s="11"/>
      <c r="B9" s="347"/>
      <c r="C9" s="348"/>
      <c r="D9" s="349"/>
      <c r="E9" s="350"/>
      <c r="F9" s="319"/>
      <c r="G9" s="313"/>
      <c r="H9" s="88"/>
      <c r="I9" s="106"/>
      <c r="J9" s="105"/>
      <c r="K9" s="313"/>
      <c r="L9" s="88"/>
      <c r="M9" s="88"/>
      <c r="N9" s="98"/>
      <c r="O9" s="112"/>
      <c r="P9" s="326"/>
      <c r="Q9" s="326"/>
      <c r="R9" s="88"/>
      <c r="S9" s="98"/>
      <c r="T9" s="333"/>
      <c r="U9" s="136"/>
      <c r="V9" s="328"/>
      <c r="W9" s="133"/>
      <c r="X9" s="98"/>
      <c r="Y9" s="109"/>
      <c r="Z9" s="413"/>
      <c r="AA9" s="901"/>
    </row>
    <row r="10" spans="1:31" s="191" customFormat="1" ht="13.8">
      <c r="A10" s="18"/>
      <c r="B10" s="351">
        <v>2</v>
      </c>
      <c r="C10" s="352" t="s">
        <v>1445</v>
      </c>
      <c r="D10" s="353"/>
      <c r="E10" s="135"/>
      <c r="F10" s="101"/>
      <c r="G10" s="314"/>
      <c r="H10" s="99"/>
      <c r="I10" s="104"/>
      <c r="J10" s="103"/>
      <c r="K10" s="314"/>
      <c r="L10" s="86"/>
      <c r="M10" s="86"/>
      <c r="N10" s="97"/>
      <c r="O10" s="110"/>
      <c r="P10" s="327">
        <f t="shared" ref="P10:S10" si="0">SUM(P11:P22)</f>
        <v>0</v>
      </c>
      <c r="Q10" s="327">
        <f t="shared" si="0"/>
        <v>0</v>
      </c>
      <c r="R10" s="327">
        <f t="shared" si="0"/>
        <v>0</v>
      </c>
      <c r="S10" s="327">
        <f t="shared" si="0"/>
        <v>133033.31509967704</v>
      </c>
      <c r="T10" s="327"/>
      <c r="U10" s="327">
        <f t="shared" ref="U10:X10" si="1">SUM(U11:U22)</f>
        <v>0</v>
      </c>
      <c r="V10" s="327">
        <f t="shared" si="1"/>
        <v>0</v>
      </c>
      <c r="W10" s="327">
        <f t="shared" si="1"/>
        <v>0</v>
      </c>
      <c r="X10" s="327">
        <f t="shared" si="1"/>
        <v>224703.27604804788</v>
      </c>
      <c r="Y10" s="327">
        <f>SUM(Y11:Y22)</f>
        <v>224703.27604804788</v>
      </c>
      <c r="Z10" s="414">
        <f>SUM(Z11:Z22)</f>
        <v>1.0000000000000002</v>
      </c>
      <c r="AA10" s="902">
        <f>Y10/$Y$71</f>
        <v>3.7181362790216319E-2</v>
      </c>
    </row>
    <row r="11" spans="1:31" s="190" customFormat="1" ht="27.6" outlineLevel="1">
      <c r="A11" s="713"/>
      <c r="B11" s="398" t="s">
        <v>122</v>
      </c>
      <c r="C11" s="354" t="s">
        <v>1446</v>
      </c>
      <c r="D11" s="93" t="s">
        <v>1451</v>
      </c>
      <c r="E11" s="356">
        <v>30</v>
      </c>
      <c r="F11" s="320"/>
      <c r="G11" s="315"/>
      <c r="H11" s="87"/>
      <c r="I11" s="96">
        <f>CPU!J54</f>
        <v>480.25626471166851</v>
      </c>
      <c r="J11" s="95" t="s">
        <v>204</v>
      </c>
      <c r="K11" s="87">
        <f t="shared" ref="K11:K22" si="2">F11*(VLOOKUP(J11,$D$75:$I$91,3,FALSE))</f>
        <v>0</v>
      </c>
      <c r="L11" s="87">
        <f t="shared" ref="L11:L22" si="3">G11*(VLOOKUP(J11,$D$75:$I$91,5,FALSE))</f>
        <v>0</v>
      </c>
      <c r="M11" s="87">
        <f t="shared" ref="M11:M22" si="4">H11*(VLOOKUP(J11,$D$75:$I$89,4,FALSE))</f>
        <v>0</v>
      </c>
      <c r="N11" s="96">
        <f t="shared" ref="N11:N22" si="5">I11/(1-(VLOOKUP(J11,$D$75:$I$91,2,FALSE)))-I11</f>
        <v>330.93269154679621</v>
      </c>
      <c r="O11" s="111">
        <f>SUM(F11:I11)</f>
        <v>480.25626471166851</v>
      </c>
      <c r="P11" s="329">
        <f>F11*E11</f>
        <v>0</v>
      </c>
      <c r="Q11" s="328">
        <f>G11*E11</f>
        <v>0</v>
      </c>
      <c r="R11" s="133">
        <f>H11*E11</f>
        <v>0</v>
      </c>
      <c r="S11" s="113">
        <f>I11*E11</f>
        <v>14407.687941350056</v>
      </c>
      <c r="T11" s="334">
        <f>SUM(K11,L11,M11,N11,O11)</f>
        <v>811.18895625846471</v>
      </c>
      <c r="U11" s="132">
        <f t="shared" ref="U11:V16" si="6">(K11+F11)*$E11</f>
        <v>0</v>
      </c>
      <c r="V11" s="328">
        <f t="shared" si="6"/>
        <v>0</v>
      </c>
      <c r="W11" s="133">
        <f>(M11+H11)*E11</f>
        <v>0</v>
      </c>
      <c r="X11" s="113">
        <f>(N11+I11)*E11</f>
        <v>24335.66868775394</v>
      </c>
      <c r="Y11" s="114">
        <f>SUM(U11:X11)</f>
        <v>24335.66868775394</v>
      </c>
      <c r="Z11" s="415">
        <f>IF($Y$10&gt;0,Y11/$Y$10,"-")</f>
        <v>0.10830135241352819</v>
      </c>
      <c r="AA11" s="901">
        <v>0.30412528828598634</v>
      </c>
      <c r="AB11" s="896">
        <f>$AB$8*AA11</f>
        <v>41123.213231454502</v>
      </c>
      <c r="AC11" s="897">
        <f>AB11/E11</f>
        <v>1370.7737743818168</v>
      </c>
      <c r="AD11" s="912">
        <f>Y11/SUM($Y$11:$Y$24)</f>
        <v>7.2944925601103119E-2</v>
      </c>
      <c r="AE11" s="897"/>
    </row>
    <row r="12" spans="1:31" s="190" customFormat="1" ht="27.6" outlineLevel="1">
      <c r="A12" s="712"/>
      <c r="B12" s="398" t="s">
        <v>123</v>
      </c>
      <c r="C12" s="354" t="s">
        <v>1447</v>
      </c>
      <c r="D12" s="93" t="s">
        <v>1451</v>
      </c>
      <c r="E12" s="406">
        <v>30</v>
      </c>
      <c r="F12" s="320"/>
      <c r="G12" s="315"/>
      <c r="H12" s="87"/>
      <c r="I12" s="96">
        <f>CPU!J116</f>
        <v>194.7949038301399</v>
      </c>
      <c r="J12" s="95" t="s">
        <v>204</v>
      </c>
      <c r="K12" s="87">
        <f t="shared" si="2"/>
        <v>0</v>
      </c>
      <c r="L12" s="87">
        <f t="shared" si="3"/>
        <v>0</v>
      </c>
      <c r="M12" s="87">
        <f t="shared" si="4"/>
        <v>0</v>
      </c>
      <c r="N12" s="96">
        <f t="shared" si="5"/>
        <v>134.22834132691588</v>
      </c>
      <c r="O12" s="111">
        <f>SUM(F12:I12)</f>
        <v>194.7949038301399</v>
      </c>
      <c r="P12" s="329">
        <f>F12*E12</f>
        <v>0</v>
      </c>
      <c r="Q12" s="330">
        <f>G12*E12</f>
        <v>0</v>
      </c>
      <c r="R12" s="331">
        <f>H12*E12</f>
        <v>0</v>
      </c>
      <c r="S12" s="332">
        <f>I12*E12</f>
        <v>5843.847114904197</v>
      </c>
      <c r="T12" s="336">
        <f>SUM(K12,L12,M12,N12,O12)</f>
        <v>329.02324515705578</v>
      </c>
      <c r="U12" s="337">
        <f t="shared" si="6"/>
        <v>0</v>
      </c>
      <c r="V12" s="330">
        <f t="shared" si="6"/>
        <v>0</v>
      </c>
      <c r="W12" s="331">
        <f>(M12+H12)*E12</f>
        <v>0</v>
      </c>
      <c r="X12" s="332">
        <f>(N12+I12)*E12</f>
        <v>9870.6973547116741</v>
      </c>
      <c r="Y12" s="114">
        <f>SUM(U12:X12)</f>
        <v>9870.6973547116741</v>
      </c>
      <c r="Z12" s="415">
        <f>IF($Y$10&gt;0,Y12/$Y$10,"-")</f>
        <v>4.3927696686545156E-2</v>
      </c>
      <c r="AA12" s="901">
        <v>5.7287959477949131E-2</v>
      </c>
      <c r="AB12" s="896">
        <f t="shared" ref="AB12:AB22" si="7">$AB$8*AA12</f>
        <v>7746.3633046893256</v>
      </c>
      <c r="AC12" s="897">
        <f t="shared" ref="AC12:AC24" si="8">AB12/E12</f>
        <v>258.21211015631087</v>
      </c>
      <c r="AD12" s="912">
        <f>Y12/SUM($Y$11:$Y$24)</f>
        <v>2.9586911845688117E-2</v>
      </c>
      <c r="AE12" s="897"/>
    </row>
    <row r="13" spans="1:31" s="190" customFormat="1" ht="28.95" customHeight="1" outlineLevel="1">
      <c r="A13" s="713"/>
      <c r="B13" s="398" t="s">
        <v>124</v>
      </c>
      <c r="C13" s="405" t="s">
        <v>1448</v>
      </c>
      <c r="D13" s="373" t="s">
        <v>203</v>
      </c>
      <c r="E13" s="355">
        <v>40000</v>
      </c>
      <c r="F13" s="320"/>
      <c r="G13" s="315"/>
      <c r="H13" s="87"/>
      <c r="I13" s="96">
        <f>CPU!J178</f>
        <v>2.7898585758426666</v>
      </c>
      <c r="J13" s="95" t="s">
        <v>204</v>
      </c>
      <c r="K13" s="87">
        <f t="shared" si="2"/>
        <v>0</v>
      </c>
      <c r="L13" s="87">
        <f t="shared" si="3"/>
        <v>0</v>
      </c>
      <c r="M13" s="87">
        <f t="shared" si="4"/>
        <v>0</v>
      </c>
      <c r="N13" s="96">
        <f t="shared" si="5"/>
        <v>1.9224224135687642</v>
      </c>
      <c r="O13" s="111">
        <f>SUM(F13:I13)</f>
        <v>2.7898585758426666</v>
      </c>
      <c r="P13" s="329">
        <f>F13*E13</f>
        <v>0</v>
      </c>
      <c r="Q13" s="330">
        <f>G13*E13</f>
        <v>0</v>
      </c>
      <c r="R13" s="331">
        <f>H13*E13</f>
        <v>0</v>
      </c>
      <c r="S13" s="332">
        <f>I13*E13</f>
        <v>111594.34303370667</v>
      </c>
      <c r="T13" s="336">
        <f>SUM(K13,L13,M13,N13,O13)</f>
        <v>4.7122809894114308</v>
      </c>
      <c r="U13" s="337">
        <f t="shared" si="6"/>
        <v>0</v>
      </c>
      <c r="V13" s="330">
        <f t="shared" si="6"/>
        <v>0</v>
      </c>
      <c r="W13" s="331">
        <f>(M13+H13)*E13</f>
        <v>0</v>
      </c>
      <c r="X13" s="332">
        <f>(N13+I13)*E13</f>
        <v>188491.23957645724</v>
      </c>
      <c r="Y13" s="114">
        <f>SUM(U13:X13)</f>
        <v>188491.23957645724</v>
      </c>
      <c r="Z13" s="415">
        <f>IF($Y$10&gt;0,Y13/$Y$10,"-")</f>
        <v>0.83884508891696141</v>
      </c>
      <c r="AA13" s="901">
        <v>5.5651160635722043E-2</v>
      </c>
      <c r="AB13" s="896">
        <f t="shared" si="7"/>
        <v>7525.0386388410634</v>
      </c>
      <c r="AC13" s="897">
        <f t="shared" si="8"/>
        <v>0.1881259659710266</v>
      </c>
      <c r="AD13" s="912">
        <f>Y13/SUM($Y$11:$Y$24)</f>
        <v>0.56499287625013217</v>
      </c>
      <c r="AE13" s="897"/>
    </row>
    <row r="14" spans="1:31" s="190" customFormat="1" ht="27.6" outlineLevel="1">
      <c r="A14" s="713"/>
      <c r="B14" s="398" t="s">
        <v>222</v>
      </c>
      <c r="C14" s="405" t="s">
        <v>1517</v>
      </c>
      <c r="D14" s="373" t="s">
        <v>208</v>
      </c>
      <c r="E14" s="355">
        <v>1</v>
      </c>
      <c r="F14" s="320"/>
      <c r="G14" s="315"/>
      <c r="H14" s="87"/>
      <c r="I14" s="96">
        <v>7.7228151874909106</v>
      </c>
      <c r="J14" s="95" t="s">
        <v>204</v>
      </c>
      <c r="K14" s="87">
        <f t="shared" si="2"/>
        <v>0</v>
      </c>
      <c r="L14" s="87">
        <f t="shared" si="3"/>
        <v>0</v>
      </c>
      <c r="M14" s="87">
        <f t="shared" si="4"/>
        <v>0</v>
      </c>
      <c r="N14" s="96">
        <f t="shared" si="5"/>
        <v>5.3216005789101519</v>
      </c>
      <c r="O14" s="111">
        <f t="shared" ref="O14:O16" si="9">SUM(F14:I14)</f>
        <v>7.7228151874909106</v>
      </c>
      <c r="P14" s="329">
        <f t="shared" ref="P14:P16" si="10">F14*E14</f>
        <v>0</v>
      </c>
      <c r="Q14" s="330">
        <f t="shared" ref="Q14:Q16" si="11">G14*E14</f>
        <v>0</v>
      </c>
      <c r="R14" s="331">
        <f t="shared" ref="R14:R16" si="12">H14*E14</f>
        <v>0</v>
      </c>
      <c r="S14" s="332">
        <f t="shared" ref="S14:S16" si="13">I14*E14</f>
        <v>7.7228151874909106</v>
      </c>
      <c r="T14" s="336">
        <f t="shared" ref="T14:T16" si="14">SUM(K14,L14,M14,N14,O14)</f>
        <v>13.044415766401062</v>
      </c>
      <c r="U14" s="337">
        <f t="shared" si="6"/>
        <v>0</v>
      </c>
      <c r="V14" s="330">
        <f t="shared" si="6"/>
        <v>0</v>
      </c>
      <c r="W14" s="331">
        <f t="shared" ref="W14:W16" si="15">(M14+H14)*E14</f>
        <v>0</v>
      </c>
      <c r="X14" s="332">
        <f t="shared" ref="X14:X16" si="16">(N14+I14)*E14</f>
        <v>13.044415766401062</v>
      </c>
      <c r="Y14" s="114">
        <f t="shared" ref="Y14:Y16" si="17">SUM(U14:X14)</f>
        <v>13.044415766401062</v>
      </c>
      <c r="Z14" s="415">
        <f t="shared" ref="Z14:Z16" si="18">IF($Y$10&gt;0,Y14/$Y$10,"-")</f>
        <v>5.8051738255973623E-5</v>
      </c>
      <c r="AA14" s="901">
        <v>5.1831963337192088E-2</v>
      </c>
      <c r="AB14" s="896">
        <f t="shared" ref="AB14:AB16" si="19">$AB$8*AA14</f>
        <v>7008.6144185284402</v>
      </c>
      <c r="AC14" s="897">
        <f t="shared" ref="AC14:AC16" si="20">AB14/E14</f>
        <v>7008.6144185284402</v>
      </c>
      <c r="AD14" s="912">
        <f t="shared" ref="AD14:AD16" si="21">Y14/SUM($Y$11:$Y$24)</f>
        <v>3.9099970902743374E-5</v>
      </c>
      <c r="AE14" s="897"/>
    </row>
    <row r="15" spans="1:31" s="190" customFormat="1" ht="27.6" outlineLevel="1">
      <c r="A15" s="713"/>
      <c r="B15" s="398" t="s">
        <v>223</v>
      </c>
      <c r="C15" s="405" t="s">
        <v>1518</v>
      </c>
      <c r="D15" s="373" t="s">
        <v>208</v>
      </c>
      <c r="E15" s="355">
        <v>1</v>
      </c>
      <c r="F15" s="320"/>
      <c r="G15" s="315"/>
      <c r="H15" s="87"/>
      <c r="I15" s="96">
        <v>8.8260744999896108</v>
      </c>
      <c r="J15" s="95" t="s">
        <v>204</v>
      </c>
      <c r="K15" s="87">
        <f t="shared" si="2"/>
        <v>0</v>
      </c>
      <c r="L15" s="87">
        <f t="shared" si="3"/>
        <v>0</v>
      </c>
      <c r="M15" s="87">
        <f t="shared" si="4"/>
        <v>0</v>
      </c>
      <c r="N15" s="96">
        <f t="shared" si="5"/>
        <v>6.0818292330401729</v>
      </c>
      <c r="O15" s="111">
        <f t="shared" si="9"/>
        <v>8.8260744999896108</v>
      </c>
      <c r="P15" s="329">
        <f t="shared" si="10"/>
        <v>0</v>
      </c>
      <c r="Q15" s="330">
        <f t="shared" si="11"/>
        <v>0</v>
      </c>
      <c r="R15" s="331">
        <f t="shared" si="12"/>
        <v>0</v>
      </c>
      <c r="S15" s="332">
        <f t="shared" si="13"/>
        <v>8.8260744999896108</v>
      </c>
      <c r="T15" s="336">
        <f t="shared" si="14"/>
        <v>14.907903733029784</v>
      </c>
      <c r="U15" s="337">
        <f t="shared" si="6"/>
        <v>0</v>
      </c>
      <c r="V15" s="330">
        <f t="shared" si="6"/>
        <v>0</v>
      </c>
      <c r="W15" s="331">
        <f t="shared" si="15"/>
        <v>0</v>
      </c>
      <c r="X15" s="332">
        <f t="shared" si="16"/>
        <v>14.907903733029784</v>
      </c>
      <c r="Y15" s="114">
        <f t="shared" si="17"/>
        <v>14.907903733029784</v>
      </c>
      <c r="Z15" s="415">
        <f t="shared" si="18"/>
        <v>6.6344843721112697E-5</v>
      </c>
      <c r="AA15" s="901">
        <v>5.1831963337192088E-2</v>
      </c>
      <c r="AB15" s="896">
        <f t="shared" si="19"/>
        <v>7008.6144185284402</v>
      </c>
      <c r="AC15" s="897">
        <f t="shared" si="20"/>
        <v>7008.6144185284402</v>
      </c>
      <c r="AD15" s="912">
        <f t="shared" si="21"/>
        <v>4.4685681031706706E-5</v>
      </c>
      <c r="AE15" s="897"/>
    </row>
    <row r="16" spans="1:31" s="190" customFormat="1" ht="27.6" outlineLevel="1">
      <c r="A16" s="713"/>
      <c r="B16" s="398" t="s">
        <v>224</v>
      </c>
      <c r="C16" s="405" t="s">
        <v>1519</v>
      </c>
      <c r="D16" s="373" t="s">
        <v>208</v>
      </c>
      <c r="E16" s="355">
        <v>1</v>
      </c>
      <c r="F16" s="320"/>
      <c r="G16" s="315"/>
      <c r="H16" s="87"/>
      <c r="I16" s="96">
        <v>9.1938276041558442</v>
      </c>
      <c r="J16" s="95" t="s">
        <v>204</v>
      </c>
      <c r="K16" s="87">
        <f t="shared" si="2"/>
        <v>0</v>
      </c>
      <c r="L16" s="87">
        <f t="shared" si="3"/>
        <v>0</v>
      </c>
      <c r="M16" s="87">
        <f t="shared" si="4"/>
        <v>0</v>
      </c>
      <c r="N16" s="96">
        <f t="shared" si="5"/>
        <v>6.3352387844168465</v>
      </c>
      <c r="O16" s="111">
        <f t="shared" si="9"/>
        <v>9.1938276041558442</v>
      </c>
      <c r="P16" s="329">
        <f t="shared" si="10"/>
        <v>0</v>
      </c>
      <c r="Q16" s="330">
        <f t="shared" si="11"/>
        <v>0</v>
      </c>
      <c r="R16" s="331">
        <f t="shared" si="12"/>
        <v>0</v>
      </c>
      <c r="S16" s="332">
        <f t="shared" si="13"/>
        <v>9.1938276041558442</v>
      </c>
      <c r="T16" s="336">
        <f t="shared" si="14"/>
        <v>15.529066388572691</v>
      </c>
      <c r="U16" s="337">
        <f t="shared" si="6"/>
        <v>0</v>
      </c>
      <c r="V16" s="330">
        <f t="shared" si="6"/>
        <v>0</v>
      </c>
      <c r="W16" s="331">
        <f t="shared" si="15"/>
        <v>0</v>
      </c>
      <c r="X16" s="332">
        <f t="shared" si="16"/>
        <v>15.529066388572691</v>
      </c>
      <c r="Y16" s="114">
        <f t="shared" si="17"/>
        <v>15.529066388572691</v>
      </c>
      <c r="Z16" s="415">
        <f t="shared" si="18"/>
        <v>6.9109212209492402E-5</v>
      </c>
      <c r="AA16" s="901">
        <v>5.1831963337192088E-2</v>
      </c>
      <c r="AB16" s="896">
        <f t="shared" si="19"/>
        <v>7008.6144185284402</v>
      </c>
      <c r="AC16" s="897">
        <f t="shared" si="20"/>
        <v>7008.6144185284402</v>
      </c>
      <c r="AD16" s="912">
        <f t="shared" si="21"/>
        <v>4.6547584408027816E-5</v>
      </c>
      <c r="AE16" s="897"/>
    </row>
    <row r="17" spans="1:31" s="190" customFormat="1" ht="27.6" outlineLevel="1">
      <c r="A17" s="713"/>
      <c r="B17" s="398" t="s">
        <v>226</v>
      </c>
      <c r="C17" s="405" t="s">
        <v>1449</v>
      </c>
      <c r="D17" s="373" t="s">
        <v>208</v>
      </c>
      <c r="E17" s="355">
        <v>50</v>
      </c>
      <c r="F17" s="320"/>
      <c r="G17" s="315"/>
      <c r="H17" s="87"/>
      <c r="I17" s="96">
        <f>CPU!J239</f>
        <v>9.6534374442084037</v>
      </c>
      <c r="J17" s="95" t="s">
        <v>204</v>
      </c>
      <c r="K17" s="87">
        <f t="shared" si="2"/>
        <v>0</v>
      </c>
      <c r="L17" s="87">
        <f t="shared" si="3"/>
        <v>0</v>
      </c>
      <c r="M17" s="87">
        <f t="shared" si="4"/>
        <v>0</v>
      </c>
      <c r="N17" s="96">
        <f t="shared" si="5"/>
        <v>6.6519445363372363</v>
      </c>
      <c r="O17" s="111">
        <f t="shared" ref="O17:O22" si="22">SUM(F17:I17)</f>
        <v>9.6534374442084037</v>
      </c>
      <c r="P17" s="329">
        <f t="shared" ref="P17:P22" si="23">F17*E17</f>
        <v>0</v>
      </c>
      <c r="Q17" s="330">
        <f t="shared" ref="Q17:Q22" si="24">G17*E17</f>
        <v>0</v>
      </c>
      <c r="R17" s="331">
        <f t="shared" ref="R17:R22" si="25">H17*E17</f>
        <v>0</v>
      </c>
      <c r="S17" s="332">
        <f t="shared" ref="S17:S22" si="26">I17*E17</f>
        <v>482.67187221042019</v>
      </c>
      <c r="T17" s="336">
        <f t="shared" ref="T17:T22" si="27">SUM(K17,L17,M17,N17,O17)</f>
        <v>16.30538198054564</v>
      </c>
      <c r="U17" s="337">
        <f t="shared" ref="U17:U22" si="28">(K17+F17)*$E17</f>
        <v>0</v>
      </c>
      <c r="V17" s="330">
        <f t="shared" ref="V17:V22" si="29">(L17+G17)*$E17</f>
        <v>0</v>
      </c>
      <c r="W17" s="331">
        <f t="shared" ref="W17:W22" si="30">(M17+H17)*E17</f>
        <v>0</v>
      </c>
      <c r="X17" s="332">
        <f t="shared" ref="X17:X22" si="31">(N17+I17)*E17</f>
        <v>815.26909902728198</v>
      </c>
      <c r="Y17" s="114">
        <f t="shared" ref="Y17:Y22" si="32">SUM(U17:X17)</f>
        <v>815.26909902728198</v>
      </c>
      <c r="Z17" s="415">
        <f>IF($Y$10&gt;0,Y17/$Y$10,"-")</f>
        <v>3.6282029944812843E-3</v>
      </c>
      <c r="AA17" s="901">
        <v>5.1831963337192088E-2</v>
      </c>
      <c r="AB17" s="896">
        <f t="shared" si="7"/>
        <v>7008.6144185284402</v>
      </c>
      <c r="AC17" s="897">
        <f t="shared" si="8"/>
        <v>140.17228837056879</v>
      </c>
      <c r="AD17" s="912">
        <f>Y17/SUM($Y$11:$Y$24)</f>
        <v>2.4437275398702927E-3</v>
      </c>
      <c r="AE17" s="897"/>
    </row>
    <row r="18" spans="1:31" s="190" customFormat="1" ht="27.6" outlineLevel="1">
      <c r="A18" s="713"/>
      <c r="B18" s="398" t="s">
        <v>228</v>
      </c>
      <c r="C18" s="405" t="s">
        <v>1520</v>
      </c>
      <c r="D18" s="373" t="s">
        <v>208</v>
      </c>
      <c r="E18" s="355">
        <v>1</v>
      </c>
      <c r="F18" s="320"/>
      <c r="G18" s="315"/>
      <c r="H18" s="87"/>
      <c r="I18" s="96">
        <v>10.297086916654546</v>
      </c>
      <c r="J18" s="95" t="s">
        <v>204</v>
      </c>
      <c r="K18" s="87">
        <f t="shared" si="2"/>
        <v>0</v>
      </c>
      <c r="L18" s="87">
        <f t="shared" si="3"/>
        <v>0</v>
      </c>
      <c r="M18" s="87">
        <f t="shared" si="4"/>
        <v>0</v>
      </c>
      <c r="N18" s="96">
        <f t="shared" si="5"/>
        <v>7.0954674385468692</v>
      </c>
      <c r="O18" s="111">
        <f t="shared" ref="O18:O21" si="33">SUM(F18:I18)</f>
        <v>10.297086916654546</v>
      </c>
      <c r="P18" s="329">
        <f t="shared" ref="P18:P21" si="34">F18*E18</f>
        <v>0</v>
      </c>
      <c r="Q18" s="330">
        <f t="shared" ref="Q18:Q21" si="35">G18*E18</f>
        <v>0</v>
      </c>
      <c r="R18" s="331">
        <f t="shared" ref="R18:R21" si="36">H18*E18</f>
        <v>0</v>
      </c>
      <c r="S18" s="332">
        <f t="shared" ref="S18:S21" si="37">I18*E18</f>
        <v>10.297086916654546</v>
      </c>
      <c r="T18" s="336">
        <f t="shared" ref="T18:T21" si="38">SUM(K18,L18,M18,N18,O18)</f>
        <v>17.392554355201415</v>
      </c>
      <c r="U18" s="337">
        <f t="shared" ref="U18:U21" si="39">(K18+F18)*$E18</f>
        <v>0</v>
      </c>
      <c r="V18" s="330">
        <f t="shared" ref="V18:V21" si="40">(L18+G18)*$E18</f>
        <v>0</v>
      </c>
      <c r="W18" s="331">
        <f t="shared" ref="W18:W21" si="41">(M18+H18)*E18</f>
        <v>0</v>
      </c>
      <c r="X18" s="332">
        <f t="shared" ref="X18:X21" si="42">(N18+I18)*E18</f>
        <v>17.392554355201415</v>
      </c>
      <c r="Y18" s="114">
        <f t="shared" ref="Y18:Y21" si="43">SUM(U18:X18)</f>
        <v>17.392554355201415</v>
      </c>
      <c r="Z18" s="415">
        <f t="shared" ref="Z18:Z20" si="44">IF($Y$10&gt;0,Y18/$Y$10,"-")</f>
        <v>7.7402317674631489E-5</v>
      </c>
      <c r="AA18" s="901">
        <v>5.1831963337192088E-2</v>
      </c>
      <c r="AB18" s="896">
        <f t="shared" ref="AB18:AB21" si="45">$AB$8*AA18</f>
        <v>7008.6144185284402</v>
      </c>
      <c r="AC18" s="897">
        <f t="shared" ref="AC18:AC21" si="46">AB18/E18</f>
        <v>7008.6144185284402</v>
      </c>
      <c r="AD18" s="912">
        <f t="shared" ref="AD18:AD20" si="47">Y18/SUM($Y$11:$Y$24)</f>
        <v>5.2133294536991161E-5</v>
      </c>
      <c r="AE18" s="897"/>
    </row>
    <row r="19" spans="1:31" s="190" customFormat="1" ht="27.6" outlineLevel="1">
      <c r="A19" s="713"/>
      <c r="B19" s="398" t="s">
        <v>229</v>
      </c>
      <c r="C19" s="405" t="s">
        <v>1521</v>
      </c>
      <c r="D19" s="373" t="s">
        <v>208</v>
      </c>
      <c r="E19" s="355">
        <v>1</v>
      </c>
      <c r="F19" s="320"/>
      <c r="G19" s="315"/>
      <c r="H19" s="87"/>
      <c r="I19" s="96">
        <v>10.297086916654546</v>
      </c>
      <c r="J19" s="95" t="s">
        <v>204</v>
      </c>
      <c r="K19" s="87">
        <f t="shared" si="2"/>
        <v>0</v>
      </c>
      <c r="L19" s="87">
        <f t="shared" si="3"/>
        <v>0</v>
      </c>
      <c r="M19" s="87">
        <f t="shared" si="4"/>
        <v>0</v>
      </c>
      <c r="N19" s="96">
        <f t="shared" si="5"/>
        <v>7.0954674385468692</v>
      </c>
      <c r="O19" s="111">
        <f t="shared" si="33"/>
        <v>10.297086916654546</v>
      </c>
      <c r="P19" s="329">
        <f t="shared" si="34"/>
        <v>0</v>
      </c>
      <c r="Q19" s="330">
        <f t="shared" si="35"/>
        <v>0</v>
      </c>
      <c r="R19" s="331">
        <f t="shared" si="36"/>
        <v>0</v>
      </c>
      <c r="S19" s="332">
        <f t="shared" si="37"/>
        <v>10.297086916654546</v>
      </c>
      <c r="T19" s="336">
        <f t="shared" si="38"/>
        <v>17.392554355201415</v>
      </c>
      <c r="U19" s="337">
        <f t="shared" si="39"/>
        <v>0</v>
      </c>
      <c r="V19" s="330">
        <f t="shared" si="40"/>
        <v>0</v>
      </c>
      <c r="W19" s="331">
        <f t="shared" si="41"/>
        <v>0</v>
      </c>
      <c r="X19" s="332">
        <f t="shared" si="42"/>
        <v>17.392554355201415</v>
      </c>
      <c r="Y19" s="114">
        <f t="shared" si="43"/>
        <v>17.392554355201415</v>
      </c>
      <c r="Z19" s="415">
        <f t="shared" si="44"/>
        <v>7.7402317674631489E-5</v>
      </c>
      <c r="AA19" s="901">
        <v>5.1831963337192088E-2</v>
      </c>
      <c r="AB19" s="896">
        <f t="shared" si="45"/>
        <v>7008.6144185284402</v>
      </c>
      <c r="AC19" s="897">
        <f t="shared" si="46"/>
        <v>7008.6144185284402</v>
      </c>
      <c r="AD19" s="912">
        <f t="shared" si="47"/>
        <v>5.2133294536991161E-5</v>
      </c>
      <c r="AE19" s="897"/>
    </row>
    <row r="20" spans="1:31" s="190" customFormat="1" ht="27.6" outlineLevel="1">
      <c r="A20" s="713"/>
      <c r="B20" s="398" t="s">
        <v>1524</v>
      </c>
      <c r="C20" s="405" t="s">
        <v>1522</v>
      </c>
      <c r="D20" s="373" t="s">
        <v>208</v>
      </c>
      <c r="E20" s="355">
        <v>1</v>
      </c>
      <c r="F20" s="320"/>
      <c r="G20" s="315"/>
      <c r="H20" s="87"/>
      <c r="I20" s="96">
        <v>12.586873430337663</v>
      </c>
      <c r="J20" s="95" t="s">
        <v>204</v>
      </c>
      <c r="K20" s="87">
        <f t="shared" si="2"/>
        <v>0</v>
      </c>
      <c r="L20" s="87">
        <f t="shared" si="3"/>
        <v>0</v>
      </c>
      <c r="M20" s="87">
        <f t="shared" si="4"/>
        <v>0</v>
      </c>
      <c r="N20" s="96">
        <f t="shared" si="5"/>
        <v>8.6733025855712373</v>
      </c>
      <c r="O20" s="111">
        <f t="shared" si="33"/>
        <v>12.586873430337663</v>
      </c>
      <c r="P20" s="329">
        <f t="shared" si="34"/>
        <v>0</v>
      </c>
      <c r="Q20" s="330">
        <f t="shared" si="35"/>
        <v>0</v>
      </c>
      <c r="R20" s="331">
        <f t="shared" si="36"/>
        <v>0</v>
      </c>
      <c r="S20" s="332">
        <f t="shared" si="37"/>
        <v>12.586873430337663</v>
      </c>
      <c r="T20" s="336">
        <f t="shared" si="38"/>
        <v>21.2601760159089</v>
      </c>
      <c r="U20" s="337">
        <f t="shared" si="39"/>
        <v>0</v>
      </c>
      <c r="V20" s="330">
        <f t="shared" si="40"/>
        <v>0</v>
      </c>
      <c r="W20" s="331">
        <f t="shared" si="41"/>
        <v>0</v>
      </c>
      <c r="X20" s="332">
        <f t="shared" si="42"/>
        <v>21.2601760159089</v>
      </c>
      <c r="Y20" s="114">
        <f t="shared" si="43"/>
        <v>21.2601760159089</v>
      </c>
      <c r="Z20" s="415">
        <f t="shared" si="44"/>
        <v>9.4614446170170104E-5</v>
      </c>
      <c r="AA20" s="901">
        <v>5.1831963337192088E-2</v>
      </c>
      <c r="AB20" s="896">
        <f t="shared" si="45"/>
        <v>7008.6144185284402</v>
      </c>
      <c r="AC20" s="897">
        <f t="shared" si="46"/>
        <v>7008.6144185284402</v>
      </c>
      <c r="AD20" s="912">
        <f t="shared" si="47"/>
        <v>6.3726293189027004E-5</v>
      </c>
      <c r="AE20" s="897"/>
    </row>
    <row r="21" spans="1:31" s="190" customFormat="1" ht="27.6" outlineLevel="1">
      <c r="A21" s="713"/>
      <c r="B21" s="398" t="s">
        <v>1525</v>
      </c>
      <c r="C21" s="405" t="s">
        <v>1450</v>
      </c>
      <c r="D21" s="373" t="s">
        <v>208</v>
      </c>
      <c r="E21" s="355">
        <v>50</v>
      </c>
      <c r="F21" s="320"/>
      <c r="G21" s="315"/>
      <c r="H21" s="87"/>
      <c r="I21" s="96">
        <f>CPU!J300</f>
        <v>12.586867205174446</v>
      </c>
      <c r="J21" s="95" t="s">
        <v>204</v>
      </c>
      <c r="K21" s="87">
        <f t="shared" si="2"/>
        <v>0</v>
      </c>
      <c r="L21" s="87">
        <f t="shared" si="3"/>
        <v>0</v>
      </c>
      <c r="M21" s="87">
        <f t="shared" si="4"/>
        <v>0</v>
      </c>
      <c r="N21" s="96">
        <f t="shared" si="5"/>
        <v>8.6732982959655196</v>
      </c>
      <c r="O21" s="111">
        <f t="shared" si="33"/>
        <v>12.586867205174446</v>
      </c>
      <c r="P21" s="329">
        <f t="shared" si="34"/>
        <v>0</v>
      </c>
      <c r="Q21" s="330">
        <f t="shared" si="35"/>
        <v>0</v>
      </c>
      <c r="R21" s="331">
        <f t="shared" si="36"/>
        <v>0</v>
      </c>
      <c r="S21" s="332">
        <f t="shared" si="37"/>
        <v>629.34336025872233</v>
      </c>
      <c r="T21" s="336">
        <f t="shared" si="38"/>
        <v>21.260165501139966</v>
      </c>
      <c r="U21" s="337">
        <f t="shared" si="39"/>
        <v>0</v>
      </c>
      <c r="V21" s="330">
        <f t="shared" si="40"/>
        <v>0</v>
      </c>
      <c r="W21" s="331">
        <f t="shared" si="41"/>
        <v>0</v>
      </c>
      <c r="X21" s="332">
        <f t="shared" si="42"/>
        <v>1063.0082750569982</v>
      </c>
      <c r="Y21" s="114">
        <f t="shared" si="43"/>
        <v>1063.0082750569982</v>
      </c>
      <c r="Z21" s="415">
        <f>IF($Y$10&gt;0,Y21/$Y$10,"-")</f>
        <v>4.7307199688076517E-3</v>
      </c>
      <c r="AA21" s="901">
        <v>2.2915183791179659E-2</v>
      </c>
      <c r="AB21" s="896">
        <f t="shared" si="45"/>
        <v>3098.5453218757311</v>
      </c>
      <c r="AC21" s="897">
        <f t="shared" si="46"/>
        <v>61.970906437514621</v>
      </c>
      <c r="AD21" s="912">
        <f>Y21/SUM($Y$11:$Y$24)</f>
        <v>3.1863130835771722E-3</v>
      </c>
      <c r="AE21" s="897"/>
    </row>
    <row r="22" spans="1:31" s="190" customFormat="1" ht="27.6" outlineLevel="1">
      <c r="A22" s="713"/>
      <c r="B22" s="398" t="s">
        <v>1526</v>
      </c>
      <c r="C22" s="405" t="s">
        <v>1523</v>
      </c>
      <c r="D22" s="373" t="s">
        <v>208</v>
      </c>
      <c r="E22" s="355">
        <v>1</v>
      </c>
      <c r="F22" s="320"/>
      <c r="G22" s="315"/>
      <c r="H22" s="87"/>
      <c r="I22" s="96">
        <v>16.498012691636365</v>
      </c>
      <c r="J22" s="95" t="s">
        <v>204</v>
      </c>
      <c r="K22" s="87">
        <f t="shared" si="2"/>
        <v>0</v>
      </c>
      <c r="L22" s="87">
        <f t="shared" si="3"/>
        <v>0</v>
      </c>
      <c r="M22" s="87">
        <f t="shared" si="4"/>
        <v>0</v>
      </c>
      <c r="N22" s="96">
        <f t="shared" si="5"/>
        <v>11.368371734815966</v>
      </c>
      <c r="O22" s="111">
        <f t="shared" si="22"/>
        <v>16.498012691636365</v>
      </c>
      <c r="P22" s="329">
        <f t="shared" si="23"/>
        <v>0</v>
      </c>
      <c r="Q22" s="330">
        <f t="shared" si="24"/>
        <v>0</v>
      </c>
      <c r="R22" s="331">
        <f t="shared" si="25"/>
        <v>0</v>
      </c>
      <c r="S22" s="332">
        <f t="shared" si="26"/>
        <v>16.498012691636365</v>
      </c>
      <c r="T22" s="336">
        <f t="shared" si="27"/>
        <v>27.866384426452331</v>
      </c>
      <c r="U22" s="337">
        <f t="shared" si="28"/>
        <v>0</v>
      </c>
      <c r="V22" s="330">
        <f t="shared" si="29"/>
        <v>0</v>
      </c>
      <c r="W22" s="331">
        <f t="shared" si="30"/>
        <v>0</v>
      </c>
      <c r="X22" s="332">
        <f t="shared" si="31"/>
        <v>27.866384426452331</v>
      </c>
      <c r="Y22" s="114">
        <f t="shared" si="32"/>
        <v>27.866384426452331</v>
      </c>
      <c r="Z22" s="415">
        <f>IF($Y$10&gt;0,Y22/$Y$10,"-")</f>
        <v>1.2401414397044088E-4</v>
      </c>
      <c r="AA22" s="901">
        <v>2.2915183791179659E-2</v>
      </c>
      <c r="AB22" s="896">
        <f t="shared" si="7"/>
        <v>3098.5453218757311</v>
      </c>
      <c r="AC22" s="897">
        <f t="shared" si="8"/>
        <v>3098.5453218757311</v>
      </c>
      <c r="AD22" s="912">
        <f>Y22/SUM($Y$11:$Y$24)</f>
        <v>8.3528065936490728E-5</v>
      </c>
      <c r="AE22" s="897"/>
    </row>
    <row r="23" spans="1:31" s="191" customFormat="1" ht="13.8" outlineLevel="1">
      <c r="A23" s="18"/>
      <c r="B23" s="351">
        <v>3</v>
      </c>
      <c r="C23" s="352" t="s">
        <v>1452</v>
      </c>
      <c r="D23" s="353"/>
      <c r="E23" s="135"/>
      <c r="F23" s="101"/>
      <c r="G23" s="314"/>
      <c r="H23" s="99"/>
      <c r="I23" s="104"/>
      <c r="J23" s="103"/>
      <c r="K23" s="314"/>
      <c r="L23" s="86"/>
      <c r="M23" s="86"/>
      <c r="N23" s="97"/>
      <c r="O23" s="110"/>
      <c r="P23" s="327">
        <f t="shared" ref="P23" si="48">SUM(P24:P33)</f>
        <v>0</v>
      </c>
      <c r="Q23" s="327">
        <f t="shared" ref="Q23" si="49">SUM(Q24:Q33)</f>
        <v>0</v>
      </c>
      <c r="R23" s="327">
        <f t="shared" ref="R23" si="50">SUM(R24:R33)</f>
        <v>0</v>
      </c>
      <c r="S23" s="327">
        <f t="shared" ref="S23" si="51">SUM(S24:S33)</f>
        <v>64473.746660479927</v>
      </c>
      <c r="T23" s="327"/>
      <c r="U23" s="327">
        <f t="shared" ref="U23:Z23" si="52">SUM(U24:U33)</f>
        <v>0</v>
      </c>
      <c r="V23" s="327">
        <f t="shared" si="52"/>
        <v>0</v>
      </c>
      <c r="W23" s="327">
        <f t="shared" si="52"/>
        <v>0</v>
      </c>
      <c r="X23" s="327">
        <f t="shared" si="52"/>
        <v>108901.00786293118</v>
      </c>
      <c r="Y23" s="327">
        <f t="shared" si="52"/>
        <v>108901.00786293118</v>
      </c>
      <c r="Z23" s="414">
        <f t="shared" si="52"/>
        <v>1</v>
      </c>
      <c r="AA23" s="901">
        <v>0</v>
      </c>
      <c r="AB23" s="896"/>
      <c r="AC23" s="897"/>
      <c r="AD23" s="912">
        <f>Y23/SUM($Y$11:$Y$24)</f>
        <v>0.32642521635101335</v>
      </c>
    </row>
    <row r="24" spans="1:31" s="190" customFormat="1" ht="43.95" customHeight="1" outlineLevel="1">
      <c r="A24" s="712"/>
      <c r="B24" s="398" t="s">
        <v>125</v>
      </c>
      <c r="C24" s="354" t="s">
        <v>1527</v>
      </c>
      <c r="D24" s="373" t="s">
        <v>208</v>
      </c>
      <c r="E24" s="356">
        <v>1</v>
      </c>
      <c r="F24" s="320"/>
      <c r="G24" s="315"/>
      <c r="H24" s="87"/>
      <c r="I24" s="96">
        <v>7.5401483845591057</v>
      </c>
      <c r="J24" s="95" t="s">
        <v>253</v>
      </c>
      <c r="K24" s="87">
        <f t="shared" ref="K24:K33" si="53">F24*(VLOOKUP(J24,$D$75:$I$91,3,FALSE))</f>
        <v>0</v>
      </c>
      <c r="L24" s="87">
        <f t="shared" ref="L24:L33" si="54">G24*(VLOOKUP(J24,$D$75:$I$91,5,FALSE))</f>
        <v>0</v>
      </c>
      <c r="M24" s="87">
        <f t="shared" ref="M24:M33" si="55">H24*(VLOOKUP(J24,$D$75:$I$89,4,FALSE))</f>
        <v>0</v>
      </c>
      <c r="N24" s="96">
        <f t="shared" ref="N24:N33" si="56">I24/(1-(VLOOKUP(J24,$D$75:$I$91,2,FALSE)))-I24</f>
        <v>5.1957294113851171</v>
      </c>
      <c r="O24" s="111">
        <f t="shared" ref="O24" si="57">SUM(F24:I24)</f>
        <v>7.5401483845591057</v>
      </c>
      <c r="P24" s="329">
        <f t="shared" ref="P24" si="58">F24*E24</f>
        <v>0</v>
      </c>
      <c r="Q24" s="330">
        <f t="shared" ref="Q24" si="59">G24*E24</f>
        <v>0</v>
      </c>
      <c r="R24" s="331">
        <f t="shared" ref="R24" si="60">H24*E24</f>
        <v>0</v>
      </c>
      <c r="S24" s="332">
        <f t="shared" ref="S24" si="61">I24*E24</f>
        <v>7.5401483845591057</v>
      </c>
      <c r="T24" s="336">
        <f t="shared" ref="T24" si="62">SUM(K24,L24,M24,N24,O24)</f>
        <v>12.735877795944223</v>
      </c>
      <c r="U24" s="337">
        <f t="shared" ref="U24" si="63">(K24+F24)*$E24</f>
        <v>0</v>
      </c>
      <c r="V24" s="330">
        <f t="shared" ref="V24" si="64">(L24+G24)*$E24</f>
        <v>0</v>
      </c>
      <c r="W24" s="331">
        <f t="shared" ref="W24" si="65">(M24+H24)*E24</f>
        <v>0</v>
      </c>
      <c r="X24" s="332">
        <f t="shared" ref="X24" si="66">(N24+I24)*E24</f>
        <v>12.735877795944223</v>
      </c>
      <c r="Y24" s="114">
        <f t="shared" ref="Y24" si="67">SUM(U24:X24)</f>
        <v>12.735877795944223</v>
      </c>
      <c r="Z24" s="415">
        <f>IF($Y$23&gt;0,Y24/$Y$23,"-")</f>
        <v>1.1694912697203228E-4</v>
      </c>
      <c r="AA24" s="901">
        <v>0.50818844447197087</v>
      </c>
      <c r="AB24" s="896">
        <f t="shared" ref="AB24" si="68">$AB$8*AA24</f>
        <v>68716.225084610953</v>
      </c>
      <c r="AC24" s="897">
        <f t="shared" si="8"/>
        <v>68716.225084610953</v>
      </c>
      <c r="AD24" s="912">
        <f>Y24/SUM($Y$11:$Y$24)</f>
        <v>3.8175144073907765E-5</v>
      </c>
    </row>
    <row r="25" spans="1:31" s="190" customFormat="1" ht="43.95" customHeight="1" outlineLevel="1">
      <c r="A25" s="712"/>
      <c r="B25" s="398" t="s">
        <v>126</v>
      </c>
      <c r="C25" s="354" t="s">
        <v>1528</v>
      </c>
      <c r="D25" s="373" t="s">
        <v>208</v>
      </c>
      <c r="E25" s="356">
        <v>1</v>
      </c>
      <c r="F25" s="320"/>
      <c r="G25" s="315"/>
      <c r="H25" s="87"/>
      <c r="I25" s="96">
        <v>8.7034069061977917</v>
      </c>
      <c r="J25" s="95" t="s">
        <v>253</v>
      </c>
      <c r="K25" s="87">
        <f t="shared" si="53"/>
        <v>0</v>
      </c>
      <c r="L25" s="87">
        <f t="shared" si="54"/>
        <v>0</v>
      </c>
      <c r="M25" s="87">
        <f t="shared" si="55"/>
        <v>0</v>
      </c>
      <c r="N25" s="96">
        <f t="shared" si="56"/>
        <v>5.9973020337886069</v>
      </c>
      <c r="O25" s="111">
        <f t="shared" ref="O25:O27" si="69">SUM(F25:I25)</f>
        <v>8.7034069061977917</v>
      </c>
      <c r="P25" s="329">
        <f t="shared" ref="P25:P27" si="70">F25*E25</f>
        <v>0</v>
      </c>
      <c r="Q25" s="330">
        <f t="shared" ref="Q25:Q27" si="71">G25*E25</f>
        <v>0</v>
      </c>
      <c r="R25" s="331">
        <f t="shared" ref="R25:R27" si="72">H25*E25</f>
        <v>0</v>
      </c>
      <c r="S25" s="332">
        <f t="shared" ref="S25:S27" si="73">I25*E25</f>
        <v>8.7034069061977917</v>
      </c>
      <c r="T25" s="336">
        <f t="shared" ref="T25:T27" si="74">SUM(K25,L25,M25,N25,O25)</f>
        <v>14.700708939986399</v>
      </c>
      <c r="U25" s="337">
        <f t="shared" ref="U25:U27" si="75">(K25+F25)*$E25</f>
        <v>0</v>
      </c>
      <c r="V25" s="330">
        <f t="shared" ref="V25:V27" si="76">(L25+G25)*$E25</f>
        <v>0</v>
      </c>
      <c r="W25" s="331">
        <f t="shared" ref="W25:W27" si="77">(M25+H25)*E25</f>
        <v>0</v>
      </c>
      <c r="X25" s="332">
        <f t="shared" ref="X25:X27" si="78">(N25+I25)*E25</f>
        <v>14.700708939986399</v>
      </c>
      <c r="Y25" s="114">
        <f t="shared" ref="Y25:Y27" si="79">SUM(U25:X25)</f>
        <v>14.700708939986399</v>
      </c>
      <c r="Z25" s="415">
        <f t="shared" ref="Z25:Z32" si="80">IF($Y$23&gt;0,Y25/$Y$23,"-")</f>
        <v>1.3499148656630913E-4</v>
      </c>
      <c r="AA25" s="901">
        <v>0.50818844447197087</v>
      </c>
      <c r="AB25" s="896">
        <f t="shared" ref="AB25:AB27" si="81">$AB$8*AA25</f>
        <v>68716.225084610953</v>
      </c>
      <c r="AC25" s="897">
        <f t="shared" ref="AC25:AC27" si="82">AB25/E25</f>
        <v>68716.225084610953</v>
      </c>
      <c r="AD25" s="912">
        <f t="shared" ref="AD25:AD27" si="83">Y25/SUM($Y$11:$Y$24)</f>
        <v>4.4064625207952369E-5</v>
      </c>
    </row>
    <row r="26" spans="1:31" s="190" customFormat="1" ht="43.95" customHeight="1" outlineLevel="1">
      <c r="A26" s="712"/>
      <c r="B26" s="398" t="s">
        <v>127</v>
      </c>
      <c r="C26" s="354" t="s">
        <v>1529</v>
      </c>
      <c r="D26" s="373" t="s">
        <v>208</v>
      </c>
      <c r="E26" s="356">
        <v>1</v>
      </c>
      <c r="F26" s="320"/>
      <c r="G26" s="315"/>
      <c r="H26" s="87"/>
      <c r="I26" s="96">
        <v>9.1279633406464651</v>
      </c>
      <c r="J26" s="95" t="s">
        <v>253</v>
      </c>
      <c r="K26" s="87">
        <f t="shared" si="53"/>
        <v>0</v>
      </c>
      <c r="L26" s="87">
        <f t="shared" si="54"/>
        <v>0</v>
      </c>
      <c r="M26" s="87">
        <f t="shared" si="55"/>
        <v>0</v>
      </c>
      <c r="N26" s="96">
        <f t="shared" si="56"/>
        <v>6.2898533525100042</v>
      </c>
      <c r="O26" s="111">
        <f t="shared" si="69"/>
        <v>9.1279633406464651</v>
      </c>
      <c r="P26" s="329">
        <f t="shared" si="70"/>
        <v>0</v>
      </c>
      <c r="Q26" s="330">
        <f t="shared" si="71"/>
        <v>0</v>
      </c>
      <c r="R26" s="331">
        <f t="shared" si="72"/>
        <v>0</v>
      </c>
      <c r="S26" s="332">
        <f t="shared" si="73"/>
        <v>9.1279633406464651</v>
      </c>
      <c r="T26" s="336">
        <f t="shared" si="74"/>
        <v>15.417816693156469</v>
      </c>
      <c r="U26" s="337">
        <f t="shared" si="75"/>
        <v>0</v>
      </c>
      <c r="V26" s="330">
        <f t="shared" si="76"/>
        <v>0</v>
      </c>
      <c r="W26" s="331">
        <f t="shared" si="77"/>
        <v>0</v>
      </c>
      <c r="X26" s="332">
        <f t="shared" si="78"/>
        <v>15.417816693156469</v>
      </c>
      <c r="Y26" s="114">
        <f t="shared" si="79"/>
        <v>15.417816693156469</v>
      </c>
      <c r="Z26" s="415">
        <f t="shared" si="80"/>
        <v>1.4157643713051936E-4</v>
      </c>
      <c r="AA26" s="901">
        <v>0.50818844447197087</v>
      </c>
      <c r="AB26" s="896">
        <f t="shared" si="81"/>
        <v>68716.225084610953</v>
      </c>
      <c r="AC26" s="897">
        <f t="shared" si="82"/>
        <v>68716.225084610953</v>
      </c>
      <c r="AD26" s="912">
        <f t="shared" si="83"/>
        <v>4.6214119120535418E-5</v>
      </c>
    </row>
    <row r="27" spans="1:31" s="190" customFormat="1" ht="43.95" customHeight="1" outlineLevel="1">
      <c r="A27" s="712"/>
      <c r="B27" s="398" t="s">
        <v>231</v>
      </c>
      <c r="C27" s="354" t="s">
        <v>1453</v>
      </c>
      <c r="D27" s="373" t="s">
        <v>208</v>
      </c>
      <c r="E27" s="356">
        <v>3000</v>
      </c>
      <c r="F27" s="320"/>
      <c r="G27" s="315"/>
      <c r="H27" s="87"/>
      <c r="I27" s="96">
        <f>CPU!J362</f>
        <v>9.5958484686580103</v>
      </c>
      <c r="J27" s="95" t="s">
        <v>253</v>
      </c>
      <c r="K27" s="87">
        <f t="shared" si="53"/>
        <v>0</v>
      </c>
      <c r="L27" s="87">
        <f t="shared" si="54"/>
        <v>0</v>
      </c>
      <c r="M27" s="87">
        <f t="shared" si="55"/>
        <v>0</v>
      </c>
      <c r="N27" s="96">
        <f t="shared" si="56"/>
        <v>6.6122614003061901</v>
      </c>
      <c r="O27" s="111">
        <f t="shared" si="69"/>
        <v>9.5958484686580103</v>
      </c>
      <c r="P27" s="329">
        <f t="shared" si="70"/>
        <v>0</v>
      </c>
      <c r="Q27" s="330">
        <f t="shared" si="71"/>
        <v>0</v>
      </c>
      <c r="R27" s="331">
        <f t="shared" si="72"/>
        <v>0</v>
      </c>
      <c r="S27" s="332">
        <f t="shared" si="73"/>
        <v>28787.54540597403</v>
      </c>
      <c r="T27" s="336">
        <f t="shared" si="74"/>
        <v>16.2081098689642</v>
      </c>
      <c r="U27" s="337">
        <f t="shared" si="75"/>
        <v>0</v>
      </c>
      <c r="V27" s="330">
        <f t="shared" si="76"/>
        <v>0</v>
      </c>
      <c r="W27" s="331">
        <f t="shared" si="77"/>
        <v>0</v>
      </c>
      <c r="X27" s="332">
        <f t="shared" si="78"/>
        <v>48624.329606892599</v>
      </c>
      <c r="Y27" s="114">
        <f t="shared" si="79"/>
        <v>48624.329606892599</v>
      </c>
      <c r="Z27" s="415">
        <f t="shared" si="80"/>
        <v>0.44650027177061452</v>
      </c>
      <c r="AA27" s="901">
        <v>0.50818844447197087</v>
      </c>
      <c r="AB27" s="896">
        <f t="shared" si="81"/>
        <v>68716.225084610953</v>
      </c>
      <c r="AC27" s="897">
        <f t="shared" si="82"/>
        <v>22.905408361536985</v>
      </c>
      <c r="AD27" s="912">
        <f t="shared" si="83"/>
        <v>0.14574894781350908</v>
      </c>
    </row>
    <row r="28" spans="1:31" s="190" customFormat="1" ht="43.95" customHeight="1" outlineLevel="1">
      <c r="A28" s="712"/>
      <c r="B28" s="398" t="s">
        <v>232</v>
      </c>
      <c r="C28" s="354" t="s">
        <v>1530</v>
      </c>
      <c r="D28" s="373" t="s">
        <v>208</v>
      </c>
      <c r="E28" s="356">
        <v>1</v>
      </c>
      <c r="F28" s="320"/>
      <c r="G28" s="315"/>
      <c r="H28" s="87"/>
      <c r="I28" s="96">
        <v>10.695393747471334</v>
      </c>
      <c r="J28" s="95" t="s">
        <v>253</v>
      </c>
      <c r="K28" s="87">
        <f t="shared" si="53"/>
        <v>0</v>
      </c>
      <c r="L28" s="87">
        <f t="shared" si="54"/>
        <v>0</v>
      </c>
      <c r="M28" s="87">
        <f t="shared" si="55"/>
        <v>0</v>
      </c>
      <c r="N28" s="96">
        <f t="shared" si="56"/>
        <v>7.3699308058551747</v>
      </c>
      <c r="O28" s="111">
        <f t="shared" ref="O28:O32" si="84">SUM(F28:I28)</f>
        <v>10.695393747471334</v>
      </c>
      <c r="P28" s="329">
        <f t="shared" ref="P28:P32" si="85">F28*E28</f>
        <v>0</v>
      </c>
      <c r="Q28" s="330">
        <f t="shared" ref="Q28:Q32" si="86">G28*E28</f>
        <v>0</v>
      </c>
      <c r="R28" s="331">
        <f t="shared" ref="R28:R32" si="87">H28*E28</f>
        <v>0</v>
      </c>
      <c r="S28" s="332">
        <f t="shared" ref="S28:S32" si="88">I28*E28</f>
        <v>10.695393747471334</v>
      </c>
      <c r="T28" s="336">
        <f t="shared" ref="T28:T32" si="89">SUM(K28,L28,M28,N28,O28)</f>
        <v>18.065324553326509</v>
      </c>
      <c r="U28" s="337">
        <f t="shared" ref="U28:U32" si="90">(K28+F28)*$E28</f>
        <v>0</v>
      </c>
      <c r="V28" s="330">
        <f t="shared" ref="V28:V32" si="91">(L28+G28)*$E28</f>
        <v>0</v>
      </c>
      <c r="W28" s="331">
        <f t="shared" ref="W28:W32" si="92">(M28+H28)*E28</f>
        <v>0</v>
      </c>
      <c r="X28" s="332">
        <f t="shared" ref="X28:X32" si="93">(N28+I28)*E28</f>
        <v>18.065324553326509</v>
      </c>
      <c r="Y28" s="114">
        <f t="shared" ref="Y28:Y32" si="94">SUM(U28:X28)</f>
        <v>18.065324553326509</v>
      </c>
      <c r="Z28" s="415">
        <f t="shared" si="80"/>
        <v>1.6588757907607727E-4</v>
      </c>
      <c r="AA28" s="901">
        <v>0.50818844447197087</v>
      </c>
      <c r="AB28" s="896">
        <f t="shared" ref="AB28:AB32" si="95">$AB$8*AA28</f>
        <v>68716.225084610953</v>
      </c>
      <c r="AC28" s="897">
        <f t="shared" ref="AC28:AC32" si="96">AB28/E28</f>
        <v>68716.225084610953</v>
      </c>
      <c r="AD28" s="912">
        <f t="shared" ref="AD28:AD32" si="97">Y28/SUM($Y$11:$Y$24)</f>
        <v>5.4149888889854354E-5</v>
      </c>
    </row>
    <row r="29" spans="1:31" s="190" customFormat="1" ht="43.95" customHeight="1" outlineLevel="1">
      <c r="A29" s="712"/>
      <c r="B29" s="398" t="s">
        <v>233</v>
      </c>
      <c r="C29" s="354" t="s">
        <v>1531</v>
      </c>
      <c r="D29" s="373" t="s">
        <v>208</v>
      </c>
      <c r="E29" s="356">
        <v>1</v>
      </c>
      <c r="F29" s="320"/>
      <c r="G29" s="315"/>
      <c r="H29" s="87"/>
      <c r="I29" s="96">
        <v>11.24996971956244</v>
      </c>
      <c r="J29" s="95" t="s">
        <v>253</v>
      </c>
      <c r="K29" s="87">
        <f t="shared" si="53"/>
        <v>0</v>
      </c>
      <c r="L29" s="87">
        <f t="shared" si="54"/>
        <v>0</v>
      </c>
      <c r="M29" s="87">
        <f t="shared" si="55"/>
        <v>0</v>
      </c>
      <c r="N29" s="96">
        <f t="shared" si="56"/>
        <v>7.7520753661587776</v>
      </c>
      <c r="O29" s="111">
        <f t="shared" si="84"/>
        <v>11.24996971956244</v>
      </c>
      <c r="P29" s="329">
        <f t="shared" si="85"/>
        <v>0</v>
      </c>
      <c r="Q29" s="330">
        <f t="shared" si="86"/>
        <v>0</v>
      </c>
      <c r="R29" s="331">
        <f t="shared" si="87"/>
        <v>0</v>
      </c>
      <c r="S29" s="332">
        <f t="shared" si="88"/>
        <v>11.24996971956244</v>
      </c>
      <c r="T29" s="336">
        <f t="shared" si="89"/>
        <v>19.002045085721218</v>
      </c>
      <c r="U29" s="337">
        <f t="shared" si="90"/>
        <v>0</v>
      </c>
      <c r="V29" s="330">
        <f t="shared" si="91"/>
        <v>0</v>
      </c>
      <c r="W29" s="331">
        <f t="shared" si="92"/>
        <v>0</v>
      </c>
      <c r="X29" s="332">
        <f t="shared" si="93"/>
        <v>19.002045085721218</v>
      </c>
      <c r="Y29" s="114">
        <f t="shared" si="94"/>
        <v>19.002045085721218</v>
      </c>
      <c r="Z29" s="415">
        <f t="shared" si="80"/>
        <v>1.744891572503924E-4</v>
      </c>
      <c r="AA29" s="901">
        <v>0.50818844447197087</v>
      </c>
      <c r="AB29" s="896">
        <f t="shared" si="95"/>
        <v>68716.225084610953</v>
      </c>
      <c r="AC29" s="897">
        <f t="shared" si="96"/>
        <v>68716.225084610953</v>
      </c>
      <c r="AD29" s="912">
        <f t="shared" si="97"/>
        <v>5.6957660906365324E-5</v>
      </c>
    </row>
    <row r="30" spans="1:31" s="190" customFormat="1" ht="43.95" customHeight="1" outlineLevel="1">
      <c r="A30" s="712"/>
      <c r="B30" s="398" t="s">
        <v>1535</v>
      </c>
      <c r="C30" s="354" t="s">
        <v>1454</v>
      </c>
      <c r="D30" s="373" t="s">
        <v>208</v>
      </c>
      <c r="E30" s="356">
        <v>3000</v>
      </c>
      <c r="F30" s="320"/>
      <c r="G30" s="315"/>
      <c r="H30" s="87"/>
      <c r="I30" s="96">
        <f>CPU!J424</f>
        <v>11.865181739406452</v>
      </c>
      <c r="J30" s="95" t="s">
        <v>253</v>
      </c>
      <c r="K30" s="87">
        <f t="shared" si="53"/>
        <v>0</v>
      </c>
      <c r="L30" s="87">
        <f t="shared" si="54"/>
        <v>0</v>
      </c>
      <c r="M30" s="87">
        <f t="shared" si="55"/>
        <v>0</v>
      </c>
      <c r="N30" s="96">
        <f t="shared" si="56"/>
        <v>8.1760027244435278</v>
      </c>
      <c r="O30" s="111">
        <f t="shared" si="84"/>
        <v>11.865181739406452</v>
      </c>
      <c r="P30" s="329">
        <f t="shared" si="85"/>
        <v>0</v>
      </c>
      <c r="Q30" s="330">
        <f t="shared" si="86"/>
        <v>0</v>
      </c>
      <c r="R30" s="331">
        <f t="shared" si="87"/>
        <v>0</v>
      </c>
      <c r="S30" s="332">
        <f t="shared" si="88"/>
        <v>35595.545218219355</v>
      </c>
      <c r="T30" s="336">
        <f t="shared" si="89"/>
        <v>20.04118446384998</v>
      </c>
      <c r="U30" s="337">
        <f t="shared" si="90"/>
        <v>0</v>
      </c>
      <c r="V30" s="330">
        <f t="shared" si="91"/>
        <v>0</v>
      </c>
      <c r="W30" s="331">
        <f t="shared" si="92"/>
        <v>0</v>
      </c>
      <c r="X30" s="332">
        <f t="shared" si="93"/>
        <v>60123.55339154994</v>
      </c>
      <c r="Y30" s="114">
        <f t="shared" si="94"/>
        <v>60123.55339154994</v>
      </c>
      <c r="Z30" s="415">
        <f t="shared" si="80"/>
        <v>0.55209363596730676</v>
      </c>
      <c r="AA30" s="901">
        <v>0.50818844447197087</v>
      </c>
      <c r="AB30" s="896">
        <f t="shared" si="95"/>
        <v>68716.225084610953</v>
      </c>
      <c r="AC30" s="897">
        <f t="shared" si="96"/>
        <v>22.905408361536985</v>
      </c>
      <c r="AD30" s="912">
        <f t="shared" si="97"/>
        <v>0.18021728456664571</v>
      </c>
    </row>
    <row r="31" spans="1:31" s="190" customFormat="1" ht="43.95" customHeight="1" outlineLevel="1">
      <c r="A31" s="712"/>
      <c r="B31" s="398" t="s">
        <v>1536</v>
      </c>
      <c r="C31" s="354" t="s">
        <v>1532</v>
      </c>
      <c r="D31" s="373" t="s">
        <v>208</v>
      </c>
      <c r="E31" s="356">
        <v>1</v>
      </c>
      <c r="F31" s="320"/>
      <c r="G31" s="315"/>
      <c r="H31" s="87"/>
      <c r="I31" s="96">
        <v>14.446384729363791</v>
      </c>
      <c r="J31" s="95" t="s">
        <v>253</v>
      </c>
      <c r="K31" s="87">
        <f t="shared" si="53"/>
        <v>0</v>
      </c>
      <c r="L31" s="87">
        <f t="shared" si="54"/>
        <v>0</v>
      </c>
      <c r="M31" s="87">
        <f t="shared" si="55"/>
        <v>0</v>
      </c>
      <c r="N31" s="96">
        <f t="shared" si="56"/>
        <v>9.9546457441406471</v>
      </c>
      <c r="O31" s="111">
        <f t="shared" si="84"/>
        <v>14.446384729363791</v>
      </c>
      <c r="P31" s="329">
        <f t="shared" si="85"/>
        <v>0</v>
      </c>
      <c r="Q31" s="330">
        <f t="shared" si="86"/>
        <v>0</v>
      </c>
      <c r="R31" s="331">
        <f t="shared" si="87"/>
        <v>0</v>
      </c>
      <c r="S31" s="332">
        <f t="shared" si="88"/>
        <v>14.446384729363791</v>
      </c>
      <c r="T31" s="336">
        <f t="shared" si="89"/>
        <v>24.401030473504438</v>
      </c>
      <c r="U31" s="337">
        <f t="shared" si="90"/>
        <v>0</v>
      </c>
      <c r="V31" s="330">
        <f t="shared" si="91"/>
        <v>0</v>
      </c>
      <c r="W31" s="331">
        <f t="shared" si="92"/>
        <v>0</v>
      </c>
      <c r="X31" s="332">
        <f t="shared" si="93"/>
        <v>24.401030473504438</v>
      </c>
      <c r="Y31" s="114">
        <f t="shared" si="94"/>
        <v>24.401030473504438</v>
      </c>
      <c r="Z31" s="415">
        <f t="shared" si="80"/>
        <v>2.2406615836115056E-4</v>
      </c>
      <c r="AA31" s="901">
        <v>0.50818844447197087</v>
      </c>
      <c r="AB31" s="896">
        <f t="shared" si="95"/>
        <v>68716.225084610953</v>
      </c>
      <c r="AC31" s="897">
        <f t="shared" si="96"/>
        <v>68716.225084610953</v>
      </c>
      <c r="AD31" s="912">
        <f t="shared" si="97"/>
        <v>7.3140844219978979E-5</v>
      </c>
    </row>
    <row r="32" spans="1:31" s="190" customFormat="1" ht="43.95" customHeight="1" outlineLevel="1">
      <c r="A32" s="712"/>
      <c r="B32" s="398" t="s">
        <v>1537</v>
      </c>
      <c r="C32" s="354" t="s">
        <v>1533</v>
      </c>
      <c r="D32" s="373" t="s">
        <v>208</v>
      </c>
      <c r="E32" s="356">
        <v>1</v>
      </c>
      <c r="F32" s="320"/>
      <c r="G32" s="315"/>
      <c r="H32" s="87"/>
      <c r="I32" s="96">
        <v>14.446384729363791</v>
      </c>
      <c r="J32" s="95" t="s">
        <v>253</v>
      </c>
      <c r="K32" s="87">
        <f t="shared" si="53"/>
        <v>0</v>
      </c>
      <c r="L32" s="87">
        <f t="shared" si="54"/>
        <v>0</v>
      </c>
      <c r="M32" s="87">
        <f t="shared" si="55"/>
        <v>0</v>
      </c>
      <c r="N32" s="96">
        <f t="shared" si="56"/>
        <v>9.9546457441406471</v>
      </c>
      <c r="O32" s="111">
        <f t="shared" si="84"/>
        <v>14.446384729363791</v>
      </c>
      <c r="P32" s="329">
        <f t="shared" si="85"/>
        <v>0</v>
      </c>
      <c r="Q32" s="330">
        <f t="shared" si="86"/>
        <v>0</v>
      </c>
      <c r="R32" s="331">
        <f t="shared" si="87"/>
        <v>0</v>
      </c>
      <c r="S32" s="332">
        <f t="shared" si="88"/>
        <v>14.446384729363791</v>
      </c>
      <c r="T32" s="336">
        <f t="shared" si="89"/>
        <v>24.401030473504438</v>
      </c>
      <c r="U32" s="337">
        <f t="shared" si="90"/>
        <v>0</v>
      </c>
      <c r="V32" s="330">
        <f t="shared" si="91"/>
        <v>0</v>
      </c>
      <c r="W32" s="331">
        <f t="shared" si="92"/>
        <v>0</v>
      </c>
      <c r="X32" s="332">
        <f t="shared" si="93"/>
        <v>24.401030473504438</v>
      </c>
      <c r="Y32" s="114">
        <f t="shared" si="94"/>
        <v>24.401030473504438</v>
      </c>
      <c r="Z32" s="415">
        <f t="shared" si="80"/>
        <v>2.2406615836115056E-4</v>
      </c>
      <c r="AA32" s="901">
        <v>0.50818844447197087</v>
      </c>
      <c r="AB32" s="896">
        <f t="shared" si="95"/>
        <v>68716.225084610953</v>
      </c>
      <c r="AC32" s="897">
        <f t="shared" si="96"/>
        <v>68716.225084610953</v>
      </c>
      <c r="AD32" s="912">
        <f t="shared" si="97"/>
        <v>7.3140844219978979E-5</v>
      </c>
    </row>
    <row r="33" spans="1:31" s="190" customFormat="1" ht="43.95" customHeight="1" outlineLevel="1">
      <c r="A33" s="712"/>
      <c r="B33" s="398" t="s">
        <v>1538</v>
      </c>
      <c r="C33" s="354" t="s">
        <v>1534</v>
      </c>
      <c r="D33" s="373" t="s">
        <v>208</v>
      </c>
      <c r="E33" s="356">
        <v>1</v>
      </c>
      <c r="F33" s="320"/>
      <c r="G33" s="315"/>
      <c r="H33" s="87">
        <f>EQUIPE!T96*EQUIPE!O73/E33</f>
        <v>0</v>
      </c>
      <c r="I33" s="96">
        <v>14.446384729363791</v>
      </c>
      <c r="J33" s="95" t="s">
        <v>253</v>
      </c>
      <c r="K33" s="87">
        <f t="shared" si="53"/>
        <v>0</v>
      </c>
      <c r="L33" s="87">
        <f t="shared" si="54"/>
        <v>0</v>
      </c>
      <c r="M33" s="87">
        <f t="shared" si="55"/>
        <v>0</v>
      </c>
      <c r="N33" s="96">
        <f t="shared" si="56"/>
        <v>9.9546457441406471</v>
      </c>
      <c r="O33" s="111">
        <f t="shared" ref="O33" si="98">SUM(F33:I33)</f>
        <v>14.446384729363791</v>
      </c>
      <c r="P33" s="329">
        <f t="shared" ref="P33" si="99">F33*E33</f>
        <v>0</v>
      </c>
      <c r="Q33" s="330">
        <f t="shared" ref="Q33" si="100">G33*E33</f>
        <v>0</v>
      </c>
      <c r="R33" s="331">
        <f t="shared" ref="R33" si="101">H33*E33</f>
        <v>0</v>
      </c>
      <c r="S33" s="332">
        <f t="shared" ref="S33" si="102">I33*E33</f>
        <v>14.446384729363791</v>
      </c>
      <c r="T33" s="336">
        <f t="shared" ref="T33" si="103">SUM(K33,L33,M33,N33,O33)</f>
        <v>24.401030473504438</v>
      </c>
      <c r="U33" s="337">
        <f t="shared" ref="U33" si="104">(K33+F33)*$E33</f>
        <v>0</v>
      </c>
      <c r="V33" s="330">
        <f t="shared" ref="V33" si="105">(L33+G33)*$E33</f>
        <v>0</v>
      </c>
      <c r="W33" s="331">
        <f t="shared" ref="W33" si="106">(M33+H33)*E33</f>
        <v>0</v>
      </c>
      <c r="X33" s="332">
        <f t="shared" ref="X33" si="107">(N33+I33)*E33</f>
        <v>24.401030473504438</v>
      </c>
      <c r="Y33" s="114">
        <f t="shared" ref="Y33" si="108">SUM(U33:X33)</f>
        <v>24.401030473504438</v>
      </c>
      <c r="Z33" s="415">
        <f>IF($Y$23&gt;0,Y33/$Y$23,"-")</f>
        <v>2.2406615836115056E-4</v>
      </c>
      <c r="AA33" s="901">
        <v>0.50818844447197087</v>
      </c>
      <c r="AB33" s="896">
        <f t="shared" ref="AB33" si="109">$AB$8*AA33</f>
        <v>68716.225084610953</v>
      </c>
      <c r="AC33" s="897">
        <f t="shared" ref="AC33" si="110">AB33/E33</f>
        <v>68716.225084610953</v>
      </c>
      <c r="AD33" s="912">
        <f t="shared" ref="AD33" si="111">Y33/SUM($Y$11:$Y$24)</f>
        <v>7.3140844219978979E-5</v>
      </c>
    </row>
    <row r="34" spans="1:31" s="191" customFormat="1" ht="13.8" outlineLevel="1">
      <c r="A34" s="18"/>
      <c r="B34" s="351">
        <v>4</v>
      </c>
      <c r="C34" s="352" t="s">
        <v>1455</v>
      </c>
      <c r="D34" s="353"/>
      <c r="E34" s="135"/>
      <c r="F34" s="101"/>
      <c r="G34" s="314"/>
      <c r="H34" s="99"/>
      <c r="I34" s="104"/>
      <c r="J34" s="103"/>
      <c r="K34" s="314"/>
      <c r="L34" s="86"/>
      <c r="M34" s="86"/>
      <c r="N34" s="97"/>
      <c r="O34" s="110"/>
      <c r="P34" s="327">
        <f t="shared" ref="P34:S34" si="112">SUM(P35:P46)</f>
        <v>0</v>
      </c>
      <c r="Q34" s="327">
        <f t="shared" si="112"/>
        <v>0</v>
      </c>
      <c r="R34" s="327">
        <f t="shared" si="112"/>
        <v>0</v>
      </c>
      <c r="S34" s="327">
        <f t="shared" si="112"/>
        <v>1430364.4091064329</v>
      </c>
      <c r="T34" s="327"/>
      <c r="U34" s="327">
        <f t="shared" ref="U34:X34" si="113">SUM(U35:U46)</f>
        <v>0</v>
      </c>
      <c r="V34" s="327">
        <f t="shared" si="113"/>
        <v>0</v>
      </c>
      <c r="W34" s="327">
        <f t="shared" si="113"/>
        <v>0</v>
      </c>
      <c r="X34" s="327">
        <f t="shared" si="113"/>
        <v>2415993.0798381362</v>
      </c>
      <c r="Y34" s="327">
        <f>SUM(Y35:Y46)</f>
        <v>2415993.0798381362</v>
      </c>
      <c r="Z34" s="1011">
        <f>SUM(Z35:Z46)</f>
        <v>1.0005876157711655</v>
      </c>
      <c r="AA34" s="902"/>
    </row>
    <row r="35" spans="1:31" s="190" customFormat="1" ht="27.6" outlineLevel="1">
      <c r="A35" s="712"/>
      <c r="B35" s="398" t="s">
        <v>129</v>
      </c>
      <c r="C35" s="354" t="s">
        <v>1456</v>
      </c>
      <c r="D35" s="373" t="s">
        <v>208</v>
      </c>
      <c r="E35" s="355">
        <v>32000</v>
      </c>
      <c r="F35" s="320"/>
      <c r="G35" s="315"/>
      <c r="H35" s="87"/>
      <c r="I35" s="96">
        <f>CPU!J486</f>
        <v>8.2364583971149496</v>
      </c>
      <c r="J35" s="95" t="s">
        <v>253</v>
      </c>
      <c r="K35" s="87">
        <f t="shared" ref="K35:K46" si="114">F35*(VLOOKUP(J35,$D$75:$I$91,3,FALSE))</f>
        <v>0</v>
      </c>
      <c r="L35" s="87">
        <f t="shared" ref="L35:L46" si="115">G35*(VLOOKUP(J35,$D$75:$I$91,5,FALSE))</f>
        <v>0</v>
      </c>
      <c r="M35" s="87">
        <f t="shared" ref="M35:M46" si="116">H35*(VLOOKUP(J35,$D$75:$I$89,4,FALSE))</f>
        <v>0</v>
      </c>
      <c r="N35" s="96">
        <f t="shared" ref="N35:N46" si="117">I35/(1-(VLOOKUP(J35,$D$75:$I$91,2,FALSE)))-I35</f>
        <v>5.6755393868873281</v>
      </c>
      <c r="O35" s="111">
        <f t="shared" ref="O35:O46" si="118">SUM(F35:I35)</f>
        <v>8.2364583971149496</v>
      </c>
      <c r="P35" s="329">
        <f>F35*E35</f>
        <v>0</v>
      </c>
      <c r="Q35" s="330">
        <f t="shared" ref="Q35:Q46" si="119">G35*E35</f>
        <v>0</v>
      </c>
      <c r="R35" s="331">
        <f t="shared" ref="R35:R46" si="120">H35*E35</f>
        <v>0</v>
      </c>
      <c r="S35" s="332">
        <f t="shared" ref="S35:S46" si="121">I35*E35</f>
        <v>263566.66870767839</v>
      </c>
      <c r="T35" s="336">
        <f t="shared" ref="T35:T46" si="122">SUM(K35,L35,M35,N35,O35)</f>
        <v>13.911997784002278</v>
      </c>
      <c r="U35" s="337">
        <f t="shared" ref="U35:U46" si="123">(K35+F35)*$E35</f>
        <v>0</v>
      </c>
      <c r="V35" s="330">
        <f t="shared" ref="V35:V46" si="124">(L35+G35)*$E35</f>
        <v>0</v>
      </c>
      <c r="W35" s="331">
        <f t="shared" ref="W35:W46" si="125">(M35+H35)*E35</f>
        <v>0</v>
      </c>
      <c r="X35" s="332">
        <f t="shared" ref="X35:X46" si="126">(N35+I35)*E35</f>
        <v>445183.92908807291</v>
      </c>
      <c r="Y35" s="114">
        <f t="shared" ref="Y35:Y46" si="127">SUM(U35:X35)</f>
        <v>445183.92908807291</v>
      </c>
      <c r="Z35" s="415">
        <f>IF($Y$34&gt;0,Y35/$Y$34,"-")</f>
        <v>0.18426539910366746</v>
      </c>
      <c r="AA35" s="901"/>
      <c r="AB35" s="896"/>
      <c r="AC35" s="897"/>
      <c r="AD35" s="912"/>
      <c r="AE35" s="897"/>
    </row>
    <row r="36" spans="1:31" s="190" customFormat="1" ht="27.6" outlineLevel="1">
      <c r="A36" s="712"/>
      <c r="B36" s="398" t="s">
        <v>130</v>
      </c>
      <c r="C36" s="354" t="s">
        <v>1457</v>
      </c>
      <c r="D36" s="373" t="s">
        <v>208</v>
      </c>
      <c r="E36" s="355">
        <v>32000</v>
      </c>
      <c r="F36" s="320"/>
      <c r="G36" s="315"/>
      <c r="H36" s="87"/>
      <c r="I36" s="96">
        <f>CPU!J548</f>
        <v>8.544474778556177</v>
      </c>
      <c r="J36" s="95" t="s">
        <v>253</v>
      </c>
      <c r="K36" s="87">
        <f t="shared" si="114"/>
        <v>0</v>
      </c>
      <c r="L36" s="87">
        <f t="shared" si="115"/>
        <v>0</v>
      </c>
      <c r="M36" s="87">
        <f t="shared" si="116"/>
        <v>0</v>
      </c>
      <c r="N36" s="96">
        <f t="shared" si="117"/>
        <v>5.8877858428748358</v>
      </c>
      <c r="O36" s="111">
        <f t="shared" si="118"/>
        <v>8.544474778556177</v>
      </c>
      <c r="P36" s="329">
        <f t="shared" ref="P36:P46" si="128">F36*E36</f>
        <v>0</v>
      </c>
      <c r="Q36" s="330">
        <f t="shared" si="119"/>
        <v>0</v>
      </c>
      <c r="R36" s="331">
        <f t="shared" si="120"/>
        <v>0</v>
      </c>
      <c r="S36" s="332">
        <f t="shared" si="121"/>
        <v>273423.19291379768</v>
      </c>
      <c r="T36" s="336">
        <f t="shared" si="122"/>
        <v>14.432260621431013</v>
      </c>
      <c r="U36" s="337">
        <f t="shared" si="123"/>
        <v>0</v>
      </c>
      <c r="V36" s="330">
        <f t="shared" si="124"/>
        <v>0</v>
      </c>
      <c r="W36" s="331">
        <f t="shared" si="125"/>
        <v>0</v>
      </c>
      <c r="X36" s="332">
        <f t="shared" si="126"/>
        <v>461832.3398857924</v>
      </c>
      <c r="Y36" s="114">
        <f t="shared" si="127"/>
        <v>461832.3398857924</v>
      </c>
      <c r="Z36" s="415">
        <f>IF($Y$34&gt;0,Y36/$Y$34,"-")</f>
        <v>0.19115631735035171</v>
      </c>
      <c r="AA36" s="901"/>
      <c r="AB36" s="896"/>
      <c r="AC36" s="897"/>
      <c r="AD36" s="912"/>
      <c r="AE36" s="897"/>
    </row>
    <row r="37" spans="1:31" s="190" customFormat="1" ht="27.6" outlineLevel="1">
      <c r="A37" s="712"/>
      <c r="B37" s="398" t="s">
        <v>131</v>
      </c>
      <c r="C37" s="354" t="s">
        <v>1458</v>
      </c>
      <c r="D37" s="373" t="s">
        <v>208</v>
      </c>
      <c r="E37" s="355">
        <v>32000</v>
      </c>
      <c r="F37" s="320"/>
      <c r="G37" s="315"/>
      <c r="H37" s="87"/>
      <c r="I37" s="96">
        <f>CPU!J610</f>
        <v>8.9214479088676519</v>
      </c>
      <c r="J37" s="95" t="s">
        <v>253</v>
      </c>
      <c r="K37" s="87">
        <f t="shared" si="114"/>
        <v>0</v>
      </c>
      <c r="L37" s="87">
        <f t="shared" si="115"/>
        <v>0</v>
      </c>
      <c r="M37" s="87">
        <f t="shared" si="116"/>
        <v>0</v>
      </c>
      <c r="N37" s="96">
        <f t="shared" si="117"/>
        <v>6.1475486858014037</v>
      </c>
      <c r="O37" s="111">
        <f t="shared" si="118"/>
        <v>8.9214479088676519</v>
      </c>
      <c r="P37" s="329">
        <f t="shared" si="128"/>
        <v>0</v>
      </c>
      <c r="Q37" s="330">
        <f t="shared" si="119"/>
        <v>0</v>
      </c>
      <c r="R37" s="331">
        <f t="shared" si="120"/>
        <v>0</v>
      </c>
      <c r="S37" s="332">
        <f t="shared" si="121"/>
        <v>285486.33308376488</v>
      </c>
      <c r="T37" s="336">
        <f t="shared" si="122"/>
        <v>15.068996594669056</v>
      </c>
      <c r="U37" s="337">
        <f t="shared" si="123"/>
        <v>0</v>
      </c>
      <c r="V37" s="330">
        <f t="shared" si="124"/>
        <v>0</v>
      </c>
      <c r="W37" s="331">
        <f t="shared" si="125"/>
        <v>0</v>
      </c>
      <c r="X37" s="332">
        <f t="shared" si="126"/>
        <v>482207.89102940977</v>
      </c>
      <c r="Y37" s="114">
        <f t="shared" si="127"/>
        <v>482207.89102940977</v>
      </c>
      <c r="Z37" s="415">
        <f>IF($Y$34&gt;0,Y37/$Y$34,"-")</f>
        <v>0.19958993055630614</v>
      </c>
      <c r="AA37" s="901"/>
      <c r="AB37" s="896"/>
      <c r="AC37" s="897"/>
      <c r="AD37" s="912"/>
      <c r="AE37" s="897"/>
    </row>
    <row r="38" spans="1:31" s="190" customFormat="1" ht="27.6" outlineLevel="1">
      <c r="A38" s="712"/>
      <c r="B38" s="398" t="s">
        <v>132</v>
      </c>
      <c r="C38" s="354" t="s">
        <v>1459</v>
      </c>
      <c r="D38" s="373" t="s">
        <v>208</v>
      </c>
      <c r="E38" s="355">
        <v>32000</v>
      </c>
      <c r="F38" s="320"/>
      <c r="G38" s="315"/>
      <c r="H38" s="87"/>
      <c r="I38" s="96">
        <f>CPU!J672</f>
        <v>9.2863994322193157</v>
      </c>
      <c r="J38" s="95" t="s">
        <v>253</v>
      </c>
      <c r="K38" s="87">
        <f t="shared" si="114"/>
        <v>0</v>
      </c>
      <c r="L38" s="87">
        <f t="shared" si="115"/>
        <v>0</v>
      </c>
      <c r="M38" s="87">
        <f t="shared" si="116"/>
        <v>0</v>
      </c>
      <c r="N38" s="96">
        <f t="shared" si="117"/>
        <v>6.3990277372602709</v>
      </c>
      <c r="O38" s="111">
        <f t="shared" si="118"/>
        <v>9.2863994322193157</v>
      </c>
      <c r="P38" s="329">
        <f t="shared" si="128"/>
        <v>0</v>
      </c>
      <c r="Q38" s="330">
        <f t="shared" si="119"/>
        <v>0</v>
      </c>
      <c r="R38" s="331">
        <f t="shared" si="120"/>
        <v>0</v>
      </c>
      <c r="S38" s="332">
        <f t="shared" si="121"/>
        <v>297164.7818310181</v>
      </c>
      <c r="T38" s="336">
        <f t="shared" si="122"/>
        <v>15.685427169479587</v>
      </c>
      <c r="U38" s="337">
        <f t="shared" si="123"/>
        <v>0</v>
      </c>
      <c r="V38" s="330">
        <f t="shared" si="124"/>
        <v>0</v>
      </c>
      <c r="W38" s="331">
        <f t="shared" si="125"/>
        <v>0</v>
      </c>
      <c r="X38" s="332">
        <f t="shared" si="126"/>
        <v>501933.66942334676</v>
      </c>
      <c r="Y38" s="114">
        <f t="shared" si="127"/>
        <v>501933.66942334676</v>
      </c>
      <c r="Z38" s="415">
        <f>IF($Y$34&gt;0,Y38/$Y$34,"-")</f>
        <v>0.20775459731737919</v>
      </c>
      <c r="AA38" s="901"/>
      <c r="AB38" s="896"/>
      <c r="AC38" s="897"/>
      <c r="AD38" s="912"/>
      <c r="AE38" s="897"/>
    </row>
    <row r="39" spans="1:31" s="190" customFormat="1" ht="27.6" outlineLevel="1">
      <c r="A39" s="712"/>
      <c r="B39" s="398" t="s">
        <v>133</v>
      </c>
      <c r="C39" s="354" t="s">
        <v>1460</v>
      </c>
      <c r="D39" s="373" t="s">
        <v>208</v>
      </c>
      <c r="E39" s="356">
        <v>32000</v>
      </c>
      <c r="F39" s="320"/>
      <c r="G39" s="315"/>
      <c r="H39" s="87"/>
      <c r="I39" s="96">
        <f>CPU!J734</f>
        <v>9.7074138746962984</v>
      </c>
      <c r="J39" s="95" t="s">
        <v>253</v>
      </c>
      <c r="K39" s="87">
        <f t="shared" si="114"/>
        <v>0</v>
      </c>
      <c r="L39" s="87">
        <f t="shared" si="115"/>
        <v>0</v>
      </c>
      <c r="M39" s="87">
        <f t="shared" si="116"/>
        <v>0</v>
      </c>
      <c r="N39" s="96">
        <f t="shared" si="117"/>
        <v>6.6891383570824399</v>
      </c>
      <c r="O39" s="111">
        <f t="shared" si="118"/>
        <v>9.7074138746962984</v>
      </c>
      <c r="P39" s="329">
        <f t="shared" si="128"/>
        <v>0</v>
      </c>
      <c r="Q39" s="330">
        <f t="shared" si="119"/>
        <v>0</v>
      </c>
      <c r="R39" s="331">
        <f t="shared" si="120"/>
        <v>0</v>
      </c>
      <c r="S39" s="332">
        <f t="shared" si="121"/>
        <v>310637.24399028154</v>
      </c>
      <c r="T39" s="336">
        <f t="shared" si="122"/>
        <v>16.396552231778738</v>
      </c>
      <c r="U39" s="337">
        <f t="shared" si="123"/>
        <v>0</v>
      </c>
      <c r="V39" s="330">
        <f t="shared" si="124"/>
        <v>0</v>
      </c>
      <c r="W39" s="331">
        <f t="shared" si="125"/>
        <v>0</v>
      </c>
      <c r="X39" s="332">
        <f t="shared" si="126"/>
        <v>524689.67141691968</v>
      </c>
      <c r="Y39" s="114">
        <f t="shared" si="127"/>
        <v>524689.67141691968</v>
      </c>
      <c r="Z39" s="415">
        <f>IF($Y$34&gt;0,Y39/$Y$34,"-")</f>
        <v>0.21717349929333085</v>
      </c>
      <c r="AA39" s="903"/>
    </row>
    <row r="40" spans="1:31" s="190" customFormat="1" ht="27.6" outlineLevel="1">
      <c r="A40" s="712"/>
      <c r="B40" s="398" t="s">
        <v>134</v>
      </c>
      <c r="C40" s="354" t="s">
        <v>1542</v>
      </c>
      <c r="D40" s="373" t="s">
        <v>208</v>
      </c>
      <c r="E40" s="406">
        <v>1</v>
      </c>
      <c r="F40" s="320"/>
      <c r="G40" s="315"/>
      <c r="H40" s="87"/>
      <c r="I40" s="96">
        <v>10.307312302271658</v>
      </c>
      <c r="J40" s="95" t="s">
        <v>253</v>
      </c>
      <c r="K40" s="87">
        <f t="shared" si="114"/>
        <v>0</v>
      </c>
      <c r="L40" s="87">
        <f t="shared" si="115"/>
        <v>0</v>
      </c>
      <c r="M40" s="87">
        <f t="shared" si="116"/>
        <v>0</v>
      </c>
      <c r="N40" s="96">
        <f t="shared" si="117"/>
        <v>7.1025134983966183</v>
      </c>
      <c r="O40" s="111">
        <f t="shared" si="118"/>
        <v>10.307312302271658</v>
      </c>
      <c r="P40" s="329">
        <f t="shared" si="128"/>
        <v>0</v>
      </c>
      <c r="Q40" s="330">
        <f t="shared" si="119"/>
        <v>0</v>
      </c>
      <c r="R40" s="331">
        <f t="shared" si="120"/>
        <v>0</v>
      </c>
      <c r="S40" s="332">
        <f t="shared" si="121"/>
        <v>10.307312302271658</v>
      </c>
      <c r="T40" s="336">
        <f t="shared" si="122"/>
        <v>17.409825800668276</v>
      </c>
      <c r="U40" s="337">
        <f t="shared" si="123"/>
        <v>0</v>
      </c>
      <c r="V40" s="330">
        <f t="shared" si="124"/>
        <v>0</v>
      </c>
      <c r="W40" s="331">
        <f t="shared" si="125"/>
        <v>0</v>
      </c>
      <c r="X40" s="332">
        <f t="shared" si="126"/>
        <v>17.409825800668276</v>
      </c>
      <c r="Y40" s="114">
        <f t="shared" si="127"/>
        <v>17.409825800668276</v>
      </c>
      <c r="Z40" s="415">
        <f t="shared" ref="Z40:Z46" si="129">IF($Y$10&gt;0,Y40/$Y$10,"-")</f>
        <v>7.7479181019797711E-5</v>
      </c>
      <c r="AA40" s="903"/>
    </row>
    <row r="41" spans="1:31" s="190" customFormat="1" ht="27.6" outlineLevel="1">
      <c r="A41" s="712"/>
      <c r="B41" s="398" t="s">
        <v>135</v>
      </c>
      <c r="C41" s="405" t="s">
        <v>1543</v>
      </c>
      <c r="D41" s="373" t="s">
        <v>208</v>
      </c>
      <c r="E41" s="355">
        <v>1</v>
      </c>
      <c r="F41" s="320"/>
      <c r="G41" s="315"/>
      <c r="H41" s="87"/>
      <c r="I41" s="96">
        <v>10.134067510131908</v>
      </c>
      <c r="J41" s="95" t="s">
        <v>253</v>
      </c>
      <c r="K41" s="87">
        <f t="shared" si="114"/>
        <v>0</v>
      </c>
      <c r="L41" s="87">
        <f t="shared" si="115"/>
        <v>0</v>
      </c>
      <c r="M41" s="87">
        <f t="shared" si="116"/>
        <v>0</v>
      </c>
      <c r="N41" s="96">
        <f t="shared" si="117"/>
        <v>6.9831348050365332</v>
      </c>
      <c r="O41" s="111">
        <f t="shared" si="118"/>
        <v>10.134067510131908</v>
      </c>
      <c r="P41" s="329">
        <f t="shared" si="128"/>
        <v>0</v>
      </c>
      <c r="Q41" s="330">
        <f t="shared" si="119"/>
        <v>0</v>
      </c>
      <c r="R41" s="331">
        <f t="shared" si="120"/>
        <v>0</v>
      </c>
      <c r="S41" s="332">
        <f t="shared" si="121"/>
        <v>10.134067510131908</v>
      </c>
      <c r="T41" s="336">
        <f t="shared" si="122"/>
        <v>17.117202315168441</v>
      </c>
      <c r="U41" s="337">
        <f t="shared" si="123"/>
        <v>0</v>
      </c>
      <c r="V41" s="330">
        <f t="shared" si="124"/>
        <v>0</v>
      </c>
      <c r="W41" s="331">
        <f t="shared" si="125"/>
        <v>0</v>
      </c>
      <c r="X41" s="332">
        <f t="shared" si="126"/>
        <v>17.117202315168441</v>
      </c>
      <c r="Y41" s="114">
        <f t="shared" si="127"/>
        <v>17.117202315168441</v>
      </c>
      <c r="Z41" s="415">
        <f t="shared" si="129"/>
        <v>7.6176914801670732E-5</v>
      </c>
      <c r="AA41" s="903"/>
    </row>
    <row r="42" spans="1:31" s="190" customFormat="1" ht="27.6" outlineLevel="1">
      <c r="A42" s="712"/>
      <c r="B42" s="398" t="s">
        <v>136</v>
      </c>
      <c r="C42" s="405" t="s">
        <v>1544</v>
      </c>
      <c r="D42" s="373" t="s">
        <v>208</v>
      </c>
      <c r="E42" s="355">
        <v>1</v>
      </c>
      <c r="F42" s="320"/>
      <c r="G42" s="315"/>
      <c r="H42" s="87"/>
      <c r="I42" s="96">
        <v>11.030153976105785</v>
      </c>
      <c r="J42" s="95" t="s">
        <v>253</v>
      </c>
      <c r="K42" s="87">
        <f t="shared" si="114"/>
        <v>0</v>
      </c>
      <c r="L42" s="87">
        <f t="shared" si="115"/>
        <v>0</v>
      </c>
      <c r="M42" s="87">
        <f t="shared" si="116"/>
        <v>0</v>
      </c>
      <c r="N42" s="96">
        <f t="shared" si="117"/>
        <v>7.6006057842468291</v>
      </c>
      <c r="O42" s="111">
        <f t="shared" si="118"/>
        <v>11.030153976105785</v>
      </c>
      <c r="P42" s="329">
        <f t="shared" si="128"/>
        <v>0</v>
      </c>
      <c r="Q42" s="330">
        <f t="shared" si="119"/>
        <v>0</v>
      </c>
      <c r="R42" s="331">
        <f t="shared" si="120"/>
        <v>0</v>
      </c>
      <c r="S42" s="332">
        <f t="shared" si="121"/>
        <v>11.030153976105785</v>
      </c>
      <c r="T42" s="336">
        <f t="shared" si="122"/>
        <v>18.630759760352614</v>
      </c>
      <c r="U42" s="337">
        <f t="shared" si="123"/>
        <v>0</v>
      </c>
      <c r="V42" s="330">
        <f t="shared" si="124"/>
        <v>0</v>
      </c>
      <c r="W42" s="331">
        <f t="shared" si="125"/>
        <v>0</v>
      </c>
      <c r="X42" s="332">
        <f t="shared" si="126"/>
        <v>18.630759760352614</v>
      </c>
      <c r="Y42" s="114">
        <f t="shared" si="127"/>
        <v>18.630759760352614</v>
      </c>
      <c r="Z42" s="415">
        <f t="shared" si="129"/>
        <v>8.2912719778811025E-5</v>
      </c>
      <c r="AA42" s="903"/>
    </row>
    <row r="43" spans="1:31" s="190" customFormat="1" ht="27.6" outlineLevel="1">
      <c r="A43" s="712"/>
      <c r="B43" s="398" t="s">
        <v>137</v>
      </c>
      <c r="C43" s="405" t="s">
        <v>1545</v>
      </c>
      <c r="D43" s="373" t="s">
        <v>208</v>
      </c>
      <c r="E43" s="355">
        <v>1</v>
      </c>
      <c r="F43" s="320"/>
      <c r="G43" s="315"/>
      <c r="H43" s="87"/>
      <c r="I43" s="96">
        <v>12.133169373716365</v>
      </c>
      <c r="J43" s="95" t="s">
        <v>253</v>
      </c>
      <c r="K43" s="87">
        <f t="shared" si="114"/>
        <v>0</v>
      </c>
      <c r="L43" s="87">
        <f t="shared" si="115"/>
        <v>0</v>
      </c>
      <c r="M43" s="87">
        <f t="shared" si="116"/>
        <v>0</v>
      </c>
      <c r="N43" s="96">
        <f t="shared" si="117"/>
        <v>8.3606663626715108</v>
      </c>
      <c r="O43" s="111">
        <f t="shared" ref="O43" si="130">SUM(F43:I43)</f>
        <v>12.133169373716365</v>
      </c>
      <c r="P43" s="329">
        <f t="shared" ref="P43" si="131">F43*E43</f>
        <v>0</v>
      </c>
      <c r="Q43" s="330">
        <f t="shared" ref="Q43" si="132">G43*E43</f>
        <v>0</v>
      </c>
      <c r="R43" s="331">
        <f t="shared" ref="R43" si="133">H43*E43</f>
        <v>0</v>
      </c>
      <c r="S43" s="332">
        <f t="shared" ref="S43" si="134">I43*E43</f>
        <v>12.133169373716365</v>
      </c>
      <c r="T43" s="336">
        <f t="shared" ref="T43" si="135">SUM(K43,L43,M43,N43,O43)</f>
        <v>20.493835736387876</v>
      </c>
      <c r="U43" s="337">
        <f t="shared" ref="U43" si="136">(K43+F43)*$E43</f>
        <v>0</v>
      </c>
      <c r="V43" s="330">
        <f t="shared" ref="V43" si="137">(L43+G43)*$E43</f>
        <v>0</v>
      </c>
      <c r="W43" s="331">
        <f t="shared" ref="W43" si="138">(M43+H43)*E43</f>
        <v>0</v>
      </c>
      <c r="X43" s="332">
        <f t="shared" ref="X43" si="139">(N43+I43)*E43</f>
        <v>20.493835736387876</v>
      </c>
      <c r="Y43" s="114">
        <f t="shared" ref="Y43" si="140">SUM(U43:X43)</f>
        <v>20.493835736387876</v>
      </c>
      <c r="Z43" s="415">
        <f t="shared" ref="Z43" si="141">IF($Y$10&gt;0,Y43/$Y$10,"-")</f>
        <v>9.1203991756692138E-5</v>
      </c>
      <c r="AA43" s="903"/>
    </row>
    <row r="44" spans="1:31" s="190" customFormat="1" ht="27.6" outlineLevel="1">
      <c r="A44" s="712"/>
      <c r="B44" s="398" t="s">
        <v>1539</v>
      </c>
      <c r="C44" s="405" t="s">
        <v>1546</v>
      </c>
      <c r="D44" s="373" t="s">
        <v>208</v>
      </c>
      <c r="E44" s="355">
        <v>1</v>
      </c>
      <c r="F44" s="320"/>
      <c r="G44" s="315"/>
      <c r="H44" s="87"/>
      <c r="I44" s="96">
        <v>12.897768413979797</v>
      </c>
      <c r="J44" s="95" t="s">
        <v>253</v>
      </c>
      <c r="K44" s="87">
        <f t="shared" si="114"/>
        <v>0</v>
      </c>
      <c r="L44" s="87">
        <f t="shared" si="115"/>
        <v>0</v>
      </c>
      <c r="M44" s="87">
        <f t="shared" si="116"/>
        <v>0</v>
      </c>
      <c r="N44" s="96">
        <f t="shared" si="117"/>
        <v>8.8875326150053304</v>
      </c>
      <c r="O44" s="111">
        <f t="shared" si="118"/>
        <v>12.897768413979797</v>
      </c>
      <c r="P44" s="329">
        <f t="shared" si="128"/>
        <v>0</v>
      </c>
      <c r="Q44" s="330">
        <f t="shared" si="119"/>
        <v>0</v>
      </c>
      <c r="R44" s="331">
        <f t="shared" si="120"/>
        <v>0</v>
      </c>
      <c r="S44" s="332">
        <f t="shared" si="121"/>
        <v>12.897768413979797</v>
      </c>
      <c r="T44" s="336">
        <f t="shared" si="122"/>
        <v>21.785301028985128</v>
      </c>
      <c r="U44" s="337">
        <f t="shared" si="123"/>
        <v>0</v>
      </c>
      <c r="V44" s="330">
        <f t="shared" si="124"/>
        <v>0</v>
      </c>
      <c r="W44" s="331">
        <f t="shared" si="125"/>
        <v>0</v>
      </c>
      <c r="X44" s="332">
        <f t="shared" si="126"/>
        <v>21.785301028985128</v>
      </c>
      <c r="Y44" s="114">
        <f t="shared" si="127"/>
        <v>21.785301028985128</v>
      </c>
      <c r="Z44" s="415">
        <f t="shared" si="129"/>
        <v>9.6951417051555658E-5</v>
      </c>
      <c r="AA44" s="903"/>
    </row>
    <row r="45" spans="1:31" s="190" customFormat="1" ht="27.6" outlineLevel="1">
      <c r="A45" s="712"/>
      <c r="B45" s="398" t="s">
        <v>1540</v>
      </c>
      <c r="C45" s="405" t="s">
        <v>1547</v>
      </c>
      <c r="D45" s="373" t="s">
        <v>208</v>
      </c>
      <c r="E45" s="355">
        <v>1</v>
      </c>
      <c r="F45" s="320"/>
      <c r="G45" s="315"/>
      <c r="H45" s="87"/>
      <c r="I45" s="96">
        <v>14.041080714714285</v>
      </c>
      <c r="J45" s="95" t="s">
        <v>253</v>
      </c>
      <c r="K45" s="87">
        <f t="shared" si="114"/>
        <v>0</v>
      </c>
      <c r="L45" s="87">
        <f t="shared" si="115"/>
        <v>0</v>
      </c>
      <c r="M45" s="87">
        <f t="shared" si="116"/>
        <v>0</v>
      </c>
      <c r="N45" s="96">
        <f t="shared" si="117"/>
        <v>9.6753607908392869</v>
      </c>
      <c r="O45" s="111">
        <f t="shared" si="118"/>
        <v>14.041080714714285</v>
      </c>
      <c r="P45" s="329">
        <f t="shared" si="128"/>
        <v>0</v>
      </c>
      <c r="Q45" s="330">
        <f t="shared" si="119"/>
        <v>0</v>
      </c>
      <c r="R45" s="331">
        <f t="shared" si="120"/>
        <v>0</v>
      </c>
      <c r="S45" s="332">
        <f t="shared" si="121"/>
        <v>14.041080714714285</v>
      </c>
      <c r="T45" s="336">
        <f t="shared" si="122"/>
        <v>23.716441505553572</v>
      </c>
      <c r="U45" s="337">
        <f t="shared" si="123"/>
        <v>0</v>
      </c>
      <c r="V45" s="330">
        <f t="shared" si="124"/>
        <v>0</v>
      </c>
      <c r="W45" s="331">
        <f t="shared" si="125"/>
        <v>0</v>
      </c>
      <c r="X45" s="332">
        <f t="shared" si="126"/>
        <v>23.716441505553572</v>
      </c>
      <c r="Y45" s="114">
        <f t="shared" si="127"/>
        <v>23.716441505553572</v>
      </c>
      <c r="Z45" s="415">
        <f t="shared" si="129"/>
        <v>1.0554559738809652E-4</v>
      </c>
      <c r="AA45" s="903"/>
    </row>
    <row r="46" spans="1:31" s="190" customFormat="1" ht="27.6" outlineLevel="1">
      <c r="A46" s="712"/>
      <c r="B46" s="398" t="s">
        <v>1541</v>
      </c>
      <c r="C46" s="354" t="s">
        <v>1548</v>
      </c>
      <c r="D46" s="373" t="s">
        <v>208</v>
      </c>
      <c r="E46" s="406">
        <v>1</v>
      </c>
      <c r="F46" s="320"/>
      <c r="G46" s="315"/>
      <c r="H46" s="87"/>
      <c r="I46" s="96">
        <v>15.645027601662337</v>
      </c>
      <c r="J46" s="95" t="s">
        <v>253</v>
      </c>
      <c r="K46" s="87">
        <f t="shared" si="114"/>
        <v>0</v>
      </c>
      <c r="L46" s="87">
        <f t="shared" si="115"/>
        <v>0</v>
      </c>
      <c r="M46" s="87">
        <f t="shared" si="116"/>
        <v>0</v>
      </c>
      <c r="N46" s="96">
        <f t="shared" si="117"/>
        <v>10.780600845780578</v>
      </c>
      <c r="O46" s="111">
        <f t="shared" si="118"/>
        <v>15.645027601662337</v>
      </c>
      <c r="P46" s="329">
        <f t="shared" si="128"/>
        <v>0</v>
      </c>
      <c r="Q46" s="330">
        <f t="shared" si="119"/>
        <v>0</v>
      </c>
      <c r="R46" s="331">
        <f t="shared" si="120"/>
        <v>0</v>
      </c>
      <c r="S46" s="332">
        <f t="shared" si="121"/>
        <v>15.645027601662337</v>
      </c>
      <c r="T46" s="336">
        <f t="shared" si="122"/>
        <v>26.425628447442914</v>
      </c>
      <c r="U46" s="337">
        <f t="shared" si="123"/>
        <v>0</v>
      </c>
      <c r="V46" s="330">
        <f t="shared" si="124"/>
        <v>0</v>
      </c>
      <c r="W46" s="331">
        <f t="shared" si="125"/>
        <v>0</v>
      </c>
      <c r="X46" s="332">
        <f t="shared" si="126"/>
        <v>26.425628447442914</v>
      </c>
      <c r="Y46" s="114">
        <f t="shared" si="127"/>
        <v>26.425628447442914</v>
      </c>
      <c r="Z46" s="415">
        <f t="shared" si="129"/>
        <v>1.176023283336215E-4</v>
      </c>
      <c r="AA46" s="903"/>
    </row>
    <row r="47" spans="1:31" s="190" customFormat="1" ht="13.8" outlineLevel="1">
      <c r="A47" s="712"/>
      <c r="B47" s="398"/>
      <c r="C47" s="354"/>
      <c r="D47" s="373"/>
      <c r="E47" s="406"/>
      <c r="F47" s="320"/>
      <c r="G47" s="315"/>
      <c r="H47" s="87"/>
      <c r="I47" s="96"/>
      <c r="J47" s="95"/>
      <c r="K47" s="87"/>
      <c r="L47" s="87"/>
      <c r="M47" s="87"/>
      <c r="N47" s="96"/>
      <c r="O47" s="111"/>
      <c r="P47" s="329"/>
      <c r="Q47" s="330"/>
      <c r="R47" s="331"/>
      <c r="S47" s="332"/>
      <c r="T47" s="336"/>
      <c r="U47" s="337"/>
      <c r="V47" s="330"/>
      <c r="W47" s="331"/>
      <c r="X47" s="332"/>
      <c r="Y47" s="114"/>
      <c r="Z47" s="415"/>
      <c r="AA47" s="903"/>
    </row>
    <row r="48" spans="1:31" s="191" customFormat="1" ht="13.8" outlineLevel="1">
      <c r="A48" s="18"/>
      <c r="B48" s="351"/>
      <c r="C48" s="352"/>
      <c r="D48" s="353"/>
      <c r="E48" s="135"/>
      <c r="F48" s="101"/>
      <c r="G48" s="314"/>
      <c r="H48" s="99"/>
      <c r="I48" s="104"/>
      <c r="J48" s="103"/>
      <c r="K48" s="314"/>
      <c r="L48" s="86"/>
      <c r="M48" s="86"/>
      <c r="N48" s="97"/>
      <c r="O48" s="110"/>
      <c r="P48" s="327">
        <f t="shared" ref="P48:S48" si="142">SUM(P49:P58)</f>
        <v>0</v>
      </c>
      <c r="Q48" s="327">
        <f t="shared" si="142"/>
        <v>0</v>
      </c>
      <c r="R48" s="327">
        <f t="shared" si="142"/>
        <v>0</v>
      </c>
      <c r="S48" s="327">
        <f t="shared" si="142"/>
        <v>1876.36</v>
      </c>
      <c r="T48" s="327"/>
      <c r="U48" s="327">
        <f t="shared" ref="U48:Z48" si="143">SUM(U49:U58)</f>
        <v>0</v>
      </c>
      <c r="V48" s="327">
        <f t="shared" si="143"/>
        <v>0</v>
      </c>
      <c r="W48" s="327">
        <f t="shared" si="143"/>
        <v>0</v>
      </c>
      <c r="X48" s="327">
        <f t="shared" si="143"/>
        <v>3169.3131809096658</v>
      </c>
      <c r="Y48" s="327">
        <f t="shared" si="143"/>
        <v>3169.3131809096658</v>
      </c>
      <c r="Z48" s="1036">
        <f t="shared" si="143"/>
        <v>1.4104436911867623E-2</v>
      </c>
      <c r="AA48" s="902"/>
    </row>
    <row r="49" spans="1:31" s="190" customFormat="1" outlineLevel="1">
      <c r="A49" s="713"/>
      <c r="B49" s="398" t="s">
        <v>138</v>
      </c>
      <c r="C49" s="354" t="s">
        <v>1553</v>
      </c>
      <c r="D49" s="373" t="s">
        <v>1466</v>
      </c>
      <c r="E49" s="406">
        <v>1</v>
      </c>
      <c r="F49" s="320"/>
      <c r="G49" s="315"/>
      <c r="H49" s="87"/>
      <c r="I49" s="96">
        <v>172.98</v>
      </c>
      <c r="J49" s="95" t="s">
        <v>253</v>
      </c>
      <c r="K49" s="87">
        <f t="shared" ref="K49:K58" si="144">F49*(VLOOKUP(J49,$D$75:$I$91,3,FALSE))</f>
        <v>0</v>
      </c>
      <c r="L49" s="87">
        <f t="shared" ref="L49:L58" si="145">G49*(VLOOKUP(J49,$D$75:$I$91,5,FALSE))</f>
        <v>0</v>
      </c>
      <c r="M49" s="87">
        <f t="shared" ref="M49:M58" si="146">H49*(VLOOKUP(J49,$D$75:$I$89,4,FALSE))</f>
        <v>0</v>
      </c>
      <c r="N49" s="96">
        <f t="shared" ref="N49:N58" si="147">I49/(1-(VLOOKUP(J49,$D$75:$I$91,2,FALSE)))-I49</f>
        <v>119.1962316579729</v>
      </c>
      <c r="O49" s="111">
        <f t="shared" ref="O49:O58" si="148">SUM(F49:I49)</f>
        <v>172.98</v>
      </c>
      <c r="P49" s="329">
        <f t="shared" ref="P49:P58" si="149">F49*E49</f>
        <v>0</v>
      </c>
      <c r="Q49" s="330">
        <f t="shared" ref="Q49:Q58" si="150">G49*E49</f>
        <v>0</v>
      </c>
      <c r="R49" s="331">
        <f t="shared" ref="R49:R58" si="151">H49*E49</f>
        <v>0</v>
      </c>
      <c r="S49" s="332">
        <f t="shared" ref="S49:S58" si="152">I49*E49</f>
        <v>172.98</v>
      </c>
      <c r="T49" s="336">
        <f t="shared" ref="T49:T58" si="153">SUM(K49,L49,M49,N49,O49)</f>
        <v>292.17623165797289</v>
      </c>
      <c r="U49" s="337">
        <f t="shared" ref="U49:U58" si="154">(K49+F49)*$E49</f>
        <v>0</v>
      </c>
      <c r="V49" s="330">
        <f t="shared" ref="V49:V58" si="155">(L49+G49)*$E49</f>
        <v>0</v>
      </c>
      <c r="W49" s="331">
        <f t="shared" ref="W49:W58" si="156">(M49+H49)*E49</f>
        <v>0</v>
      </c>
      <c r="X49" s="332">
        <f t="shared" ref="X49:X58" si="157">(N49+I49)*E49</f>
        <v>292.17623165797289</v>
      </c>
      <c r="Y49" s="114">
        <f t="shared" ref="Y49:Y58" si="158">SUM(U49:X49)</f>
        <v>292.17623165797289</v>
      </c>
      <c r="Z49" s="415">
        <f t="shared" ref="Z49:Z58" si="159">IF($Y$10&gt;0,Y49/$Y$10,"-")</f>
        <v>1.3002757983621804E-3</v>
      </c>
      <c r="AA49" s="901"/>
      <c r="AB49" s="896"/>
      <c r="AC49" s="897"/>
      <c r="AD49" s="912"/>
      <c r="AE49" s="897"/>
    </row>
    <row r="50" spans="1:31" s="190" customFormat="1" ht="13.8" outlineLevel="1">
      <c r="A50" s="712"/>
      <c r="B50" s="398" t="s">
        <v>139</v>
      </c>
      <c r="C50" s="354" t="s">
        <v>1554</v>
      </c>
      <c r="D50" s="373" t="s">
        <v>1466</v>
      </c>
      <c r="E50" s="406">
        <v>1</v>
      </c>
      <c r="F50" s="320"/>
      <c r="G50" s="315"/>
      <c r="H50" s="87"/>
      <c r="I50" s="96">
        <v>175</v>
      </c>
      <c r="J50" s="95" t="s">
        <v>253</v>
      </c>
      <c r="K50" s="87">
        <f t="shared" si="144"/>
        <v>0</v>
      </c>
      <c r="L50" s="87">
        <f t="shared" si="145"/>
        <v>0</v>
      </c>
      <c r="M50" s="87">
        <f t="shared" si="146"/>
        <v>0</v>
      </c>
      <c r="N50" s="96">
        <f t="shared" si="147"/>
        <v>120.58816360356838</v>
      </c>
      <c r="O50" s="111">
        <f t="shared" si="148"/>
        <v>175</v>
      </c>
      <c r="P50" s="329">
        <f t="shared" si="149"/>
        <v>0</v>
      </c>
      <c r="Q50" s="330">
        <f t="shared" si="150"/>
        <v>0</v>
      </c>
      <c r="R50" s="331">
        <f t="shared" si="151"/>
        <v>0</v>
      </c>
      <c r="S50" s="332">
        <f t="shared" si="152"/>
        <v>175</v>
      </c>
      <c r="T50" s="336">
        <f t="shared" si="153"/>
        <v>295.58816360356838</v>
      </c>
      <c r="U50" s="337">
        <f t="shared" si="154"/>
        <v>0</v>
      </c>
      <c r="V50" s="330">
        <f t="shared" si="155"/>
        <v>0</v>
      </c>
      <c r="W50" s="331">
        <f t="shared" si="156"/>
        <v>0</v>
      </c>
      <c r="X50" s="332">
        <f t="shared" si="157"/>
        <v>295.58816360356838</v>
      </c>
      <c r="Y50" s="114">
        <f t="shared" si="158"/>
        <v>295.58816360356838</v>
      </c>
      <c r="Z50" s="415">
        <f t="shared" si="159"/>
        <v>1.3154599648131668E-3</v>
      </c>
      <c r="AA50" s="901"/>
      <c r="AB50" s="896"/>
      <c r="AC50" s="897"/>
      <c r="AD50" s="912"/>
      <c r="AE50" s="897"/>
    </row>
    <row r="51" spans="1:31" s="190" customFormat="1" outlineLevel="1">
      <c r="A51" s="713"/>
      <c r="B51" s="398" t="s">
        <v>140</v>
      </c>
      <c r="C51" s="354" t="s">
        <v>1555</v>
      </c>
      <c r="D51" s="373" t="s">
        <v>1466</v>
      </c>
      <c r="E51" s="406">
        <v>1</v>
      </c>
      <c r="F51" s="320"/>
      <c r="G51" s="315"/>
      <c r="H51" s="87"/>
      <c r="I51" s="96">
        <v>242.54</v>
      </c>
      <c r="J51" s="95" t="s">
        <v>253</v>
      </c>
      <c r="K51" s="87">
        <f t="shared" si="144"/>
        <v>0</v>
      </c>
      <c r="L51" s="87">
        <f t="shared" si="145"/>
        <v>0</v>
      </c>
      <c r="M51" s="87">
        <f t="shared" si="146"/>
        <v>0</v>
      </c>
      <c r="N51" s="96">
        <f t="shared" si="147"/>
        <v>167.12830400233989</v>
      </c>
      <c r="O51" s="111">
        <f t="shared" si="148"/>
        <v>242.54</v>
      </c>
      <c r="P51" s="329">
        <f t="shared" si="149"/>
        <v>0</v>
      </c>
      <c r="Q51" s="330">
        <f t="shared" si="150"/>
        <v>0</v>
      </c>
      <c r="R51" s="331">
        <f t="shared" si="151"/>
        <v>0</v>
      </c>
      <c r="S51" s="332">
        <f t="shared" si="152"/>
        <v>242.54</v>
      </c>
      <c r="T51" s="336">
        <f t="shared" si="153"/>
        <v>409.66830400233988</v>
      </c>
      <c r="U51" s="337">
        <f t="shared" si="154"/>
        <v>0</v>
      </c>
      <c r="V51" s="330">
        <f t="shared" si="155"/>
        <v>0</v>
      </c>
      <c r="W51" s="331">
        <f t="shared" si="156"/>
        <v>0</v>
      </c>
      <c r="X51" s="332">
        <f t="shared" si="157"/>
        <v>409.66830400233988</v>
      </c>
      <c r="Y51" s="114">
        <f t="shared" si="158"/>
        <v>409.66830400233988</v>
      </c>
      <c r="Z51" s="415">
        <f t="shared" si="159"/>
        <v>1.8231523420902029E-3</v>
      </c>
      <c r="AA51" s="901"/>
      <c r="AB51" s="896"/>
      <c r="AC51" s="897"/>
      <c r="AD51" s="912"/>
      <c r="AE51" s="897"/>
    </row>
    <row r="52" spans="1:31" s="190" customFormat="1" ht="27.6" outlineLevel="1">
      <c r="A52" s="713"/>
      <c r="B52" s="398" t="s">
        <v>141</v>
      </c>
      <c r="C52" s="354" t="s">
        <v>1508</v>
      </c>
      <c r="D52" s="373" t="s">
        <v>1466</v>
      </c>
      <c r="E52" s="406">
        <v>1</v>
      </c>
      <c r="F52" s="320"/>
      <c r="G52" s="315"/>
      <c r="H52" s="87"/>
      <c r="I52" s="96">
        <v>145</v>
      </c>
      <c r="J52" s="95" t="s">
        <v>253</v>
      </c>
      <c r="K52" s="87">
        <f t="shared" si="144"/>
        <v>0</v>
      </c>
      <c r="L52" s="87">
        <f t="shared" si="145"/>
        <v>0</v>
      </c>
      <c r="M52" s="87">
        <f t="shared" si="146"/>
        <v>0</v>
      </c>
      <c r="N52" s="96">
        <f t="shared" si="147"/>
        <v>99.91590698581382</v>
      </c>
      <c r="O52" s="111">
        <f t="shared" si="148"/>
        <v>145</v>
      </c>
      <c r="P52" s="329">
        <f t="shared" si="149"/>
        <v>0</v>
      </c>
      <c r="Q52" s="330">
        <f t="shared" si="150"/>
        <v>0</v>
      </c>
      <c r="R52" s="331">
        <f t="shared" si="151"/>
        <v>0</v>
      </c>
      <c r="S52" s="332">
        <f t="shared" si="152"/>
        <v>145</v>
      </c>
      <c r="T52" s="336">
        <f t="shared" si="153"/>
        <v>244.91590698581382</v>
      </c>
      <c r="U52" s="337">
        <f t="shared" si="154"/>
        <v>0</v>
      </c>
      <c r="V52" s="330">
        <f t="shared" si="155"/>
        <v>0</v>
      </c>
      <c r="W52" s="331">
        <f t="shared" si="156"/>
        <v>0</v>
      </c>
      <c r="X52" s="332">
        <f t="shared" si="157"/>
        <v>244.91590698581382</v>
      </c>
      <c r="Y52" s="114">
        <f t="shared" si="158"/>
        <v>244.91590698581382</v>
      </c>
      <c r="Z52" s="415">
        <f t="shared" si="159"/>
        <v>1.0899525422737668E-3</v>
      </c>
      <c r="AA52" s="901"/>
      <c r="AB52" s="896"/>
      <c r="AC52" s="897"/>
      <c r="AD52" s="912"/>
      <c r="AE52" s="897"/>
    </row>
    <row r="53" spans="1:31" s="190" customFormat="1" ht="27.6" outlineLevel="1">
      <c r="A53" s="713"/>
      <c r="B53" s="398" t="s">
        <v>142</v>
      </c>
      <c r="C53" s="354" t="s">
        <v>1509</v>
      </c>
      <c r="D53" s="373" t="s">
        <v>1466</v>
      </c>
      <c r="E53" s="406">
        <v>1</v>
      </c>
      <c r="F53" s="320"/>
      <c r="G53" s="315"/>
      <c r="H53" s="87"/>
      <c r="I53" s="96">
        <v>159.49</v>
      </c>
      <c r="J53" s="95" t="s">
        <v>253</v>
      </c>
      <c r="K53" s="87">
        <f t="shared" si="144"/>
        <v>0</v>
      </c>
      <c r="L53" s="87">
        <f t="shared" si="145"/>
        <v>0</v>
      </c>
      <c r="M53" s="87">
        <f t="shared" si="146"/>
        <v>0</v>
      </c>
      <c r="N53" s="96">
        <f t="shared" si="147"/>
        <v>109.90060693218931</v>
      </c>
      <c r="O53" s="111">
        <f t="shared" si="148"/>
        <v>159.49</v>
      </c>
      <c r="P53" s="329">
        <f t="shared" si="149"/>
        <v>0</v>
      </c>
      <c r="Q53" s="330">
        <f t="shared" si="150"/>
        <v>0</v>
      </c>
      <c r="R53" s="331">
        <f t="shared" si="151"/>
        <v>0</v>
      </c>
      <c r="S53" s="332">
        <f t="shared" si="152"/>
        <v>159.49</v>
      </c>
      <c r="T53" s="336">
        <f t="shared" si="153"/>
        <v>269.39060693218931</v>
      </c>
      <c r="U53" s="337">
        <f t="shared" si="154"/>
        <v>0</v>
      </c>
      <c r="V53" s="330">
        <f t="shared" si="155"/>
        <v>0</v>
      </c>
      <c r="W53" s="331">
        <f t="shared" si="156"/>
        <v>0</v>
      </c>
      <c r="X53" s="332">
        <f t="shared" si="157"/>
        <v>269.39060693218931</v>
      </c>
      <c r="Y53" s="114">
        <f t="shared" si="158"/>
        <v>269.39060693218931</v>
      </c>
      <c r="Z53" s="415">
        <f t="shared" si="159"/>
        <v>1.1988726273602973E-3</v>
      </c>
      <c r="AA53" s="901"/>
      <c r="AB53" s="896"/>
      <c r="AC53" s="897"/>
      <c r="AD53" s="912"/>
      <c r="AE53" s="897"/>
    </row>
    <row r="54" spans="1:31" s="190" customFormat="1" outlineLevel="1">
      <c r="A54" s="713"/>
      <c r="B54" s="398" t="s">
        <v>143</v>
      </c>
      <c r="C54" s="354" t="s">
        <v>1510</v>
      </c>
      <c r="D54" s="373" t="s">
        <v>1466</v>
      </c>
      <c r="E54" s="406">
        <v>1</v>
      </c>
      <c r="F54" s="320"/>
      <c r="G54" s="315"/>
      <c r="H54" s="87"/>
      <c r="I54" s="96">
        <v>192.58</v>
      </c>
      <c r="J54" s="95" t="s">
        <v>253</v>
      </c>
      <c r="K54" s="87">
        <f t="shared" si="144"/>
        <v>0</v>
      </c>
      <c r="L54" s="87">
        <f t="shared" si="145"/>
        <v>0</v>
      </c>
      <c r="M54" s="87">
        <f t="shared" si="146"/>
        <v>0</v>
      </c>
      <c r="N54" s="96">
        <f t="shared" si="147"/>
        <v>132.7021059815726</v>
      </c>
      <c r="O54" s="111">
        <f t="shared" si="148"/>
        <v>192.58</v>
      </c>
      <c r="P54" s="329">
        <f t="shared" si="149"/>
        <v>0</v>
      </c>
      <c r="Q54" s="330">
        <f t="shared" si="150"/>
        <v>0</v>
      </c>
      <c r="R54" s="331">
        <f t="shared" si="151"/>
        <v>0</v>
      </c>
      <c r="S54" s="332">
        <f t="shared" si="152"/>
        <v>192.58</v>
      </c>
      <c r="T54" s="336">
        <f t="shared" si="153"/>
        <v>325.28210598157261</v>
      </c>
      <c r="U54" s="337">
        <f t="shared" si="154"/>
        <v>0</v>
      </c>
      <c r="V54" s="330">
        <f t="shared" si="155"/>
        <v>0</v>
      </c>
      <c r="W54" s="331">
        <f t="shared" si="156"/>
        <v>0</v>
      </c>
      <c r="X54" s="332">
        <f t="shared" si="157"/>
        <v>325.28210598157261</v>
      </c>
      <c r="Y54" s="114">
        <f t="shared" si="158"/>
        <v>325.28210598157261</v>
      </c>
      <c r="Z54" s="415">
        <f t="shared" si="159"/>
        <v>1.4476073144212556E-3</v>
      </c>
      <c r="AA54" s="901"/>
      <c r="AB54" s="896"/>
      <c r="AC54" s="897"/>
      <c r="AD54" s="912"/>
      <c r="AE54" s="897"/>
    </row>
    <row r="55" spans="1:31" s="190" customFormat="1" outlineLevel="1">
      <c r="A55" s="371"/>
      <c r="B55" s="398" t="s">
        <v>1549</v>
      </c>
      <c r="C55" s="354" t="s">
        <v>1511</v>
      </c>
      <c r="D55" s="373" t="s">
        <v>1466</v>
      </c>
      <c r="E55" s="406">
        <v>1</v>
      </c>
      <c r="F55" s="320"/>
      <c r="G55" s="315"/>
      <c r="H55" s="87"/>
      <c r="I55" s="96">
        <v>225</v>
      </c>
      <c r="J55" s="95" t="s">
        <v>253</v>
      </c>
      <c r="K55" s="87">
        <f t="shared" si="144"/>
        <v>0</v>
      </c>
      <c r="L55" s="87">
        <f t="shared" si="145"/>
        <v>0</v>
      </c>
      <c r="M55" s="87">
        <f t="shared" si="146"/>
        <v>0</v>
      </c>
      <c r="N55" s="96">
        <f t="shared" si="147"/>
        <v>155.04192463315934</v>
      </c>
      <c r="O55" s="111">
        <f t="shared" si="148"/>
        <v>225</v>
      </c>
      <c r="P55" s="329">
        <f t="shared" si="149"/>
        <v>0</v>
      </c>
      <c r="Q55" s="330">
        <f t="shared" si="150"/>
        <v>0</v>
      </c>
      <c r="R55" s="331">
        <f t="shared" si="151"/>
        <v>0</v>
      </c>
      <c r="S55" s="332">
        <f t="shared" si="152"/>
        <v>225</v>
      </c>
      <c r="T55" s="336">
        <f t="shared" si="153"/>
        <v>380.04192463315934</v>
      </c>
      <c r="U55" s="337">
        <f t="shared" si="154"/>
        <v>0</v>
      </c>
      <c r="V55" s="330">
        <f t="shared" si="155"/>
        <v>0</v>
      </c>
      <c r="W55" s="331">
        <f t="shared" si="156"/>
        <v>0</v>
      </c>
      <c r="X55" s="332">
        <f t="shared" si="157"/>
        <v>380.04192463315934</v>
      </c>
      <c r="Y55" s="114">
        <f t="shared" si="158"/>
        <v>380.04192463315934</v>
      </c>
      <c r="Z55" s="415">
        <f t="shared" si="159"/>
        <v>1.6913056690455001E-3</v>
      </c>
      <c r="AA55" s="903"/>
    </row>
    <row r="56" spans="1:31" s="190" customFormat="1" outlineLevel="1">
      <c r="A56" s="371"/>
      <c r="B56" s="398" t="s">
        <v>1550</v>
      </c>
      <c r="C56" s="354" t="s">
        <v>1512</v>
      </c>
      <c r="D56" s="373" t="s">
        <v>1466</v>
      </c>
      <c r="E56" s="406">
        <v>1</v>
      </c>
      <c r="F56" s="320"/>
      <c r="G56" s="315"/>
      <c r="H56" s="87"/>
      <c r="I56" s="96">
        <v>225</v>
      </c>
      <c r="J56" s="95" t="s">
        <v>253</v>
      </c>
      <c r="K56" s="87">
        <f t="shared" si="144"/>
        <v>0</v>
      </c>
      <c r="L56" s="87">
        <f t="shared" si="145"/>
        <v>0</v>
      </c>
      <c r="M56" s="87">
        <f t="shared" si="146"/>
        <v>0</v>
      </c>
      <c r="N56" s="96">
        <f t="shared" si="147"/>
        <v>155.04192463315934</v>
      </c>
      <c r="O56" s="111">
        <f t="shared" si="148"/>
        <v>225</v>
      </c>
      <c r="P56" s="329">
        <f t="shared" si="149"/>
        <v>0</v>
      </c>
      <c r="Q56" s="330">
        <f t="shared" si="150"/>
        <v>0</v>
      </c>
      <c r="R56" s="331">
        <f t="shared" si="151"/>
        <v>0</v>
      </c>
      <c r="S56" s="332">
        <f t="shared" si="152"/>
        <v>225</v>
      </c>
      <c r="T56" s="336">
        <f t="shared" si="153"/>
        <v>380.04192463315934</v>
      </c>
      <c r="U56" s="337">
        <f t="shared" si="154"/>
        <v>0</v>
      </c>
      <c r="V56" s="330">
        <f t="shared" si="155"/>
        <v>0</v>
      </c>
      <c r="W56" s="331">
        <f t="shared" si="156"/>
        <v>0</v>
      </c>
      <c r="X56" s="332">
        <f t="shared" si="157"/>
        <v>380.04192463315934</v>
      </c>
      <c r="Y56" s="114">
        <f t="shared" si="158"/>
        <v>380.04192463315934</v>
      </c>
      <c r="Z56" s="415">
        <f t="shared" si="159"/>
        <v>1.6913056690455001E-3</v>
      </c>
      <c r="AA56" s="903"/>
    </row>
    <row r="57" spans="1:31" s="190" customFormat="1" ht="27.6" outlineLevel="1">
      <c r="A57" s="371"/>
      <c r="B57" s="398" t="s">
        <v>1551</v>
      </c>
      <c r="C57" s="354" t="s">
        <v>1513</v>
      </c>
      <c r="D57" s="373" t="s">
        <v>1466</v>
      </c>
      <c r="E57" s="406">
        <v>1</v>
      </c>
      <c r="F57" s="320"/>
      <c r="G57" s="315"/>
      <c r="H57" s="87"/>
      <c r="I57" s="96">
        <v>188.77</v>
      </c>
      <c r="J57" s="95" t="s">
        <v>253</v>
      </c>
      <c r="K57" s="87">
        <f t="shared" si="144"/>
        <v>0</v>
      </c>
      <c r="L57" s="87">
        <f t="shared" si="145"/>
        <v>0</v>
      </c>
      <c r="M57" s="87">
        <f t="shared" si="146"/>
        <v>0</v>
      </c>
      <c r="N57" s="96">
        <f t="shared" si="147"/>
        <v>130.07672939111777</v>
      </c>
      <c r="O57" s="111">
        <f t="shared" si="148"/>
        <v>188.77</v>
      </c>
      <c r="P57" s="329">
        <f t="shared" si="149"/>
        <v>0</v>
      </c>
      <c r="Q57" s="330">
        <f t="shared" si="150"/>
        <v>0</v>
      </c>
      <c r="R57" s="331">
        <f t="shared" si="151"/>
        <v>0</v>
      </c>
      <c r="S57" s="332">
        <f t="shared" si="152"/>
        <v>188.77</v>
      </c>
      <c r="T57" s="336">
        <f t="shared" si="153"/>
        <v>318.84672939111778</v>
      </c>
      <c r="U57" s="337">
        <f t="shared" si="154"/>
        <v>0</v>
      </c>
      <c r="V57" s="330">
        <f t="shared" si="155"/>
        <v>0</v>
      </c>
      <c r="W57" s="331">
        <f t="shared" si="156"/>
        <v>0</v>
      </c>
      <c r="X57" s="332">
        <f t="shared" si="157"/>
        <v>318.84672939111778</v>
      </c>
      <c r="Y57" s="114">
        <f t="shared" si="158"/>
        <v>318.84672939111778</v>
      </c>
      <c r="Z57" s="415">
        <f t="shared" si="159"/>
        <v>1.4189678717587517E-3</v>
      </c>
      <c r="AA57" s="903"/>
    </row>
    <row r="58" spans="1:31" s="190" customFormat="1" outlineLevel="1">
      <c r="A58" s="963"/>
      <c r="B58" s="398" t="s">
        <v>1552</v>
      </c>
      <c r="C58" s="354" t="s">
        <v>1514</v>
      </c>
      <c r="D58" s="373" t="s">
        <v>1466</v>
      </c>
      <c r="E58" s="406">
        <v>1</v>
      </c>
      <c r="F58" s="320"/>
      <c r="G58" s="315"/>
      <c r="H58" s="87"/>
      <c r="I58" s="96">
        <v>150</v>
      </c>
      <c r="J58" s="95" t="s">
        <v>253</v>
      </c>
      <c r="K58" s="87">
        <f t="shared" si="144"/>
        <v>0</v>
      </c>
      <c r="L58" s="87">
        <f t="shared" si="145"/>
        <v>0</v>
      </c>
      <c r="M58" s="87">
        <f t="shared" si="146"/>
        <v>0</v>
      </c>
      <c r="N58" s="96">
        <f t="shared" si="147"/>
        <v>103.36128308877292</v>
      </c>
      <c r="O58" s="111">
        <f t="shared" si="148"/>
        <v>150</v>
      </c>
      <c r="P58" s="329">
        <f t="shared" si="149"/>
        <v>0</v>
      </c>
      <c r="Q58" s="330">
        <f t="shared" si="150"/>
        <v>0</v>
      </c>
      <c r="R58" s="331">
        <f t="shared" si="151"/>
        <v>0</v>
      </c>
      <c r="S58" s="332">
        <f t="shared" si="152"/>
        <v>150</v>
      </c>
      <c r="T58" s="336">
        <f t="shared" si="153"/>
        <v>253.36128308877292</v>
      </c>
      <c r="U58" s="337">
        <f t="shared" si="154"/>
        <v>0</v>
      </c>
      <c r="V58" s="330">
        <f t="shared" si="155"/>
        <v>0</v>
      </c>
      <c r="W58" s="331">
        <f t="shared" si="156"/>
        <v>0</v>
      </c>
      <c r="X58" s="332">
        <f t="shared" si="157"/>
        <v>253.36128308877292</v>
      </c>
      <c r="Y58" s="114">
        <f t="shared" si="158"/>
        <v>253.36128308877292</v>
      </c>
      <c r="Z58" s="415">
        <f t="shared" si="159"/>
        <v>1.1275371126970002E-3</v>
      </c>
      <c r="AA58" s="903"/>
    </row>
    <row r="59" spans="1:31" s="191" customFormat="1" ht="13.8" hidden="1" outlineLevel="1">
      <c r="A59" s="370"/>
      <c r="B59" s="351"/>
      <c r="C59" s="352"/>
      <c r="D59" s="353"/>
      <c r="E59" s="135"/>
      <c r="F59" s="101"/>
      <c r="G59" s="314"/>
      <c r="H59" s="99"/>
      <c r="I59" s="104"/>
      <c r="J59" s="103"/>
      <c r="K59" s="314"/>
      <c r="L59" s="86"/>
      <c r="M59" s="86"/>
      <c r="N59" s="97"/>
      <c r="O59" s="110"/>
      <c r="P59" s="327"/>
      <c r="Q59" s="327"/>
      <c r="R59" s="327"/>
      <c r="S59" s="327"/>
      <c r="T59" s="327"/>
      <c r="U59" s="327"/>
      <c r="V59" s="327"/>
      <c r="W59" s="327"/>
      <c r="X59" s="327"/>
      <c r="Y59" s="327"/>
      <c r="Z59" s="414"/>
      <c r="AA59" s="902"/>
    </row>
    <row r="60" spans="1:31" s="190" customFormat="1" hidden="1" outlineLevel="1">
      <c r="A60" s="371"/>
      <c r="B60" s="398" t="s">
        <v>231</v>
      </c>
      <c r="C60" s="682"/>
      <c r="D60" s="93"/>
      <c r="E60" s="358"/>
      <c r="F60" s="321"/>
      <c r="G60" s="316"/>
      <c r="H60" s="100"/>
      <c r="I60" s="107"/>
      <c r="J60" s="95" t="s">
        <v>257</v>
      </c>
      <c r="K60" s="87">
        <f>F60*(VLOOKUP(J60,$D$75:$I$91,3,FALSE))</f>
        <v>0</v>
      </c>
      <c r="L60" s="87">
        <f>G60*(VLOOKUP(J60,$D$75:$I$91,5,FALSE))</f>
        <v>0</v>
      </c>
      <c r="M60" s="87">
        <f>H60*(VLOOKUP(J60,$D$75:$I$89,4,FALSE))</f>
        <v>0</v>
      </c>
      <c r="N60" s="96">
        <f>I60*(VLOOKUP(J60,$D$75:$I$91,2,FALSE))</f>
        <v>0</v>
      </c>
      <c r="O60" s="111">
        <f>SUM(F60:I60)</f>
        <v>0</v>
      </c>
      <c r="P60" s="329">
        <f>F60*E60</f>
        <v>0</v>
      </c>
      <c r="Q60" s="330">
        <f>G60*E60</f>
        <v>0</v>
      </c>
      <c r="R60" s="331">
        <f>H60*E60</f>
        <v>0</v>
      </c>
      <c r="S60" s="332">
        <f>I60*E60</f>
        <v>0</v>
      </c>
      <c r="T60" s="336">
        <f>SUM(K60,L60,M60,N60,O60)</f>
        <v>0</v>
      </c>
      <c r="U60" s="337">
        <f t="shared" ref="U60:V62" si="160">(K60+F60)*$E60</f>
        <v>0</v>
      </c>
      <c r="V60" s="330">
        <f t="shared" si="160"/>
        <v>0</v>
      </c>
      <c r="W60" s="331">
        <f>(M60+H60)*E60</f>
        <v>0</v>
      </c>
      <c r="X60" s="332">
        <f>(N60+I60)*E60</f>
        <v>0</v>
      </c>
      <c r="Y60" s="114">
        <f>SUM(U60:X60)</f>
        <v>0</v>
      </c>
      <c r="Z60" s="415" t="e">
        <f>IF(#REF!&gt;0,Y60/#REF!,"-")</f>
        <v>#REF!</v>
      </c>
      <c r="AA60" s="903"/>
    </row>
    <row r="61" spans="1:31" s="190" customFormat="1" hidden="1" outlineLevel="1">
      <c r="A61" s="371"/>
      <c r="B61" s="398" t="s">
        <v>232</v>
      </c>
      <c r="C61" s="682"/>
      <c r="D61" s="93"/>
      <c r="E61" s="358"/>
      <c r="F61" s="321"/>
      <c r="G61" s="316"/>
      <c r="H61" s="100"/>
      <c r="I61" s="107"/>
      <c r="J61" s="95" t="s">
        <v>257</v>
      </c>
      <c r="K61" s="87">
        <f>F61*(VLOOKUP(J61,$D$75:$I$91,3,FALSE))</f>
        <v>0</v>
      </c>
      <c r="L61" s="87">
        <f>G61*(VLOOKUP(J61,$D$75:$I$91,5,FALSE))</f>
        <v>0</v>
      </c>
      <c r="M61" s="87">
        <f>H61*(VLOOKUP(J61,$D$75:$I$89,4,FALSE))</f>
        <v>0</v>
      </c>
      <c r="N61" s="96">
        <f>I61*(VLOOKUP(J61,$D$75:$I$91,2,FALSE))</f>
        <v>0</v>
      </c>
      <c r="O61" s="111">
        <f>SUM(F61:I61)</f>
        <v>0</v>
      </c>
      <c r="P61" s="329">
        <f>F61*E61</f>
        <v>0</v>
      </c>
      <c r="Q61" s="330">
        <f>G61*E61</f>
        <v>0</v>
      </c>
      <c r="R61" s="331">
        <f>H61*E61</f>
        <v>0</v>
      </c>
      <c r="S61" s="332">
        <f>I61*E61</f>
        <v>0</v>
      </c>
      <c r="T61" s="336">
        <f>SUM(K61,L61,M61,N61,O61)</f>
        <v>0</v>
      </c>
      <c r="U61" s="337">
        <f t="shared" si="160"/>
        <v>0</v>
      </c>
      <c r="V61" s="330">
        <f t="shared" si="160"/>
        <v>0</v>
      </c>
      <c r="W61" s="331">
        <f>(M61+H61)*E61</f>
        <v>0</v>
      </c>
      <c r="X61" s="332">
        <f>(N61+I61)*E61</f>
        <v>0</v>
      </c>
      <c r="Y61" s="114">
        <f>SUM(U61:X61)</f>
        <v>0</v>
      </c>
      <c r="Z61" s="415" t="e">
        <f>IF(#REF!&gt;0,Y61/#REF!,"-")</f>
        <v>#REF!</v>
      </c>
      <c r="AA61" s="903"/>
    </row>
    <row r="62" spans="1:31" s="190" customFormat="1" hidden="1" outlineLevel="1">
      <c r="A62" s="371"/>
      <c r="B62" s="398" t="s">
        <v>233</v>
      </c>
      <c r="C62" s="682"/>
      <c r="D62" s="93"/>
      <c r="E62" s="358"/>
      <c r="F62" s="321"/>
      <c r="G62" s="316"/>
      <c r="H62" s="100"/>
      <c r="I62" s="96"/>
      <c r="J62" s="95" t="s">
        <v>257</v>
      </c>
      <c r="K62" s="87">
        <f>F62*(VLOOKUP(J62,$D$75:$I$91,3,FALSE))</f>
        <v>0</v>
      </c>
      <c r="L62" s="87">
        <f>G62*(VLOOKUP(J62,$D$75:$I$91,5,FALSE))</f>
        <v>0</v>
      </c>
      <c r="M62" s="87">
        <f>H62*(VLOOKUP(J62,$D$75:$I$89,4,FALSE))</f>
        <v>0</v>
      </c>
      <c r="N62" s="96">
        <f>I62*(VLOOKUP(J62,$D$75:$I$91,2,FALSE))</f>
        <v>0</v>
      </c>
      <c r="O62" s="111">
        <f>SUM(F62:I62)</f>
        <v>0</v>
      </c>
      <c r="P62" s="329">
        <f>F62*E62</f>
        <v>0</v>
      </c>
      <c r="Q62" s="330">
        <f>G62*E62</f>
        <v>0</v>
      </c>
      <c r="R62" s="331">
        <f>H62*E62</f>
        <v>0</v>
      </c>
      <c r="S62" s="332">
        <f>I62*E62</f>
        <v>0</v>
      </c>
      <c r="T62" s="336">
        <f>SUM(K62,L62,M62,N62,O62)</f>
        <v>0</v>
      </c>
      <c r="U62" s="337">
        <f t="shared" si="160"/>
        <v>0</v>
      </c>
      <c r="V62" s="330">
        <f t="shared" si="160"/>
        <v>0</v>
      </c>
      <c r="W62" s="331">
        <f>(M62+H62)*E62</f>
        <v>0</v>
      </c>
      <c r="X62" s="332">
        <f>(N62+I62)*E62</f>
        <v>0</v>
      </c>
      <c r="Y62" s="114">
        <f>SUM(U62:X62)</f>
        <v>0</v>
      </c>
      <c r="Z62" s="415" t="e">
        <f>IF(#REF!&gt;0,Y62/#REF!,"-")</f>
        <v>#REF!</v>
      </c>
      <c r="AA62" s="903"/>
    </row>
    <row r="63" spans="1:31" s="190" customFormat="1" hidden="1">
      <c r="A63" s="928"/>
      <c r="B63" s="398"/>
      <c r="C63" s="682"/>
      <c r="D63" s="93"/>
      <c r="E63" s="358"/>
      <c r="F63" s="321"/>
      <c r="G63" s="100"/>
      <c r="H63" s="100"/>
      <c r="I63" s="107"/>
      <c r="J63" s="95"/>
      <c r="K63" s="87"/>
      <c r="L63" s="87"/>
      <c r="M63" s="87"/>
      <c r="N63" s="96"/>
      <c r="O63" s="111"/>
      <c r="P63" s="329"/>
      <c r="Q63" s="330"/>
      <c r="R63" s="331"/>
      <c r="S63" s="332"/>
      <c r="T63" s="336"/>
      <c r="U63" s="337"/>
      <c r="V63" s="330"/>
      <c r="W63" s="331"/>
      <c r="X63" s="332"/>
      <c r="Y63" s="114"/>
      <c r="Z63" s="415"/>
      <c r="AA63" s="903"/>
    </row>
    <row r="64" spans="1:31" s="190" customFormat="1">
      <c r="A64" s="371"/>
      <c r="B64" s="398"/>
      <c r="C64" s="682"/>
      <c r="D64" s="93"/>
      <c r="E64" s="358"/>
      <c r="F64" s="321"/>
      <c r="G64" s="316"/>
      <c r="H64" s="100"/>
      <c r="I64" s="107"/>
      <c r="J64" s="95"/>
      <c r="K64" s="87"/>
      <c r="L64" s="87"/>
      <c r="M64" s="87"/>
      <c r="N64" s="96"/>
      <c r="O64" s="111"/>
      <c r="P64" s="329"/>
      <c r="Q64" s="330"/>
      <c r="R64" s="331"/>
      <c r="S64" s="332"/>
      <c r="T64" s="336"/>
      <c r="U64" s="337"/>
      <c r="V64" s="330"/>
      <c r="W64" s="331"/>
      <c r="X64" s="332"/>
      <c r="Y64" s="114"/>
      <c r="Z64" s="415"/>
      <c r="AA64" s="903"/>
    </row>
    <row r="65" spans="1:28" s="191" customFormat="1" ht="13.8">
      <c r="A65" s="877"/>
      <c r="B65" s="351">
        <v>1</v>
      </c>
      <c r="C65" s="352" t="s">
        <v>244</v>
      </c>
      <c r="D65" s="353"/>
      <c r="E65" s="135"/>
      <c r="F65" s="101"/>
      <c r="G65" s="314"/>
      <c r="H65" s="99"/>
      <c r="I65" s="104"/>
      <c r="J65" s="103"/>
      <c r="K65" s="314"/>
      <c r="L65" s="86"/>
      <c r="M65" s="86"/>
      <c r="N65" s="97"/>
      <c r="O65" s="110"/>
      <c r="P65" s="327">
        <f>SUM(P66:P70)</f>
        <v>0</v>
      </c>
      <c r="Q65" s="327">
        <f>SUM(Q66:Q70)</f>
        <v>0</v>
      </c>
      <c r="R65" s="327">
        <f>SUM(R66:R70)</f>
        <v>0</v>
      </c>
      <c r="S65" s="327">
        <f>SUM(S66:S70)</f>
        <v>2351090.3593030302</v>
      </c>
      <c r="T65" s="327"/>
      <c r="U65" s="327">
        <f>SUM(U66:U70)</f>
        <v>0</v>
      </c>
      <c r="V65" s="327">
        <f>SUM(V66:V70)</f>
        <v>0</v>
      </c>
      <c r="W65" s="327">
        <f>SUM(W66:W70)</f>
        <v>0</v>
      </c>
      <c r="X65" s="327">
        <f>SUM(X66:X70)</f>
        <v>3290671.7337560663</v>
      </c>
      <c r="Y65" s="327">
        <f>SUM(Y66:Y70)</f>
        <v>3290671.7337560663</v>
      </c>
      <c r="Z65" s="414">
        <f>SUM(Z66:Z69)</f>
        <v>1</v>
      </c>
      <c r="AA65" s="902">
        <f>Y65/Y71</f>
        <v>0.54450322980663712</v>
      </c>
    </row>
    <row r="66" spans="1:28" s="190" customFormat="1" ht="13.8">
      <c r="A66" s="741"/>
      <c r="B66" s="359" t="s">
        <v>118</v>
      </c>
      <c r="C66" s="357" t="s">
        <v>1461</v>
      </c>
      <c r="D66" s="93" t="s">
        <v>1007</v>
      </c>
      <c r="E66" s="358">
        <v>1</v>
      </c>
      <c r="F66" s="321"/>
      <c r="G66" s="316"/>
      <c r="H66" s="100"/>
      <c r="I66" s="107">
        <f>C_INDIRETO!E5</f>
        <v>1704945.9069696972</v>
      </c>
      <c r="J66" s="95" t="s">
        <v>245</v>
      </c>
      <c r="K66" s="87">
        <f>F66*(VLOOKUP(J66,$D$75:$I$91,3,FALSE))</f>
        <v>0</v>
      </c>
      <c r="L66" s="87">
        <f>G66*(VLOOKUP(J66,$D$75:$I$91,5,FALSE))</f>
        <v>0</v>
      </c>
      <c r="M66" s="87">
        <f>H66*(VLOOKUP(J66,$D$75:$I$89,4,FALSE))</f>
        <v>0</v>
      </c>
      <c r="N66" s="96">
        <f t="shared" ref="N66:N69" si="161">I66/(1-(VLOOKUP(J66,$D$75:$I$91,2,FALSE)))-I66</f>
        <v>681358.50768132601</v>
      </c>
      <c r="O66" s="111">
        <f t="shared" ref="O66:O69" si="162">SUM(F66:I66)</f>
        <v>1704945.9069696972</v>
      </c>
      <c r="P66" s="329">
        <f t="shared" ref="P66:P69" si="163">F66*E66</f>
        <v>0</v>
      </c>
      <c r="Q66" s="328">
        <f t="shared" ref="Q66:Q69" si="164">G66*E66</f>
        <v>0</v>
      </c>
      <c r="R66" s="133"/>
      <c r="S66" s="113">
        <f t="shared" ref="S66:S69" si="165">I66*E66</f>
        <v>1704945.9069696972</v>
      </c>
      <c r="T66" s="334">
        <f t="shared" ref="T66:T69" si="166">SUM(K66,L66,M66,N66,O66)</f>
        <v>2386304.4146510232</v>
      </c>
      <c r="U66" s="132">
        <f t="shared" ref="U66:V69" si="167">(K66+F66)*$E66</f>
        <v>0</v>
      </c>
      <c r="V66" s="328">
        <f t="shared" si="167"/>
        <v>0</v>
      </c>
      <c r="W66" s="133"/>
      <c r="X66" s="113">
        <f t="shared" ref="X66:X69" si="168">(N66+I66)*E66</f>
        <v>2386304.4146510232</v>
      </c>
      <c r="Y66" s="114">
        <f t="shared" ref="Y66:Y69" si="169">SUM(U66:X66)</f>
        <v>2386304.4146510232</v>
      </c>
      <c r="Z66" s="415">
        <f>IF($Y$65&gt;0,Y66/$Y$65,"-")</f>
        <v>0.72517242913416569</v>
      </c>
      <c r="AA66" s="903"/>
    </row>
    <row r="67" spans="1:28" s="190" customFormat="1" ht="13.8">
      <c r="A67" s="711"/>
      <c r="B67" s="743" t="s">
        <v>119</v>
      </c>
      <c r="C67" s="744" t="s">
        <v>1462</v>
      </c>
      <c r="D67" s="745" t="s">
        <v>1007</v>
      </c>
      <c r="E67" s="746">
        <v>1</v>
      </c>
      <c r="F67" s="747"/>
      <c r="G67" s="748"/>
      <c r="H67" s="749"/>
      <c r="I67" s="750">
        <f>C_INDIRETO!E10</f>
        <v>340339.76899999997</v>
      </c>
      <c r="J67" s="95" t="s">
        <v>245</v>
      </c>
      <c r="K67" s="87">
        <f>F67*(VLOOKUP(J67,$D$75:$I$91,3,FALSE))</f>
        <v>0</v>
      </c>
      <c r="L67" s="87">
        <f>G67*(VLOOKUP(J67,$D$75:$I$91,5,FALSE))</f>
        <v>0</v>
      </c>
      <c r="M67" s="87">
        <f>H67*(VLOOKUP(J67,$D$75:$I$89,4,FALSE))</f>
        <v>0</v>
      </c>
      <c r="N67" s="96">
        <f t="shared" si="161"/>
        <v>136012.17268095346</v>
      </c>
      <c r="O67" s="111">
        <f t="shared" si="162"/>
        <v>340339.76899999997</v>
      </c>
      <c r="P67" s="329">
        <f t="shared" si="163"/>
        <v>0</v>
      </c>
      <c r="Q67" s="328">
        <f t="shared" si="164"/>
        <v>0</v>
      </c>
      <c r="R67" s="133">
        <f t="shared" ref="R67:R69" si="170">H67*E67</f>
        <v>0</v>
      </c>
      <c r="S67" s="113">
        <f t="shared" si="165"/>
        <v>340339.76899999997</v>
      </c>
      <c r="T67" s="334">
        <f t="shared" si="166"/>
        <v>476351.94168095343</v>
      </c>
      <c r="U67" s="132">
        <f t="shared" si="167"/>
        <v>0</v>
      </c>
      <c r="V67" s="328">
        <f t="shared" si="167"/>
        <v>0</v>
      </c>
      <c r="W67" s="133">
        <f t="shared" ref="W67:W69" si="171">(M67+H67)*E67</f>
        <v>0</v>
      </c>
      <c r="X67" s="113">
        <f t="shared" si="168"/>
        <v>476351.94168095343</v>
      </c>
      <c r="Y67" s="114">
        <f t="shared" si="169"/>
        <v>476351.94168095343</v>
      </c>
      <c r="Z67" s="415">
        <f>IF($Y$65&gt;0,Y67/$Y$65,"-")</f>
        <v>0.14475826828743923</v>
      </c>
      <c r="AA67" s="903"/>
    </row>
    <row r="68" spans="1:28" s="190" customFormat="1" ht="13.8">
      <c r="A68" s="711"/>
      <c r="B68" s="743" t="s">
        <v>120</v>
      </c>
      <c r="C68" s="744" t="s">
        <v>1463</v>
      </c>
      <c r="D68" s="745" t="s">
        <v>1007</v>
      </c>
      <c r="E68" s="746">
        <v>1</v>
      </c>
      <c r="F68" s="747"/>
      <c r="G68" s="748"/>
      <c r="H68" s="749"/>
      <c r="I68" s="750">
        <f>C_INDIRETO!E8</f>
        <v>138618.01666666666</v>
      </c>
      <c r="J68" s="95" t="s">
        <v>245</v>
      </c>
      <c r="K68" s="87">
        <f>F68*(VLOOKUP(J68,$D$75:$I$91,3,FALSE))</f>
        <v>0</v>
      </c>
      <c r="L68" s="87">
        <f>G68*(VLOOKUP(J68,$D$75:$I$91,5,FALSE))</f>
        <v>0</v>
      </c>
      <c r="M68" s="87">
        <f>H68*(VLOOKUP(J68,$D$75:$I$89,4,FALSE))</f>
        <v>0</v>
      </c>
      <c r="N68" s="96">
        <f t="shared" si="161"/>
        <v>55396.810296236508</v>
      </c>
      <c r="O68" s="111">
        <f t="shared" si="162"/>
        <v>138618.01666666666</v>
      </c>
      <c r="P68" s="329">
        <f t="shared" si="163"/>
        <v>0</v>
      </c>
      <c r="Q68" s="328">
        <f t="shared" si="164"/>
        <v>0</v>
      </c>
      <c r="R68" s="133">
        <f t="shared" si="170"/>
        <v>0</v>
      </c>
      <c r="S68" s="113">
        <f t="shared" si="165"/>
        <v>138618.01666666666</v>
      </c>
      <c r="T68" s="334">
        <f t="shared" si="166"/>
        <v>194014.82696290317</v>
      </c>
      <c r="U68" s="132">
        <f t="shared" si="167"/>
        <v>0</v>
      </c>
      <c r="V68" s="328">
        <f t="shared" si="167"/>
        <v>0</v>
      </c>
      <c r="W68" s="133">
        <f t="shared" si="171"/>
        <v>0</v>
      </c>
      <c r="X68" s="113">
        <f t="shared" si="168"/>
        <v>194014.82696290317</v>
      </c>
      <c r="Y68" s="114">
        <f t="shared" si="169"/>
        <v>194014.82696290317</v>
      </c>
      <c r="Z68" s="415">
        <f>IF($Y$65&gt;0,Y68/$Y$65,"-")</f>
        <v>5.8959034100143783E-2</v>
      </c>
      <c r="AA68" s="903"/>
    </row>
    <row r="69" spans="1:28" s="190" customFormat="1" ht="13.8">
      <c r="A69" s="711"/>
      <c r="B69" s="743" t="s">
        <v>121</v>
      </c>
      <c r="C69" s="744" t="s">
        <v>1464</v>
      </c>
      <c r="D69" s="745" t="s">
        <v>1007</v>
      </c>
      <c r="E69" s="746">
        <v>1</v>
      </c>
      <c r="F69" s="747"/>
      <c r="G69" s="748"/>
      <c r="H69" s="749"/>
      <c r="I69" s="750">
        <f>C_INDIRETO!E7</f>
        <v>167186.66666666669</v>
      </c>
      <c r="J69" s="95" t="s">
        <v>245</v>
      </c>
      <c r="K69" s="87">
        <f>F69*(VLOOKUP(J69,$D$75:$I$91,3,FALSE))</f>
        <v>0</v>
      </c>
      <c r="L69" s="87">
        <f>G69*(VLOOKUP(J69,$D$75:$I$91,5,FALSE))</f>
        <v>0</v>
      </c>
      <c r="M69" s="87">
        <f>H69*(VLOOKUP(J69,$D$75:$I$89,4,FALSE))</f>
        <v>0</v>
      </c>
      <c r="N69" s="96">
        <f t="shared" si="161"/>
        <v>66813.883794519701</v>
      </c>
      <c r="O69" s="111">
        <f t="shared" si="162"/>
        <v>167186.66666666669</v>
      </c>
      <c r="P69" s="329">
        <f t="shared" si="163"/>
        <v>0</v>
      </c>
      <c r="Q69" s="328">
        <f t="shared" si="164"/>
        <v>0</v>
      </c>
      <c r="R69" s="133">
        <f t="shared" si="170"/>
        <v>0</v>
      </c>
      <c r="S69" s="113">
        <f t="shared" si="165"/>
        <v>167186.66666666669</v>
      </c>
      <c r="T69" s="334">
        <f t="shared" si="166"/>
        <v>234000.55046118639</v>
      </c>
      <c r="U69" s="132">
        <f t="shared" si="167"/>
        <v>0</v>
      </c>
      <c r="V69" s="328">
        <f t="shared" si="167"/>
        <v>0</v>
      </c>
      <c r="W69" s="133">
        <f t="shared" si="171"/>
        <v>0</v>
      </c>
      <c r="X69" s="113">
        <f t="shared" si="168"/>
        <v>234000.55046118639</v>
      </c>
      <c r="Y69" s="114">
        <f t="shared" si="169"/>
        <v>234000.55046118639</v>
      </c>
      <c r="Z69" s="415">
        <f>IF($Y$65&gt;0,Y69/$Y$65,"-")</f>
        <v>7.1110268478251248E-2</v>
      </c>
      <c r="AA69" s="903"/>
    </row>
    <row r="70" spans="1:28" thickBot="1">
      <c r="B70" s="338"/>
      <c r="C70" s="339"/>
      <c r="D70" s="340"/>
      <c r="E70" s="341"/>
      <c r="F70" s="322"/>
      <c r="G70" s="317"/>
      <c r="H70" s="129"/>
      <c r="I70" s="130"/>
      <c r="J70" s="1018"/>
      <c r="K70" s="129"/>
      <c r="L70" s="129"/>
      <c r="M70" s="129"/>
      <c r="N70" s="130"/>
      <c r="O70" s="1019"/>
      <c r="P70" s="1020"/>
      <c r="Q70" s="1021"/>
      <c r="R70" s="1022"/>
      <c r="S70" s="1023"/>
      <c r="T70" s="1024"/>
      <c r="U70" s="1025"/>
      <c r="V70" s="1021"/>
      <c r="W70" s="1022"/>
      <c r="X70" s="1023"/>
      <c r="Y70" s="1026"/>
      <c r="Z70" s="1027"/>
      <c r="AA70" s="903"/>
      <c r="AB70" s="855">
        <v>102541.3</v>
      </c>
    </row>
    <row r="71" spans="1:28" ht="15.6">
      <c r="B71" s="342"/>
      <c r="C71" s="343"/>
      <c r="D71" s="344"/>
      <c r="E71" s="344"/>
      <c r="F71" s="344"/>
      <c r="G71" s="345"/>
      <c r="H71" s="345"/>
      <c r="I71" s="345"/>
      <c r="J71" s="345"/>
      <c r="K71" s="344"/>
      <c r="L71" s="345"/>
      <c r="M71" s="345"/>
      <c r="N71" s="345"/>
      <c r="O71" s="345"/>
      <c r="P71" s="345">
        <f>SUM(P10,P23,P34,P65)</f>
        <v>0</v>
      </c>
      <c r="Q71" s="345">
        <f>SUM(Q10,Q23,Q34,Q65)</f>
        <v>0</v>
      </c>
      <c r="R71" s="345">
        <f>SUM(R10,R23,R34,R65)</f>
        <v>0</v>
      </c>
      <c r="S71" s="345">
        <f>SUM(S10,S23,S34,S65)</f>
        <v>3978961.83016962</v>
      </c>
      <c r="T71" s="345"/>
      <c r="U71" s="345">
        <f>SUM(U10,U23,U34,U65)</f>
        <v>0</v>
      </c>
      <c r="V71" s="345">
        <f>SUM(V10,V23,V34,V65)</f>
        <v>0</v>
      </c>
      <c r="W71" s="345">
        <f>SUM(W10,W23,W34,W65)</f>
        <v>0</v>
      </c>
      <c r="X71" s="345">
        <f>SUM(X10,X23,X34,X48,X65)</f>
        <v>6043438.4106860906</v>
      </c>
      <c r="Y71" s="345">
        <f>SUM(Y10,Y23,Y34,Y48,Y65)</f>
        <v>6043438.4106860906</v>
      </c>
      <c r="Z71" s="416"/>
      <c r="AA71" s="904"/>
    </row>
    <row r="72" spans="1:28" ht="15.6">
      <c r="B72" s="342"/>
      <c r="C72" s="344"/>
      <c r="D72" s="344"/>
      <c r="E72" s="344"/>
      <c r="F72" s="344"/>
      <c r="G72" s="344"/>
      <c r="H72" s="344"/>
      <c r="I72" s="344"/>
      <c r="J72" s="344"/>
      <c r="K72" s="344"/>
      <c r="L72" s="344"/>
      <c r="M72" s="344"/>
      <c r="N72" s="344"/>
      <c r="O72" s="344"/>
      <c r="P72" s="344"/>
      <c r="Q72" s="344"/>
      <c r="R72" s="344"/>
      <c r="S72" s="344"/>
      <c r="T72" s="345"/>
      <c r="U72" s="345"/>
      <c r="V72" s="345"/>
      <c r="W72" s="344"/>
      <c r="X72" s="344"/>
      <c r="Y72" s="344"/>
      <c r="Z72" s="416"/>
      <c r="AA72" s="904"/>
    </row>
    <row r="73" spans="1:28" ht="15.75" customHeight="1" thickBot="1">
      <c r="B73" s="342"/>
      <c r="C73" s="344"/>
      <c r="D73" s="344"/>
      <c r="E73" s="344"/>
      <c r="F73" s="344"/>
      <c r="G73" s="344"/>
      <c r="H73" s="344"/>
      <c r="I73" s="346"/>
      <c r="J73" s="346"/>
      <c r="K73" s="346"/>
      <c r="L73" s="346"/>
      <c r="M73" s="346"/>
      <c r="N73" s="346"/>
      <c r="O73" s="346"/>
      <c r="P73" s="346"/>
      <c r="Q73" s="346"/>
      <c r="R73" s="346"/>
      <c r="S73" s="346"/>
      <c r="T73" s="346"/>
      <c r="U73" s="346"/>
      <c r="V73" s="346"/>
      <c r="W73" s="346"/>
      <c r="X73" s="346"/>
      <c r="Y73" s="346"/>
      <c r="Z73" s="417"/>
      <c r="AA73" s="905"/>
    </row>
    <row r="74" spans="1:28">
      <c r="B74" s="1416" t="s">
        <v>247</v>
      </c>
      <c r="C74" s="366" t="s">
        <v>248</v>
      </c>
      <c r="D74" s="366" t="s">
        <v>249</v>
      </c>
      <c r="E74" s="360" t="s">
        <v>199</v>
      </c>
      <c r="F74" s="360" t="s">
        <v>250</v>
      </c>
      <c r="G74" s="367" t="s">
        <v>197</v>
      </c>
      <c r="H74" s="368" t="s">
        <v>196</v>
      </c>
      <c r="I74" s="32"/>
      <c r="J74" s="32"/>
      <c r="K74" s="32"/>
      <c r="L74" s="32"/>
      <c r="M74" s="32"/>
      <c r="N74" s="32"/>
      <c r="O74" s="32"/>
      <c r="P74" s="32"/>
      <c r="Q74" s="32"/>
      <c r="R74" s="32"/>
      <c r="S74" s="32"/>
      <c r="T74" s="32"/>
      <c r="U74" s="32"/>
      <c r="V74" s="33"/>
      <c r="W74" s="33"/>
      <c r="X74" s="33"/>
      <c r="Y74" s="37"/>
      <c r="Z74" s="33"/>
      <c r="AA74" s="33"/>
    </row>
    <row r="75" spans="1:28" ht="14.4" customHeight="1">
      <c r="B75" s="1417"/>
      <c r="C75" s="90" t="s">
        <v>251</v>
      </c>
      <c r="D75" s="91" t="s">
        <v>204</v>
      </c>
      <c r="E75" s="361">
        <f>BDI!$C$16</f>
        <v>0.40796005541445379</v>
      </c>
      <c r="F75" s="361">
        <f>BDI!$K$16</f>
        <v>0.40796005541445379</v>
      </c>
      <c r="G75" s="362">
        <f>BDI!$S$16</f>
        <v>0</v>
      </c>
      <c r="H75" s="363">
        <f>BDI!$G$16</f>
        <v>0.40796005541445379</v>
      </c>
      <c r="I75" s="32"/>
      <c r="J75" s="32"/>
      <c r="K75" s="32"/>
      <c r="L75" s="32"/>
      <c r="M75" s="32"/>
      <c r="N75" s="32"/>
      <c r="O75" s="32"/>
      <c r="P75" s="32"/>
      <c r="Q75" s="32"/>
      <c r="R75" s="32"/>
      <c r="S75" s="32"/>
      <c r="T75" s="32"/>
      <c r="U75" s="32"/>
      <c r="V75" s="33"/>
      <c r="W75" s="33"/>
      <c r="X75" s="37"/>
      <c r="Y75" s="32"/>
      <c r="Z75" s="33"/>
      <c r="AA75" s="33"/>
    </row>
    <row r="76" spans="1:28" ht="15" customHeight="1">
      <c r="B76" s="1417"/>
      <c r="C76" s="90" t="s">
        <v>252</v>
      </c>
      <c r="D76" s="91" t="s">
        <v>253</v>
      </c>
      <c r="E76" s="361">
        <f>BDI!$C$16</f>
        <v>0.40796005541445379</v>
      </c>
      <c r="F76" s="361">
        <f>BDI!$K$16</f>
        <v>0.40796005541445379</v>
      </c>
      <c r="G76" s="362">
        <f>BDI!$S$16</f>
        <v>0</v>
      </c>
      <c r="H76" s="363">
        <f>BDI!$G$16</f>
        <v>0.40796005541445379</v>
      </c>
      <c r="I76" s="32"/>
      <c r="J76" s="32"/>
      <c r="K76" s="32"/>
      <c r="L76" s="146"/>
      <c r="M76" s="32"/>
      <c r="N76" s="181"/>
      <c r="O76" s="32"/>
      <c r="P76" s="32"/>
      <c r="Q76" s="32"/>
      <c r="R76" s="32"/>
      <c r="S76" s="32"/>
      <c r="T76" s="32"/>
      <c r="U76" s="32"/>
      <c r="V76" s="33"/>
      <c r="W76" s="33"/>
      <c r="X76" s="33"/>
      <c r="Y76" s="32"/>
      <c r="Z76" s="33"/>
      <c r="AA76" s="33"/>
    </row>
    <row r="77" spans="1:28" ht="14.4" customHeight="1">
      <c r="B77" s="1417"/>
      <c r="C77" s="90" t="s">
        <v>254</v>
      </c>
      <c r="D77" s="91" t="s">
        <v>255</v>
      </c>
      <c r="E77" s="361">
        <f>BDI!$C$16</f>
        <v>0.40796005541445379</v>
      </c>
      <c r="F77" s="361">
        <f>BDI!$K$16</f>
        <v>0.40796005541445379</v>
      </c>
      <c r="G77" s="362">
        <f>BDI!$S$16</f>
        <v>0</v>
      </c>
      <c r="H77" s="363">
        <f>BDI!$G$16</f>
        <v>0.40796005541445379</v>
      </c>
      <c r="I77" s="32"/>
      <c r="J77" s="32"/>
      <c r="K77" s="32"/>
      <c r="L77" s="32"/>
      <c r="M77" s="32"/>
      <c r="N77" s="32"/>
      <c r="O77" s="32"/>
      <c r="P77" s="32"/>
      <c r="Q77" s="32"/>
      <c r="R77" s="32"/>
      <c r="S77" s="32"/>
      <c r="T77" s="32"/>
      <c r="U77" s="32"/>
      <c r="V77" s="33"/>
      <c r="W77" s="33"/>
      <c r="X77" s="33"/>
      <c r="Y77" s="32"/>
      <c r="Z77" s="33"/>
      <c r="AA77" s="33"/>
    </row>
    <row r="78" spans="1:28" ht="14.4" customHeight="1">
      <c r="B78" s="1417"/>
      <c r="C78" s="90" t="s">
        <v>256</v>
      </c>
      <c r="D78" s="91" t="s">
        <v>257</v>
      </c>
      <c r="E78" s="361">
        <f>BDI!$C$16</f>
        <v>0.40796005541445379</v>
      </c>
      <c r="F78" s="361">
        <f>BDI!$K$16</f>
        <v>0.40796005541445379</v>
      </c>
      <c r="G78" s="362">
        <f>BDI!$S$16</f>
        <v>0</v>
      </c>
      <c r="H78" s="363">
        <f>BDI!$G$16</f>
        <v>0.40796005541445379</v>
      </c>
      <c r="I78" s="32"/>
      <c r="J78" s="32"/>
      <c r="K78" s="32"/>
      <c r="L78" s="32"/>
      <c r="M78" s="32"/>
      <c r="N78" s="32"/>
      <c r="O78" s="32"/>
      <c r="P78" s="32"/>
      <c r="Q78" s="32"/>
      <c r="R78" s="32"/>
      <c r="S78" s="32"/>
      <c r="T78" s="32"/>
      <c r="U78" s="32"/>
      <c r="V78" s="37"/>
      <c r="W78" s="33"/>
      <c r="X78" s="33"/>
      <c r="Y78" s="180"/>
      <c r="Z78" s="33"/>
      <c r="AA78" s="33"/>
    </row>
    <row r="79" spans="1:28" ht="14.4" customHeight="1">
      <c r="B79" s="1417"/>
      <c r="C79" s="90" t="s">
        <v>258</v>
      </c>
      <c r="D79" s="91" t="s">
        <v>259</v>
      </c>
      <c r="E79" s="361">
        <f>BDI!$C$16</f>
        <v>0.40796005541445379</v>
      </c>
      <c r="F79" s="361">
        <f>BDI!$K$16</f>
        <v>0.40796005541445379</v>
      </c>
      <c r="G79" s="362">
        <f>BDI!$S$16</f>
        <v>0</v>
      </c>
      <c r="H79" s="363">
        <f>BDI!$G$16</f>
        <v>0.40796005541445379</v>
      </c>
      <c r="I79" s="32"/>
      <c r="J79" s="32"/>
      <c r="K79" s="32"/>
      <c r="L79" s="32"/>
      <c r="M79" s="32"/>
      <c r="N79" s="32"/>
      <c r="O79" s="32"/>
      <c r="P79" s="32"/>
      <c r="Q79" s="32"/>
      <c r="R79" s="32"/>
      <c r="S79" s="32"/>
      <c r="T79" s="32"/>
      <c r="U79" s="32"/>
      <c r="V79" s="33"/>
      <c r="W79" s="33"/>
      <c r="X79" s="33"/>
      <c r="Y79" s="37"/>
      <c r="Z79" s="33"/>
      <c r="AA79" s="33"/>
    </row>
    <row r="80" spans="1:28">
      <c r="B80" s="1417"/>
      <c r="C80" s="90" t="s">
        <v>260</v>
      </c>
      <c r="D80" s="91" t="s">
        <v>261</v>
      </c>
      <c r="E80" s="361">
        <f>BDI!$C$16</f>
        <v>0.40796005541445379</v>
      </c>
      <c r="F80" s="361">
        <f>BDI!$K$16</f>
        <v>0.40796005541445379</v>
      </c>
      <c r="G80" s="362">
        <f>BDI!$S$16</f>
        <v>0</v>
      </c>
      <c r="H80" s="363">
        <f>BDI!$G$16</f>
        <v>0.40796005541445379</v>
      </c>
      <c r="I80" s="32"/>
      <c r="J80" s="32"/>
      <c r="K80" s="32"/>
      <c r="L80" s="32"/>
      <c r="M80" s="32"/>
      <c r="N80" s="32"/>
      <c r="O80" s="32"/>
      <c r="P80" s="32"/>
      <c r="Q80" s="32"/>
      <c r="R80" s="32"/>
      <c r="S80" s="32"/>
      <c r="T80" s="32"/>
      <c r="U80" s="32"/>
      <c r="V80" s="33"/>
      <c r="W80" s="33"/>
      <c r="X80" s="33"/>
      <c r="Y80" s="32"/>
      <c r="Z80" s="33"/>
      <c r="AA80" s="33"/>
    </row>
    <row r="81" spans="2:25" ht="14.4" customHeight="1">
      <c r="B81" s="1417"/>
      <c r="C81" s="92" t="s">
        <v>262</v>
      </c>
      <c r="D81" s="93" t="s">
        <v>245</v>
      </c>
      <c r="E81" s="361">
        <f>BDI!$O$16</f>
        <v>0.28552874624797986</v>
      </c>
      <c r="F81" s="361">
        <f>BDI!$O$16</f>
        <v>0.28552874624797986</v>
      </c>
      <c r="G81" s="361">
        <f>BDI!$O$16</f>
        <v>0.28552874624797986</v>
      </c>
      <c r="H81" s="363">
        <f>BDI!O16</f>
        <v>0.28552874624797986</v>
      </c>
      <c r="L81" s="32"/>
      <c r="M81" s="32"/>
      <c r="N81" s="32"/>
      <c r="O81" s="32"/>
      <c r="P81" s="32"/>
      <c r="Q81" s="32"/>
      <c r="V81" s="7"/>
      <c r="X81" s="153"/>
    </row>
    <row r="82" spans="2:25" ht="14.4" customHeight="1">
      <c r="B82" s="1417"/>
      <c r="C82" s="92" t="s">
        <v>263</v>
      </c>
      <c r="D82" s="93" t="s">
        <v>264</v>
      </c>
      <c r="E82" s="361">
        <f>E80</f>
        <v>0.40796005541445379</v>
      </c>
      <c r="F82" s="361">
        <f>F80</f>
        <v>0.40796005541445379</v>
      </c>
      <c r="G82" s="362">
        <f>BDI!$S$16</f>
        <v>0</v>
      </c>
      <c r="H82" s="363">
        <f>BDI!$G$16</f>
        <v>0.40796005541445379</v>
      </c>
      <c r="L82" s="32"/>
      <c r="M82" s="32"/>
      <c r="N82" s="32"/>
      <c r="O82" s="32"/>
      <c r="P82" s="32"/>
      <c r="Q82" s="32"/>
      <c r="V82" s="7"/>
      <c r="Y82" s="153"/>
    </row>
    <row r="83" spans="2:25" ht="14.4" customHeight="1" thickBot="1">
      <c r="B83" s="1418"/>
      <c r="C83" s="369" t="s">
        <v>265</v>
      </c>
      <c r="D83" s="340" t="s">
        <v>266</v>
      </c>
      <c r="E83" s="364">
        <f>BDI!$C$16</f>
        <v>0.40796005541445379</v>
      </c>
      <c r="F83" s="364">
        <f>BDI!$K$16</f>
        <v>0.40796005541445379</v>
      </c>
      <c r="G83" s="751">
        <f>BDI!$S$16</f>
        <v>0</v>
      </c>
      <c r="H83" s="365">
        <f>BDI!$G$16</f>
        <v>0.40796005541445379</v>
      </c>
      <c r="L83" s="32"/>
      <c r="M83" s="32"/>
      <c r="N83" s="32"/>
      <c r="O83" s="32"/>
      <c r="P83" s="32"/>
      <c r="Q83" s="32"/>
      <c r="V83" s="7"/>
    </row>
  </sheetData>
  <autoFilter ref="B6:C83" xr:uid="{00000000-0009-0000-0000-000000000000}"/>
  <mergeCells count="19">
    <mergeCell ref="F3:Z3"/>
    <mergeCell ref="F4:Z4"/>
    <mergeCell ref="F5:Z5"/>
    <mergeCell ref="A6:A7"/>
    <mergeCell ref="B74:B83"/>
    <mergeCell ref="B6:B8"/>
    <mergeCell ref="Z6:Z8"/>
    <mergeCell ref="H1:P1"/>
    <mergeCell ref="C2:C3"/>
    <mergeCell ref="F6:Y6"/>
    <mergeCell ref="F7:I7"/>
    <mergeCell ref="P7:S7"/>
    <mergeCell ref="U7:X7"/>
    <mergeCell ref="Y7:Y8"/>
    <mergeCell ref="J7:N7"/>
    <mergeCell ref="C6:C8"/>
    <mergeCell ref="E6:E8"/>
    <mergeCell ref="D6:D8"/>
    <mergeCell ref="F2:Z2"/>
  </mergeCells>
  <phoneticPr fontId="45" type="noConversion"/>
  <dataValidations count="1">
    <dataValidation type="list" allowBlank="1" showInputMessage="1" showErrorMessage="1" sqref="J11:J70" xr:uid="{348D54E6-717E-E04F-9AD8-18E83AA67FD1}">
      <formula1>$D$75:$D$89</formula1>
    </dataValidation>
  </dataValidation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1">
    <tabColor theme="1"/>
  </sheetPr>
  <dimension ref="A1:BE42"/>
  <sheetViews>
    <sheetView zoomScale="85" zoomScaleNormal="85" workbookViewId="0">
      <pane xSplit="1" ySplit="3" topLeftCell="B4" activePane="bottomRight" state="frozen"/>
      <selection pane="topRight" activeCell="B1" sqref="B1"/>
      <selection pane="bottomLeft" activeCell="A4" sqref="A4"/>
      <selection pane="bottomRight" activeCell="E16" sqref="E16"/>
    </sheetView>
  </sheetViews>
  <sheetFormatPr defaultColWidth="8.88671875" defaultRowHeight="14.4"/>
  <cols>
    <col min="1" max="1" width="31.44140625" bestFit="1" customWidth="1"/>
    <col min="2" max="2" width="9.6640625" bestFit="1" customWidth="1"/>
    <col min="3" max="3" width="11.33203125" bestFit="1" customWidth="1"/>
    <col min="4" max="4" width="10.33203125" bestFit="1" customWidth="1"/>
    <col min="5" max="5" width="11.33203125" bestFit="1" customWidth="1"/>
    <col min="6" max="6" width="10.6640625" bestFit="1" customWidth="1"/>
    <col min="7" max="7" width="11.33203125" bestFit="1" customWidth="1"/>
    <col min="8" max="8" width="9.6640625" bestFit="1" customWidth="1"/>
    <col min="9" max="9" width="11.33203125" bestFit="1" customWidth="1"/>
    <col min="10" max="10" width="10.33203125" bestFit="1" customWidth="1"/>
    <col min="11" max="11" width="11.44140625" bestFit="1" customWidth="1"/>
    <col min="12" max="12" width="10.33203125" bestFit="1" customWidth="1"/>
    <col min="13" max="13" width="11.44140625" bestFit="1" customWidth="1"/>
    <col min="14" max="14" width="10.88671875" bestFit="1" customWidth="1"/>
    <col min="15" max="15" width="11.33203125" bestFit="1" customWidth="1"/>
    <col min="16" max="16" width="10.33203125" bestFit="1" customWidth="1"/>
    <col min="17" max="17" width="11.33203125" bestFit="1" customWidth="1"/>
    <col min="18" max="18" width="14.44140625" bestFit="1" customWidth="1"/>
    <col min="19" max="19" width="11.33203125" bestFit="1" customWidth="1"/>
    <col min="20" max="20" width="10.33203125" bestFit="1" customWidth="1"/>
    <col min="21" max="21" width="11.33203125" bestFit="1" customWidth="1"/>
    <col min="22" max="22" width="10.33203125" bestFit="1" customWidth="1"/>
    <col min="23" max="23" width="11.6640625" bestFit="1" customWidth="1"/>
    <col min="24" max="24" width="9.6640625" bestFit="1" customWidth="1"/>
    <col min="25" max="25" width="11.33203125" bestFit="1" customWidth="1"/>
    <col min="26" max="26" width="9.6640625" bestFit="1" customWidth="1"/>
    <col min="27" max="27" width="11.33203125" bestFit="1" customWidth="1"/>
    <col min="28" max="28" width="9.6640625" bestFit="1" customWidth="1"/>
    <col min="29" max="29" width="11.33203125" bestFit="1" customWidth="1"/>
    <col min="30" max="30" width="9.6640625" bestFit="1" customWidth="1"/>
    <col min="31" max="31" width="11.33203125" bestFit="1" customWidth="1"/>
    <col min="32" max="32" width="9.6640625" bestFit="1" customWidth="1"/>
    <col min="33" max="33" width="11.33203125" bestFit="1" customWidth="1"/>
    <col min="34" max="34" width="9.6640625" bestFit="1" customWidth="1"/>
    <col min="35" max="35" width="11.33203125" bestFit="1" customWidth="1"/>
    <col min="36" max="36" width="9.6640625" bestFit="1" customWidth="1"/>
    <col min="37" max="37" width="11.33203125" bestFit="1" customWidth="1"/>
    <col min="38" max="38" width="9.6640625" bestFit="1" customWidth="1"/>
    <col min="39" max="39" width="11.33203125" bestFit="1" customWidth="1"/>
    <col min="40" max="40" width="9.6640625" bestFit="1" customWidth="1"/>
    <col min="41" max="41" width="11.33203125" bestFit="1" customWidth="1"/>
    <col min="42" max="42" width="9.6640625" bestFit="1" customWidth="1"/>
    <col min="43" max="43" width="11.33203125" bestFit="1" customWidth="1"/>
    <col min="44" max="44" width="9.6640625" bestFit="1" customWidth="1"/>
    <col min="45" max="45" width="11.33203125" bestFit="1" customWidth="1"/>
    <col min="46" max="46" width="9.6640625" bestFit="1" customWidth="1"/>
    <col min="47" max="47" width="11.33203125" bestFit="1" customWidth="1"/>
    <col min="48" max="48" width="9.6640625" bestFit="1" customWidth="1"/>
    <col min="49" max="49" width="11.33203125" bestFit="1" customWidth="1"/>
    <col min="50" max="50" width="18" customWidth="1"/>
    <col min="51" max="51" width="17.88671875" customWidth="1"/>
    <col min="52" max="52" width="16.44140625" customWidth="1"/>
    <col min="53" max="53" width="15.44140625" bestFit="1" customWidth="1"/>
    <col min="54" max="54" width="17.6640625" customWidth="1"/>
    <col min="55" max="55" width="23" customWidth="1"/>
    <col min="56" max="56" width="9.109375" customWidth="1"/>
    <col min="57" max="57" width="23" customWidth="1"/>
  </cols>
  <sheetData>
    <row r="1" spans="1:57" ht="18.600000000000001" thickBot="1">
      <c r="A1" s="1456" t="s">
        <v>323</v>
      </c>
      <c r="B1" s="1457"/>
      <c r="C1" s="1457"/>
      <c r="D1" s="1457"/>
      <c r="E1" s="1457"/>
      <c r="F1" s="1457"/>
      <c r="G1" s="1457"/>
      <c r="H1" s="1457"/>
      <c r="I1" s="1457"/>
      <c r="J1" s="1457"/>
      <c r="K1" s="1457"/>
      <c r="L1" s="1457"/>
      <c r="M1" s="1457"/>
      <c r="N1" s="1457"/>
      <c r="O1" s="1457"/>
      <c r="P1" s="1457"/>
      <c r="Q1" s="1457"/>
      <c r="R1" s="1457"/>
      <c r="S1" s="1457"/>
      <c r="T1" s="1457"/>
      <c r="U1" s="1457"/>
      <c r="V1" s="1457"/>
      <c r="W1" s="1457"/>
      <c r="X1" s="1457"/>
      <c r="Y1" s="1457"/>
      <c r="Z1" s="1457"/>
      <c r="AA1" s="1457"/>
      <c r="AB1" s="1457"/>
      <c r="AC1" s="1457"/>
      <c r="AD1" s="1457"/>
      <c r="AE1" s="1457"/>
      <c r="AF1" s="1457"/>
      <c r="AG1" s="1457"/>
      <c r="AH1" s="1457"/>
      <c r="AI1" s="1457"/>
      <c r="AJ1" s="1457"/>
      <c r="AK1" s="1457"/>
      <c r="AL1" s="1457"/>
      <c r="AM1" s="1457"/>
      <c r="AN1" s="1457"/>
      <c r="AO1" s="1457"/>
      <c r="AP1" s="1457"/>
      <c r="AQ1" s="1457"/>
      <c r="AR1" s="1457"/>
      <c r="AS1" s="1457"/>
      <c r="AT1" s="1457"/>
      <c r="AU1" s="1457"/>
      <c r="AV1" s="1457"/>
      <c r="AW1" s="1457"/>
      <c r="AX1" s="1457"/>
      <c r="AY1" s="1457"/>
      <c r="AZ1" s="1457"/>
      <c r="BA1" s="1458"/>
    </row>
    <row r="2" spans="1:57" s="1" customFormat="1">
      <c r="A2" s="1459" t="s">
        <v>324</v>
      </c>
      <c r="B2" s="1461" t="s">
        <v>278</v>
      </c>
      <c r="C2" s="1461"/>
      <c r="D2" s="1461"/>
      <c r="E2" s="1461"/>
      <c r="F2" s="1461" t="s">
        <v>279</v>
      </c>
      <c r="G2" s="1461"/>
      <c r="H2" s="1461"/>
      <c r="I2" s="1461"/>
      <c r="J2" s="1461" t="s">
        <v>280</v>
      </c>
      <c r="K2" s="1461"/>
      <c r="L2" s="1461"/>
      <c r="M2" s="1461"/>
      <c r="N2" s="1461" t="s">
        <v>281</v>
      </c>
      <c r="O2" s="1461"/>
      <c r="P2" s="1461"/>
      <c r="Q2" s="1461"/>
      <c r="R2" s="1461" t="s">
        <v>282</v>
      </c>
      <c r="S2" s="1461"/>
      <c r="T2" s="1461"/>
      <c r="U2" s="1461"/>
      <c r="V2" s="1461" t="s">
        <v>283</v>
      </c>
      <c r="W2" s="1461"/>
      <c r="X2" s="1461"/>
      <c r="Y2" s="1461"/>
      <c r="Z2" s="1461" t="s">
        <v>284</v>
      </c>
      <c r="AA2" s="1461"/>
      <c r="AB2" s="1461"/>
      <c r="AC2" s="1461"/>
      <c r="AD2" s="1461" t="s">
        <v>285</v>
      </c>
      <c r="AE2" s="1461"/>
      <c r="AF2" s="1461"/>
      <c r="AG2" s="1461"/>
      <c r="AH2" s="1461" t="s">
        <v>286</v>
      </c>
      <c r="AI2" s="1461"/>
      <c r="AJ2" s="1461"/>
      <c r="AK2" s="1461"/>
      <c r="AL2" s="1461" t="s">
        <v>287</v>
      </c>
      <c r="AM2" s="1461"/>
      <c r="AN2" s="1461"/>
      <c r="AO2" s="1461"/>
      <c r="AP2" s="1461" t="s">
        <v>288</v>
      </c>
      <c r="AQ2" s="1461"/>
      <c r="AR2" s="1461"/>
      <c r="AS2" s="1461"/>
      <c r="AT2" s="1461" t="s">
        <v>289</v>
      </c>
      <c r="AU2" s="1461"/>
      <c r="AV2" s="1461"/>
      <c r="AW2" s="1461"/>
      <c r="AX2" s="1461" t="s">
        <v>325</v>
      </c>
      <c r="AY2" s="1461"/>
      <c r="AZ2" s="1461"/>
      <c r="BA2" s="1466"/>
    </row>
    <row r="3" spans="1:57" s="1" customFormat="1">
      <c r="A3" s="1460"/>
      <c r="B3" s="1462" t="s">
        <v>326</v>
      </c>
      <c r="C3" s="1462"/>
      <c r="D3" s="1462" t="s">
        <v>327</v>
      </c>
      <c r="E3" s="1462"/>
      <c r="F3" s="1462" t="s">
        <v>326</v>
      </c>
      <c r="G3" s="1462"/>
      <c r="H3" s="1462" t="s">
        <v>327</v>
      </c>
      <c r="I3" s="1462"/>
      <c r="J3" s="1462" t="s">
        <v>326</v>
      </c>
      <c r="K3" s="1462"/>
      <c r="L3" s="1462" t="s">
        <v>327</v>
      </c>
      <c r="M3" s="1462"/>
      <c r="N3" s="1462" t="s">
        <v>326</v>
      </c>
      <c r="O3" s="1462"/>
      <c r="P3" s="1462" t="s">
        <v>327</v>
      </c>
      <c r="Q3" s="1462"/>
      <c r="R3" s="1462" t="s">
        <v>326</v>
      </c>
      <c r="S3" s="1462"/>
      <c r="T3" s="1462" t="s">
        <v>327</v>
      </c>
      <c r="U3" s="1462"/>
      <c r="V3" s="1462" t="s">
        <v>326</v>
      </c>
      <c r="W3" s="1462"/>
      <c r="X3" s="1462" t="s">
        <v>327</v>
      </c>
      <c r="Y3" s="1462"/>
      <c r="Z3" s="1462" t="s">
        <v>326</v>
      </c>
      <c r="AA3" s="1462"/>
      <c r="AB3" s="1462" t="s">
        <v>327</v>
      </c>
      <c r="AC3" s="1462"/>
      <c r="AD3" s="1462" t="s">
        <v>326</v>
      </c>
      <c r="AE3" s="1462"/>
      <c r="AF3" s="1462" t="s">
        <v>327</v>
      </c>
      <c r="AG3" s="1462"/>
      <c r="AH3" s="1462" t="s">
        <v>326</v>
      </c>
      <c r="AI3" s="1462"/>
      <c r="AJ3" s="1462" t="s">
        <v>327</v>
      </c>
      <c r="AK3" s="1462"/>
      <c r="AL3" s="1462" t="s">
        <v>326</v>
      </c>
      <c r="AM3" s="1462"/>
      <c r="AN3" s="1462" t="s">
        <v>327</v>
      </c>
      <c r="AO3" s="1462"/>
      <c r="AP3" s="1462" t="s">
        <v>326</v>
      </c>
      <c r="AQ3" s="1462"/>
      <c r="AR3" s="1462" t="s">
        <v>327</v>
      </c>
      <c r="AS3" s="1462"/>
      <c r="AT3" s="1462" t="s">
        <v>326</v>
      </c>
      <c r="AU3" s="1462"/>
      <c r="AV3" s="1462" t="s">
        <v>327</v>
      </c>
      <c r="AW3" s="1462"/>
      <c r="AX3" s="1462" t="s">
        <v>326</v>
      </c>
      <c r="AY3" s="1462"/>
      <c r="AZ3" s="1462" t="s">
        <v>327</v>
      </c>
      <c r="BA3" s="1467"/>
    </row>
    <row r="4" spans="1:57" s="1" customFormat="1">
      <c r="A4" s="1460"/>
      <c r="B4" s="804" t="s">
        <v>196</v>
      </c>
      <c r="C4" s="804" t="s">
        <v>328</v>
      </c>
      <c r="D4" s="804" t="s">
        <v>196</v>
      </c>
      <c r="E4" s="804" t="s">
        <v>328</v>
      </c>
      <c r="F4" s="804" t="s">
        <v>196</v>
      </c>
      <c r="G4" s="804" t="s">
        <v>328</v>
      </c>
      <c r="H4" s="804" t="s">
        <v>196</v>
      </c>
      <c r="I4" s="804" t="s">
        <v>328</v>
      </c>
      <c r="J4" s="804" t="s">
        <v>196</v>
      </c>
      <c r="K4" s="804" t="s">
        <v>328</v>
      </c>
      <c r="L4" s="804" t="s">
        <v>196</v>
      </c>
      <c r="M4" s="804" t="s">
        <v>328</v>
      </c>
      <c r="N4" s="804" t="s">
        <v>196</v>
      </c>
      <c r="O4" s="804" t="s">
        <v>328</v>
      </c>
      <c r="P4" s="804" t="s">
        <v>196</v>
      </c>
      <c r="Q4" s="804" t="s">
        <v>328</v>
      </c>
      <c r="R4" s="804" t="s">
        <v>196</v>
      </c>
      <c r="S4" s="804" t="s">
        <v>328</v>
      </c>
      <c r="T4" s="804" t="s">
        <v>196</v>
      </c>
      <c r="U4" s="804" t="s">
        <v>328</v>
      </c>
      <c r="V4" s="804" t="s">
        <v>196</v>
      </c>
      <c r="W4" s="804" t="s">
        <v>328</v>
      </c>
      <c r="X4" s="804" t="s">
        <v>196</v>
      </c>
      <c r="Y4" s="804" t="s">
        <v>328</v>
      </c>
      <c r="Z4" s="804" t="s">
        <v>196</v>
      </c>
      <c r="AA4" s="804" t="s">
        <v>328</v>
      </c>
      <c r="AB4" s="804" t="s">
        <v>196</v>
      </c>
      <c r="AC4" s="804" t="s">
        <v>328</v>
      </c>
      <c r="AD4" s="804" t="s">
        <v>196</v>
      </c>
      <c r="AE4" s="804" t="s">
        <v>328</v>
      </c>
      <c r="AF4" s="804" t="s">
        <v>196</v>
      </c>
      <c r="AG4" s="804" t="s">
        <v>328</v>
      </c>
      <c r="AH4" s="804" t="s">
        <v>196</v>
      </c>
      <c r="AI4" s="804" t="s">
        <v>328</v>
      </c>
      <c r="AJ4" s="804" t="s">
        <v>196</v>
      </c>
      <c r="AK4" s="804" t="s">
        <v>328</v>
      </c>
      <c r="AL4" s="804" t="s">
        <v>196</v>
      </c>
      <c r="AM4" s="804" t="s">
        <v>328</v>
      </c>
      <c r="AN4" s="804" t="s">
        <v>196</v>
      </c>
      <c r="AO4" s="804" t="s">
        <v>328</v>
      </c>
      <c r="AP4" s="804" t="s">
        <v>196</v>
      </c>
      <c r="AQ4" s="804" t="s">
        <v>328</v>
      </c>
      <c r="AR4" s="804" t="s">
        <v>196</v>
      </c>
      <c r="AS4" s="804" t="s">
        <v>328</v>
      </c>
      <c r="AT4" s="804" t="s">
        <v>196</v>
      </c>
      <c r="AU4" s="804" t="s">
        <v>328</v>
      </c>
      <c r="AV4" s="804" t="s">
        <v>196</v>
      </c>
      <c r="AW4" s="804" t="s">
        <v>328</v>
      </c>
      <c r="AX4" s="804" t="s">
        <v>196</v>
      </c>
      <c r="AY4" s="804" t="s">
        <v>328</v>
      </c>
      <c r="AZ4" s="804" t="s">
        <v>196</v>
      </c>
      <c r="BA4" s="805" t="s">
        <v>328</v>
      </c>
    </row>
    <row r="5" spans="1:57">
      <c r="A5" s="806" t="s">
        <v>329</v>
      </c>
      <c r="B5" s="807"/>
      <c r="C5" s="807"/>
      <c r="D5" s="807"/>
      <c r="E5" s="807"/>
      <c r="F5" s="807"/>
      <c r="G5" s="807"/>
      <c r="H5" s="807"/>
      <c r="I5" s="807"/>
      <c r="J5" s="807"/>
      <c r="K5" s="807"/>
      <c r="L5" s="807"/>
      <c r="M5" s="807"/>
      <c r="N5" s="807"/>
      <c r="O5" s="807"/>
      <c r="P5" s="807"/>
      <c r="Q5" s="807"/>
      <c r="R5" s="807"/>
      <c r="S5" s="807"/>
      <c r="T5" s="807"/>
      <c r="U5" s="807"/>
      <c r="V5" s="807"/>
      <c r="W5" s="807"/>
      <c r="X5" s="807"/>
      <c r="Y5" s="807"/>
      <c r="Z5" s="807"/>
      <c r="AA5" s="807"/>
      <c r="AB5" s="807"/>
      <c r="AC5" s="807"/>
      <c r="AD5" s="807"/>
      <c r="AE5" s="807"/>
      <c r="AF5" s="807"/>
      <c r="AG5" s="807"/>
      <c r="AH5" s="807"/>
      <c r="AI5" s="807"/>
      <c r="AJ5" s="807"/>
      <c r="AK5" s="807"/>
      <c r="AL5" s="807"/>
      <c r="AM5" s="807"/>
      <c r="AN5" s="807"/>
      <c r="AO5" s="807"/>
      <c r="AP5" s="807"/>
      <c r="AQ5" s="807"/>
      <c r="AR5" s="807"/>
      <c r="AS5" s="807"/>
      <c r="AT5" s="807"/>
      <c r="AU5" s="807"/>
      <c r="AV5" s="807"/>
      <c r="AW5" s="807"/>
      <c r="AX5" s="808">
        <f>B5+F5+J5+N5+R5+V5+Z5+AD5+AH5+AL5+AP5+AT5</f>
        <v>0</v>
      </c>
      <c r="AY5" s="808">
        <f>C5+G5+K5+O5+S5+W5+AA5+AE5+AI5+AM5+AQ5+AU5</f>
        <v>0</v>
      </c>
      <c r="AZ5" s="808">
        <f>D5+H5+L5+P5+T5+X5+AB5+AF5+AJ5+AN5+AR5+AV5</f>
        <v>0</v>
      </c>
      <c r="BA5" s="809">
        <f>E5+I5+M5+Q5+U5+Y5+AC5+AG5+AK5+AO5+AS5+AW5</f>
        <v>0</v>
      </c>
      <c r="BB5" s="2"/>
    </row>
    <row r="6" spans="1:57">
      <c r="A6" s="806" t="s">
        <v>238</v>
      </c>
      <c r="B6" s="807"/>
      <c r="C6" s="807"/>
      <c r="D6" s="807"/>
      <c r="E6" s="807"/>
      <c r="F6" s="807"/>
      <c r="G6" s="807"/>
      <c r="H6" s="807"/>
      <c r="I6" s="807"/>
      <c r="J6" s="807"/>
      <c r="K6" s="807"/>
      <c r="L6" s="807"/>
      <c r="M6" s="807"/>
      <c r="N6" s="807"/>
      <c r="O6" s="807"/>
      <c r="P6" s="807"/>
      <c r="Q6" s="807"/>
      <c r="R6" s="807"/>
      <c r="S6" s="807"/>
      <c r="T6" s="807"/>
      <c r="U6" s="807"/>
      <c r="V6" s="807"/>
      <c r="W6" s="807"/>
      <c r="X6" s="807"/>
      <c r="Y6" s="807"/>
      <c r="Z6" s="807"/>
      <c r="AA6" s="807"/>
      <c r="AB6" s="807"/>
      <c r="AC6" s="807"/>
      <c r="AD6" s="807"/>
      <c r="AE6" s="807"/>
      <c r="AF6" s="807"/>
      <c r="AG6" s="807"/>
      <c r="AH6" s="807"/>
      <c r="AI6" s="807"/>
      <c r="AJ6" s="807"/>
      <c r="AK6" s="807"/>
      <c r="AL6" s="807"/>
      <c r="AM6" s="807"/>
      <c r="AN6" s="807"/>
      <c r="AO6" s="807"/>
      <c r="AP6" s="807"/>
      <c r="AQ6" s="807"/>
      <c r="AR6" s="807"/>
      <c r="AS6" s="807"/>
      <c r="AT6" s="807"/>
      <c r="AU6" s="807"/>
      <c r="AV6" s="807"/>
      <c r="AW6" s="807"/>
      <c r="AX6" s="808">
        <f t="shared" ref="AX6:BA15" si="0">B6+F6+J6+N6+R6+V6+Z6+AD6+AH6+AL6+AP6+AT6</f>
        <v>0</v>
      </c>
      <c r="AY6" s="808">
        <f t="shared" si="0"/>
        <v>0</v>
      </c>
      <c r="AZ6" s="808">
        <f t="shared" si="0"/>
        <v>0</v>
      </c>
      <c r="BA6" s="809">
        <f t="shared" si="0"/>
        <v>0</v>
      </c>
      <c r="BB6" s="2"/>
      <c r="BC6" s="15"/>
      <c r="BE6" s="15"/>
    </row>
    <row r="7" spans="1:57">
      <c r="A7" s="806" t="s">
        <v>330</v>
      </c>
      <c r="B7" s="807"/>
      <c r="C7" s="807"/>
      <c r="D7" s="807"/>
      <c r="E7" s="807"/>
      <c r="F7" s="807"/>
      <c r="G7" s="807"/>
      <c r="H7" s="807"/>
      <c r="I7" s="807"/>
      <c r="J7" s="807"/>
      <c r="K7" s="807"/>
      <c r="L7" s="807"/>
      <c r="M7" s="807"/>
      <c r="N7" s="807"/>
      <c r="O7" s="807"/>
      <c r="P7" s="807"/>
      <c r="Q7" s="807"/>
      <c r="R7" s="807"/>
      <c r="S7" s="807"/>
      <c r="T7" s="807"/>
      <c r="U7" s="807"/>
      <c r="V7" s="807"/>
      <c r="W7" s="807"/>
      <c r="X7" s="807"/>
      <c r="Y7" s="807"/>
      <c r="Z7" s="807"/>
      <c r="AA7" s="807"/>
      <c r="AB7" s="807"/>
      <c r="AC7" s="807"/>
      <c r="AD7" s="807"/>
      <c r="AE7" s="807"/>
      <c r="AF7" s="807"/>
      <c r="AG7" s="807"/>
      <c r="AH7" s="807"/>
      <c r="AI7" s="807"/>
      <c r="AJ7" s="807"/>
      <c r="AK7" s="807"/>
      <c r="AL7" s="807"/>
      <c r="AM7" s="807"/>
      <c r="AN7" s="807"/>
      <c r="AO7" s="807"/>
      <c r="AP7" s="807"/>
      <c r="AQ7" s="807"/>
      <c r="AR7" s="807"/>
      <c r="AS7" s="807"/>
      <c r="AT7" s="807"/>
      <c r="AU7" s="807"/>
      <c r="AV7" s="807"/>
      <c r="AW7" s="807"/>
      <c r="AX7" s="808">
        <f t="shared" si="0"/>
        <v>0</v>
      </c>
      <c r="AY7" s="808">
        <f t="shared" si="0"/>
        <v>0</v>
      </c>
      <c r="AZ7" s="808">
        <f t="shared" si="0"/>
        <v>0</v>
      </c>
      <c r="BA7" s="809">
        <f t="shared" si="0"/>
        <v>0</v>
      </c>
      <c r="BB7" s="2"/>
      <c r="BC7" s="15"/>
      <c r="BE7" s="15"/>
    </row>
    <row r="8" spans="1:57">
      <c r="A8" s="806" t="s">
        <v>331</v>
      </c>
      <c r="B8" s="807"/>
      <c r="C8" s="807"/>
      <c r="D8" s="807"/>
      <c r="E8" s="807"/>
      <c r="F8" s="807"/>
      <c r="G8" s="807"/>
      <c r="H8" s="807"/>
      <c r="I8" s="807"/>
      <c r="J8" s="807"/>
      <c r="K8" s="807"/>
      <c r="L8" s="807"/>
      <c r="M8" s="807"/>
      <c r="N8" s="807"/>
      <c r="O8" s="807"/>
      <c r="P8" s="807"/>
      <c r="Q8" s="807"/>
      <c r="R8" s="810"/>
      <c r="S8" s="807"/>
      <c r="T8" s="807"/>
      <c r="U8" s="807"/>
      <c r="V8" s="807"/>
      <c r="W8" s="807"/>
      <c r="X8" s="807"/>
      <c r="Y8" s="807"/>
      <c r="Z8" s="807"/>
      <c r="AA8" s="807"/>
      <c r="AB8" s="807"/>
      <c r="AC8" s="807"/>
      <c r="AD8" s="807"/>
      <c r="AE8" s="807"/>
      <c r="AF8" s="807"/>
      <c r="AG8" s="807"/>
      <c r="AH8" s="807"/>
      <c r="AI8" s="807"/>
      <c r="AJ8" s="807"/>
      <c r="AK8" s="807"/>
      <c r="AL8" s="807"/>
      <c r="AM8" s="807"/>
      <c r="AN8" s="807"/>
      <c r="AO8" s="807"/>
      <c r="AP8" s="807"/>
      <c r="AQ8" s="807"/>
      <c r="AR8" s="807"/>
      <c r="AS8" s="807"/>
      <c r="AT8" s="807"/>
      <c r="AU8" s="807"/>
      <c r="AV8" s="807"/>
      <c r="AW8" s="807"/>
      <c r="AX8" s="808">
        <f t="shared" si="0"/>
        <v>0</v>
      </c>
      <c r="AY8" s="808">
        <f t="shared" si="0"/>
        <v>0</v>
      </c>
      <c r="AZ8" s="808">
        <f t="shared" si="0"/>
        <v>0</v>
      </c>
      <c r="BA8" s="809">
        <f t="shared" si="0"/>
        <v>0</v>
      </c>
      <c r="BB8" s="2"/>
      <c r="BC8" s="15"/>
      <c r="BE8" s="15"/>
    </row>
    <row r="9" spans="1:57">
      <c r="A9" s="806" t="s">
        <v>332</v>
      </c>
      <c r="B9" s="807"/>
      <c r="C9" s="807"/>
      <c r="D9" s="807"/>
      <c r="E9" s="807"/>
      <c r="F9" s="807"/>
      <c r="G9" s="807"/>
      <c r="H9" s="807"/>
      <c r="I9" s="807"/>
      <c r="J9" s="807"/>
      <c r="K9" s="807"/>
      <c r="L9" s="807"/>
      <c r="M9" s="807"/>
      <c r="N9" s="807"/>
      <c r="O9" s="807"/>
      <c r="P9" s="807"/>
      <c r="Q9" s="807"/>
      <c r="R9" s="807"/>
      <c r="S9" s="807"/>
      <c r="T9" s="807"/>
      <c r="U9" s="807"/>
      <c r="V9" s="807"/>
      <c r="W9" s="807"/>
      <c r="X9" s="807"/>
      <c r="Y9" s="807"/>
      <c r="Z9" s="807"/>
      <c r="AA9" s="807"/>
      <c r="AB9" s="807"/>
      <c r="AC9" s="807"/>
      <c r="AD9" s="807"/>
      <c r="AE9" s="807"/>
      <c r="AF9" s="807"/>
      <c r="AG9" s="807"/>
      <c r="AH9" s="807"/>
      <c r="AI9" s="807"/>
      <c r="AJ9" s="807"/>
      <c r="AK9" s="807"/>
      <c r="AL9" s="807"/>
      <c r="AM9" s="807"/>
      <c r="AN9" s="807"/>
      <c r="AO9" s="807"/>
      <c r="AP9" s="807"/>
      <c r="AQ9" s="807"/>
      <c r="AR9" s="807"/>
      <c r="AS9" s="807"/>
      <c r="AT9" s="807"/>
      <c r="AU9" s="807"/>
      <c r="AV9" s="807"/>
      <c r="AW9" s="807"/>
      <c r="AX9" s="808">
        <f t="shared" si="0"/>
        <v>0</v>
      </c>
      <c r="AY9" s="808">
        <f t="shared" si="0"/>
        <v>0</v>
      </c>
      <c r="AZ9" s="808">
        <f t="shared" si="0"/>
        <v>0</v>
      </c>
      <c r="BA9" s="809">
        <f t="shared" si="0"/>
        <v>0</v>
      </c>
      <c r="BB9" s="2"/>
      <c r="BC9" s="15"/>
      <c r="BE9" s="15"/>
    </row>
    <row r="10" spans="1:57">
      <c r="A10" s="806" t="s">
        <v>230</v>
      </c>
      <c r="B10" s="807"/>
      <c r="C10" s="807"/>
      <c r="D10" s="807"/>
      <c r="E10" s="807"/>
      <c r="F10" s="807"/>
      <c r="G10" s="807"/>
      <c r="H10" s="807"/>
      <c r="I10" s="807"/>
      <c r="J10" s="35"/>
      <c r="K10" s="807"/>
      <c r="L10" s="807"/>
      <c r="M10" s="807"/>
      <c r="N10" s="807"/>
      <c r="O10" s="807"/>
      <c r="P10" s="807"/>
      <c r="Q10" s="807"/>
      <c r="R10" s="807"/>
      <c r="S10" s="807"/>
      <c r="T10" s="807"/>
      <c r="U10" s="807"/>
      <c r="V10" s="807"/>
      <c r="W10" s="807"/>
      <c r="X10" s="807"/>
      <c r="Y10" s="807"/>
      <c r="Z10" s="807"/>
      <c r="AA10" s="807"/>
      <c r="AB10" s="807"/>
      <c r="AC10" s="807"/>
      <c r="AD10" s="807"/>
      <c r="AE10" s="807"/>
      <c r="AF10" s="807"/>
      <c r="AG10" s="807"/>
      <c r="AH10" s="807"/>
      <c r="AI10" s="807"/>
      <c r="AJ10" s="807"/>
      <c r="AK10" s="807"/>
      <c r="AL10" s="807"/>
      <c r="AM10" s="807"/>
      <c r="AN10" s="807"/>
      <c r="AO10" s="807"/>
      <c r="AP10" s="807"/>
      <c r="AQ10" s="807"/>
      <c r="AR10" s="807"/>
      <c r="AS10" s="807"/>
      <c r="AT10" s="807"/>
      <c r="AU10" s="807"/>
      <c r="AV10" s="807"/>
      <c r="AW10" s="807"/>
      <c r="AX10" s="808">
        <f t="shared" si="0"/>
        <v>0</v>
      </c>
      <c r="AY10" s="808">
        <f t="shared" si="0"/>
        <v>0</v>
      </c>
      <c r="AZ10" s="808">
        <f t="shared" si="0"/>
        <v>0</v>
      </c>
      <c r="BA10" s="809">
        <f t="shared" si="0"/>
        <v>0</v>
      </c>
      <c r="BB10" s="2"/>
      <c r="BC10" s="15"/>
      <c r="BE10" s="15"/>
    </row>
    <row r="11" spans="1:57">
      <c r="A11" s="806" t="s">
        <v>333</v>
      </c>
      <c r="B11" s="807"/>
      <c r="C11" s="810"/>
      <c r="D11" s="807"/>
      <c r="E11" s="807"/>
      <c r="F11" s="807"/>
      <c r="G11" s="807"/>
      <c r="H11" s="807"/>
      <c r="I11" s="807"/>
      <c r="J11" s="807"/>
      <c r="K11" s="807"/>
      <c r="L11" s="807"/>
      <c r="M11" s="807"/>
      <c r="N11" s="807"/>
      <c r="O11" s="807"/>
      <c r="P11" s="807"/>
      <c r="Q11" s="807"/>
      <c r="R11" s="807"/>
      <c r="S11" s="36"/>
      <c r="T11" s="807"/>
      <c r="U11" s="807"/>
      <c r="V11" s="807"/>
      <c r="W11" s="807"/>
      <c r="X11" s="807"/>
      <c r="Y11" s="807"/>
      <c r="Z11" s="807"/>
      <c r="AA11" s="807"/>
      <c r="AB11" s="807"/>
      <c r="AC11" s="807"/>
      <c r="AD11" s="807"/>
      <c r="AE11" s="807"/>
      <c r="AF11" s="807"/>
      <c r="AG11" s="807"/>
      <c r="AH11" s="807"/>
      <c r="AI11" s="807"/>
      <c r="AJ11" s="807"/>
      <c r="AK11" s="807"/>
      <c r="AL11" s="807"/>
      <c r="AM11" s="807"/>
      <c r="AN11" s="807"/>
      <c r="AO11" s="807"/>
      <c r="AP11" s="807"/>
      <c r="AQ11" s="807"/>
      <c r="AR11" s="807"/>
      <c r="AS11" s="807"/>
      <c r="AT11" s="807"/>
      <c r="AU11" s="807"/>
      <c r="AV11" s="807"/>
      <c r="AW11" s="807"/>
      <c r="AX11" s="808">
        <f t="shared" si="0"/>
        <v>0</v>
      </c>
      <c r="AY11" s="808">
        <f t="shared" si="0"/>
        <v>0</v>
      </c>
      <c r="AZ11" s="808">
        <f t="shared" si="0"/>
        <v>0</v>
      </c>
      <c r="BA11" s="809">
        <f t="shared" si="0"/>
        <v>0</v>
      </c>
      <c r="BB11" s="2"/>
      <c r="BC11" s="15"/>
      <c r="BE11" s="15"/>
    </row>
    <row r="12" spans="1:57">
      <c r="A12" s="806" t="s">
        <v>334</v>
      </c>
      <c r="B12" s="807"/>
      <c r="C12" s="807"/>
      <c r="D12" s="807"/>
      <c r="E12" s="807"/>
      <c r="F12" s="807"/>
      <c r="G12" s="807"/>
      <c r="H12" s="807"/>
      <c r="I12" s="807"/>
      <c r="J12" s="807"/>
      <c r="K12" s="807"/>
      <c r="L12" s="807"/>
      <c r="M12" s="807"/>
      <c r="N12" s="807"/>
      <c r="O12" s="807"/>
      <c r="P12" s="807"/>
      <c r="Q12" s="807"/>
      <c r="R12" s="807"/>
      <c r="S12" s="807"/>
      <c r="T12" s="807"/>
      <c r="U12" s="807"/>
      <c r="V12" s="807"/>
      <c r="W12" s="807"/>
      <c r="X12" s="807"/>
      <c r="Y12" s="807"/>
      <c r="Z12" s="807"/>
      <c r="AA12" s="807"/>
      <c r="AB12" s="807"/>
      <c r="AC12" s="807"/>
      <c r="AD12" s="807"/>
      <c r="AE12" s="807"/>
      <c r="AF12" s="807"/>
      <c r="AG12" s="807"/>
      <c r="AH12" s="807"/>
      <c r="AI12" s="807"/>
      <c r="AJ12" s="807"/>
      <c r="AK12" s="807"/>
      <c r="AL12" s="807"/>
      <c r="AM12" s="807"/>
      <c r="AN12" s="807"/>
      <c r="AO12" s="807"/>
      <c r="AP12" s="807"/>
      <c r="AQ12" s="807"/>
      <c r="AR12" s="807"/>
      <c r="AS12" s="807"/>
      <c r="AT12" s="807"/>
      <c r="AU12" s="807"/>
      <c r="AV12" s="807"/>
      <c r="AW12" s="807"/>
      <c r="AX12" s="808">
        <f t="shared" si="0"/>
        <v>0</v>
      </c>
      <c r="AY12" s="808">
        <f t="shared" si="0"/>
        <v>0</v>
      </c>
      <c r="AZ12" s="808">
        <f t="shared" si="0"/>
        <v>0</v>
      </c>
      <c r="BA12" s="809">
        <f t="shared" si="0"/>
        <v>0</v>
      </c>
      <c r="BB12" s="2"/>
    </row>
    <row r="13" spans="1:57">
      <c r="A13" s="806" t="s">
        <v>335</v>
      </c>
      <c r="B13" s="807"/>
      <c r="C13" s="807"/>
      <c r="D13" s="807"/>
      <c r="E13" s="807"/>
      <c r="F13" s="807"/>
      <c r="G13" s="807"/>
      <c r="H13" s="807"/>
      <c r="I13" s="807"/>
      <c r="J13" s="807"/>
      <c r="K13" s="807"/>
      <c r="L13" s="807"/>
      <c r="M13" s="807"/>
      <c r="N13" s="807"/>
      <c r="O13" s="807"/>
      <c r="P13" s="807"/>
      <c r="Q13" s="807"/>
      <c r="R13" s="807"/>
      <c r="S13" s="807"/>
      <c r="T13" s="807"/>
      <c r="U13" s="807"/>
      <c r="V13" s="807"/>
      <c r="W13" s="807"/>
      <c r="X13" s="807"/>
      <c r="Y13" s="807"/>
      <c r="Z13" s="807"/>
      <c r="AA13" s="807"/>
      <c r="AB13" s="807"/>
      <c r="AC13" s="807"/>
      <c r="AD13" s="807"/>
      <c r="AE13" s="807"/>
      <c r="AF13" s="807"/>
      <c r="AG13" s="807"/>
      <c r="AH13" s="807"/>
      <c r="AI13" s="807"/>
      <c r="AJ13" s="807"/>
      <c r="AK13" s="807"/>
      <c r="AL13" s="807"/>
      <c r="AM13" s="807"/>
      <c r="AN13" s="807"/>
      <c r="AO13" s="807"/>
      <c r="AP13" s="807"/>
      <c r="AQ13" s="807"/>
      <c r="AR13" s="807"/>
      <c r="AS13" s="807"/>
      <c r="AT13" s="807"/>
      <c r="AU13" s="807"/>
      <c r="AV13" s="807"/>
      <c r="AW13" s="807"/>
      <c r="AX13" s="808">
        <f t="shared" si="0"/>
        <v>0</v>
      </c>
      <c r="AY13" s="808">
        <f t="shared" si="0"/>
        <v>0</v>
      </c>
      <c r="AZ13" s="808">
        <f t="shared" si="0"/>
        <v>0</v>
      </c>
      <c r="BA13" s="809">
        <f t="shared" si="0"/>
        <v>0</v>
      </c>
      <c r="BB13" s="2"/>
    </row>
    <row r="14" spans="1:57">
      <c r="A14" s="806" t="s">
        <v>336</v>
      </c>
      <c r="B14" s="807"/>
      <c r="C14" s="811"/>
      <c r="D14" s="807"/>
      <c r="E14" s="807"/>
      <c r="F14" s="807"/>
      <c r="G14" s="807"/>
      <c r="H14" s="807"/>
      <c r="I14" s="807"/>
      <c r="J14" s="807"/>
      <c r="K14" s="807"/>
      <c r="L14" s="807"/>
      <c r="M14" s="807"/>
      <c r="N14" s="807"/>
      <c r="O14" s="807"/>
      <c r="P14" s="807"/>
      <c r="Q14" s="807"/>
      <c r="R14" s="807"/>
      <c r="S14" s="807"/>
      <c r="T14" s="807"/>
      <c r="U14" s="807"/>
      <c r="V14" s="807"/>
      <c r="W14" s="807"/>
      <c r="X14" s="807"/>
      <c r="Y14" s="807"/>
      <c r="Z14" s="807"/>
      <c r="AA14" s="807"/>
      <c r="AB14" s="807"/>
      <c r="AC14" s="807"/>
      <c r="AD14" s="807"/>
      <c r="AE14" s="807"/>
      <c r="AF14" s="807"/>
      <c r="AG14" s="807"/>
      <c r="AH14" s="807"/>
      <c r="AI14" s="807"/>
      <c r="AJ14" s="807"/>
      <c r="AK14" s="807"/>
      <c r="AL14" s="807"/>
      <c r="AM14" s="807"/>
      <c r="AN14" s="807"/>
      <c r="AO14" s="807"/>
      <c r="AP14" s="807"/>
      <c r="AQ14" s="807"/>
      <c r="AR14" s="807"/>
      <c r="AS14" s="807"/>
      <c r="AT14" s="807"/>
      <c r="AU14" s="807"/>
      <c r="AV14" s="807"/>
      <c r="AW14" s="807"/>
      <c r="AX14" s="808">
        <f t="shared" si="0"/>
        <v>0</v>
      </c>
      <c r="AY14" s="808">
        <f t="shared" si="0"/>
        <v>0</v>
      </c>
      <c r="AZ14" s="808">
        <f t="shared" si="0"/>
        <v>0</v>
      </c>
      <c r="BA14" s="809">
        <f t="shared" si="0"/>
        <v>0</v>
      </c>
      <c r="BB14" s="2"/>
    </row>
    <row r="15" spans="1:57" ht="15" thickBot="1">
      <c r="A15" s="22" t="s">
        <v>337</v>
      </c>
      <c r="B15" s="812"/>
      <c r="C15" s="812"/>
      <c r="D15" s="812"/>
      <c r="E15" s="812"/>
      <c r="F15" s="812"/>
      <c r="G15" s="812"/>
      <c r="H15" s="812"/>
      <c r="I15" s="812"/>
      <c r="J15" s="812"/>
      <c r="K15" s="812"/>
      <c r="L15" s="812"/>
      <c r="M15" s="812"/>
      <c r="N15" s="812"/>
      <c r="O15" s="812"/>
      <c r="P15" s="812"/>
      <c r="Q15" s="812"/>
      <c r="R15" s="812"/>
      <c r="S15" s="812"/>
      <c r="T15" s="812"/>
      <c r="U15" s="812"/>
      <c r="V15" s="812"/>
      <c r="W15" s="813"/>
      <c r="X15" s="812"/>
      <c r="Y15" s="812"/>
      <c r="Z15" s="812"/>
      <c r="AA15" s="812"/>
      <c r="AB15" s="812"/>
      <c r="AC15" s="812"/>
      <c r="AD15" s="812"/>
      <c r="AE15" s="812"/>
      <c r="AF15" s="812"/>
      <c r="AG15" s="812"/>
      <c r="AH15" s="812"/>
      <c r="AI15" s="812"/>
      <c r="AJ15" s="812"/>
      <c r="AK15" s="812"/>
      <c r="AL15" s="812"/>
      <c r="AM15" s="812"/>
      <c r="AN15" s="812"/>
      <c r="AO15" s="812"/>
      <c r="AP15" s="812"/>
      <c r="AQ15" s="812"/>
      <c r="AR15" s="812"/>
      <c r="AS15" s="812"/>
      <c r="AT15" s="812"/>
      <c r="AU15" s="812"/>
      <c r="AV15" s="812"/>
      <c r="AW15" s="812"/>
      <c r="AX15" s="814">
        <f t="shared" si="0"/>
        <v>0</v>
      </c>
      <c r="AY15" s="814">
        <f t="shared" si="0"/>
        <v>0</v>
      </c>
      <c r="AZ15" s="814">
        <f t="shared" si="0"/>
        <v>0</v>
      </c>
      <c r="BA15" s="815">
        <f t="shared" si="0"/>
        <v>0</v>
      </c>
      <c r="BB15" s="2"/>
    </row>
    <row r="16" spans="1:57" s="1" customFormat="1" ht="15" thickBot="1">
      <c r="A16" s="23" t="s">
        <v>338</v>
      </c>
      <c r="B16" s="24">
        <f t="shared" ref="B16:Q16" si="1">SUM(B5:B15)</f>
        <v>0</v>
      </c>
      <c r="C16" s="24">
        <f t="shared" si="1"/>
        <v>0</v>
      </c>
      <c r="D16" s="24">
        <f t="shared" si="1"/>
        <v>0</v>
      </c>
      <c r="E16" s="24">
        <f t="shared" si="1"/>
        <v>0</v>
      </c>
      <c r="F16" s="24">
        <f t="shared" si="1"/>
        <v>0</v>
      </c>
      <c r="G16" s="24">
        <f t="shared" si="1"/>
        <v>0</v>
      </c>
      <c r="H16" s="24">
        <f t="shared" si="1"/>
        <v>0</v>
      </c>
      <c r="I16" s="24">
        <f t="shared" si="1"/>
        <v>0</v>
      </c>
      <c r="J16" s="24">
        <f t="shared" si="1"/>
        <v>0</v>
      </c>
      <c r="K16" s="24">
        <f t="shared" si="1"/>
        <v>0</v>
      </c>
      <c r="L16" s="24">
        <f t="shared" si="1"/>
        <v>0</v>
      </c>
      <c r="M16" s="24">
        <f t="shared" si="1"/>
        <v>0</v>
      </c>
      <c r="N16" s="24">
        <f t="shared" si="1"/>
        <v>0</v>
      </c>
      <c r="O16" s="24">
        <f t="shared" si="1"/>
        <v>0</v>
      </c>
      <c r="P16" s="24">
        <f t="shared" si="1"/>
        <v>0</v>
      </c>
      <c r="Q16" s="24">
        <f t="shared" si="1"/>
        <v>0</v>
      </c>
      <c r="R16" s="24">
        <f t="shared" ref="R16:BA16" si="2">SUM(R5:R15)</f>
        <v>0</v>
      </c>
      <c r="S16" s="24">
        <f t="shared" si="2"/>
        <v>0</v>
      </c>
      <c r="T16" s="24">
        <f t="shared" si="2"/>
        <v>0</v>
      </c>
      <c r="U16" s="24">
        <f t="shared" si="2"/>
        <v>0</v>
      </c>
      <c r="V16" s="24">
        <f t="shared" si="2"/>
        <v>0</v>
      </c>
      <c r="W16" s="24">
        <f t="shared" si="2"/>
        <v>0</v>
      </c>
      <c r="X16" s="24">
        <f t="shared" si="2"/>
        <v>0</v>
      </c>
      <c r="Y16" s="24">
        <f t="shared" si="2"/>
        <v>0</v>
      </c>
      <c r="Z16" s="24">
        <f t="shared" si="2"/>
        <v>0</v>
      </c>
      <c r="AA16" s="24">
        <f t="shared" si="2"/>
        <v>0</v>
      </c>
      <c r="AB16" s="24">
        <f t="shared" si="2"/>
        <v>0</v>
      </c>
      <c r="AC16" s="24">
        <f t="shared" si="2"/>
        <v>0</v>
      </c>
      <c r="AD16" s="24">
        <f t="shared" si="2"/>
        <v>0</v>
      </c>
      <c r="AE16" s="24">
        <f t="shared" si="2"/>
        <v>0</v>
      </c>
      <c r="AF16" s="24">
        <f t="shared" si="2"/>
        <v>0</v>
      </c>
      <c r="AG16" s="24">
        <f t="shared" si="2"/>
        <v>0</v>
      </c>
      <c r="AH16" s="24">
        <f t="shared" si="2"/>
        <v>0</v>
      </c>
      <c r="AI16" s="24">
        <f t="shared" si="2"/>
        <v>0</v>
      </c>
      <c r="AJ16" s="24">
        <f t="shared" si="2"/>
        <v>0</v>
      </c>
      <c r="AK16" s="24">
        <f t="shared" si="2"/>
        <v>0</v>
      </c>
      <c r="AL16" s="24">
        <f t="shared" si="2"/>
        <v>0</v>
      </c>
      <c r="AM16" s="24">
        <f t="shared" si="2"/>
        <v>0</v>
      </c>
      <c r="AN16" s="24">
        <f t="shared" si="2"/>
        <v>0</v>
      </c>
      <c r="AO16" s="24">
        <f t="shared" si="2"/>
        <v>0</v>
      </c>
      <c r="AP16" s="24">
        <f t="shared" si="2"/>
        <v>0</v>
      </c>
      <c r="AQ16" s="24">
        <f t="shared" si="2"/>
        <v>0</v>
      </c>
      <c r="AR16" s="24">
        <f t="shared" si="2"/>
        <v>0</v>
      </c>
      <c r="AS16" s="24">
        <f t="shared" si="2"/>
        <v>0</v>
      </c>
      <c r="AT16" s="24">
        <f t="shared" si="2"/>
        <v>0</v>
      </c>
      <c r="AU16" s="24">
        <f t="shared" si="2"/>
        <v>0</v>
      </c>
      <c r="AV16" s="24">
        <f t="shared" si="2"/>
        <v>0</v>
      </c>
      <c r="AW16" s="24">
        <f t="shared" si="2"/>
        <v>0</v>
      </c>
      <c r="AX16" s="24">
        <f t="shared" si="2"/>
        <v>0</v>
      </c>
      <c r="AY16" s="24">
        <f t="shared" si="2"/>
        <v>0</v>
      </c>
      <c r="AZ16" s="24">
        <f t="shared" si="2"/>
        <v>0</v>
      </c>
      <c r="BA16" s="25">
        <f t="shared" si="2"/>
        <v>0</v>
      </c>
      <c r="BB16" s="14"/>
      <c r="BC16" s="16">
        <f>SUM(BC5:BC15)</f>
        <v>0</v>
      </c>
      <c r="BE16" s="16">
        <f>SUM(BE6:BE15)</f>
        <v>0</v>
      </c>
    </row>
    <row r="17" spans="1:57" s="1" customFormat="1" ht="15" thickBot="1">
      <c r="A17" s="816" t="s">
        <v>175</v>
      </c>
      <c r="B17" s="1454">
        <f>B16+C16</f>
        <v>0</v>
      </c>
      <c r="C17" s="1455"/>
      <c r="D17" s="1454">
        <f>D16+E16</f>
        <v>0</v>
      </c>
      <c r="E17" s="1455"/>
      <c r="F17" s="1454">
        <f>F16+G16</f>
        <v>0</v>
      </c>
      <c r="G17" s="1455"/>
      <c r="H17" s="1454">
        <f>H16+I16</f>
        <v>0</v>
      </c>
      <c r="I17" s="1455"/>
      <c r="J17" s="1454">
        <f>J16+K16</f>
        <v>0</v>
      </c>
      <c r="K17" s="1455"/>
      <c r="L17" s="1454">
        <f>L16+M16</f>
        <v>0</v>
      </c>
      <c r="M17" s="1455"/>
      <c r="N17" s="1454">
        <f>N16+O16</f>
        <v>0</v>
      </c>
      <c r="O17" s="1455"/>
      <c r="P17" s="1454">
        <f>P16+Q16</f>
        <v>0</v>
      </c>
      <c r="Q17" s="1455"/>
      <c r="R17" s="1454">
        <f>R16+S16</f>
        <v>0</v>
      </c>
      <c r="S17" s="1455"/>
      <c r="T17" s="1454">
        <f>T16+U16</f>
        <v>0</v>
      </c>
      <c r="U17" s="1455"/>
      <c r="V17" s="1454">
        <f>V16+W16</f>
        <v>0</v>
      </c>
      <c r="W17" s="1455"/>
      <c r="X17" s="1454">
        <f>X16+Y16</f>
        <v>0</v>
      </c>
      <c r="Y17" s="1455"/>
      <c r="Z17" s="1454">
        <f>Z16+AA16</f>
        <v>0</v>
      </c>
      <c r="AA17" s="1455"/>
      <c r="AB17" s="1454">
        <f>AB16+AC16</f>
        <v>0</v>
      </c>
      <c r="AC17" s="1455"/>
      <c r="AD17" s="1454">
        <f>AD16+AE16</f>
        <v>0</v>
      </c>
      <c r="AE17" s="1455"/>
      <c r="AF17" s="1454">
        <f>AF16+AG16</f>
        <v>0</v>
      </c>
      <c r="AG17" s="1455"/>
      <c r="AH17" s="1454">
        <f>AH16+AI16</f>
        <v>0</v>
      </c>
      <c r="AI17" s="1455"/>
      <c r="AJ17" s="1454">
        <f>AJ16+AK16</f>
        <v>0</v>
      </c>
      <c r="AK17" s="1455"/>
      <c r="AL17" s="1454">
        <f>AL16+AM16</f>
        <v>0</v>
      </c>
      <c r="AM17" s="1455"/>
      <c r="AN17" s="1454">
        <f>AN16+AO16</f>
        <v>0</v>
      </c>
      <c r="AO17" s="1455"/>
      <c r="AP17" s="1454">
        <f>AP16+AQ16</f>
        <v>0</v>
      </c>
      <c r="AQ17" s="1455"/>
      <c r="AR17" s="1454">
        <f>AR16+AS16</f>
        <v>0</v>
      </c>
      <c r="AS17" s="1455"/>
      <c r="AT17" s="1454">
        <f>AT16+AU16</f>
        <v>0</v>
      </c>
      <c r="AU17" s="1455"/>
      <c r="AV17" s="1454">
        <f>AV16+AW16</f>
        <v>0</v>
      </c>
      <c r="AW17" s="1455"/>
      <c r="AX17" s="1454">
        <f>AX16+AY16</f>
        <v>0</v>
      </c>
      <c r="AY17" s="1455"/>
      <c r="AZ17" s="1454">
        <f>AZ16+BA16</f>
        <v>0</v>
      </c>
      <c r="BA17" s="1468"/>
      <c r="BB17" s="14"/>
      <c r="BC17" s="16"/>
      <c r="BE17" s="16"/>
    </row>
    <row r="18" spans="1:57" ht="11.25" customHeight="1" thickBot="1"/>
    <row r="19" spans="1:57">
      <c r="A19" s="1463" t="s">
        <v>339</v>
      </c>
      <c r="B19" s="1461" t="s">
        <v>278</v>
      </c>
      <c r="C19" s="1461"/>
      <c r="D19" s="1461"/>
      <c r="E19" s="1461"/>
      <c r="F19" s="1461" t="s">
        <v>279</v>
      </c>
      <c r="G19" s="1461"/>
      <c r="H19" s="1461"/>
      <c r="I19" s="1461"/>
      <c r="J19" s="1461" t="s">
        <v>280</v>
      </c>
      <c r="K19" s="1461"/>
      <c r="L19" s="1461"/>
      <c r="M19" s="1461"/>
      <c r="N19" s="1461" t="s">
        <v>281</v>
      </c>
      <c r="O19" s="1461"/>
      <c r="P19" s="1461"/>
      <c r="Q19" s="1461"/>
      <c r="R19" s="1461" t="s">
        <v>282</v>
      </c>
      <c r="S19" s="1461"/>
      <c r="T19" s="1461"/>
      <c r="U19" s="1461"/>
      <c r="V19" s="1461" t="s">
        <v>283</v>
      </c>
      <c r="W19" s="1461"/>
      <c r="X19" s="1461"/>
      <c r="Y19" s="1461"/>
      <c r="Z19" s="1461" t="s">
        <v>284</v>
      </c>
      <c r="AA19" s="1461"/>
      <c r="AB19" s="1461"/>
      <c r="AC19" s="1461"/>
      <c r="AD19" s="1461" t="s">
        <v>285</v>
      </c>
      <c r="AE19" s="1461"/>
      <c r="AF19" s="1461"/>
      <c r="AG19" s="1461"/>
      <c r="AH19" s="1461" t="s">
        <v>286</v>
      </c>
      <c r="AI19" s="1461"/>
      <c r="AJ19" s="1461"/>
      <c r="AK19" s="1461"/>
      <c r="AL19" s="1461" t="s">
        <v>287</v>
      </c>
      <c r="AM19" s="1461"/>
      <c r="AN19" s="1461"/>
      <c r="AO19" s="1461"/>
      <c r="AP19" s="1461" t="s">
        <v>288</v>
      </c>
      <c r="AQ19" s="1461"/>
      <c r="AR19" s="1461"/>
      <c r="AS19" s="1461"/>
      <c r="AT19" s="1461" t="s">
        <v>289</v>
      </c>
      <c r="AU19" s="1461"/>
      <c r="AV19" s="1461"/>
      <c r="AW19" s="1461"/>
      <c r="AX19" s="1461" t="s">
        <v>325</v>
      </c>
      <c r="AY19" s="1461"/>
      <c r="AZ19" s="1461"/>
      <c r="BA19" s="1466"/>
    </row>
    <row r="20" spans="1:57">
      <c r="A20" s="1464"/>
      <c r="B20" s="1462" t="s">
        <v>326</v>
      </c>
      <c r="C20" s="1462"/>
      <c r="D20" s="1462" t="s">
        <v>327</v>
      </c>
      <c r="E20" s="1462"/>
      <c r="F20" s="1462" t="s">
        <v>326</v>
      </c>
      <c r="G20" s="1462"/>
      <c r="H20" s="1462" t="s">
        <v>327</v>
      </c>
      <c r="I20" s="1462"/>
      <c r="J20" s="1462" t="s">
        <v>326</v>
      </c>
      <c r="K20" s="1462"/>
      <c r="L20" s="1462" t="s">
        <v>327</v>
      </c>
      <c r="M20" s="1462"/>
      <c r="N20" s="1462" t="s">
        <v>326</v>
      </c>
      <c r="O20" s="1462"/>
      <c r="P20" s="1462" t="s">
        <v>327</v>
      </c>
      <c r="Q20" s="1462"/>
      <c r="R20" s="1462" t="s">
        <v>326</v>
      </c>
      <c r="S20" s="1462"/>
      <c r="T20" s="1462" t="s">
        <v>327</v>
      </c>
      <c r="U20" s="1462"/>
      <c r="V20" s="1462" t="s">
        <v>326</v>
      </c>
      <c r="W20" s="1462"/>
      <c r="X20" s="1462" t="s">
        <v>327</v>
      </c>
      <c r="Y20" s="1462"/>
      <c r="Z20" s="1462" t="s">
        <v>326</v>
      </c>
      <c r="AA20" s="1462"/>
      <c r="AB20" s="1462" t="s">
        <v>327</v>
      </c>
      <c r="AC20" s="1462"/>
      <c r="AD20" s="1462" t="s">
        <v>326</v>
      </c>
      <c r="AE20" s="1462"/>
      <c r="AF20" s="1462" t="s">
        <v>327</v>
      </c>
      <c r="AG20" s="1462"/>
      <c r="AH20" s="1462" t="s">
        <v>326</v>
      </c>
      <c r="AI20" s="1462"/>
      <c r="AJ20" s="1462" t="s">
        <v>327</v>
      </c>
      <c r="AK20" s="1462"/>
      <c r="AL20" s="1462" t="s">
        <v>326</v>
      </c>
      <c r="AM20" s="1462"/>
      <c r="AN20" s="1462" t="s">
        <v>327</v>
      </c>
      <c r="AO20" s="1462"/>
      <c r="AP20" s="1462" t="s">
        <v>326</v>
      </c>
      <c r="AQ20" s="1462"/>
      <c r="AR20" s="1462" t="s">
        <v>327</v>
      </c>
      <c r="AS20" s="1462"/>
      <c r="AT20" s="1462" t="s">
        <v>326</v>
      </c>
      <c r="AU20" s="1462"/>
      <c r="AV20" s="1462" t="s">
        <v>327</v>
      </c>
      <c r="AW20" s="1462"/>
      <c r="AX20" s="1462" t="s">
        <v>326</v>
      </c>
      <c r="AY20" s="1462"/>
      <c r="AZ20" s="1462" t="s">
        <v>327</v>
      </c>
      <c r="BA20" s="1467"/>
    </row>
    <row r="21" spans="1:57">
      <c r="A21" s="806" t="s">
        <v>340</v>
      </c>
      <c r="B21" s="1465"/>
      <c r="C21" s="1465"/>
      <c r="D21" s="1465"/>
      <c r="E21" s="1465"/>
      <c r="F21" s="1465"/>
      <c r="G21" s="1465"/>
      <c r="H21" s="1465"/>
      <c r="I21" s="1465"/>
      <c r="J21" s="1465"/>
      <c r="K21" s="1465"/>
      <c r="L21" s="1465"/>
      <c r="M21" s="1465"/>
      <c r="N21" s="1465"/>
      <c r="O21" s="1465"/>
      <c r="P21" s="1465"/>
      <c r="Q21" s="1465"/>
      <c r="R21" s="1465"/>
      <c r="S21" s="1465"/>
      <c r="T21" s="1465"/>
      <c r="U21" s="1465"/>
      <c r="V21" s="1465"/>
      <c r="W21" s="1465"/>
      <c r="X21" s="1465"/>
      <c r="Y21" s="1465"/>
      <c r="Z21" s="1465"/>
      <c r="AA21" s="1465"/>
      <c r="AB21" s="1465"/>
      <c r="AC21" s="1465"/>
      <c r="AD21" s="1465"/>
      <c r="AE21" s="1465"/>
      <c r="AF21" s="1465"/>
      <c r="AG21" s="1465"/>
      <c r="AH21" s="1465"/>
      <c r="AI21" s="1465"/>
      <c r="AJ21" s="1465"/>
      <c r="AK21" s="1465"/>
      <c r="AL21" s="1465"/>
      <c r="AM21" s="1465"/>
      <c r="AN21" s="1465"/>
      <c r="AO21" s="1465"/>
      <c r="AP21" s="1465"/>
      <c r="AQ21" s="1465"/>
      <c r="AR21" s="1465"/>
      <c r="AS21" s="1465"/>
      <c r="AT21" s="1465"/>
      <c r="AU21" s="1465"/>
      <c r="AV21" s="1465"/>
      <c r="AW21" s="1465"/>
      <c r="AX21" s="1471">
        <f>B21+F21+J21+N21+R21+V21+Z21+AD21+AH21+AL21+AP21+AT21</f>
        <v>0</v>
      </c>
      <c r="AY21" s="1471"/>
      <c r="AZ21" s="1471">
        <f>D21+H21+L21+P21+T21+X21+AB21+AF21+AJ21+AN21+AR21+AV21</f>
        <v>0</v>
      </c>
      <c r="BA21" s="1472"/>
    </row>
    <row r="22" spans="1:57">
      <c r="A22" s="806" t="s">
        <v>341</v>
      </c>
      <c r="B22" s="1465">
        <f>B17</f>
        <v>0</v>
      </c>
      <c r="C22" s="1465"/>
      <c r="D22" s="1465">
        <f>D17</f>
        <v>0</v>
      </c>
      <c r="E22" s="1465"/>
      <c r="F22" s="1465">
        <f>F17</f>
        <v>0</v>
      </c>
      <c r="G22" s="1465"/>
      <c r="H22" s="1465">
        <f>H17</f>
        <v>0</v>
      </c>
      <c r="I22" s="1465"/>
      <c r="J22" s="1465">
        <f>J17</f>
        <v>0</v>
      </c>
      <c r="K22" s="1465"/>
      <c r="L22" s="1465">
        <f>L17</f>
        <v>0</v>
      </c>
      <c r="M22" s="1465"/>
      <c r="N22" s="1465">
        <f t="shared" ref="N22:AV22" si="3">N17</f>
        <v>0</v>
      </c>
      <c r="O22" s="1465"/>
      <c r="P22" s="1465">
        <f t="shared" si="3"/>
        <v>0</v>
      </c>
      <c r="Q22" s="1465"/>
      <c r="R22" s="1465">
        <f t="shared" si="3"/>
        <v>0</v>
      </c>
      <c r="S22" s="1465"/>
      <c r="T22" s="1465">
        <f t="shared" si="3"/>
        <v>0</v>
      </c>
      <c r="U22" s="1465"/>
      <c r="V22" s="1465">
        <f t="shared" si="3"/>
        <v>0</v>
      </c>
      <c r="W22" s="1465"/>
      <c r="X22" s="1465">
        <f t="shared" si="3"/>
        <v>0</v>
      </c>
      <c r="Y22" s="1465"/>
      <c r="Z22" s="1465">
        <f t="shared" si="3"/>
        <v>0</v>
      </c>
      <c r="AA22" s="1465"/>
      <c r="AB22" s="1465">
        <f t="shared" si="3"/>
        <v>0</v>
      </c>
      <c r="AC22" s="1465"/>
      <c r="AD22" s="1465">
        <f t="shared" si="3"/>
        <v>0</v>
      </c>
      <c r="AE22" s="1465"/>
      <c r="AF22" s="1465">
        <f t="shared" si="3"/>
        <v>0</v>
      </c>
      <c r="AG22" s="1465"/>
      <c r="AH22" s="1465">
        <f t="shared" si="3"/>
        <v>0</v>
      </c>
      <c r="AI22" s="1465"/>
      <c r="AJ22" s="1465">
        <f t="shared" si="3"/>
        <v>0</v>
      </c>
      <c r="AK22" s="1465"/>
      <c r="AL22" s="1465">
        <f t="shared" si="3"/>
        <v>0</v>
      </c>
      <c r="AM22" s="1465"/>
      <c r="AN22" s="1465">
        <f t="shared" si="3"/>
        <v>0</v>
      </c>
      <c r="AO22" s="1465"/>
      <c r="AP22" s="1465">
        <f t="shared" si="3"/>
        <v>0</v>
      </c>
      <c r="AQ22" s="1465"/>
      <c r="AR22" s="1465">
        <f t="shared" si="3"/>
        <v>0</v>
      </c>
      <c r="AS22" s="1465"/>
      <c r="AT22" s="1465">
        <f t="shared" si="3"/>
        <v>0</v>
      </c>
      <c r="AU22" s="1465"/>
      <c r="AV22" s="1465">
        <f t="shared" si="3"/>
        <v>0</v>
      </c>
      <c r="AW22" s="1465"/>
      <c r="AX22" s="1471">
        <f>B22+F22+J22+N22+R22+V22+Z22+AD22+AH22+AL22+AP22+AT22</f>
        <v>0</v>
      </c>
      <c r="AY22" s="1471"/>
      <c r="AZ22" s="1471">
        <f>D22+H22+L22+P22+T22+X22+AB22+AF22+AJ22+AN22+AR22+AV22</f>
        <v>0</v>
      </c>
      <c r="BA22" s="1472"/>
    </row>
    <row r="23" spans="1:57">
      <c r="A23" s="806" t="s">
        <v>175</v>
      </c>
      <c r="B23" s="1470">
        <f>B21+B22</f>
        <v>0</v>
      </c>
      <c r="C23" s="1470"/>
      <c r="D23" s="1470">
        <f>D21+D22</f>
        <v>0</v>
      </c>
      <c r="E23" s="1470"/>
      <c r="F23" s="1470">
        <f>F21+F22</f>
        <v>0</v>
      </c>
      <c r="G23" s="1470"/>
      <c r="H23" s="1470">
        <f>H21+H22</f>
        <v>0</v>
      </c>
      <c r="I23" s="1470"/>
      <c r="J23" s="1470">
        <f>J21+J22</f>
        <v>0</v>
      </c>
      <c r="K23" s="1470"/>
      <c r="L23" s="1470">
        <f>L21+L22</f>
        <v>0</v>
      </c>
      <c r="M23" s="1470"/>
      <c r="N23" s="1470">
        <f>N21+N22</f>
        <v>0</v>
      </c>
      <c r="O23" s="1470"/>
      <c r="P23" s="1470">
        <f>P21+P22</f>
        <v>0</v>
      </c>
      <c r="Q23" s="1470"/>
      <c r="R23" s="1470">
        <f>R21+R22</f>
        <v>0</v>
      </c>
      <c r="S23" s="1470"/>
      <c r="T23" s="1470">
        <f>T21+T22</f>
        <v>0</v>
      </c>
      <c r="U23" s="1470"/>
      <c r="V23" s="1470">
        <f>V21+V22</f>
        <v>0</v>
      </c>
      <c r="W23" s="1470"/>
      <c r="X23" s="1470">
        <f>X21+X22</f>
        <v>0</v>
      </c>
      <c r="Y23" s="1470"/>
      <c r="Z23" s="1470">
        <f>Z21+Z22</f>
        <v>0</v>
      </c>
      <c r="AA23" s="1470"/>
      <c r="AB23" s="1470">
        <f>AB21+AB22</f>
        <v>0</v>
      </c>
      <c r="AC23" s="1470"/>
      <c r="AD23" s="1470">
        <f>AD21+AD22</f>
        <v>0</v>
      </c>
      <c r="AE23" s="1470"/>
      <c r="AF23" s="1470">
        <f>AF21+AF22</f>
        <v>0</v>
      </c>
      <c r="AG23" s="1470"/>
      <c r="AH23" s="1470">
        <f>AH21+AH22</f>
        <v>0</v>
      </c>
      <c r="AI23" s="1470"/>
      <c r="AJ23" s="1470">
        <f>AJ21+AJ22</f>
        <v>0</v>
      </c>
      <c r="AK23" s="1470"/>
      <c r="AL23" s="1470">
        <f>AL21+AL22</f>
        <v>0</v>
      </c>
      <c r="AM23" s="1470"/>
      <c r="AN23" s="1470">
        <f>AN21+AN22</f>
        <v>0</v>
      </c>
      <c r="AO23" s="1470"/>
      <c r="AP23" s="1470">
        <f>AP21+AP22</f>
        <v>0</v>
      </c>
      <c r="AQ23" s="1470"/>
      <c r="AR23" s="1470">
        <f>AR21+AR22</f>
        <v>0</v>
      </c>
      <c r="AS23" s="1470"/>
      <c r="AT23" s="1470">
        <f>AT21+AT22</f>
        <v>0</v>
      </c>
      <c r="AU23" s="1470"/>
      <c r="AV23" s="1470">
        <f>AV21+AV22</f>
        <v>0</v>
      </c>
      <c r="AW23" s="1470"/>
      <c r="AX23" s="1470">
        <f>AX21+AX22</f>
        <v>0</v>
      </c>
      <c r="AY23" s="1470"/>
      <c r="AZ23" s="1470">
        <f>AZ21+AZ22</f>
        <v>0</v>
      </c>
      <c r="BA23" s="1473"/>
    </row>
    <row r="24" spans="1:57" ht="15" thickBot="1">
      <c r="A24" s="817" t="s">
        <v>342</v>
      </c>
      <c r="B24" s="1469">
        <f>B23-D23</f>
        <v>0</v>
      </c>
      <c r="C24" s="1469"/>
      <c r="D24" s="1469"/>
      <c r="E24" s="1469"/>
      <c r="F24" s="1469">
        <f>F23-H23</f>
        <v>0</v>
      </c>
      <c r="G24" s="1469"/>
      <c r="H24" s="1469"/>
      <c r="I24" s="1469"/>
      <c r="J24" s="1469">
        <f>J23-L23</f>
        <v>0</v>
      </c>
      <c r="K24" s="1469"/>
      <c r="L24" s="1469"/>
      <c r="M24" s="1469"/>
      <c r="N24" s="1469">
        <f>N23-P23</f>
        <v>0</v>
      </c>
      <c r="O24" s="1469"/>
      <c r="P24" s="1469"/>
      <c r="Q24" s="1469"/>
      <c r="R24" s="1469">
        <f>R23-T23</f>
        <v>0</v>
      </c>
      <c r="S24" s="1469"/>
      <c r="T24" s="1469"/>
      <c r="U24" s="1469"/>
      <c r="V24" s="1469">
        <f>V23-X23</f>
        <v>0</v>
      </c>
      <c r="W24" s="1469"/>
      <c r="X24" s="1469"/>
      <c r="Y24" s="1469"/>
      <c r="Z24" s="1469">
        <f>Z23-AB23</f>
        <v>0</v>
      </c>
      <c r="AA24" s="1469"/>
      <c r="AB24" s="1469"/>
      <c r="AC24" s="1469"/>
      <c r="AD24" s="1469">
        <f>AD23-AF23</f>
        <v>0</v>
      </c>
      <c r="AE24" s="1469"/>
      <c r="AF24" s="1469"/>
      <c r="AG24" s="1469"/>
      <c r="AH24" s="1469">
        <f>AH23-AJ23</f>
        <v>0</v>
      </c>
      <c r="AI24" s="1469"/>
      <c r="AJ24" s="1469"/>
      <c r="AK24" s="1469"/>
      <c r="AL24" s="1469">
        <f>AL23-AN23</f>
        <v>0</v>
      </c>
      <c r="AM24" s="1469"/>
      <c r="AN24" s="1469"/>
      <c r="AO24" s="1469"/>
      <c r="AP24" s="1469">
        <f>AP23-AR23</f>
        <v>0</v>
      </c>
      <c r="AQ24" s="1469"/>
      <c r="AR24" s="1469"/>
      <c r="AS24" s="1469"/>
      <c r="AT24" s="1469">
        <f>AT23-AV23</f>
        <v>0</v>
      </c>
      <c r="AU24" s="1469"/>
      <c r="AV24" s="1469"/>
      <c r="AW24" s="1469"/>
      <c r="AX24" s="1469">
        <f>AX23-AZ23</f>
        <v>0</v>
      </c>
      <c r="AY24" s="1469"/>
      <c r="AZ24" s="1469"/>
      <c r="BA24" s="1474"/>
    </row>
    <row r="26" spans="1:57" ht="15" thickBot="1">
      <c r="H26" s="1"/>
      <c r="K26" s="6"/>
      <c r="Q26" s="1"/>
      <c r="BA26" s="34"/>
    </row>
    <row r="27" spans="1:57">
      <c r="A27" s="1459" t="s">
        <v>324</v>
      </c>
      <c r="B27" s="1461" t="s">
        <v>278</v>
      </c>
      <c r="C27" s="1461"/>
      <c r="D27" s="1461"/>
      <c r="E27" s="1461"/>
      <c r="F27" s="1461" t="s">
        <v>279</v>
      </c>
      <c r="G27" s="1461"/>
      <c r="H27" s="1461"/>
      <c r="I27" s="1461"/>
      <c r="J27" s="1461" t="s">
        <v>280</v>
      </c>
      <c r="K27" s="1461"/>
      <c r="L27" s="1461"/>
      <c r="M27" s="1461"/>
      <c r="N27" s="1461" t="s">
        <v>281</v>
      </c>
      <c r="O27" s="1461"/>
      <c r="P27" s="1461"/>
      <c r="Q27" s="1461"/>
      <c r="R27" s="1461" t="s">
        <v>282</v>
      </c>
      <c r="S27" s="1461"/>
      <c r="T27" s="1461"/>
      <c r="U27" s="1461"/>
      <c r="V27" s="1461" t="s">
        <v>283</v>
      </c>
      <c r="W27" s="1461"/>
      <c r="X27" s="1461"/>
      <c r="Y27" s="1461"/>
      <c r="Z27" s="1461" t="s">
        <v>284</v>
      </c>
      <c r="AA27" s="1461"/>
      <c r="AB27" s="1461"/>
      <c r="AC27" s="1461"/>
      <c r="AD27" s="1461" t="s">
        <v>285</v>
      </c>
      <c r="AE27" s="1461"/>
      <c r="AF27" s="1461"/>
      <c r="AG27" s="1461"/>
      <c r="AH27" s="1461" t="s">
        <v>286</v>
      </c>
      <c r="AI27" s="1461"/>
      <c r="AJ27" s="1461"/>
      <c r="AK27" s="1461"/>
      <c r="AL27" s="1461" t="s">
        <v>287</v>
      </c>
      <c r="AM27" s="1461"/>
      <c r="AN27" s="1461"/>
      <c r="AO27" s="1461"/>
      <c r="AP27" s="1461" t="s">
        <v>288</v>
      </c>
      <c r="AQ27" s="1461"/>
      <c r="AR27" s="1461"/>
      <c r="AS27" s="1461"/>
      <c r="AT27" s="1461" t="s">
        <v>289</v>
      </c>
      <c r="AU27" s="1461"/>
      <c r="AV27" s="1461"/>
      <c r="AW27" s="1461"/>
      <c r="AX27" s="1461" t="s">
        <v>325</v>
      </c>
      <c r="AY27" s="1461"/>
      <c r="AZ27" s="1461"/>
      <c r="BA27" s="1466"/>
    </row>
    <row r="28" spans="1:57">
      <c r="A28" s="1460"/>
      <c r="B28" s="1462" t="s">
        <v>326</v>
      </c>
      <c r="C28" s="1462"/>
      <c r="D28" s="1462" t="s">
        <v>327</v>
      </c>
      <c r="E28" s="1462"/>
      <c r="F28" s="1462" t="s">
        <v>326</v>
      </c>
      <c r="G28" s="1462"/>
      <c r="H28" s="1462" t="s">
        <v>327</v>
      </c>
      <c r="I28" s="1462"/>
      <c r="J28" s="1462" t="s">
        <v>326</v>
      </c>
      <c r="K28" s="1462"/>
      <c r="L28" s="1462" t="s">
        <v>327</v>
      </c>
      <c r="M28" s="1462"/>
      <c r="N28" s="1462" t="s">
        <v>326</v>
      </c>
      <c r="O28" s="1462"/>
      <c r="P28" s="1462" t="s">
        <v>327</v>
      </c>
      <c r="Q28" s="1462"/>
      <c r="R28" s="1462" t="s">
        <v>326</v>
      </c>
      <c r="S28" s="1462"/>
      <c r="T28" s="1462" t="s">
        <v>327</v>
      </c>
      <c r="U28" s="1462"/>
      <c r="V28" s="1462" t="s">
        <v>326</v>
      </c>
      <c r="W28" s="1462"/>
      <c r="X28" s="1462" t="s">
        <v>327</v>
      </c>
      <c r="Y28" s="1462"/>
      <c r="Z28" s="1462" t="s">
        <v>326</v>
      </c>
      <c r="AA28" s="1462"/>
      <c r="AB28" s="1462" t="s">
        <v>327</v>
      </c>
      <c r="AC28" s="1462"/>
      <c r="AD28" s="1462" t="s">
        <v>326</v>
      </c>
      <c r="AE28" s="1462"/>
      <c r="AF28" s="1462" t="s">
        <v>327</v>
      </c>
      <c r="AG28" s="1462"/>
      <c r="AH28" s="1462" t="s">
        <v>326</v>
      </c>
      <c r="AI28" s="1462"/>
      <c r="AJ28" s="1462" t="s">
        <v>327</v>
      </c>
      <c r="AK28" s="1462"/>
      <c r="AL28" s="1462" t="s">
        <v>326</v>
      </c>
      <c r="AM28" s="1462"/>
      <c r="AN28" s="1462" t="s">
        <v>327</v>
      </c>
      <c r="AO28" s="1462"/>
      <c r="AP28" s="1462" t="s">
        <v>326</v>
      </c>
      <c r="AQ28" s="1462"/>
      <c r="AR28" s="1462" t="s">
        <v>327</v>
      </c>
      <c r="AS28" s="1462"/>
      <c r="AT28" s="1462" t="s">
        <v>326</v>
      </c>
      <c r="AU28" s="1462"/>
      <c r="AV28" s="1462" t="s">
        <v>327</v>
      </c>
      <c r="AW28" s="1462"/>
      <c r="AX28" s="1462" t="s">
        <v>326</v>
      </c>
      <c r="AY28" s="1462"/>
      <c r="AZ28" s="1462" t="s">
        <v>327</v>
      </c>
      <c r="BA28" s="1467"/>
    </row>
    <row r="29" spans="1:57">
      <c r="A29" s="1460"/>
      <c r="B29" s="804" t="s">
        <v>196</v>
      </c>
      <c r="C29" s="804" t="s">
        <v>328</v>
      </c>
      <c r="D29" s="804" t="s">
        <v>196</v>
      </c>
      <c r="E29" s="804" t="s">
        <v>328</v>
      </c>
      <c r="F29" s="804" t="s">
        <v>196</v>
      </c>
      <c r="G29" s="804" t="s">
        <v>328</v>
      </c>
      <c r="H29" s="804" t="s">
        <v>196</v>
      </c>
      <c r="I29" s="804" t="s">
        <v>328</v>
      </c>
      <c r="J29" s="804" t="s">
        <v>196</v>
      </c>
      <c r="K29" s="804" t="s">
        <v>328</v>
      </c>
      <c r="L29" s="804" t="s">
        <v>196</v>
      </c>
      <c r="M29" s="804" t="s">
        <v>328</v>
      </c>
      <c r="N29" s="804" t="s">
        <v>196</v>
      </c>
      <c r="O29" s="804" t="s">
        <v>328</v>
      </c>
      <c r="P29" s="804" t="s">
        <v>196</v>
      </c>
      <c r="Q29" s="804" t="s">
        <v>328</v>
      </c>
      <c r="R29" s="804" t="s">
        <v>196</v>
      </c>
      <c r="S29" s="804" t="s">
        <v>328</v>
      </c>
      <c r="T29" s="804" t="s">
        <v>196</v>
      </c>
      <c r="U29" s="804" t="s">
        <v>328</v>
      </c>
      <c r="V29" s="804" t="s">
        <v>196</v>
      </c>
      <c r="W29" s="804" t="s">
        <v>328</v>
      </c>
      <c r="X29" s="804" t="s">
        <v>196</v>
      </c>
      <c r="Y29" s="804" t="s">
        <v>328</v>
      </c>
      <c r="Z29" s="804" t="s">
        <v>196</v>
      </c>
      <c r="AA29" s="804" t="s">
        <v>328</v>
      </c>
      <c r="AB29" s="804" t="s">
        <v>196</v>
      </c>
      <c r="AC29" s="804" t="s">
        <v>328</v>
      </c>
      <c r="AD29" s="804" t="s">
        <v>196</v>
      </c>
      <c r="AE29" s="804" t="s">
        <v>328</v>
      </c>
      <c r="AF29" s="804" t="s">
        <v>196</v>
      </c>
      <c r="AG29" s="804" t="s">
        <v>328</v>
      </c>
      <c r="AH29" s="804" t="s">
        <v>196</v>
      </c>
      <c r="AI29" s="804" t="s">
        <v>328</v>
      </c>
      <c r="AJ29" s="804" t="s">
        <v>196</v>
      </c>
      <c r="AK29" s="804" t="s">
        <v>328</v>
      </c>
      <c r="AL29" s="804" t="s">
        <v>196</v>
      </c>
      <c r="AM29" s="804" t="s">
        <v>328</v>
      </c>
      <c r="AN29" s="804" t="s">
        <v>196</v>
      </c>
      <c r="AO29" s="804" t="s">
        <v>328</v>
      </c>
      <c r="AP29" s="804" t="s">
        <v>196</v>
      </c>
      <c r="AQ29" s="804" t="s">
        <v>328</v>
      </c>
      <c r="AR29" s="804" t="s">
        <v>196</v>
      </c>
      <c r="AS29" s="804" t="s">
        <v>328</v>
      </c>
      <c r="AT29" s="804" t="s">
        <v>196</v>
      </c>
      <c r="AU29" s="804" t="s">
        <v>328</v>
      </c>
      <c r="AV29" s="804" t="s">
        <v>196</v>
      </c>
      <c r="AW29" s="804" t="s">
        <v>328</v>
      </c>
      <c r="AX29" s="804" t="s">
        <v>196</v>
      </c>
      <c r="AY29" s="804" t="s">
        <v>328</v>
      </c>
      <c r="AZ29" s="804" t="s">
        <v>196</v>
      </c>
      <c r="BA29" s="805" t="s">
        <v>328</v>
      </c>
    </row>
    <row r="30" spans="1:57">
      <c r="A30" s="806" t="s">
        <v>329</v>
      </c>
      <c r="B30" s="807"/>
      <c r="C30" s="807"/>
      <c r="D30" s="807"/>
      <c r="E30" s="807"/>
      <c r="F30" s="807"/>
      <c r="G30" s="807"/>
      <c r="H30" s="807"/>
      <c r="I30" s="807"/>
      <c r="J30" s="807"/>
      <c r="K30" s="807"/>
      <c r="L30" s="807"/>
      <c r="M30" s="807"/>
      <c r="N30" s="807"/>
      <c r="O30" s="807"/>
      <c r="P30" s="807"/>
      <c r="Q30" s="807"/>
      <c r="R30" s="807"/>
      <c r="S30" s="807"/>
      <c r="T30" s="807"/>
      <c r="U30" s="807"/>
      <c r="V30" s="807"/>
      <c r="W30" s="807"/>
      <c r="X30" s="807"/>
      <c r="Y30" s="807"/>
      <c r="Z30" s="807"/>
      <c r="AA30" s="807"/>
      <c r="AB30" s="807"/>
      <c r="AC30" s="807"/>
      <c r="AD30" s="807"/>
      <c r="AE30" s="807"/>
      <c r="AF30" s="807"/>
      <c r="AG30" s="807"/>
      <c r="AH30" s="807"/>
      <c r="AI30" s="807"/>
      <c r="AJ30" s="807"/>
      <c r="AK30" s="807"/>
      <c r="AL30" s="807"/>
      <c r="AM30" s="807"/>
      <c r="AN30" s="807"/>
      <c r="AO30" s="807"/>
      <c r="AP30" s="807"/>
      <c r="AQ30" s="807"/>
      <c r="AR30" s="807"/>
      <c r="AS30" s="807"/>
      <c r="AT30" s="807"/>
      <c r="AU30" s="807"/>
      <c r="AV30" s="807"/>
      <c r="AW30" s="807"/>
      <c r="AX30" s="808">
        <f>B30+F30+J30+N30+R30+V30+Z30+AD30+AH30+AL30+AP30+AT30</f>
        <v>0</v>
      </c>
      <c r="AY30" s="808">
        <f>C30+G30+K30+O30+S30+W30+AA30+AE30+AI30+AM30+AQ30+AU30</f>
        <v>0</v>
      </c>
      <c r="AZ30" s="808">
        <f>D30+H30+L30+P30+T30+X30+AB30+AF30+AJ30+AN30+AR30+AV30</f>
        <v>0</v>
      </c>
      <c r="BA30" s="809">
        <f>E30+I30+M30+Q30+U30+Y30+AC30+AG30+AK30+AO30+AS30+AW30</f>
        <v>0</v>
      </c>
    </row>
    <row r="31" spans="1:57">
      <c r="A31" s="806" t="s">
        <v>238</v>
      </c>
      <c r="B31" s="807"/>
      <c r="C31" s="807"/>
      <c r="D31" s="807"/>
      <c r="E31" s="807"/>
      <c r="F31" s="807"/>
      <c r="G31" s="807"/>
      <c r="H31" s="807"/>
      <c r="I31" s="807"/>
      <c r="J31" s="807"/>
      <c r="K31" s="807"/>
      <c r="L31" s="807"/>
      <c r="M31" s="807"/>
      <c r="N31" s="807"/>
      <c r="O31" s="807"/>
      <c r="P31" s="807"/>
      <c r="Q31" s="807"/>
      <c r="R31" s="807"/>
      <c r="S31" s="807"/>
      <c r="T31" s="807"/>
      <c r="U31" s="807"/>
      <c r="V31" s="807"/>
      <c r="W31" s="807"/>
      <c r="X31" s="807"/>
      <c r="Y31" s="807"/>
      <c r="Z31" s="807"/>
      <c r="AA31" s="807"/>
      <c r="AB31" s="807"/>
      <c r="AC31" s="807"/>
      <c r="AD31" s="807"/>
      <c r="AE31" s="807"/>
      <c r="AF31" s="807"/>
      <c r="AG31" s="807"/>
      <c r="AH31" s="807"/>
      <c r="AI31" s="807"/>
      <c r="AJ31" s="807"/>
      <c r="AK31" s="807"/>
      <c r="AL31" s="807"/>
      <c r="AM31" s="807"/>
      <c r="AN31" s="807"/>
      <c r="AO31" s="807"/>
      <c r="AP31" s="807"/>
      <c r="AQ31" s="807"/>
      <c r="AR31" s="807"/>
      <c r="AS31" s="807"/>
      <c r="AT31" s="807"/>
      <c r="AU31" s="807"/>
      <c r="AV31" s="807"/>
      <c r="AW31" s="807"/>
      <c r="AX31" s="808">
        <f t="shared" ref="AX31:AX40" si="4">B31+F31+J31+N31+R31+V31+Z31+AD31+AH31+AL31+AP31+AT31</f>
        <v>0</v>
      </c>
      <c r="AY31" s="808">
        <f t="shared" ref="AY31:AY40" si="5">C31+G31+K31+O31+S31+W31+AA31+AE31+AI31+AM31+AQ31+AU31</f>
        <v>0</v>
      </c>
      <c r="AZ31" s="808">
        <f t="shared" ref="AZ31:AZ40" si="6">D31+H31+L31+P31+T31+X31+AB31+AF31+AJ31+AN31+AR31+AV31</f>
        <v>0</v>
      </c>
      <c r="BA31" s="809">
        <f t="shared" ref="BA31:BA40" si="7">E31+I31+M31+Q31+U31+Y31+AC31+AG31+AK31+AO31+AS31+AW31</f>
        <v>0</v>
      </c>
    </row>
    <row r="32" spans="1:57">
      <c r="A32" s="806" t="s">
        <v>330</v>
      </c>
      <c r="B32" s="807"/>
      <c r="C32" s="807"/>
      <c r="D32" s="807"/>
      <c r="E32" s="807"/>
      <c r="F32" s="807"/>
      <c r="G32" s="807"/>
      <c r="H32" s="807"/>
      <c r="I32" s="807"/>
      <c r="J32" s="807"/>
      <c r="K32" s="807"/>
      <c r="L32" s="807"/>
      <c r="M32" s="807"/>
      <c r="N32" s="807"/>
      <c r="O32" s="807"/>
      <c r="P32" s="807"/>
      <c r="Q32" s="807"/>
      <c r="R32" s="807"/>
      <c r="S32" s="807"/>
      <c r="T32" s="807"/>
      <c r="U32" s="807"/>
      <c r="V32" s="807"/>
      <c r="W32" s="807"/>
      <c r="X32" s="807"/>
      <c r="Y32" s="807"/>
      <c r="Z32" s="807"/>
      <c r="AA32" s="807"/>
      <c r="AB32" s="807"/>
      <c r="AC32" s="807"/>
      <c r="AD32" s="807"/>
      <c r="AE32" s="807"/>
      <c r="AF32" s="807"/>
      <c r="AG32" s="807"/>
      <c r="AH32" s="807"/>
      <c r="AI32" s="807"/>
      <c r="AJ32" s="807"/>
      <c r="AK32" s="807"/>
      <c r="AL32" s="807"/>
      <c r="AM32" s="807"/>
      <c r="AN32" s="807"/>
      <c r="AO32" s="807"/>
      <c r="AP32" s="807"/>
      <c r="AQ32" s="807"/>
      <c r="AR32" s="807"/>
      <c r="AS32" s="807"/>
      <c r="AT32" s="807"/>
      <c r="AU32" s="807"/>
      <c r="AV32" s="807"/>
      <c r="AW32" s="807"/>
      <c r="AX32" s="808">
        <f t="shared" si="4"/>
        <v>0</v>
      </c>
      <c r="AY32" s="808">
        <f t="shared" si="5"/>
        <v>0</v>
      </c>
      <c r="AZ32" s="808">
        <f t="shared" si="6"/>
        <v>0</v>
      </c>
      <c r="BA32" s="809">
        <f t="shared" si="7"/>
        <v>0</v>
      </c>
    </row>
    <row r="33" spans="1:53">
      <c r="A33" s="806" t="s">
        <v>331</v>
      </c>
      <c r="B33" s="807"/>
      <c r="C33" s="807"/>
      <c r="D33" s="807"/>
      <c r="E33" s="807"/>
      <c r="F33" s="807"/>
      <c r="G33" s="807"/>
      <c r="H33" s="807"/>
      <c r="I33" s="807"/>
      <c r="J33" s="807"/>
      <c r="K33" s="807"/>
      <c r="L33" s="807"/>
      <c r="M33" s="807"/>
      <c r="N33" s="807"/>
      <c r="O33" s="807"/>
      <c r="P33" s="807"/>
      <c r="Q33" s="807"/>
      <c r="R33" s="810"/>
      <c r="S33" s="807"/>
      <c r="T33" s="807"/>
      <c r="U33" s="807"/>
      <c r="V33" s="807"/>
      <c r="W33" s="807"/>
      <c r="X33" s="807"/>
      <c r="Y33" s="807"/>
      <c r="Z33" s="807"/>
      <c r="AA33" s="807"/>
      <c r="AB33" s="807"/>
      <c r="AC33" s="807"/>
      <c r="AD33" s="807"/>
      <c r="AE33" s="807"/>
      <c r="AF33" s="807"/>
      <c r="AG33" s="807"/>
      <c r="AH33" s="807"/>
      <c r="AI33" s="807"/>
      <c r="AJ33" s="807"/>
      <c r="AK33" s="807"/>
      <c r="AL33" s="807"/>
      <c r="AM33" s="807"/>
      <c r="AN33" s="807"/>
      <c r="AO33" s="807"/>
      <c r="AP33" s="807"/>
      <c r="AQ33" s="807"/>
      <c r="AR33" s="807"/>
      <c r="AS33" s="807"/>
      <c r="AT33" s="807"/>
      <c r="AU33" s="807"/>
      <c r="AV33" s="807"/>
      <c r="AW33" s="807"/>
      <c r="AX33" s="808">
        <f t="shared" si="4"/>
        <v>0</v>
      </c>
      <c r="AY33" s="808">
        <f t="shared" si="5"/>
        <v>0</v>
      </c>
      <c r="AZ33" s="808">
        <f t="shared" si="6"/>
        <v>0</v>
      </c>
      <c r="BA33" s="809">
        <f t="shared" si="7"/>
        <v>0</v>
      </c>
    </row>
    <row r="34" spans="1:53">
      <c r="A34" s="806" t="s">
        <v>332</v>
      </c>
      <c r="B34" s="807"/>
      <c r="C34" s="807"/>
      <c r="D34" s="807"/>
      <c r="E34" s="807"/>
      <c r="F34" s="807"/>
      <c r="G34" s="807"/>
      <c r="H34" s="807"/>
      <c r="I34" s="807"/>
      <c r="J34" s="807"/>
      <c r="K34" s="807"/>
      <c r="L34" s="807"/>
      <c r="M34" s="807"/>
      <c r="N34" s="807"/>
      <c r="O34" s="807"/>
      <c r="P34" s="807"/>
      <c r="Q34" s="807"/>
      <c r="R34" s="807"/>
      <c r="S34" s="807"/>
      <c r="T34" s="807"/>
      <c r="U34" s="807"/>
      <c r="V34" s="807"/>
      <c r="W34" s="807"/>
      <c r="X34" s="807"/>
      <c r="Y34" s="807"/>
      <c r="Z34" s="807"/>
      <c r="AA34" s="807"/>
      <c r="AB34" s="807"/>
      <c r="AC34" s="807"/>
      <c r="AD34" s="807"/>
      <c r="AE34" s="807"/>
      <c r="AF34" s="807"/>
      <c r="AG34" s="807"/>
      <c r="AH34" s="807"/>
      <c r="AI34" s="807"/>
      <c r="AJ34" s="807"/>
      <c r="AK34" s="807"/>
      <c r="AL34" s="807"/>
      <c r="AM34" s="807"/>
      <c r="AN34" s="807"/>
      <c r="AO34" s="807"/>
      <c r="AP34" s="807"/>
      <c r="AQ34" s="807"/>
      <c r="AR34" s="807"/>
      <c r="AS34" s="807"/>
      <c r="AT34" s="807"/>
      <c r="AU34" s="807"/>
      <c r="AV34" s="807"/>
      <c r="AW34" s="807"/>
      <c r="AX34" s="808">
        <f t="shared" si="4"/>
        <v>0</v>
      </c>
      <c r="AY34" s="808">
        <f t="shared" si="5"/>
        <v>0</v>
      </c>
      <c r="AZ34" s="808">
        <f t="shared" si="6"/>
        <v>0</v>
      </c>
      <c r="BA34" s="809">
        <f t="shared" si="7"/>
        <v>0</v>
      </c>
    </row>
    <row r="35" spans="1:53">
      <c r="A35" s="806" t="s">
        <v>230</v>
      </c>
      <c r="B35" s="807"/>
      <c r="C35" s="807"/>
      <c r="D35" s="807"/>
      <c r="E35" s="807"/>
      <c r="F35" s="807"/>
      <c r="G35" s="807"/>
      <c r="H35" s="807"/>
      <c r="I35" s="807"/>
      <c r="J35" s="35"/>
      <c r="K35" s="807"/>
      <c r="L35" s="807"/>
      <c r="M35" s="807"/>
      <c r="N35" s="807"/>
      <c r="O35" s="807"/>
      <c r="P35" s="807"/>
      <c r="Q35" s="807"/>
      <c r="R35" s="807"/>
      <c r="S35" s="807"/>
      <c r="T35" s="807"/>
      <c r="U35" s="807"/>
      <c r="V35" s="807"/>
      <c r="W35" s="807"/>
      <c r="X35" s="807"/>
      <c r="Y35" s="807"/>
      <c r="Z35" s="807"/>
      <c r="AA35" s="807"/>
      <c r="AB35" s="807"/>
      <c r="AC35" s="807"/>
      <c r="AD35" s="807"/>
      <c r="AE35" s="807"/>
      <c r="AF35" s="807"/>
      <c r="AG35" s="807"/>
      <c r="AH35" s="807"/>
      <c r="AI35" s="807"/>
      <c r="AJ35" s="807"/>
      <c r="AK35" s="807"/>
      <c r="AL35" s="807"/>
      <c r="AM35" s="807"/>
      <c r="AN35" s="807"/>
      <c r="AO35" s="807"/>
      <c r="AP35" s="807"/>
      <c r="AQ35" s="807"/>
      <c r="AR35" s="807"/>
      <c r="AS35" s="807"/>
      <c r="AT35" s="807"/>
      <c r="AU35" s="807"/>
      <c r="AV35" s="807"/>
      <c r="AW35" s="807"/>
      <c r="AX35" s="808">
        <f t="shared" si="4"/>
        <v>0</v>
      </c>
      <c r="AY35" s="808">
        <f t="shared" si="5"/>
        <v>0</v>
      </c>
      <c r="AZ35" s="808">
        <f t="shared" si="6"/>
        <v>0</v>
      </c>
      <c r="BA35" s="809">
        <f t="shared" si="7"/>
        <v>0</v>
      </c>
    </row>
    <row r="36" spans="1:53">
      <c r="A36" s="806" t="s">
        <v>333</v>
      </c>
      <c r="B36" s="807"/>
      <c r="C36" s="810"/>
      <c r="D36" s="807"/>
      <c r="E36" s="807"/>
      <c r="F36" s="807"/>
      <c r="G36" s="807"/>
      <c r="H36" s="807"/>
      <c r="I36" s="807"/>
      <c r="J36" s="807"/>
      <c r="K36" s="807"/>
      <c r="L36" s="807"/>
      <c r="M36" s="807"/>
      <c r="N36" s="807"/>
      <c r="O36" s="807"/>
      <c r="P36" s="807"/>
      <c r="Q36" s="807"/>
      <c r="R36" s="807"/>
      <c r="S36" s="36"/>
      <c r="T36" s="807"/>
      <c r="U36" s="807"/>
      <c r="V36" s="807"/>
      <c r="W36" s="807"/>
      <c r="X36" s="807"/>
      <c r="Y36" s="807"/>
      <c r="Z36" s="807"/>
      <c r="AA36" s="807"/>
      <c r="AB36" s="807"/>
      <c r="AC36" s="807"/>
      <c r="AD36" s="807"/>
      <c r="AE36" s="807"/>
      <c r="AF36" s="807"/>
      <c r="AG36" s="807"/>
      <c r="AH36" s="807"/>
      <c r="AI36" s="807"/>
      <c r="AJ36" s="807"/>
      <c r="AK36" s="807"/>
      <c r="AL36" s="807"/>
      <c r="AM36" s="807"/>
      <c r="AN36" s="807"/>
      <c r="AO36" s="807"/>
      <c r="AP36" s="807"/>
      <c r="AQ36" s="807"/>
      <c r="AR36" s="807"/>
      <c r="AS36" s="807"/>
      <c r="AT36" s="807"/>
      <c r="AU36" s="807"/>
      <c r="AV36" s="807"/>
      <c r="AW36" s="807"/>
      <c r="AX36" s="808">
        <f t="shared" si="4"/>
        <v>0</v>
      </c>
      <c r="AY36" s="808">
        <f t="shared" si="5"/>
        <v>0</v>
      </c>
      <c r="AZ36" s="808">
        <f t="shared" si="6"/>
        <v>0</v>
      </c>
      <c r="BA36" s="809">
        <f t="shared" si="7"/>
        <v>0</v>
      </c>
    </row>
    <row r="37" spans="1:53">
      <c r="A37" s="806" t="s">
        <v>334</v>
      </c>
      <c r="B37" s="807"/>
      <c r="C37" s="807"/>
      <c r="D37" s="807"/>
      <c r="E37" s="807"/>
      <c r="F37" s="807"/>
      <c r="G37" s="807"/>
      <c r="H37" s="807"/>
      <c r="I37" s="807"/>
      <c r="J37" s="807"/>
      <c r="K37" s="807"/>
      <c r="L37" s="807"/>
      <c r="M37" s="807"/>
      <c r="N37" s="807"/>
      <c r="O37" s="807"/>
      <c r="P37" s="807"/>
      <c r="Q37" s="807"/>
      <c r="R37" s="807"/>
      <c r="S37" s="807"/>
      <c r="T37" s="807"/>
      <c r="U37" s="807"/>
      <c r="V37" s="807"/>
      <c r="W37" s="807"/>
      <c r="X37" s="807"/>
      <c r="Y37" s="807"/>
      <c r="Z37" s="807"/>
      <c r="AA37" s="807"/>
      <c r="AB37" s="807"/>
      <c r="AC37" s="807"/>
      <c r="AD37" s="807"/>
      <c r="AE37" s="807"/>
      <c r="AF37" s="807"/>
      <c r="AG37" s="807"/>
      <c r="AH37" s="807"/>
      <c r="AI37" s="807"/>
      <c r="AJ37" s="807"/>
      <c r="AK37" s="807"/>
      <c r="AL37" s="807"/>
      <c r="AM37" s="807"/>
      <c r="AN37" s="807"/>
      <c r="AO37" s="807"/>
      <c r="AP37" s="807"/>
      <c r="AQ37" s="807"/>
      <c r="AR37" s="807"/>
      <c r="AS37" s="807"/>
      <c r="AT37" s="807"/>
      <c r="AU37" s="807"/>
      <c r="AV37" s="807"/>
      <c r="AW37" s="807"/>
      <c r="AX37" s="808">
        <f t="shared" si="4"/>
        <v>0</v>
      </c>
      <c r="AY37" s="808">
        <f t="shared" si="5"/>
        <v>0</v>
      </c>
      <c r="AZ37" s="808">
        <f t="shared" si="6"/>
        <v>0</v>
      </c>
      <c r="BA37" s="809">
        <f t="shared" si="7"/>
        <v>0</v>
      </c>
    </row>
    <row r="38" spans="1:53">
      <c r="A38" s="806" t="s">
        <v>335</v>
      </c>
      <c r="B38" s="807"/>
      <c r="C38" s="807"/>
      <c r="D38" s="807"/>
      <c r="E38" s="807"/>
      <c r="F38" s="807"/>
      <c r="G38" s="807"/>
      <c r="H38" s="807"/>
      <c r="I38" s="807"/>
      <c r="J38" s="807"/>
      <c r="K38" s="807"/>
      <c r="L38" s="807"/>
      <c r="M38" s="807"/>
      <c r="N38" s="807"/>
      <c r="O38" s="807"/>
      <c r="P38" s="807"/>
      <c r="Q38" s="807"/>
      <c r="R38" s="807"/>
      <c r="S38" s="807"/>
      <c r="T38" s="807"/>
      <c r="U38" s="807"/>
      <c r="V38" s="807"/>
      <c r="W38" s="807"/>
      <c r="X38" s="807"/>
      <c r="Y38" s="807"/>
      <c r="Z38" s="807"/>
      <c r="AA38" s="807"/>
      <c r="AB38" s="807"/>
      <c r="AC38" s="807"/>
      <c r="AD38" s="807"/>
      <c r="AE38" s="807"/>
      <c r="AF38" s="807"/>
      <c r="AG38" s="807"/>
      <c r="AH38" s="807"/>
      <c r="AI38" s="807"/>
      <c r="AJ38" s="807"/>
      <c r="AK38" s="807"/>
      <c r="AL38" s="807"/>
      <c r="AM38" s="807"/>
      <c r="AN38" s="807"/>
      <c r="AO38" s="807"/>
      <c r="AP38" s="807"/>
      <c r="AQ38" s="807"/>
      <c r="AR38" s="807"/>
      <c r="AS38" s="807"/>
      <c r="AT38" s="807"/>
      <c r="AU38" s="807"/>
      <c r="AV38" s="807"/>
      <c r="AW38" s="807"/>
      <c r="AX38" s="808">
        <f t="shared" si="4"/>
        <v>0</v>
      </c>
      <c r="AY38" s="808">
        <f t="shared" si="5"/>
        <v>0</v>
      </c>
      <c r="AZ38" s="808">
        <f t="shared" si="6"/>
        <v>0</v>
      </c>
      <c r="BA38" s="809">
        <f t="shared" si="7"/>
        <v>0</v>
      </c>
    </row>
    <row r="39" spans="1:53">
      <c r="A39" s="806" t="s">
        <v>336</v>
      </c>
      <c r="B39" s="807"/>
      <c r="C39" s="811"/>
      <c r="D39" s="807"/>
      <c r="E39" s="807"/>
      <c r="F39" s="807"/>
      <c r="G39" s="807"/>
      <c r="H39" s="807"/>
      <c r="I39" s="807"/>
      <c r="J39" s="807"/>
      <c r="K39" s="807"/>
      <c r="L39" s="807"/>
      <c r="M39" s="807"/>
      <c r="N39" s="807"/>
      <c r="O39" s="807"/>
      <c r="P39" s="807"/>
      <c r="Q39" s="807"/>
      <c r="R39" s="807"/>
      <c r="S39" s="807"/>
      <c r="T39" s="807"/>
      <c r="U39" s="807"/>
      <c r="V39" s="807"/>
      <c r="W39" s="807"/>
      <c r="X39" s="807"/>
      <c r="Y39" s="807"/>
      <c r="Z39" s="807"/>
      <c r="AA39" s="807"/>
      <c r="AB39" s="807"/>
      <c r="AC39" s="807"/>
      <c r="AD39" s="807"/>
      <c r="AE39" s="807"/>
      <c r="AF39" s="807"/>
      <c r="AG39" s="807"/>
      <c r="AH39" s="807"/>
      <c r="AI39" s="807"/>
      <c r="AJ39" s="807"/>
      <c r="AK39" s="807"/>
      <c r="AL39" s="807"/>
      <c r="AM39" s="807"/>
      <c r="AN39" s="807"/>
      <c r="AO39" s="807"/>
      <c r="AP39" s="807"/>
      <c r="AQ39" s="807"/>
      <c r="AR39" s="807"/>
      <c r="AS39" s="807"/>
      <c r="AT39" s="807"/>
      <c r="AU39" s="807"/>
      <c r="AV39" s="807"/>
      <c r="AW39" s="807"/>
      <c r="AX39" s="808">
        <f t="shared" si="4"/>
        <v>0</v>
      </c>
      <c r="AY39" s="808">
        <f t="shared" si="5"/>
        <v>0</v>
      </c>
      <c r="AZ39" s="808">
        <f t="shared" si="6"/>
        <v>0</v>
      </c>
      <c r="BA39" s="809">
        <f t="shared" si="7"/>
        <v>0</v>
      </c>
    </row>
    <row r="40" spans="1:53" ht="15" thickBot="1">
      <c r="A40" s="22" t="s">
        <v>337</v>
      </c>
      <c r="B40" s="812"/>
      <c r="C40" s="812"/>
      <c r="D40" s="812"/>
      <c r="E40" s="812"/>
      <c r="F40" s="812"/>
      <c r="G40" s="812"/>
      <c r="H40" s="812"/>
      <c r="I40" s="812"/>
      <c r="J40" s="812"/>
      <c r="K40" s="812"/>
      <c r="L40" s="812"/>
      <c r="M40" s="812"/>
      <c r="N40" s="812"/>
      <c r="O40" s="812"/>
      <c r="P40" s="812"/>
      <c r="Q40" s="812"/>
      <c r="R40" s="812"/>
      <c r="S40" s="812"/>
      <c r="T40" s="812"/>
      <c r="U40" s="812"/>
      <c r="V40" s="812"/>
      <c r="W40" s="813"/>
      <c r="X40" s="812"/>
      <c r="Y40" s="812"/>
      <c r="Z40" s="812"/>
      <c r="AA40" s="812"/>
      <c r="AB40" s="812"/>
      <c r="AC40" s="812"/>
      <c r="AD40" s="812"/>
      <c r="AE40" s="812"/>
      <c r="AF40" s="812"/>
      <c r="AG40" s="812"/>
      <c r="AH40" s="812"/>
      <c r="AI40" s="812"/>
      <c r="AJ40" s="812"/>
      <c r="AK40" s="812"/>
      <c r="AL40" s="812"/>
      <c r="AM40" s="812"/>
      <c r="AN40" s="812"/>
      <c r="AO40" s="812"/>
      <c r="AP40" s="812"/>
      <c r="AQ40" s="812"/>
      <c r="AR40" s="812"/>
      <c r="AS40" s="812"/>
      <c r="AT40" s="812"/>
      <c r="AU40" s="812"/>
      <c r="AV40" s="812"/>
      <c r="AW40" s="812"/>
      <c r="AX40" s="814">
        <f t="shared" si="4"/>
        <v>0</v>
      </c>
      <c r="AY40" s="814">
        <f t="shared" si="5"/>
        <v>0</v>
      </c>
      <c r="AZ40" s="814">
        <f t="shared" si="6"/>
        <v>0</v>
      </c>
      <c r="BA40" s="815">
        <f t="shared" si="7"/>
        <v>0</v>
      </c>
    </row>
    <row r="41" spans="1:53" ht="15" thickBot="1">
      <c r="A41" s="23" t="s">
        <v>338</v>
      </c>
      <c r="B41" s="24">
        <f t="shared" ref="B41:Q41" si="8">SUM(B30:B40)</f>
        <v>0</v>
      </c>
      <c r="C41" s="24">
        <f t="shared" si="8"/>
        <v>0</v>
      </c>
      <c r="D41" s="24">
        <f t="shared" si="8"/>
        <v>0</v>
      </c>
      <c r="E41" s="24">
        <f t="shared" si="8"/>
        <v>0</v>
      </c>
      <c r="F41" s="24">
        <f t="shared" si="8"/>
        <v>0</v>
      </c>
      <c r="G41" s="24">
        <f t="shared" si="8"/>
        <v>0</v>
      </c>
      <c r="H41" s="24">
        <f t="shared" si="8"/>
        <v>0</v>
      </c>
      <c r="I41" s="24">
        <f t="shared" si="8"/>
        <v>0</v>
      </c>
      <c r="J41" s="24">
        <f t="shared" si="8"/>
        <v>0</v>
      </c>
      <c r="K41" s="24">
        <f t="shared" si="8"/>
        <v>0</v>
      </c>
      <c r="L41" s="24">
        <f t="shared" si="8"/>
        <v>0</v>
      </c>
      <c r="M41" s="24">
        <f t="shared" si="8"/>
        <v>0</v>
      </c>
      <c r="N41" s="24">
        <f t="shared" si="8"/>
        <v>0</v>
      </c>
      <c r="O41" s="24">
        <f t="shared" si="8"/>
        <v>0</v>
      </c>
      <c r="P41" s="24">
        <f t="shared" si="8"/>
        <v>0</v>
      </c>
      <c r="Q41" s="24">
        <f t="shared" si="8"/>
        <v>0</v>
      </c>
      <c r="R41" s="24">
        <f t="shared" ref="R41:BA41" si="9">SUM(R30:R40)</f>
        <v>0</v>
      </c>
      <c r="S41" s="24">
        <f t="shared" si="9"/>
        <v>0</v>
      </c>
      <c r="T41" s="24">
        <f t="shared" si="9"/>
        <v>0</v>
      </c>
      <c r="U41" s="24">
        <f t="shared" si="9"/>
        <v>0</v>
      </c>
      <c r="V41" s="24">
        <f t="shared" si="9"/>
        <v>0</v>
      </c>
      <c r="W41" s="24">
        <f t="shared" si="9"/>
        <v>0</v>
      </c>
      <c r="X41" s="24">
        <f t="shared" si="9"/>
        <v>0</v>
      </c>
      <c r="Y41" s="24">
        <f t="shared" si="9"/>
        <v>0</v>
      </c>
      <c r="Z41" s="24">
        <f t="shared" si="9"/>
        <v>0</v>
      </c>
      <c r="AA41" s="24">
        <f t="shared" si="9"/>
        <v>0</v>
      </c>
      <c r="AB41" s="24">
        <f t="shared" si="9"/>
        <v>0</v>
      </c>
      <c r="AC41" s="24">
        <f t="shared" si="9"/>
        <v>0</v>
      </c>
      <c r="AD41" s="24">
        <f t="shared" si="9"/>
        <v>0</v>
      </c>
      <c r="AE41" s="24">
        <f t="shared" si="9"/>
        <v>0</v>
      </c>
      <c r="AF41" s="24">
        <f t="shared" si="9"/>
        <v>0</v>
      </c>
      <c r="AG41" s="24">
        <f t="shared" si="9"/>
        <v>0</v>
      </c>
      <c r="AH41" s="24">
        <f t="shared" si="9"/>
        <v>0</v>
      </c>
      <c r="AI41" s="24">
        <f t="shared" si="9"/>
        <v>0</v>
      </c>
      <c r="AJ41" s="24">
        <f t="shared" si="9"/>
        <v>0</v>
      </c>
      <c r="AK41" s="24">
        <f t="shared" si="9"/>
        <v>0</v>
      </c>
      <c r="AL41" s="24">
        <f t="shared" si="9"/>
        <v>0</v>
      </c>
      <c r="AM41" s="24">
        <f t="shared" si="9"/>
        <v>0</v>
      </c>
      <c r="AN41" s="24">
        <f t="shared" si="9"/>
        <v>0</v>
      </c>
      <c r="AO41" s="24">
        <f t="shared" si="9"/>
        <v>0</v>
      </c>
      <c r="AP41" s="24">
        <f t="shared" si="9"/>
        <v>0</v>
      </c>
      <c r="AQ41" s="24">
        <f t="shared" si="9"/>
        <v>0</v>
      </c>
      <c r="AR41" s="24">
        <f t="shared" si="9"/>
        <v>0</v>
      </c>
      <c r="AS41" s="24">
        <f t="shared" si="9"/>
        <v>0</v>
      </c>
      <c r="AT41" s="24">
        <f t="shared" si="9"/>
        <v>0</v>
      </c>
      <c r="AU41" s="24">
        <f t="shared" si="9"/>
        <v>0</v>
      </c>
      <c r="AV41" s="24">
        <f t="shared" si="9"/>
        <v>0</v>
      </c>
      <c r="AW41" s="24">
        <f t="shared" si="9"/>
        <v>0</v>
      </c>
      <c r="AX41" s="24">
        <f t="shared" si="9"/>
        <v>0</v>
      </c>
      <c r="AY41" s="24">
        <f t="shared" si="9"/>
        <v>0</v>
      </c>
      <c r="AZ41" s="24">
        <f t="shared" si="9"/>
        <v>0</v>
      </c>
      <c r="BA41" s="25">
        <f t="shared" si="9"/>
        <v>0</v>
      </c>
    </row>
    <row r="42" spans="1:53" ht="15" thickBot="1">
      <c r="A42" s="816" t="s">
        <v>175</v>
      </c>
      <c r="B42" s="1454">
        <f>B41+C41</f>
        <v>0</v>
      </c>
      <c r="C42" s="1455"/>
      <c r="D42" s="1454">
        <f>D41+E41</f>
        <v>0</v>
      </c>
      <c r="E42" s="1455"/>
      <c r="F42" s="1454">
        <f>F41+G41</f>
        <v>0</v>
      </c>
      <c r="G42" s="1455"/>
      <c r="H42" s="1454">
        <f>H41+I41</f>
        <v>0</v>
      </c>
      <c r="I42" s="1455"/>
      <c r="J42" s="1454">
        <f>J41+K41</f>
        <v>0</v>
      </c>
      <c r="K42" s="1455"/>
      <c r="L42" s="1454">
        <f>L41+M41</f>
        <v>0</v>
      </c>
      <c r="M42" s="1455"/>
      <c r="N42" s="1454">
        <f>N41+O41</f>
        <v>0</v>
      </c>
      <c r="O42" s="1455"/>
      <c r="P42" s="1454">
        <f>P41+Q41</f>
        <v>0</v>
      </c>
      <c r="Q42" s="1455"/>
      <c r="R42" s="1454">
        <f>R41+S41</f>
        <v>0</v>
      </c>
      <c r="S42" s="1455"/>
      <c r="T42" s="1454">
        <f>T41+U41</f>
        <v>0</v>
      </c>
      <c r="U42" s="1455"/>
      <c r="V42" s="1454">
        <f>V41+W41</f>
        <v>0</v>
      </c>
      <c r="W42" s="1455"/>
      <c r="X42" s="1454">
        <f>X41+Y41</f>
        <v>0</v>
      </c>
      <c r="Y42" s="1455"/>
      <c r="Z42" s="1454">
        <f>Z41+AA41</f>
        <v>0</v>
      </c>
      <c r="AA42" s="1455"/>
      <c r="AB42" s="1454">
        <f>AB41+AC41</f>
        <v>0</v>
      </c>
      <c r="AC42" s="1455"/>
      <c r="AD42" s="1454">
        <f>AD41+AE41</f>
        <v>0</v>
      </c>
      <c r="AE42" s="1455"/>
      <c r="AF42" s="1454">
        <f>AF41+AG41</f>
        <v>0</v>
      </c>
      <c r="AG42" s="1455"/>
      <c r="AH42" s="1454">
        <f>AH41+AI41</f>
        <v>0</v>
      </c>
      <c r="AI42" s="1455"/>
      <c r="AJ42" s="1454">
        <f>AJ41+AK41</f>
        <v>0</v>
      </c>
      <c r="AK42" s="1455"/>
      <c r="AL42" s="1454">
        <f>AL41+AM41</f>
        <v>0</v>
      </c>
      <c r="AM42" s="1455"/>
      <c r="AN42" s="1454">
        <f>AN41+AO41</f>
        <v>0</v>
      </c>
      <c r="AO42" s="1455"/>
      <c r="AP42" s="1454">
        <f>AP41+AQ41</f>
        <v>0</v>
      </c>
      <c r="AQ42" s="1455"/>
      <c r="AR42" s="1454">
        <f>AR41+AS41</f>
        <v>0</v>
      </c>
      <c r="AS42" s="1455"/>
      <c r="AT42" s="1454">
        <f>AT41+AU41</f>
        <v>0</v>
      </c>
      <c r="AU42" s="1455"/>
      <c r="AV42" s="1454">
        <f>AV41+AW41</f>
        <v>0</v>
      </c>
      <c r="AW42" s="1455"/>
      <c r="AX42" s="1454">
        <f>AX41+AY41</f>
        <v>0</v>
      </c>
      <c r="AY42" s="1455"/>
      <c r="AZ42" s="1454">
        <f>AZ41+BA41</f>
        <v>0</v>
      </c>
      <c r="BA42" s="1468"/>
    </row>
  </sheetData>
  <mergeCells count="264">
    <mergeCell ref="AH42:AI42"/>
    <mergeCell ref="AJ42:AK42"/>
    <mergeCell ref="AL42:AM42"/>
    <mergeCell ref="AN42:AO42"/>
    <mergeCell ref="AP42:AQ42"/>
    <mergeCell ref="AR42:AS42"/>
    <mergeCell ref="AT42:AU42"/>
    <mergeCell ref="AV42:AW42"/>
    <mergeCell ref="AX42:AY42"/>
    <mergeCell ref="AN28:AO28"/>
    <mergeCell ref="AP28:AQ28"/>
    <mergeCell ref="AR28:AS28"/>
    <mergeCell ref="AT28:AU28"/>
    <mergeCell ref="AV28:AW28"/>
    <mergeCell ref="AX28:AY28"/>
    <mergeCell ref="AZ28:BA28"/>
    <mergeCell ref="B42:C42"/>
    <mergeCell ref="D42:E42"/>
    <mergeCell ref="F42:G42"/>
    <mergeCell ref="H42:I42"/>
    <mergeCell ref="J42:K42"/>
    <mergeCell ref="L42:M42"/>
    <mergeCell ref="N42:O42"/>
    <mergeCell ref="P42:Q42"/>
    <mergeCell ref="R42:S42"/>
    <mergeCell ref="T42:U42"/>
    <mergeCell ref="V42:W42"/>
    <mergeCell ref="X42:Y42"/>
    <mergeCell ref="Z42:AA42"/>
    <mergeCell ref="AB42:AC42"/>
    <mergeCell ref="AD42:AE42"/>
    <mergeCell ref="AF42:AG42"/>
    <mergeCell ref="AZ42:BA42"/>
    <mergeCell ref="AH27:AK27"/>
    <mergeCell ref="AL27:AO27"/>
    <mergeCell ref="AP27:AS27"/>
    <mergeCell ref="AT27:AW27"/>
    <mergeCell ref="AX27:BA27"/>
    <mergeCell ref="B28:C28"/>
    <mergeCell ref="D28:E28"/>
    <mergeCell ref="F28:G28"/>
    <mergeCell ref="H28:I28"/>
    <mergeCell ref="J28:K28"/>
    <mergeCell ref="L28:M28"/>
    <mergeCell ref="N28:O28"/>
    <mergeCell ref="P28:Q28"/>
    <mergeCell ref="R28:S28"/>
    <mergeCell ref="T28:U28"/>
    <mergeCell ref="V28:W28"/>
    <mergeCell ref="X28:Y28"/>
    <mergeCell ref="Z28:AA28"/>
    <mergeCell ref="AB28:AC28"/>
    <mergeCell ref="AD28:AE28"/>
    <mergeCell ref="AF28:AG28"/>
    <mergeCell ref="AH28:AI28"/>
    <mergeCell ref="AJ28:AK28"/>
    <mergeCell ref="AL28:AM28"/>
    <mergeCell ref="A27:A29"/>
    <mergeCell ref="B27:E27"/>
    <mergeCell ref="F27:I27"/>
    <mergeCell ref="J27:M27"/>
    <mergeCell ref="N27:Q27"/>
    <mergeCell ref="R27:U27"/>
    <mergeCell ref="V27:Y27"/>
    <mergeCell ref="Z27:AC27"/>
    <mergeCell ref="AD27:AG27"/>
    <mergeCell ref="AT23:AU23"/>
    <mergeCell ref="AV23:AW23"/>
    <mergeCell ref="AX23:AY23"/>
    <mergeCell ref="AZ23:BA23"/>
    <mergeCell ref="F24:I24"/>
    <mergeCell ref="J24:M24"/>
    <mergeCell ref="N24:Q24"/>
    <mergeCell ref="R24:U24"/>
    <mergeCell ref="V24:Y24"/>
    <mergeCell ref="Z24:AC24"/>
    <mergeCell ref="AD24:AG24"/>
    <mergeCell ref="AH24:AK24"/>
    <mergeCell ref="AL24:AO24"/>
    <mergeCell ref="AP24:AS24"/>
    <mergeCell ref="AT24:AW24"/>
    <mergeCell ref="AX24:BA24"/>
    <mergeCell ref="AJ23:AK23"/>
    <mergeCell ref="AL23:AM23"/>
    <mergeCell ref="AN23:AO23"/>
    <mergeCell ref="AP23:AQ23"/>
    <mergeCell ref="AR23:AS23"/>
    <mergeCell ref="AZ22:BA22"/>
    <mergeCell ref="F23:G23"/>
    <mergeCell ref="H23:I23"/>
    <mergeCell ref="J23:K23"/>
    <mergeCell ref="L23:M23"/>
    <mergeCell ref="N23:O23"/>
    <mergeCell ref="P23:Q23"/>
    <mergeCell ref="R23:S23"/>
    <mergeCell ref="T23:U23"/>
    <mergeCell ref="V23:W23"/>
    <mergeCell ref="X23:Y23"/>
    <mergeCell ref="Z23:AA23"/>
    <mergeCell ref="AB23:AC23"/>
    <mergeCell ref="AD23:AE23"/>
    <mergeCell ref="AF23:AG23"/>
    <mergeCell ref="AH23:AI23"/>
    <mergeCell ref="AP22:AQ22"/>
    <mergeCell ref="AR22:AS22"/>
    <mergeCell ref="AT22:AU22"/>
    <mergeCell ref="AV22:AW22"/>
    <mergeCell ref="AX22:AY22"/>
    <mergeCell ref="AF22:AG22"/>
    <mergeCell ref="AH22:AI22"/>
    <mergeCell ref="AJ22:AK22"/>
    <mergeCell ref="AL22:AM22"/>
    <mergeCell ref="AN22:AO22"/>
    <mergeCell ref="V22:W22"/>
    <mergeCell ref="X22:Y22"/>
    <mergeCell ref="Z22:AA22"/>
    <mergeCell ref="AB22:AC22"/>
    <mergeCell ref="AD22:AE22"/>
    <mergeCell ref="L22:M22"/>
    <mergeCell ref="N22:O22"/>
    <mergeCell ref="P22:Q22"/>
    <mergeCell ref="R22:S22"/>
    <mergeCell ref="T22:U22"/>
    <mergeCell ref="AR21:AS21"/>
    <mergeCell ref="AT21:AU21"/>
    <mergeCell ref="AV21:AW21"/>
    <mergeCell ref="AX21:AY21"/>
    <mergeCell ref="AZ21:BA21"/>
    <mergeCell ref="AH21:AI21"/>
    <mergeCell ref="AJ21:AK21"/>
    <mergeCell ref="AL21:AM21"/>
    <mergeCell ref="AN21:AO21"/>
    <mergeCell ref="AP21:AQ21"/>
    <mergeCell ref="X21:Y21"/>
    <mergeCell ref="Z21:AA21"/>
    <mergeCell ref="AB21:AC21"/>
    <mergeCell ref="AD21:AE21"/>
    <mergeCell ref="AF21:AG21"/>
    <mergeCell ref="N21:O21"/>
    <mergeCell ref="P21:Q21"/>
    <mergeCell ref="R21:S21"/>
    <mergeCell ref="T21:U21"/>
    <mergeCell ref="V21:W21"/>
    <mergeCell ref="AR20:AS20"/>
    <mergeCell ref="AT20:AU20"/>
    <mergeCell ref="AV20:AW20"/>
    <mergeCell ref="AX20:AY20"/>
    <mergeCell ref="AZ20:BA20"/>
    <mergeCell ref="AH20:AI20"/>
    <mergeCell ref="AJ20:AK20"/>
    <mergeCell ref="AL20:AM20"/>
    <mergeCell ref="AN20:AO20"/>
    <mergeCell ref="AP20:AQ20"/>
    <mergeCell ref="X20:Y20"/>
    <mergeCell ref="Z20:AA20"/>
    <mergeCell ref="AB20:AC20"/>
    <mergeCell ref="AD20:AE20"/>
    <mergeCell ref="AF20:AG20"/>
    <mergeCell ref="N20:O20"/>
    <mergeCell ref="P20:Q20"/>
    <mergeCell ref="R20:S20"/>
    <mergeCell ref="T20:U20"/>
    <mergeCell ref="V20:W20"/>
    <mergeCell ref="AH19:AK19"/>
    <mergeCell ref="AL19:AO19"/>
    <mergeCell ref="AP19:AS19"/>
    <mergeCell ref="AT19:AW19"/>
    <mergeCell ref="AX19:BA19"/>
    <mergeCell ref="N19:Q19"/>
    <mergeCell ref="R19:U19"/>
    <mergeCell ref="V19:Y19"/>
    <mergeCell ref="Z19:AC19"/>
    <mergeCell ref="AD19:AG19"/>
    <mergeCell ref="B24:E24"/>
    <mergeCell ref="F19:I19"/>
    <mergeCell ref="J19:M19"/>
    <mergeCell ref="F20:G20"/>
    <mergeCell ref="H20:I20"/>
    <mergeCell ref="J20:K20"/>
    <mergeCell ref="L20:M20"/>
    <mergeCell ref="F21:G21"/>
    <mergeCell ref="H21:I21"/>
    <mergeCell ref="J21:K21"/>
    <mergeCell ref="L21:M21"/>
    <mergeCell ref="F22:G22"/>
    <mergeCell ref="H22:I22"/>
    <mergeCell ref="J22:K22"/>
    <mergeCell ref="B22:C22"/>
    <mergeCell ref="D22:E22"/>
    <mergeCell ref="B23:C23"/>
    <mergeCell ref="D23:E23"/>
    <mergeCell ref="B19:E19"/>
    <mergeCell ref="B20:C20"/>
    <mergeCell ref="D20:E20"/>
    <mergeCell ref="A19:A20"/>
    <mergeCell ref="B21:C21"/>
    <mergeCell ref="D21:E21"/>
    <mergeCell ref="AX2:BA2"/>
    <mergeCell ref="AX3:AY3"/>
    <mergeCell ref="AZ3:BA3"/>
    <mergeCell ref="AX17:AY17"/>
    <mergeCell ref="AZ17:BA17"/>
    <mergeCell ref="AT2:AW2"/>
    <mergeCell ref="AT3:AU3"/>
    <mergeCell ref="AV3:AW3"/>
    <mergeCell ref="AT17:AU17"/>
    <mergeCell ref="AV17:AW17"/>
    <mergeCell ref="AP2:AS2"/>
    <mergeCell ref="AP3:AQ3"/>
    <mergeCell ref="AR3:AS3"/>
    <mergeCell ref="AP17:AQ17"/>
    <mergeCell ref="AR17:AS17"/>
    <mergeCell ref="AL2:AO2"/>
    <mergeCell ref="AL3:AM3"/>
    <mergeCell ref="AN3:AO3"/>
    <mergeCell ref="AL17:AM17"/>
    <mergeCell ref="AN17:AO17"/>
    <mergeCell ref="AH2:AK2"/>
    <mergeCell ref="AH3:AI3"/>
    <mergeCell ref="AJ3:AK3"/>
    <mergeCell ref="AH17:AI17"/>
    <mergeCell ref="AJ17:AK17"/>
    <mergeCell ref="AD2:AG2"/>
    <mergeCell ref="AD3:AE3"/>
    <mergeCell ref="AF3:AG3"/>
    <mergeCell ref="AD17:AE17"/>
    <mergeCell ref="AF17:AG17"/>
    <mergeCell ref="Z2:AC2"/>
    <mergeCell ref="Z3:AA3"/>
    <mergeCell ref="AB3:AC3"/>
    <mergeCell ref="Z17:AA17"/>
    <mergeCell ref="AB17:AC17"/>
    <mergeCell ref="L17:M17"/>
    <mergeCell ref="N17:O17"/>
    <mergeCell ref="P17:Q17"/>
    <mergeCell ref="R2:U2"/>
    <mergeCell ref="R3:S3"/>
    <mergeCell ref="T3:U3"/>
    <mergeCell ref="R17:S17"/>
    <mergeCell ref="T17:U17"/>
    <mergeCell ref="B17:C17"/>
    <mergeCell ref="D17:E17"/>
    <mergeCell ref="F17:G17"/>
    <mergeCell ref="H17:I17"/>
    <mergeCell ref="J17:K17"/>
    <mergeCell ref="A1:BA1"/>
    <mergeCell ref="A2:A4"/>
    <mergeCell ref="B2:E2"/>
    <mergeCell ref="V2:Y2"/>
    <mergeCell ref="V3:W3"/>
    <mergeCell ref="X3:Y3"/>
    <mergeCell ref="B3:C3"/>
    <mergeCell ref="D3:E3"/>
    <mergeCell ref="F2:I2"/>
    <mergeCell ref="F3:G3"/>
    <mergeCell ref="H3:I3"/>
    <mergeCell ref="J2:M2"/>
    <mergeCell ref="J3:K3"/>
    <mergeCell ref="L3:M3"/>
    <mergeCell ref="N2:Q2"/>
    <mergeCell ref="N3:O3"/>
    <mergeCell ref="P3:Q3"/>
    <mergeCell ref="V17:W17"/>
    <mergeCell ref="X17:Y17"/>
  </mergeCells>
  <pageMargins left="0.511811024" right="0.511811024" top="0.78740157499999996" bottom="0.78740157499999996" header="0.31496062000000002" footer="0.31496062000000002"/>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69FF0-A83A-482D-A3EF-8CD10D6A8ED8}">
  <sheetPr codeName="Planilha8">
    <tabColor theme="8" tint="0.39997558519241921"/>
  </sheetPr>
  <dimension ref="B3:O39"/>
  <sheetViews>
    <sheetView showGridLines="0" topLeftCell="A12" zoomScaleNormal="100" workbookViewId="0">
      <selection activeCell="D29" sqref="D29"/>
    </sheetView>
  </sheetViews>
  <sheetFormatPr defaultColWidth="9.109375" defaultRowHeight="13.8"/>
  <cols>
    <col min="1" max="1" width="4.33203125" style="58" customWidth="1"/>
    <col min="2" max="2" width="19.6640625" style="58" customWidth="1"/>
    <col min="3" max="3" width="20.33203125" style="58" customWidth="1"/>
    <col min="4" max="4" width="16.33203125" style="58" customWidth="1"/>
    <col min="5" max="5" width="17.88671875" style="58" customWidth="1"/>
    <col min="6" max="7" width="16" style="58" bestFit="1" customWidth="1"/>
    <col min="8" max="8" width="16.5546875" style="58" bestFit="1" customWidth="1"/>
    <col min="9" max="12" width="16" style="58" bestFit="1" customWidth="1"/>
    <col min="13" max="13" width="20.109375" style="58" customWidth="1"/>
    <col min="14" max="14" width="16" style="58" bestFit="1" customWidth="1"/>
    <col min="15" max="15" width="15" style="58" bestFit="1" customWidth="1"/>
    <col min="16" max="16384" width="9.109375" style="58"/>
  </cols>
  <sheetData>
    <row r="3" spans="2:15" ht="14.4">
      <c r="B3" s="1476"/>
      <c r="C3" s="1476"/>
      <c r="D3" s="1476"/>
    </row>
    <row r="5" spans="2:15" s="59" customFormat="1" ht="24.75" customHeight="1">
      <c r="B5" s="757">
        <v>1</v>
      </c>
      <c r="C5" s="1477" t="s">
        <v>306</v>
      </c>
      <c r="D5" s="1478"/>
      <c r="E5" s="412">
        <f>ADM!U9</f>
        <v>1704945.9069696972</v>
      </c>
      <c r="F5" s="58"/>
      <c r="G5" s="58"/>
      <c r="H5" s="58"/>
      <c r="I5" s="58"/>
    </row>
    <row r="6" spans="2:15" s="59" customFormat="1" ht="24.75" customHeight="1">
      <c r="B6" s="757">
        <v>4</v>
      </c>
      <c r="C6" s="1477" t="s">
        <v>307</v>
      </c>
      <c r="D6" s="1478"/>
      <c r="E6" s="412">
        <f>LAB!U9</f>
        <v>0</v>
      </c>
      <c r="F6" s="58"/>
      <c r="G6" s="58"/>
      <c r="H6" s="58"/>
      <c r="I6" s="58"/>
    </row>
    <row r="7" spans="2:15" s="59" customFormat="1" ht="24.75" customHeight="1">
      <c r="B7" s="757">
        <v>5</v>
      </c>
      <c r="C7" s="1479" t="s">
        <v>246</v>
      </c>
      <c r="D7" s="1480"/>
      <c r="E7" s="412">
        <f>QSMS!U9</f>
        <v>167186.66666666669</v>
      </c>
      <c r="F7" s="58"/>
      <c r="G7" s="58"/>
      <c r="H7" s="58"/>
      <c r="I7" s="58"/>
    </row>
    <row r="8" spans="2:15" s="59" customFormat="1" ht="24.75" customHeight="1">
      <c r="B8" s="757">
        <v>6</v>
      </c>
      <c r="C8" s="1479" t="s">
        <v>308</v>
      </c>
      <c r="D8" s="1480"/>
      <c r="E8" s="412">
        <f>TOP!U9</f>
        <v>138618.01666666666</v>
      </c>
      <c r="F8" s="58"/>
      <c r="G8" s="388">
        <v>2</v>
      </c>
      <c r="H8" s="58"/>
      <c r="I8" s="58"/>
      <c r="K8" s="65"/>
    </row>
    <row r="9" spans="2:15" s="59" customFormat="1" ht="24.75" hidden="1" customHeight="1">
      <c r="B9" s="757">
        <v>7</v>
      </c>
      <c r="C9" s="410" t="s">
        <v>309</v>
      </c>
      <c r="D9" s="411"/>
      <c r="E9" s="412">
        <f>MEC!U9</f>
        <v>0</v>
      </c>
      <c r="F9" s="58"/>
      <c r="G9" s="388"/>
      <c r="H9" s="58"/>
      <c r="I9" s="58"/>
    </row>
    <row r="10" spans="2:15" s="59" customFormat="1" ht="24.75" customHeight="1">
      <c r="B10" s="757">
        <v>8</v>
      </c>
      <c r="C10" s="1479" t="s">
        <v>310</v>
      </c>
      <c r="D10" s="1480"/>
      <c r="E10" s="412">
        <f>MOB!AG10</f>
        <v>340339.76899999997</v>
      </c>
      <c r="F10" s="58"/>
      <c r="G10" s="58"/>
      <c r="H10" s="58"/>
      <c r="I10" s="58"/>
    </row>
    <row r="11" spans="2:15" s="59" customFormat="1" ht="24.75" customHeight="1">
      <c r="B11" s="757">
        <v>10</v>
      </c>
      <c r="C11" s="1479" t="s">
        <v>311</v>
      </c>
      <c r="D11" s="1480"/>
      <c r="E11" s="802">
        <f>SUM(E5:E10)</f>
        <v>2351090.3593030307</v>
      </c>
      <c r="F11" s="58"/>
      <c r="G11" s="58"/>
      <c r="H11" s="58"/>
      <c r="I11" s="65"/>
    </row>
    <row r="12" spans="2:15" s="59" customFormat="1" ht="24.75" customHeight="1">
      <c r="B12" s="757">
        <v>11</v>
      </c>
      <c r="C12" s="1479" t="s">
        <v>312</v>
      </c>
      <c r="D12" s="1480"/>
      <c r="E12" s="802">
        <f>C_FIXO!I14+PLANEJAMENTO!P71+PLANEJAMENTO!Q71-PLANEJAMENTO!P65-PLANEJAMENTO!Q65</f>
        <v>2020011.8638888889</v>
      </c>
      <c r="F12" s="116"/>
      <c r="G12" s="58"/>
      <c r="H12" s="58"/>
      <c r="I12" s="831"/>
      <c r="J12" s="831"/>
      <c r="N12" s="144"/>
      <c r="O12" s="58"/>
    </row>
    <row r="13" spans="2:15" s="59" customFormat="1" ht="24.75" customHeight="1">
      <c r="B13" s="757">
        <v>12</v>
      </c>
      <c r="C13" s="1479" t="s">
        <v>313</v>
      </c>
      <c r="D13" s="1480"/>
      <c r="E13" s="803">
        <f>E11/E12</f>
        <v>1.1638992826392394</v>
      </c>
      <c r="F13" s="58"/>
      <c r="G13" s="58"/>
      <c r="H13" s="58"/>
      <c r="I13" s="149"/>
      <c r="J13" s="149"/>
      <c r="N13" s="144"/>
      <c r="O13" s="58"/>
    </row>
    <row r="14" spans="2:15" s="59" customFormat="1" ht="24.75" customHeight="1">
      <c r="B14" s="757">
        <v>13</v>
      </c>
      <c r="C14" s="1479" t="s">
        <v>314</v>
      </c>
      <c r="D14" s="1480"/>
      <c r="E14" s="802">
        <f>PLANEJAMENTO!Y71</f>
        <v>6043438.4106860906</v>
      </c>
      <c r="F14" s="58"/>
      <c r="G14" s="116"/>
      <c r="H14" s="693">
        <v>118690406.16807653</v>
      </c>
      <c r="I14" s="137"/>
      <c r="N14" s="144"/>
      <c r="O14" s="58"/>
    </row>
    <row r="15" spans="2:15" s="59" customFormat="1" ht="24.75" customHeight="1">
      <c r="B15" s="757">
        <v>14</v>
      </c>
      <c r="C15" s="1479" t="s">
        <v>315</v>
      </c>
      <c r="D15" s="1480"/>
      <c r="E15" s="803">
        <f>E11/E14</f>
        <v>0.3890319052719724</v>
      </c>
      <c r="F15" s="58"/>
      <c r="G15" s="58"/>
      <c r="H15" s="58"/>
      <c r="I15" s="116"/>
      <c r="J15" s="179"/>
      <c r="N15" s="144"/>
      <c r="O15" s="58"/>
    </row>
    <row r="16" spans="2:15">
      <c r="C16" s="69" t="s">
        <v>316</v>
      </c>
      <c r="N16" s="144"/>
    </row>
    <row r="17" spans="2:15">
      <c r="H17" s="907"/>
      <c r="I17" s="59"/>
      <c r="J17" s="59"/>
      <c r="K17" s="59"/>
      <c r="L17" s="59"/>
    </row>
    <row r="18" spans="2:15">
      <c r="H18" s="907"/>
      <c r="I18" s="59"/>
      <c r="J18" s="59"/>
      <c r="K18" s="59"/>
    </row>
    <row r="19" spans="2:15">
      <c r="B19" s="151" t="s">
        <v>317</v>
      </c>
      <c r="C19" s="734">
        <f>BDI!C13</f>
        <v>0.1338</v>
      </c>
      <c r="E19" s="1475"/>
      <c r="F19" s="1475"/>
      <c r="G19" s="57"/>
      <c r="H19" s="907"/>
      <c r="I19" s="59"/>
      <c r="J19" s="59"/>
      <c r="K19" s="59"/>
    </row>
    <row r="20" spans="2:15">
      <c r="B20" s="60" t="s">
        <v>314</v>
      </c>
      <c r="C20" s="149">
        <f>E14</f>
        <v>6043438.4106860906</v>
      </c>
      <c r="E20" s="693"/>
      <c r="F20" s="137"/>
      <c r="H20" s="907"/>
      <c r="I20" s="59"/>
      <c r="J20" s="59"/>
      <c r="K20" s="59"/>
    </row>
    <row r="21" spans="2:15">
      <c r="B21" s="60" t="s">
        <v>318</v>
      </c>
      <c r="C21" s="149">
        <f>E12+E11-C22</f>
        <v>4371102.2231919197</v>
      </c>
      <c r="E21" s="144"/>
      <c r="F21" s="137"/>
      <c r="H21" s="907"/>
      <c r="I21" s="59"/>
      <c r="J21" s="59"/>
      <c r="K21" s="59"/>
      <c r="N21" s="116"/>
    </row>
    <row r="22" spans="2:15">
      <c r="B22" s="60" t="s">
        <v>319</v>
      </c>
      <c r="C22" s="149">
        <f>PLANEJAMENTO!R71</f>
        <v>0</v>
      </c>
      <c r="D22" s="887" t="s">
        <v>197</v>
      </c>
      <c r="E22" s="60"/>
      <c r="F22" s="936">
        <f>C22/C27</f>
        <v>0</v>
      </c>
      <c r="H22" s="906"/>
      <c r="I22" s="852"/>
      <c r="J22" s="149"/>
      <c r="K22" s="116"/>
      <c r="N22" s="116"/>
    </row>
    <row r="23" spans="2:15">
      <c r="B23" s="60"/>
      <c r="C23" s="386"/>
      <c r="D23" s="65"/>
      <c r="E23" s="60"/>
      <c r="F23" s="137"/>
      <c r="H23" s="906"/>
      <c r="I23" s="137"/>
      <c r="J23" s="59"/>
      <c r="K23" s="116"/>
      <c r="N23" s="116"/>
    </row>
    <row r="24" spans="2:15">
      <c r="B24" s="60" t="s">
        <v>320</v>
      </c>
      <c r="C24" s="386">
        <f>(E14-C22)*$C$19</f>
        <v>808612.05934979895</v>
      </c>
      <c r="D24" s="66">
        <f>C20-C27</f>
        <v>0</v>
      </c>
      <c r="F24" s="65"/>
      <c r="G24" s="887"/>
      <c r="I24" s="116"/>
      <c r="J24" s="65"/>
    </row>
    <row r="25" spans="2:15">
      <c r="B25" s="60"/>
      <c r="C25" s="386"/>
      <c r="D25" s="66"/>
      <c r="E25" s="64"/>
      <c r="F25" s="116"/>
      <c r="I25" s="116"/>
      <c r="J25" s="65"/>
    </row>
    <row r="26" spans="2:15">
      <c r="B26" s="63"/>
      <c r="C26" s="61"/>
      <c r="D26" s="61"/>
      <c r="E26" s="64"/>
      <c r="F26" s="65"/>
      <c r="G26" s="143"/>
      <c r="H26" s="152"/>
      <c r="I26" s="65"/>
      <c r="J26" s="59"/>
      <c r="K26" s="116"/>
      <c r="N26" s="116"/>
    </row>
    <row r="27" spans="2:15">
      <c r="B27" s="64" t="s">
        <v>321</v>
      </c>
      <c r="C27" s="62">
        <f>(C21+C24)*D27+PLANEJAMENTO!Y71</f>
        <v>6043438.4106860887</v>
      </c>
      <c r="D27" s="385">
        <v>-3.3306690738754696E-16</v>
      </c>
      <c r="E27" s="873"/>
      <c r="F27" s="144"/>
      <c r="G27" s="922"/>
      <c r="H27" s="116"/>
      <c r="J27" s="65"/>
      <c r="K27" s="137"/>
      <c r="L27" s="116"/>
      <c r="O27" s="116"/>
    </row>
    <row r="28" spans="2:15">
      <c r="B28" s="59"/>
      <c r="C28" s="387"/>
      <c r="D28" s="85"/>
      <c r="E28" s="874"/>
      <c r="F28" s="911"/>
      <c r="G28" s="137"/>
      <c r="I28" s="66"/>
      <c r="J28" s="145"/>
      <c r="K28" s="137"/>
      <c r="L28" s="139"/>
      <c r="N28" s="116"/>
      <c r="O28" s="139"/>
    </row>
    <row r="29" spans="2:15">
      <c r="B29" s="140" t="s">
        <v>322</v>
      </c>
      <c r="C29" s="68">
        <f>C27-C21-C22-C24</f>
        <v>863724.12814437004</v>
      </c>
      <c r="D29" s="964">
        <f>C29/(C27)</f>
        <v>0.14291932331388063</v>
      </c>
      <c r="E29" s="140"/>
      <c r="F29" s="974"/>
      <c r="G29" s="68"/>
      <c r="H29" s="702"/>
      <c r="I29" s="701"/>
      <c r="J29" s="59"/>
      <c r="L29" s="116"/>
    </row>
    <row r="30" spans="2:15">
      <c r="B30" s="59"/>
      <c r="C30" s="67"/>
      <c r="D30" s="696">
        <f>C29/(C27-C22)</f>
        <v>0.14291932331388063</v>
      </c>
      <c r="E30" s="137"/>
      <c r="F30" s="139"/>
      <c r="H30" s="59"/>
      <c r="I30" s="150"/>
      <c r="J30" s="59"/>
      <c r="L30" s="116"/>
    </row>
    <row r="31" spans="2:15">
      <c r="B31" s="59"/>
      <c r="C31" s="67"/>
      <c r="D31" s="696"/>
      <c r="E31" s="137"/>
      <c r="G31" s="137"/>
      <c r="H31" s="59"/>
      <c r="I31" s="150"/>
      <c r="J31" s="59"/>
      <c r="L31" s="116"/>
    </row>
    <row r="32" spans="2:15">
      <c r="B32" s="59"/>
      <c r="C32" s="67">
        <f>C27/36</f>
        <v>167873.28918572469</v>
      </c>
      <c r="D32" s="696"/>
      <c r="E32" s="137"/>
      <c r="H32" s="59"/>
      <c r="I32" s="150"/>
      <c r="J32" s="59"/>
      <c r="L32" s="116"/>
    </row>
    <row r="33" spans="3:10">
      <c r="C33" s="116">
        <f>C29/36</f>
        <v>23992.336892899169</v>
      </c>
      <c r="D33" s="116"/>
      <c r="E33" s="116"/>
      <c r="F33" s="137"/>
      <c r="J33" s="116"/>
    </row>
    <row r="34" spans="3:10">
      <c r="C34" s="144"/>
      <c r="D34" s="137"/>
      <c r="F34" s="137"/>
    </row>
    <row r="36" spans="3:10">
      <c r="C36" s="137"/>
      <c r="E36" s="116"/>
    </row>
    <row r="37" spans="3:10">
      <c r="C37" s="144"/>
      <c r="E37" s="116"/>
    </row>
    <row r="38" spans="3:10">
      <c r="E38" s="116"/>
    </row>
    <row r="39" spans="3:10">
      <c r="E39" s="116"/>
    </row>
  </sheetData>
  <mergeCells count="12">
    <mergeCell ref="E19:F19"/>
    <mergeCell ref="B3:D3"/>
    <mergeCell ref="C5:D5"/>
    <mergeCell ref="C6:D6"/>
    <mergeCell ref="C7:D7"/>
    <mergeCell ref="C8:D8"/>
    <mergeCell ref="C15:D15"/>
    <mergeCell ref="C10:D10"/>
    <mergeCell ref="C11:D11"/>
    <mergeCell ref="C12:D12"/>
    <mergeCell ref="C13:D13"/>
    <mergeCell ref="C14:D14"/>
  </mergeCells>
  <phoneticPr fontId="45" type="noConversion"/>
  <conditionalFormatting sqref="D24:D25">
    <cfRule type="cellIs" dxfId="3" priority="1" operator="lessThan">
      <formula>0</formula>
    </cfRule>
    <cfRule type="cellIs" dxfId="2" priority="2" operator="greaterThan">
      <formula>0</formula>
    </cfRule>
  </conditionalFormatting>
  <pageMargins left="0.511811024" right="0.511811024" top="0.78740157499999996" bottom="0.78740157499999996" header="0.31496062000000002" footer="0.31496062000000002"/>
  <pageSetup paperSize="9" scale="47" orientation="portrait" r:id="rId1"/>
  <drawing r:id="rId2"/>
  <legacyDrawing r:id="rId3"/>
  <controls>
    <mc:AlternateContent xmlns:mc="http://schemas.openxmlformats.org/markup-compatibility/2006">
      <mc:Choice Requires="x14">
        <control shapeId="2051" r:id="rId4" name="Label1">
          <controlPr defaultSize="0" autoLine="0" r:id="rId5">
            <anchor moveWithCells="1">
              <from>
                <xdr:col>2</xdr:col>
                <xdr:colOff>1287780</xdr:colOff>
                <xdr:row>0</xdr:row>
                <xdr:rowOff>76200</xdr:rowOff>
              </from>
              <to>
                <xdr:col>6</xdr:col>
                <xdr:colOff>144780</xdr:colOff>
                <xdr:row>1</xdr:row>
                <xdr:rowOff>38100</xdr:rowOff>
              </to>
            </anchor>
          </controlPr>
        </control>
      </mc:Choice>
      <mc:Fallback>
        <control shapeId="2051" r:id="rId4" name="Label1"/>
      </mc:Fallback>
    </mc:AlternateContent>
    <mc:AlternateContent xmlns:mc="http://schemas.openxmlformats.org/markup-compatibility/2006">
      <mc:Choice Requires="x14">
        <control shapeId="2050" r:id="rId6" name="ComboBox10">
          <controlPr defaultSize="0" autoLine="0" r:id="rId7">
            <anchor moveWithCells="1">
              <from>
                <xdr:col>2</xdr:col>
                <xdr:colOff>1051560</xdr:colOff>
                <xdr:row>1</xdr:row>
                <xdr:rowOff>99060</xdr:rowOff>
              </from>
              <to>
                <xdr:col>6</xdr:col>
                <xdr:colOff>68580</xdr:colOff>
                <xdr:row>2</xdr:row>
                <xdr:rowOff>160020</xdr:rowOff>
              </to>
            </anchor>
          </controlPr>
        </control>
      </mc:Choice>
      <mc:Fallback>
        <control shapeId="2050" r:id="rId6" name="ComboBox10"/>
      </mc:Fallback>
    </mc:AlternateContent>
    <mc:AlternateContent xmlns:mc="http://schemas.openxmlformats.org/markup-compatibility/2006">
      <mc:Choice Requires="x14">
        <control shapeId="2052" r:id="rId8" name="Option Button 4">
          <controlPr defaultSize="0" autoFill="0" autoLine="0" autoPict="0">
            <anchor moveWithCells="1">
              <from>
                <xdr:col>5</xdr:col>
                <xdr:colOff>845820</xdr:colOff>
                <xdr:row>6</xdr:row>
                <xdr:rowOff>228600</xdr:rowOff>
              </from>
              <to>
                <xdr:col>7</xdr:col>
                <xdr:colOff>868680</xdr:colOff>
                <xdr:row>7</xdr:row>
                <xdr:rowOff>152400</xdr:rowOff>
              </to>
            </anchor>
          </controlPr>
        </control>
      </mc:Choice>
    </mc:AlternateContent>
    <mc:AlternateContent xmlns:mc="http://schemas.openxmlformats.org/markup-compatibility/2006">
      <mc:Choice Requires="x14">
        <control shapeId="2053" r:id="rId9" name="Option Button 5">
          <controlPr defaultSize="0" autoFill="0" autoLine="0" autoPict="0">
            <anchor moveWithCells="1">
              <from>
                <xdr:col>5</xdr:col>
                <xdr:colOff>845820</xdr:colOff>
                <xdr:row>7</xdr:row>
                <xdr:rowOff>182880</xdr:rowOff>
              </from>
              <to>
                <xdr:col>7</xdr:col>
                <xdr:colOff>868680</xdr:colOff>
                <xdr:row>9</xdr:row>
                <xdr:rowOff>106680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2F42-C55A-4A6B-B4EA-3340348462DD}">
  <sheetPr codeName="Planilha46">
    <tabColor rgb="FFFFFF66"/>
  </sheetPr>
  <dimension ref="A1:L354"/>
  <sheetViews>
    <sheetView view="pageBreakPreview" topLeftCell="A291" zoomScaleNormal="100" zoomScaleSheetLayoutView="100" workbookViewId="0">
      <selection activeCell="E316" sqref="E316"/>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ht="20.399999999999999">
      <c r="A5" s="463"/>
      <c r="B5" s="476" t="s">
        <v>3</v>
      </c>
      <c r="C5" s="477">
        <f ca="1">PLANEJAMENTO!F4</f>
        <v>46140</v>
      </c>
      <c r="D5" s="681" t="s">
        <v>1206</v>
      </c>
      <c r="E5" s="479"/>
      <c r="F5" s="479"/>
      <c r="G5" s="479"/>
      <c r="H5" s="479"/>
      <c r="I5" s="480"/>
      <c r="J5" s="481" t="str">
        <f>F31</f>
        <v>m3</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c r="A10" s="463"/>
      <c r="B10" s="499" t="s">
        <v>1034</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655</v>
      </c>
      <c r="C11" s="500"/>
      <c r="D11" s="501"/>
      <c r="E11" s="502">
        <v>2</v>
      </c>
      <c r="F11" s="502">
        <v>1</v>
      </c>
      <c r="G11" s="502">
        <f>1-F11</f>
        <v>0</v>
      </c>
      <c r="H11" s="503">
        <f>VLOOKUP(B11,EQUIPAMENTOS!$A:$J,10,FALSE)</f>
        <v>145</v>
      </c>
      <c r="I11" s="504">
        <f>H11</f>
        <v>145</v>
      </c>
      <c r="J11" s="505">
        <f t="shared" si="0"/>
        <v>290</v>
      </c>
      <c r="K11" s="471"/>
    </row>
    <row r="12" spans="1:11">
      <c r="A12" s="463"/>
      <c r="B12" s="499" t="s">
        <v>1158</v>
      </c>
      <c r="C12" s="500"/>
      <c r="D12" s="501"/>
      <c r="E12" s="502">
        <v>2</v>
      </c>
      <c r="F12" s="502">
        <v>1</v>
      </c>
      <c r="G12" s="502">
        <f>1-F12</f>
        <v>0</v>
      </c>
      <c r="H12" s="503" t="e">
        <f>VLOOKUP(B12,EQUIPAMENTOS!$A:$J,10,FALSE)</f>
        <v>#N/A</v>
      </c>
      <c r="I12" s="504" t="e">
        <f>H12</f>
        <v>#N/A</v>
      </c>
      <c r="J12" s="505" t="e">
        <f t="shared" si="0"/>
        <v>#N/A</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t="e">
        <f>SUM(J9:J15)</f>
        <v>#N/A</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PRODUÇÕES!D28*0.89</f>
        <v>48.95</v>
      </c>
      <c r="F31" s="541" t="s">
        <v>931</v>
      </c>
      <c r="G31" s="519"/>
      <c r="H31" s="519"/>
      <c r="I31" s="542" t="s">
        <v>953</v>
      </c>
      <c r="J31" s="514" t="e">
        <f>J16+J29</f>
        <v>#N/A</v>
      </c>
      <c r="K31" s="471"/>
    </row>
    <row r="32" spans="1:11">
      <c r="A32" s="463"/>
      <c r="B32" s="543"/>
      <c r="C32" s="536"/>
      <c r="D32" s="536"/>
      <c r="E32" s="544"/>
      <c r="F32" s="545"/>
      <c r="G32" s="545"/>
      <c r="H32" s="545"/>
      <c r="I32" s="537"/>
      <c r="J32" s="536"/>
      <c r="K32" s="471"/>
    </row>
    <row r="33" spans="1:12" ht="20.399999999999999">
      <c r="A33" s="463"/>
      <c r="B33" s="1493" t="s">
        <v>362</v>
      </c>
      <c r="C33" s="1494"/>
      <c r="D33" s="1494"/>
      <c r="E33" s="1495"/>
      <c r="F33" s="546" t="s">
        <v>688</v>
      </c>
      <c r="G33" s="547" t="s">
        <v>371</v>
      </c>
      <c r="H33" s="520" t="s">
        <v>942</v>
      </c>
      <c r="I33" s="548" t="s">
        <v>361</v>
      </c>
      <c r="J33" s="549" t="s">
        <v>363</v>
      </c>
      <c r="K33" s="471"/>
    </row>
    <row r="34" spans="1:12">
      <c r="A34" s="463"/>
      <c r="B34" s="550" t="str">
        <f>B9</f>
        <v>Motoniveladora 140K</v>
      </c>
      <c r="C34" s="551"/>
      <c r="D34" s="551"/>
      <c r="E34" s="552"/>
      <c r="F34" s="553" t="str">
        <f>VLOOKUP(B34,EQUIPAMENTOS!$A:$N,12,FALSE)</f>
        <v>Diesel S10</v>
      </c>
      <c r="G34" s="554" t="s">
        <v>415</v>
      </c>
      <c r="H34" s="560">
        <f>VLOOKUP(B34,EQUIPAMENTOS!$A:$N,13,FALSE)</f>
        <v>0</v>
      </c>
      <c r="I34" s="556">
        <f>VLOOKUP(B34,EQUIPAMENTOS!$A:$N,14,FALSE)</f>
        <v>28</v>
      </c>
      <c r="J34" s="498">
        <f t="shared" ref="J34:J39" si="2">H34*I34*E9*F9</f>
        <v>0</v>
      </c>
      <c r="K34" s="471"/>
    </row>
    <row r="35" spans="1:12">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 t="shared" si="2"/>
        <v>0</v>
      </c>
      <c r="K35" s="471"/>
    </row>
    <row r="36" spans="1:12">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 t="shared" si="2"/>
        <v>0</v>
      </c>
      <c r="K36" s="471"/>
    </row>
    <row r="37" spans="1:12">
      <c r="A37" s="463"/>
      <c r="B37" s="550" t="str">
        <f>B12</f>
        <v>Caminhão Pipa 15.000 l</v>
      </c>
      <c r="C37" s="531"/>
      <c r="D37" s="531"/>
      <c r="E37" s="500"/>
      <c r="F37" s="553" t="e">
        <f>VLOOKUP(B37,EQUIPAMENTOS!$A:$N,12,FALSE)</f>
        <v>#N/A</v>
      </c>
      <c r="G37" s="554" t="s">
        <v>415</v>
      </c>
      <c r="H37" s="560" t="e">
        <f>VLOOKUP(B37,EQUIPAMENTOS!$A:$N,13,FALSE)</f>
        <v>#N/A</v>
      </c>
      <c r="I37" s="556" t="e">
        <f>VLOOKUP(B37,EQUIPAMENTOS!$A:$N,14,FALSE)</f>
        <v>#N/A</v>
      </c>
      <c r="J37" s="505" t="e">
        <f t="shared" si="2"/>
        <v>#N/A</v>
      </c>
      <c r="K37" s="471"/>
    </row>
    <row r="38" spans="1:12">
      <c r="A38" s="463"/>
      <c r="B38" s="530"/>
      <c r="C38" s="531"/>
      <c r="D38" s="531"/>
      <c r="E38" s="500"/>
      <c r="F38" s="501"/>
      <c r="G38" s="559"/>
      <c r="H38" s="560"/>
      <c r="I38" s="556"/>
      <c r="J38" s="505">
        <f t="shared" si="2"/>
        <v>0</v>
      </c>
      <c r="K38" s="471"/>
    </row>
    <row r="39" spans="1:12">
      <c r="A39" s="463"/>
      <c r="B39" s="530"/>
      <c r="C39" s="539"/>
      <c r="D39" s="539"/>
      <c r="E39" s="507"/>
      <c r="F39" s="501"/>
      <c r="G39" s="481"/>
      <c r="H39" s="560"/>
      <c r="I39" s="561"/>
      <c r="J39" s="505">
        <f t="shared" si="2"/>
        <v>0</v>
      </c>
      <c r="K39" s="471"/>
    </row>
    <row r="40" spans="1:12">
      <c r="A40" s="463"/>
      <c r="B40" s="563" t="s">
        <v>946</v>
      </c>
      <c r="C40" s="539"/>
      <c r="D40" s="539"/>
      <c r="E40" s="539"/>
      <c r="F40" s="536"/>
      <c r="G40" s="539"/>
      <c r="H40" s="564"/>
      <c r="I40" s="565" t="s">
        <v>175</v>
      </c>
      <c r="J40" s="514" t="e">
        <f>SUM(J34:J39)</f>
        <v>#N/A</v>
      </c>
      <c r="K40" s="471"/>
      <c r="L40" s="6" t="e">
        <f>J40/E31</f>
        <v>#N/A</v>
      </c>
    </row>
    <row r="41" spans="1:12">
      <c r="A41" s="463"/>
      <c r="B41" s="566"/>
      <c r="C41" s="539"/>
      <c r="D41" s="539"/>
      <c r="E41" s="567"/>
      <c r="F41" s="568"/>
      <c r="G41" s="519"/>
      <c r="H41" s="519"/>
      <c r="I41" s="542"/>
      <c r="J41" s="567"/>
      <c r="K41" s="471"/>
    </row>
    <row r="42" spans="1:12" ht="20.399999999999999">
      <c r="A42" s="463"/>
      <c r="B42" s="1493" t="s">
        <v>955</v>
      </c>
      <c r="C42" s="1494"/>
      <c r="D42" s="1494"/>
      <c r="E42" s="1494"/>
      <c r="F42" s="1495"/>
      <c r="G42" s="569" t="s">
        <v>372</v>
      </c>
      <c r="H42" s="519" t="s">
        <v>956</v>
      </c>
      <c r="I42" s="570" t="s">
        <v>942</v>
      </c>
      <c r="J42" s="522" t="s">
        <v>363</v>
      </c>
      <c r="K42" s="471"/>
    </row>
    <row r="43" spans="1:12">
      <c r="A43" s="463"/>
      <c r="B43" s="571"/>
      <c r="C43" s="572"/>
      <c r="D43" s="573"/>
      <c r="E43" s="573"/>
      <c r="F43" s="574"/>
      <c r="G43" s="502"/>
      <c r="H43" s="502"/>
      <c r="I43" s="575"/>
      <c r="J43" s="505"/>
      <c r="K43" s="471"/>
    </row>
    <row r="44" spans="1:12">
      <c r="A44" s="463"/>
      <c r="B44" s="576"/>
      <c r="C44" s="577"/>
      <c r="D44" s="578"/>
      <c r="E44" s="578"/>
      <c r="F44" s="579"/>
      <c r="G44" s="502"/>
      <c r="H44" s="502"/>
      <c r="I44" s="575"/>
      <c r="J44" s="505"/>
      <c r="K44" s="471"/>
    </row>
    <row r="45" spans="1:12">
      <c r="A45" s="463"/>
      <c r="B45" s="1496" t="s">
        <v>175</v>
      </c>
      <c r="C45" s="1496"/>
      <c r="D45" s="1496"/>
      <c r="E45" s="1496"/>
      <c r="F45" s="1496"/>
      <c r="G45" s="1496"/>
      <c r="H45" s="1496"/>
      <c r="I45" s="1496"/>
      <c r="J45" s="514">
        <f>SUM(J43:J44)</f>
        <v>0</v>
      </c>
      <c r="K45" s="471"/>
    </row>
    <row r="46" spans="1:12">
      <c r="A46" s="463"/>
      <c r="B46" s="580"/>
      <c r="C46" s="524"/>
      <c r="D46" s="524"/>
      <c r="E46" s="581"/>
      <c r="F46" s="582"/>
      <c r="G46" s="583"/>
      <c r="H46" s="583"/>
      <c r="I46" s="584"/>
      <c r="J46" s="585"/>
      <c r="K46" s="471"/>
    </row>
    <row r="47" spans="1:12">
      <c r="A47" s="463"/>
      <c r="B47" s="586" t="s">
        <v>957</v>
      </c>
      <c r="C47" s="586"/>
      <c r="D47" s="563"/>
      <c r="E47" s="536"/>
      <c r="F47" s="536"/>
      <c r="G47" s="536"/>
      <c r="H47" s="587"/>
      <c r="I47" s="588"/>
      <c r="J47" s="514" t="e">
        <f>(J31+J40+J45)/E31</f>
        <v>#N/A</v>
      </c>
      <c r="K47" s="471"/>
    </row>
    <row r="48" spans="1:12">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6" t="s">
        <v>1039</v>
      </c>
      <c r="C50" s="577"/>
      <c r="D50" s="578"/>
      <c r="E50" s="578"/>
      <c r="F50" s="579"/>
      <c r="G50" s="502">
        <v>0.05</v>
      </c>
      <c r="H50" s="502" t="s">
        <v>208</v>
      </c>
      <c r="I50" s="575">
        <f>2180*(38/50)</f>
        <v>1656.8</v>
      </c>
      <c r="J50" s="505">
        <f>G50*I50</f>
        <v>82.84</v>
      </c>
      <c r="K50" s="471"/>
    </row>
    <row r="51" spans="1:11">
      <c r="A51" s="463"/>
      <c r="B51" s="576"/>
      <c r="C51" s="577"/>
      <c r="D51" s="578"/>
      <c r="E51" s="578"/>
      <c r="F51" s="579"/>
      <c r="G51" s="502"/>
      <c r="H51" s="502"/>
      <c r="I51" s="575"/>
      <c r="J51" s="505">
        <f>G51*I51</f>
        <v>0</v>
      </c>
      <c r="K51" s="471"/>
    </row>
    <row r="52" spans="1:11">
      <c r="A52" s="463"/>
      <c r="B52" s="576"/>
      <c r="C52" s="577"/>
      <c r="D52" s="578"/>
      <c r="E52" s="578"/>
      <c r="F52" s="579"/>
      <c r="G52" s="502"/>
      <c r="H52" s="502"/>
      <c r="I52" s="575"/>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82.84</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SUM(J57:J58)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t="e">
        <f>J59+J54+J47</f>
        <v>#N/A</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t="e">
        <f>J61*0</f>
        <v>#N/A</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t="e">
        <f>J61+J63</f>
        <v>#N/A</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row r="74" spans="1:11">
      <c r="A74" s="460"/>
      <c r="B74" s="461"/>
      <c r="C74" s="461"/>
      <c r="D74" s="461"/>
      <c r="E74" s="461"/>
      <c r="F74" s="461"/>
      <c r="G74" s="461"/>
      <c r="H74" s="461"/>
      <c r="I74" s="461"/>
      <c r="J74" s="461"/>
      <c r="K74" s="462"/>
    </row>
    <row r="75" spans="1:11">
      <c r="A75" s="463"/>
      <c r="B75" s="464" t="s">
        <v>178</v>
      </c>
      <c r="C75" s="465"/>
      <c r="D75" s="466" t="s">
        <v>936</v>
      </c>
      <c r="E75" s="467"/>
      <c r="F75" s="468"/>
      <c r="G75" s="468"/>
      <c r="H75" s="469"/>
      <c r="I75" s="469"/>
      <c r="J75" s="470"/>
      <c r="K75" s="471"/>
    </row>
    <row r="76" spans="1:11">
      <c r="A76" s="463"/>
      <c r="B76" s="472"/>
      <c r="C76" s="472"/>
      <c r="D76" s="472"/>
      <c r="E76" s="472"/>
      <c r="F76" s="472"/>
      <c r="G76" s="472"/>
      <c r="H76" s="472"/>
      <c r="I76" s="472"/>
      <c r="J76" s="472"/>
      <c r="K76" s="471"/>
    </row>
    <row r="77" spans="1:11">
      <c r="A77" s="463"/>
      <c r="B77" s="473" t="s">
        <v>688</v>
      </c>
      <c r="C77" s="474" t="s">
        <v>937</v>
      </c>
      <c r="D77" s="1497" t="s">
        <v>250</v>
      </c>
      <c r="E77" s="1498"/>
      <c r="F77" s="1498"/>
      <c r="G77" s="1498"/>
      <c r="H77" s="1498"/>
      <c r="I77" s="1499"/>
      <c r="J77" s="475" t="s">
        <v>267</v>
      </c>
      <c r="K77" s="471"/>
    </row>
    <row r="78" spans="1:11" ht="20.399999999999999">
      <c r="A78" s="463"/>
      <c r="B78" s="476" t="s">
        <v>3</v>
      </c>
      <c r="C78" s="477">
        <f ca="1">TODAY()</f>
        <v>46140</v>
      </c>
      <c r="D78" s="681" t="s">
        <v>1204</v>
      </c>
      <c r="E78" s="479"/>
      <c r="F78" s="479"/>
      <c r="G78" s="479"/>
      <c r="H78" s="479"/>
      <c r="I78" s="480"/>
      <c r="J78" s="481" t="str">
        <f>F104</f>
        <v>M2</v>
      </c>
      <c r="K78" s="471"/>
    </row>
    <row r="79" spans="1:11">
      <c r="A79" s="463"/>
      <c r="B79" s="482"/>
      <c r="C79" s="482"/>
      <c r="D79" s="482"/>
      <c r="E79" s="482"/>
      <c r="F79" s="482"/>
      <c r="G79" s="482"/>
      <c r="H79" s="482"/>
      <c r="I79" s="483"/>
      <c r="J79" s="484"/>
      <c r="K79" s="471"/>
    </row>
    <row r="80" spans="1:11">
      <c r="A80" s="463"/>
      <c r="B80" s="1484" t="s">
        <v>938</v>
      </c>
      <c r="C80" s="1486"/>
      <c r="D80" s="1502" t="s">
        <v>688</v>
      </c>
      <c r="E80" s="1504" t="s">
        <v>939</v>
      </c>
      <c r="F80" s="485" t="s">
        <v>940</v>
      </c>
      <c r="G80" s="486"/>
      <c r="H80" s="485" t="s">
        <v>941</v>
      </c>
      <c r="I80" s="486"/>
      <c r="J80" s="487" t="s">
        <v>942</v>
      </c>
      <c r="K80" s="471"/>
    </row>
    <row r="81" spans="1:11">
      <c r="A81" s="463"/>
      <c r="B81" s="1500"/>
      <c r="C81" s="1501"/>
      <c r="D81" s="1503"/>
      <c r="E81" s="1505"/>
      <c r="F81" s="488" t="s">
        <v>943</v>
      </c>
      <c r="G81" s="488" t="s">
        <v>944</v>
      </c>
      <c r="H81" s="488" t="s">
        <v>943</v>
      </c>
      <c r="I81" s="489" t="s">
        <v>944</v>
      </c>
      <c r="J81" s="490" t="s">
        <v>945</v>
      </c>
      <c r="K81" s="471"/>
    </row>
    <row r="82" spans="1:11">
      <c r="A82" s="463"/>
      <c r="B82" s="499" t="s">
        <v>642</v>
      </c>
      <c r="C82" s="492"/>
      <c r="D82" s="493"/>
      <c r="E82" s="494">
        <v>1</v>
      </c>
      <c r="F82" s="494">
        <v>1</v>
      </c>
      <c r="G82" s="495">
        <f>1-F82</f>
        <v>0</v>
      </c>
      <c r="H82" s="503">
        <f>VLOOKUP(B82,EQUIPAMENTOS!$A:$J,10,FALSE)</f>
        <v>190</v>
      </c>
      <c r="I82" s="497">
        <f>H82</f>
        <v>190</v>
      </c>
      <c r="J82" s="498">
        <f t="shared" ref="J82:J88" si="3">H82*F82*E82+I82*G82*E82</f>
        <v>190</v>
      </c>
      <c r="K82" s="471"/>
    </row>
    <row r="83" spans="1:11">
      <c r="A83" s="463"/>
      <c r="B83" s="499" t="s">
        <v>1034</v>
      </c>
      <c r="C83" s="500"/>
      <c r="D83" s="501"/>
      <c r="E83" s="502">
        <v>1</v>
      </c>
      <c r="F83" s="502">
        <v>1</v>
      </c>
      <c r="G83" s="502">
        <f>1-F83</f>
        <v>0</v>
      </c>
      <c r="H83" s="503">
        <f>VLOOKUP(B83,EQUIPAMENTOS!$A:$J,10,FALSE)</f>
        <v>134.05277777777778</v>
      </c>
      <c r="I83" s="504">
        <f>H83</f>
        <v>134.05277777777778</v>
      </c>
      <c r="J83" s="505">
        <f t="shared" si="3"/>
        <v>134.05277777777778</v>
      </c>
      <c r="K83" s="471"/>
    </row>
    <row r="84" spans="1:11">
      <c r="A84" s="463"/>
      <c r="B84" s="499" t="s">
        <v>655</v>
      </c>
      <c r="C84" s="500"/>
      <c r="D84" s="501"/>
      <c r="E84" s="502">
        <v>2</v>
      </c>
      <c r="F84" s="502">
        <v>1</v>
      </c>
      <c r="G84" s="502">
        <f>1-F84</f>
        <v>0</v>
      </c>
      <c r="H84" s="503">
        <f>VLOOKUP(B84,EQUIPAMENTOS!$A:$J,10,FALSE)</f>
        <v>145</v>
      </c>
      <c r="I84" s="504">
        <f>H84</f>
        <v>145</v>
      </c>
      <c r="J84" s="505">
        <f t="shared" si="3"/>
        <v>290</v>
      </c>
      <c r="K84" s="471"/>
    </row>
    <row r="85" spans="1:11">
      <c r="A85" s="463"/>
      <c r="B85" s="499" t="s">
        <v>1158</v>
      </c>
      <c r="C85" s="500"/>
      <c r="D85" s="501"/>
      <c r="E85" s="502">
        <v>2</v>
      </c>
      <c r="F85" s="502">
        <v>1</v>
      </c>
      <c r="G85" s="502">
        <f>1-F85</f>
        <v>0</v>
      </c>
      <c r="H85" s="503" t="e">
        <f>VLOOKUP(B85,EQUIPAMENTOS!$A:$J,10,FALSE)</f>
        <v>#N/A</v>
      </c>
      <c r="I85" s="504" t="e">
        <f>H85</f>
        <v>#N/A</v>
      </c>
      <c r="J85" s="505" t="e">
        <f t="shared" si="3"/>
        <v>#N/A</v>
      </c>
      <c r="K85" s="471"/>
    </row>
    <row r="86" spans="1:11">
      <c r="A86" s="463"/>
      <c r="B86" s="499"/>
      <c r="C86" s="500"/>
      <c r="D86" s="501"/>
      <c r="E86" s="502"/>
      <c r="F86" s="502"/>
      <c r="G86" s="502"/>
      <c r="H86" s="503"/>
      <c r="I86" s="504"/>
      <c r="J86" s="505">
        <f t="shared" si="3"/>
        <v>0</v>
      </c>
      <c r="K86" s="471"/>
    </row>
    <row r="87" spans="1:11">
      <c r="A87" s="463"/>
      <c r="B87" s="499"/>
      <c r="C87" s="500"/>
      <c r="D87" s="501"/>
      <c r="E87" s="502"/>
      <c r="F87" s="502"/>
      <c r="G87" s="502"/>
      <c r="H87" s="503"/>
      <c r="I87" s="504"/>
      <c r="J87" s="505">
        <f t="shared" si="3"/>
        <v>0</v>
      </c>
      <c r="K87" s="471"/>
    </row>
    <row r="88" spans="1:11">
      <c r="A88" s="463"/>
      <c r="B88" s="506"/>
      <c r="C88" s="507"/>
      <c r="D88" s="508"/>
      <c r="E88" s="509"/>
      <c r="F88" s="509"/>
      <c r="G88" s="509"/>
      <c r="H88" s="510"/>
      <c r="I88" s="511"/>
      <c r="J88" s="505">
        <f t="shared" si="3"/>
        <v>0</v>
      </c>
      <c r="K88" s="471"/>
    </row>
    <row r="89" spans="1:11">
      <c r="A89" s="463"/>
      <c r="B89" s="512" t="s">
        <v>946</v>
      </c>
      <c r="C89" s="482"/>
      <c r="D89" s="482"/>
      <c r="E89" s="482"/>
      <c r="F89" s="482"/>
      <c r="G89" s="482"/>
      <c r="H89" s="482"/>
      <c r="I89" s="513" t="s">
        <v>175</v>
      </c>
      <c r="J89" s="514" t="e">
        <f>SUM(J82:J88)</f>
        <v>#N/A</v>
      </c>
      <c r="K89" s="471"/>
    </row>
    <row r="90" spans="1:11">
      <c r="A90" s="463"/>
      <c r="B90" s="515"/>
      <c r="C90" s="515"/>
      <c r="D90" s="515"/>
      <c r="E90" s="515"/>
      <c r="F90" s="515"/>
      <c r="G90" s="515"/>
      <c r="H90" s="515"/>
      <c r="I90" s="516"/>
      <c r="J90" s="517"/>
      <c r="K90" s="471"/>
    </row>
    <row r="91" spans="1:11" ht="20.399999999999999">
      <c r="A91" s="463"/>
      <c r="B91" s="1490" t="s">
        <v>947</v>
      </c>
      <c r="C91" s="1491"/>
      <c r="D91" s="1491"/>
      <c r="E91" s="1492"/>
      <c r="F91" s="518" t="s">
        <v>688</v>
      </c>
      <c r="G91" s="519"/>
      <c r="H91" s="520" t="s">
        <v>427</v>
      </c>
      <c r="I91" s="521" t="s">
        <v>948</v>
      </c>
      <c r="J91" s="522" t="s">
        <v>949</v>
      </c>
      <c r="K91" s="471"/>
    </row>
    <row r="92" spans="1:11">
      <c r="A92" s="463"/>
      <c r="B92" s="523"/>
      <c r="C92" s="524"/>
      <c r="D92" s="525"/>
      <c r="E92" s="526"/>
      <c r="F92" s="527"/>
      <c r="G92" s="528"/>
      <c r="H92" s="529"/>
      <c r="I92" s="497"/>
      <c r="J92" s="498"/>
      <c r="K92" s="471"/>
    </row>
    <row r="93" spans="1:11">
      <c r="A93" s="463"/>
      <c r="B93" s="530" t="s">
        <v>970</v>
      </c>
      <c r="C93" s="531"/>
      <c r="D93" s="472"/>
      <c r="E93" s="500"/>
      <c r="F93" s="501"/>
      <c r="G93" s="532"/>
      <c r="H93" s="533">
        <f>E82</f>
        <v>1</v>
      </c>
      <c r="I93" s="534">
        <f>VLOOKUP(B93,'MÃO DE OBRA'!$A:$E,5,FALSE)/220</f>
        <v>35.988199999999999</v>
      </c>
      <c r="J93" s="505">
        <f t="shared" ref="J93:J99" si="4">H93*I93</f>
        <v>35.988199999999999</v>
      </c>
      <c r="K93" s="471"/>
    </row>
    <row r="94" spans="1:11">
      <c r="A94" s="463"/>
      <c r="B94" s="530" t="s">
        <v>1035</v>
      </c>
      <c r="C94" s="531"/>
      <c r="D94" s="472"/>
      <c r="E94" s="500"/>
      <c r="F94" s="501"/>
      <c r="G94" s="532"/>
      <c r="H94" s="533">
        <f>E83</f>
        <v>1</v>
      </c>
      <c r="I94" s="534">
        <f>VLOOKUP(B94,'MÃO DE OBRA'!$A:$E,5,FALSE)/220</f>
        <v>21.588799999999999</v>
      </c>
      <c r="J94" s="505">
        <f t="shared" si="4"/>
        <v>21.588799999999999</v>
      </c>
      <c r="K94" s="471"/>
    </row>
    <row r="95" spans="1:11">
      <c r="A95" s="463"/>
      <c r="B95" s="530" t="s">
        <v>969</v>
      </c>
      <c r="C95" s="531"/>
      <c r="D95" s="472"/>
      <c r="E95" s="500"/>
      <c r="F95" s="501"/>
      <c r="G95" s="532"/>
      <c r="H95" s="533">
        <f>E84</f>
        <v>2</v>
      </c>
      <c r="I95" s="534">
        <f>VLOOKUP(B95,'MÃO DE OBRA'!$A:$E,5,FALSE)/220</f>
        <v>21.588799999999999</v>
      </c>
      <c r="J95" s="505">
        <f t="shared" si="4"/>
        <v>43.177599999999998</v>
      </c>
      <c r="K95" s="471"/>
    </row>
    <row r="96" spans="1:11">
      <c r="A96" s="463"/>
      <c r="B96" s="530" t="s">
        <v>977</v>
      </c>
      <c r="C96" s="531"/>
      <c r="D96" s="472"/>
      <c r="E96" s="500"/>
      <c r="F96" s="501"/>
      <c r="G96" s="532"/>
      <c r="H96" s="533">
        <f>E85</f>
        <v>2</v>
      </c>
      <c r="I96" s="534">
        <f>VLOOKUP(B96,'MÃO DE OBRA'!$A:$E,5,FALSE)/220</f>
        <v>27.68359090909091</v>
      </c>
      <c r="J96" s="505">
        <f t="shared" si="4"/>
        <v>55.36718181818182</v>
      </c>
      <c r="K96" s="471"/>
    </row>
    <row r="97" spans="1:11">
      <c r="A97" s="463"/>
      <c r="B97" s="530" t="s">
        <v>472</v>
      </c>
      <c r="C97" s="531"/>
      <c r="D97" s="472"/>
      <c r="E97" s="500"/>
      <c r="F97" s="501"/>
      <c r="G97" s="532"/>
      <c r="H97" s="533">
        <v>2</v>
      </c>
      <c r="I97" s="534">
        <f>VLOOKUP(B97,'MÃO DE OBRA'!$A:$E,5,FALSE)/220</f>
        <v>18.377072727272729</v>
      </c>
      <c r="J97" s="505">
        <f t="shared" si="4"/>
        <v>36.754145454545458</v>
      </c>
      <c r="K97" s="471"/>
    </row>
    <row r="98" spans="1:11">
      <c r="A98" s="463"/>
      <c r="B98" s="530" t="s">
        <v>534</v>
      </c>
      <c r="C98" s="531"/>
      <c r="D98" s="472"/>
      <c r="E98" s="500"/>
      <c r="F98" s="501"/>
      <c r="G98" s="532"/>
      <c r="H98" s="533">
        <v>1</v>
      </c>
      <c r="I98" s="534">
        <f>VLOOKUP(B98,'MÃO DE OBRA'!$A:$E,5,FALSE)/220</f>
        <v>21.588799999999999</v>
      </c>
      <c r="J98" s="505">
        <f t="shared" si="4"/>
        <v>21.588799999999999</v>
      </c>
      <c r="K98" s="471"/>
    </row>
    <row r="99" spans="1:11">
      <c r="A99" s="463"/>
      <c r="B99" s="530" t="s">
        <v>479</v>
      </c>
      <c r="C99" s="531"/>
      <c r="D99" s="472"/>
      <c r="E99" s="500"/>
      <c r="F99" s="501"/>
      <c r="G99" s="532"/>
      <c r="H99" s="533"/>
      <c r="I99" s="534">
        <f>VLOOKUP(B99,'MÃO DE OBRA'!$A:$E,5,FALSE)/220</f>
        <v>25.789327272727274</v>
      </c>
      <c r="J99" s="505">
        <f t="shared" si="4"/>
        <v>0</v>
      </c>
      <c r="K99" s="471"/>
    </row>
    <row r="100" spans="1:11">
      <c r="A100" s="463"/>
      <c r="B100" s="530"/>
      <c r="C100" s="531"/>
      <c r="D100" s="472"/>
      <c r="E100" s="500"/>
      <c r="F100" s="501"/>
      <c r="G100" s="532"/>
      <c r="H100" s="533"/>
      <c r="I100" s="504"/>
      <c r="J100" s="505"/>
      <c r="K100" s="471"/>
    </row>
    <row r="101" spans="1:11">
      <c r="A101" s="463"/>
      <c r="B101" s="530"/>
      <c r="C101" s="531"/>
      <c r="D101" s="472"/>
      <c r="E101" s="500"/>
      <c r="F101" s="501"/>
      <c r="G101" s="532"/>
      <c r="H101" s="533"/>
      <c r="I101" s="504"/>
      <c r="J101" s="505">
        <f>H101*I101</f>
        <v>0</v>
      </c>
      <c r="K101" s="471"/>
    </row>
    <row r="102" spans="1:11">
      <c r="A102" s="463"/>
      <c r="B102" s="512" t="s">
        <v>946</v>
      </c>
      <c r="C102" s="515"/>
      <c r="D102" s="515"/>
      <c r="E102" s="515"/>
      <c r="F102" s="515"/>
      <c r="G102" s="515"/>
      <c r="H102" s="515"/>
      <c r="I102" s="535" t="s">
        <v>175</v>
      </c>
      <c r="J102" s="514">
        <f>SUM(J92:J101)</f>
        <v>214.46472727272729</v>
      </c>
      <c r="K102" s="471"/>
    </row>
    <row r="103" spans="1:11">
      <c r="A103" s="463"/>
      <c r="B103" s="536"/>
      <c r="C103" s="536"/>
      <c r="D103" s="536"/>
      <c r="E103" s="536"/>
      <c r="F103" s="536"/>
      <c r="G103" s="536"/>
      <c r="H103" s="536"/>
      <c r="I103" s="537"/>
      <c r="J103" s="536"/>
      <c r="K103" s="471"/>
    </row>
    <row r="104" spans="1:11">
      <c r="A104" s="463"/>
      <c r="B104" s="538" t="s">
        <v>952</v>
      </c>
      <c r="C104" s="539"/>
      <c r="D104" s="536"/>
      <c r="E104" s="540">
        <f>PRODUÇÕES!D25*0.89</f>
        <v>267</v>
      </c>
      <c r="F104" s="541" t="s">
        <v>904</v>
      </c>
      <c r="G104" s="519"/>
      <c r="H104" s="519"/>
      <c r="I104" s="542" t="s">
        <v>953</v>
      </c>
      <c r="J104" s="514" t="e">
        <f>J89+J102</f>
        <v>#N/A</v>
      </c>
      <c r="K104" s="471"/>
    </row>
    <row r="105" spans="1:11">
      <c r="A105" s="463"/>
      <c r="B105" s="543"/>
      <c r="C105" s="536"/>
      <c r="D105" s="536"/>
      <c r="E105" s="544"/>
      <c r="F105" s="545"/>
      <c r="G105" s="545"/>
      <c r="H105" s="545"/>
      <c r="I105" s="537"/>
      <c r="J105" s="536"/>
      <c r="K105" s="471"/>
    </row>
    <row r="106" spans="1:11" ht="20.399999999999999">
      <c r="A106" s="463"/>
      <c r="B106" s="1493" t="s">
        <v>362</v>
      </c>
      <c r="C106" s="1494"/>
      <c r="D106" s="1494"/>
      <c r="E106" s="1495"/>
      <c r="F106" s="546" t="s">
        <v>688</v>
      </c>
      <c r="G106" s="547" t="s">
        <v>371</v>
      </c>
      <c r="H106" s="520" t="s">
        <v>942</v>
      </c>
      <c r="I106" s="548" t="s">
        <v>361</v>
      </c>
      <c r="J106" s="549" t="s">
        <v>363</v>
      </c>
      <c r="K106" s="471"/>
    </row>
    <row r="107" spans="1:11">
      <c r="A107" s="463"/>
      <c r="B107" s="550" t="str">
        <f>B82</f>
        <v>Motoniveladora 140K</v>
      </c>
      <c r="C107" s="551"/>
      <c r="D107" s="551"/>
      <c r="E107" s="552"/>
      <c r="F107" s="553" t="str">
        <f>VLOOKUP(B107,EQUIPAMENTOS!$A:$N,12,FALSE)</f>
        <v>Diesel S10</v>
      </c>
      <c r="G107" s="554" t="s">
        <v>415</v>
      </c>
      <c r="H107" s="560">
        <f>VLOOKUP(B107,EQUIPAMENTOS!$A:$N,13,FALSE)</f>
        <v>0</v>
      </c>
      <c r="I107" s="556">
        <f>VLOOKUP(B107,EQUIPAMENTOS!$A:$N,14,FALSE)</f>
        <v>28</v>
      </c>
      <c r="J107" s="498">
        <f t="shared" ref="J107:J112" si="5">H107*I107*E82*F82</f>
        <v>0</v>
      </c>
      <c r="K107" s="471"/>
    </row>
    <row r="108" spans="1:11">
      <c r="A108" s="463"/>
      <c r="B108" s="550" t="str">
        <f>B83</f>
        <v>Trator de pneus COM GRADE</v>
      </c>
      <c r="C108" s="531"/>
      <c r="D108" s="531"/>
      <c r="E108" s="500"/>
      <c r="F108" s="553" t="str">
        <f>VLOOKUP(B108,EQUIPAMENTOS!$A:$N,12,FALSE)</f>
        <v>Diesel S10</v>
      </c>
      <c r="G108" s="554" t="s">
        <v>415</v>
      </c>
      <c r="H108" s="560">
        <f>VLOOKUP(B108,EQUIPAMENTOS!$A:$N,13,FALSE)</f>
        <v>0</v>
      </c>
      <c r="I108" s="556">
        <f>VLOOKUP(B108,EQUIPAMENTOS!$A:$N,14,FALSE)</f>
        <v>18</v>
      </c>
      <c r="J108" s="505">
        <f t="shared" si="5"/>
        <v>0</v>
      </c>
      <c r="K108" s="471"/>
    </row>
    <row r="109" spans="1:11">
      <c r="A109" s="463"/>
      <c r="B109" s="550" t="str">
        <f>B84</f>
        <v>Rolo compactador pé de carneiro 10T</v>
      </c>
      <c r="C109" s="531"/>
      <c r="D109" s="531"/>
      <c r="E109" s="500"/>
      <c r="F109" s="553" t="str">
        <f>VLOOKUP(B109,EQUIPAMENTOS!$A:$N,12,FALSE)</f>
        <v>Diesel S10</v>
      </c>
      <c r="G109" s="554" t="s">
        <v>415</v>
      </c>
      <c r="H109" s="560">
        <f>VLOOKUP(B109,EQUIPAMENTOS!$A:$N,13,FALSE)</f>
        <v>0</v>
      </c>
      <c r="I109" s="556">
        <f>VLOOKUP(B109,EQUIPAMENTOS!$A:$N,14,FALSE)</f>
        <v>16</v>
      </c>
      <c r="J109" s="505">
        <f t="shared" si="5"/>
        <v>0</v>
      </c>
      <c r="K109" s="471"/>
    </row>
    <row r="110" spans="1:11">
      <c r="A110" s="463"/>
      <c r="B110" s="550" t="str">
        <f>B85</f>
        <v>Caminhão Pipa 15.000 l</v>
      </c>
      <c r="C110" s="531"/>
      <c r="D110" s="531"/>
      <c r="E110" s="500"/>
      <c r="F110" s="553" t="e">
        <f>VLOOKUP(B110,EQUIPAMENTOS!$A:$N,12,FALSE)</f>
        <v>#N/A</v>
      </c>
      <c r="G110" s="554" t="s">
        <v>415</v>
      </c>
      <c r="H110" s="560" t="e">
        <f>VLOOKUP(B110,EQUIPAMENTOS!$A:$N,13,FALSE)</f>
        <v>#N/A</v>
      </c>
      <c r="I110" s="556" t="e">
        <f>VLOOKUP(B110,EQUIPAMENTOS!$A:$N,14,FALSE)</f>
        <v>#N/A</v>
      </c>
      <c r="J110" s="505" t="e">
        <f t="shared" si="5"/>
        <v>#N/A</v>
      </c>
      <c r="K110" s="471"/>
    </row>
    <row r="111" spans="1:11">
      <c r="A111" s="463"/>
      <c r="B111" s="530"/>
      <c r="C111" s="531"/>
      <c r="D111" s="531"/>
      <c r="E111" s="500"/>
      <c r="F111" s="501"/>
      <c r="G111" s="559"/>
      <c r="H111" s="560"/>
      <c r="I111" s="556"/>
      <c r="J111" s="505">
        <f t="shared" si="5"/>
        <v>0</v>
      </c>
      <c r="K111" s="471"/>
    </row>
    <row r="112" spans="1:11">
      <c r="A112" s="463"/>
      <c r="B112" s="530"/>
      <c r="C112" s="539"/>
      <c r="D112" s="539"/>
      <c r="E112" s="507"/>
      <c r="F112" s="501"/>
      <c r="G112" s="481"/>
      <c r="H112" s="560"/>
      <c r="I112" s="561"/>
      <c r="J112" s="505">
        <f t="shared" si="5"/>
        <v>0</v>
      </c>
      <c r="K112" s="471"/>
    </row>
    <row r="113" spans="1:12">
      <c r="A113" s="463"/>
      <c r="B113" s="563" t="s">
        <v>946</v>
      </c>
      <c r="C113" s="539"/>
      <c r="D113" s="539"/>
      <c r="E113" s="539"/>
      <c r="F113" s="536"/>
      <c r="G113" s="539"/>
      <c r="H113" s="564"/>
      <c r="I113" s="565" t="s">
        <v>175</v>
      </c>
      <c r="J113" s="514" t="e">
        <f>SUM(J107:J112)</f>
        <v>#N/A</v>
      </c>
      <c r="K113" s="471"/>
      <c r="L113" s="6" t="e">
        <f>J113/E104</f>
        <v>#N/A</v>
      </c>
    </row>
    <row r="114" spans="1:12">
      <c r="A114" s="463"/>
      <c r="B114" s="566"/>
      <c r="C114" s="539"/>
      <c r="D114" s="539"/>
      <c r="E114" s="567"/>
      <c r="F114" s="568"/>
      <c r="G114" s="519"/>
      <c r="H114" s="519"/>
      <c r="I114" s="542"/>
      <c r="J114" s="567"/>
      <c r="K114" s="471"/>
    </row>
    <row r="115" spans="1:12" ht="20.399999999999999">
      <c r="A115" s="463"/>
      <c r="B115" s="1493" t="s">
        <v>955</v>
      </c>
      <c r="C115" s="1494"/>
      <c r="D115" s="1494"/>
      <c r="E115" s="1494"/>
      <c r="F115" s="1495"/>
      <c r="G115" s="569" t="s">
        <v>372</v>
      </c>
      <c r="H115" s="519" t="s">
        <v>956</v>
      </c>
      <c r="I115" s="570" t="s">
        <v>942</v>
      </c>
      <c r="J115" s="522" t="s">
        <v>363</v>
      </c>
      <c r="K115" s="471"/>
    </row>
    <row r="116" spans="1:12">
      <c r="A116" s="463"/>
      <c r="B116" s="571"/>
      <c r="C116" s="572"/>
      <c r="D116" s="573"/>
      <c r="E116" s="573"/>
      <c r="F116" s="574"/>
      <c r="G116" s="502"/>
      <c r="H116" s="502"/>
      <c r="I116" s="575"/>
      <c r="J116" s="505"/>
      <c r="K116" s="471"/>
    </row>
    <row r="117" spans="1:12">
      <c r="A117" s="463"/>
      <c r="B117" s="576"/>
      <c r="C117" s="577"/>
      <c r="D117" s="578"/>
      <c r="E117" s="578"/>
      <c r="F117" s="579"/>
      <c r="G117" s="502"/>
      <c r="H117" s="502"/>
      <c r="I117" s="575"/>
      <c r="J117" s="505"/>
      <c r="K117" s="471"/>
    </row>
    <row r="118" spans="1:12">
      <c r="A118" s="463"/>
      <c r="B118" s="1496" t="s">
        <v>175</v>
      </c>
      <c r="C118" s="1496"/>
      <c r="D118" s="1496"/>
      <c r="E118" s="1496"/>
      <c r="F118" s="1496"/>
      <c r="G118" s="1496"/>
      <c r="H118" s="1496"/>
      <c r="I118" s="1496"/>
      <c r="J118" s="514">
        <f>SUM(J116:J117)</f>
        <v>0</v>
      </c>
      <c r="K118" s="471"/>
    </row>
    <row r="119" spans="1:12">
      <c r="A119" s="463"/>
      <c r="B119" s="580"/>
      <c r="C119" s="524"/>
      <c r="D119" s="524"/>
      <c r="E119" s="581"/>
      <c r="F119" s="582"/>
      <c r="G119" s="583"/>
      <c r="H119" s="583"/>
      <c r="I119" s="584"/>
      <c r="J119" s="585"/>
      <c r="K119" s="471"/>
    </row>
    <row r="120" spans="1:12">
      <c r="A120" s="463"/>
      <c r="B120" s="586" t="s">
        <v>957</v>
      </c>
      <c r="C120" s="586"/>
      <c r="D120" s="563"/>
      <c r="E120" s="536"/>
      <c r="F120" s="536"/>
      <c r="G120" s="536"/>
      <c r="H120" s="587"/>
      <c r="I120" s="588"/>
      <c r="J120" s="514" t="e">
        <f>(J104+J113+J118)/E104</f>
        <v>#N/A</v>
      </c>
      <c r="K120" s="471"/>
    </row>
    <row r="121" spans="1:12">
      <c r="A121" s="463"/>
      <c r="B121" s="566"/>
      <c r="C121" s="539"/>
      <c r="D121" s="539"/>
      <c r="E121" s="567"/>
      <c r="F121" s="568"/>
      <c r="G121" s="519"/>
      <c r="H121" s="519"/>
      <c r="I121" s="542"/>
      <c r="J121" s="589"/>
      <c r="K121" s="471"/>
    </row>
    <row r="122" spans="1:12" ht="20.399999999999999">
      <c r="A122" s="463"/>
      <c r="B122" s="1493" t="s">
        <v>958</v>
      </c>
      <c r="C122" s="1494"/>
      <c r="D122" s="1494"/>
      <c r="E122" s="1494"/>
      <c r="F122" s="1495"/>
      <c r="G122" s="569" t="s">
        <v>372</v>
      </c>
      <c r="H122" s="519" t="s">
        <v>956</v>
      </c>
      <c r="I122" s="570" t="s">
        <v>942</v>
      </c>
      <c r="J122" s="522" t="s">
        <v>363</v>
      </c>
      <c r="K122" s="471"/>
    </row>
    <row r="123" spans="1:12">
      <c r="A123" s="463"/>
      <c r="B123" s="576"/>
      <c r="C123" s="577"/>
      <c r="D123" s="578"/>
      <c r="E123" s="578"/>
      <c r="F123" s="579"/>
      <c r="G123" s="502"/>
      <c r="H123" s="502"/>
      <c r="I123" s="575"/>
      <c r="J123" s="505"/>
      <c r="K123" s="471"/>
    </row>
    <row r="124" spans="1:12">
      <c r="A124" s="463"/>
      <c r="B124" s="576"/>
      <c r="C124" s="577"/>
      <c r="D124" s="578"/>
      <c r="E124" s="578"/>
      <c r="F124" s="579"/>
      <c r="G124" s="502"/>
      <c r="H124" s="502"/>
      <c r="I124" s="575"/>
      <c r="J124" s="505">
        <f>G124*I124</f>
        <v>0</v>
      </c>
      <c r="K124" s="471"/>
    </row>
    <row r="125" spans="1:12">
      <c r="A125" s="463"/>
      <c r="B125" s="576"/>
      <c r="C125" s="577"/>
      <c r="D125" s="578"/>
      <c r="E125" s="578"/>
      <c r="F125" s="579"/>
      <c r="G125" s="502"/>
      <c r="H125" s="502"/>
      <c r="I125" s="575"/>
      <c r="J125" s="505">
        <f>G125*I125</f>
        <v>0</v>
      </c>
      <c r="K125" s="471"/>
    </row>
    <row r="126" spans="1:12">
      <c r="A126" s="463"/>
      <c r="B126" s="590"/>
      <c r="C126" s="591"/>
      <c r="D126" s="592"/>
      <c r="E126" s="592"/>
      <c r="F126" s="593"/>
      <c r="G126" s="502"/>
      <c r="H126" s="502"/>
      <c r="I126" s="575"/>
      <c r="J126" s="505">
        <f>G126*I126</f>
        <v>0</v>
      </c>
      <c r="K126" s="471"/>
    </row>
    <row r="127" spans="1:12">
      <c r="A127" s="463"/>
      <c r="B127" s="594"/>
      <c r="C127" s="536"/>
      <c r="D127" s="536"/>
      <c r="E127" s="595"/>
      <c r="F127" s="596"/>
      <c r="G127" s="545"/>
      <c r="H127" s="545"/>
      <c r="I127" s="537" t="s">
        <v>175</v>
      </c>
      <c r="J127" s="514">
        <f>SUM(J123:J126)</f>
        <v>0</v>
      </c>
      <c r="K127" s="471"/>
    </row>
    <row r="128" spans="1:12">
      <c r="A128" s="463"/>
      <c r="B128" s="597"/>
      <c r="C128" s="536"/>
      <c r="D128" s="536"/>
      <c r="E128" s="595"/>
      <c r="F128" s="596"/>
      <c r="G128" s="545"/>
      <c r="H128" s="545"/>
      <c r="I128" s="537"/>
      <c r="J128" s="595"/>
      <c r="K128" s="471"/>
    </row>
    <row r="129" spans="1:11" ht="20.399999999999999">
      <c r="A129" s="463"/>
      <c r="B129" s="598" t="s">
        <v>959</v>
      </c>
      <c r="C129" s="598"/>
      <c r="D129" s="598"/>
      <c r="E129" s="599"/>
      <c r="F129" s="600" t="s">
        <v>372</v>
      </c>
      <c r="G129" s="569" t="s">
        <v>960</v>
      </c>
      <c r="H129" s="519" t="s">
        <v>942</v>
      </c>
      <c r="I129" s="570" t="s">
        <v>361</v>
      </c>
      <c r="J129" s="522" t="s">
        <v>363</v>
      </c>
      <c r="K129" s="471"/>
    </row>
    <row r="130" spans="1:11">
      <c r="A130" s="463"/>
      <c r="B130" s="576" t="s">
        <v>946</v>
      </c>
      <c r="C130" s="577"/>
      <c r="D130" s="578"/>
      <c r="E130" s="579" t="s">
        <v>946</v>
      </c>
      <c r="F130" s="502">
        <v>0</v>
      </c>
      <c r="G130" s="502">
        <v>0</v>
      </c>
      <c r="H130" s="502">
        <v>0</v>
      </c>
      <c r="I130" s="575">
        <v>0</v>
      </c>
      <c r="J130" s="505">
        <f>I130*H130*G130*F130</f>
        <v>0</v>
      </c>
      <c r="K130" s="471"/>
    </row>
    <row r="131" spans="1:11">
      <c r="A131" s="463"/>
      <c r="B131" s="590" t="s">
        <v>946</v>
      </c>
      <c r="C131" s="591"/>
      <c r="D131" s="592"/>
      <c r="E131" s="593" t="s">
        <v>946</v>
      </c>
      <c r="F131" s="509">
        <v>0</v>
      </c>
      <c r="G131" s="509">
        <v>0</v>
      </c>
      <c r="H131" s="509">
        <v>0</v>
      </c>
      <c r="I131" s="601">
        <v>0</v>
      </c>
      <c r="J131" s="505">
        <f>I131*H131*G131*F131</f>
        <v>0</v>
      </c>
      <c r="K131" s="471"/>
    </row>
    <row r="132" spans="1:11">
      <c r="A132" s="463"/>
      <c r="B132" s="594"/>
      <c r="C132" s="536"/>
      <c r="D132" s="536"/>
      <c r="E132" s="595"/>
      <c r="F132" s="596"/>
      <c r="G132" s="545"/>
      <c r="H132" s="545"/>
      <c r="I132" s="537" t="s">
        <v>175</v>
      </c>
      <c r="J132" s="514">
        <f>SUM(J130:J131)</f>
        <v>0</v>
      </c>
      <c r="K132" s="471"/>
    </row>
    <row r="133" spans="1:11">
      <c r="A133" s="463"/>
      <c r="B133" s="536"/>
      <c r="C133" s="536"/>
      <c r="D133" s="536"/>
      <c r="E133" s="536"/>
      <c r="F133" s="536"/>
      <c r="G133" s="536"/>
      <c r="H133" s="536"/>
      <c r="I133" s="537"/>
      <c r="J133" s="536"/>
      <c r="K133" s="471"/>
    </row>
    <row r="134" spans="1:11">
      <c r="A134" s="463"/>
      <c r="B134" s="1481" t="s">
        <v>961</v>
      </c>
      <c r="C134" s="1482"/>
      <c r="D134" s="1482"/>
      <c r="E134" s="1482"/>
      <c r="F134" s="1482"/>
      <c r="G134" s="1482"/>
      <c r="H134" s="1482"/>
      <c r="I134" s="1483"/>
      <c r="J134" s="586" t="e">
        <f>J132+J127+J120</f>
        <v>#N/A</v>
      </c>
      <c r="K134" s="471"/>
    </row>
    <row r="135" spans="1:11">
      <c r="A135" s="463"/>
      <c r="B135" s="536"/>
      <c r="C135" s="536"/>
      <c r="D135" s="536"/>
      <c r="E135" s="536"/>
      <c r="F135" s="536"/>
      <c r="G135" s="536"/>
      <c r="H135" s="536"/>
      <c r="I135" s="537"/>
      <c r="J135" s="536"/>
      <c r="K135" s="471"/>
    </row>
    <row r="136" spans="1:11">
      <c r="A136" s="463"/>
      <c r="B136" s="1481" t="s">
        <v>962</v>
      </c>
      <c r="C136" s="1482"/>
      <c r="D136" s="1482"/>
      <c r="E136" s="1482"/>
      <c r="F136" s="1482"/>
      <c r="G136" s="1482"/>
      <c r="H136" s="1482"/>
      <c r="I136" s="1483"/>
      <c r="J136" s="514" t="e">
        <f>J134*0</f>
        <v>#N/A</v>
      </c>
      <c r="K136" s="471"/>
    </row>
    <row r="137" spans="1:11">
      <c r="A137" s="463"/>
      <c r="B137" s="536"/>
      <c r="C137" s="536"/>
      <c r="D137" s="536"/>
      <c r="E137" s="536"/>
      <c r="F137" s="536"/>
      <c r="G137" s="536"/>
      <c r="H137" s="536"/>
      <c r="I137" s="537"/>
      <c r="J137" s="536"/>
      <c r="K137" s="471"/>
    </row>
    <row r="138" spans="1:11">
      <c r="A138" s="463"/>
      <c r="B138" s="1481" t="s">
        <v>963</v>
      </c>
      <c r="C138" s="1482"/>
      <c r="D138" s="1482"/>
      <c r="E138" s="1482"/>
      <c r="F138" s="1482"/>
      <c r="G138" s="1482"/>
      <c r="H138" s="1482"/>
      <c r="I138" s="1483"/>
      <c r="J138" s="586" t="e">
        <f>J134+J136</f>
        <v>#N/A</v>
      </c>
      <c r="K138" s="471"/>
    </row>
    <row r="139" spans="1:11">
      <c r="A139" s="463"/>
      <c r="B139" s="524"/>
      <c r="C139" s="524"/>
      <c r="D139" s="524"/>
      <c r="E139" s="524"/>
      <c r="F139" s="524"/>
      <c r="G139" s="524"/>
      <c r="H139" s="524"/>
      <c r="I139" s="584"/>
      <c r="J139" s="524"/>
      <c r="K139" s="471"/>
    </row>
    <row r="140" spans="1:11">
      <c r="A140" s="463"/>
      <c r="B140" s="602"/>
      <c r="C140" s="572"/>
      <c r="D140" s="572"/>
      <c r="E140" s="572"/>
      <c r="F140" s="572"/>
      <c r="G140" s="572"/>
      <c r="H140" s="572"/>
      <c r="I140" s="572"/>
      <c r="J140" s="603"/>
      <c r="K140" s="471"/>
    </row>
    <row r="141" spans="1:11">
      <c r="A141" s="463"/>
      <c r="B141" s="604"/>
      <c r="C141" s="605"/>
      <c r="D141" s="606"/>
      <c r="E141" s="606"/>
      <c r="F141" s="607" t="s">
        <v>946</v>
      </c>
      <c r="G141" s="608" t="s">
        <v>946</v>
      </c>
      <c r="H141" s="605"/>
      <c r="I141" s="605"/>
      <c r="J141" s="609"/>
      <c r="K141" s="471"/>
    </row>
    <row r="142" spans="1:11">
      <c r="A142" s="463"/>
      <c r="B142" s="472"/>
      <c r="C142" s="472"/>
      <c r="D142" s="472"/>
      <c r="E142" s="472"/>
      <c r="F142" s="472"/>
      <c r="G142" s="472"/>
      <c r="H142" s="472"/>
      <c r="I142" s="472"/>
      <c r="J142" s="472"/>
      <c r="K142" s="471"/>
    </row>
    <row r="143" spans="1:11">
      <c r="A143" s="463"/>
      <c r="B143" s="610" t="e">
        <f>PLANEJAMENTO!#REF!</f>
        <v>#REF!</v>
      </c>
      <c r="C143" s="611"/>
      <c r="D143" s="611"/>
      <c r="E143" s="611"/>
      <c r="F143" s="612"/>
      <c r="G143" s="613" t="s">
        <v>363</v>
      </c>
      <c r="H143" s="515"/>
      <c r="I143" s="515"/>
      <c r="J143" s="518"/>
      <c r="K143" s="471"/>
    </row>
    <row r="144" spans="1:11">
      <c r="A144" s="463"/>
      <c r="B144" s="614" t="e">
        <f>PLANEJAMENTO!#REF!</f>
        <v>#REF!</v>
      </c>
      <c r="C144" s="615"/>
      <c r="D144" s="615"/>
      <c r="E144" s="615"/>
      <c r="F144" s="616"/>
      <c r="G144" s="1484" t="s">
        <v>964</v>
      </c>
      <c r="H144" s="1485"/>
      <c r="I144" s="1485"/>
      <c r="J144" s="1486"/>
      <c r="K144" s="471"/>
    </row>
    <row r="145" spans="1:11">
      <c r="A145" s="463"/>
      <c r="B145" s="617"/>
      <c r="C145" s="618"/>
      <c r="D145" s="618"/>
      <c r="E145" s="618"/>
      <c r="F145" s="619"/>
      <c r="G145" s="620"/>
      <c r="H145" s="1487"/>
      <c r="I145" s="1488"/>
      <c r="J145" s="1489"/>
      <c r="K145" s="471"/>
    </row>
    <row r="146" spans="1:11" ht="15" thickBot="1">
      <c r="A146" s="621"/>
      <c r="B146" s="622"/>
      <c r="C146" s="622"/>
      <c r="D146" s="622"/>
      <c r="E146" s="622"/>
      <c r="F146" s="622"/>
      <c r="G146" s="622"/>
      <c r="H146" s="622"/>
      <c r="I146" s="622"/>
      <c r="J146" s="622"/>
      <c r="K146" s="623"/>
    </row>
    <row r="147" spans="1:11">
      <c r="A147" s="460"/>
      <c r="B147" s="461"/>
      <c r="C147" s="461"/>
      <c r="D147" s="461"/>
      <c r="E147" s="461"/>
      <c r="F147" s="461"/>
      <c r="G147" s="461"/>
      <c r="H147" s="461"/>
      <c r="I147" s="461"/>
      <c r="J147" s="461"/>
      <c r="K147" s="462"/>
    </row>
    <row r="148" spans="1:11">
      <c r="A148" s="463"/>
      <c r="B148" s="464" t="s">
        <v>178</v>
      </c>
      <c r="C148" s="465"/>
      <c r="D148" s="466" t="s">
        <v>936</v>
      </c>
      <c r="E148" s="467"/>
      <c r="F148" s="468"/>
      <c r="G148" s="468"/>
      <c r="H148" s="469"/>
      <c r="I148" s="469"/>
      <c r="J148" s="470"/>
      <c r="K148" s="471"/>
    </row>
    <row r="149" spans="1:11">
      <c r="A149" s="463"/>
      <c r="B149" s="472"/>
      <c r="C149" s="472"/>
      <c r="D149" s="472"/>
      <c r="E149" s="472"/>
      <c r="F149" s="472"/>
      <c r="G149" s="472"/>
      <c r="H149" s="472"/>
      <c r="I149" s="472"/>
      <c r="J149" s="472"/>
      <c r="K149" s="471"/>
    </row>
    <row r="150" spans="1:11">
      <c r="A150" s="463"/>
      <c r="B150" s="473" t="s">
        <v>688</v>
      </c>
      <c r="C150" s="474" t="s">
        <v>937</v>
      </c>
      <c r="D150" s="1497" t="s">
        <v>250</v>
      </c>
      <c r="E150" s="1498"/>
      <c r="F150" s="1498"/>
      <c r="G150" s="1498"/>
      <c r="H150" s="1498"/>
      <c r="I150" s="1499"/>
      <c r="J150" s="475" t="s">
        <v>267</v>
      </c>
      <c r="K150" s="471"/>
    </row>
    <row r="151" spans="1:11">
      <c r="A151" s="463"/>
      <c r="B151" s="476" t="s">
        <v>3</v>
      </c>
      <c r="C151" s="477">
        <f ca="1">TODAY()</f>
        <v>46140</v>
      </c>
      <c r="D151" s="681" t="e">
        <f>PLANEJAMENTO!#REF!</f>
        <v>#REF!</v>
      </c>
      <c r="E151" s="479"/>
      <c r="F151" s="479"/>
      <c r="G151" s="479"/>
      <c r="H151" s="479"/>
      <c r="I151" s="480"/>
      <c r="J151" s="481" t="str">
        <f>F177</f>
        <v>M3</v>
      </c>
      <c r="K151" s="471"/>
    </row>
    <row r="152" spans="1:11">
      <c r="A152" s="463"/>
      <c r="B152" s="482"/>
      <c r="C152" s="482"/>
      <c r="D152" s="482"/>
      <c r="E152" s="482"/>
      <c r="F152" s="482"/>
      <c r="G152" s="482"/>
      <c r="H152" s="482"/>
      <c r="I152" s="483"/>
      <c r="J152" s="484"/>
      <c r="K152" s="471"/>
    </row>
    <row r="153" spans="1:11">
      <c r="A153" s="463"/>
      <c r="B153" s="1484" t="s">
        <v>938</v>
      </c>
      <c r="C153" s="1486"/>
      <c r="D153" s="1502" t="s">
        <v>688</v>
      </c>
      <c r="E153" s="1504" t="s">
        <v>939</v>
      </c>
      <c r="F153" s="485" t="s">
        <v>940</v>
      </c>
      <c r="G153" s="486"/>
      <c r="H153" s="485" t="s">
        <v>941</v>
      </c>
      <c r="I153" s="486"/>
      <c r="J153" s="487" t="s">
        <v>942</v>
      </c>
      <c r="K153" s="471"/>
    </row>
    <row r="154" spans="1:11">
      <c r="A154" s="463"/>
      <c r="B154" s="1500"/>
      <c r="C154" s="1501"/>
      <c r="D154" s="1503"/>
      <c r="E154" s="1505"/>
      <c r="F154" s="488" t="s">
        <v>943</v>
      </c>
      <c r="G154" s="488" t="s">
        <v>944</v>
      </c>
      <c r="H154" s="488" t="s">
        <v>943</v>
      </c>
      <c r="I154" s="489" t="s">
        <v>944</v>
      </c>
      <c r="J154" s="490" t="s">
        <v>945</v>
      </c>
      <c r="K154" s="471"/>
    </row>
    <row r="155" spans="1:11">
      <c r="A155" s="463"/>
      <c r="B155" s="499" t="s">
        <v>642</v>
      </c>
      <c r="C155" s="492"/>
      <c r="D155" s="493"/>
      <c r="E155" s="494">
        <v>1</v>
      </c>
      <c r="F155" s="494">
        <v>1</v>
      </c>
      <c r="G155" s="495">
        <f>1-F155</f>
        <v>0</v>
      </c>
      <c r="H155" s="503">
        <f>VLOOKUP(B155,EQUIPAMENTOS!$A:$J,10,FALSE)</f>
        <v>190</v>
      </c>
      <c r="I155" s="497">
        <f>H155</f>
        <v>190</v>
      </c>
      <c r="J155" s="498">
        <f t="shared" ref="J155:J161" si="6">H155*F155*E155+I155*G155*E155</f>
        <v>190</v>
      </c>
      <c r="K155" s="471"/>
    </row>
    <row r="156" spans="1:11">
      <c r="A156" s="463"/>
      <c r="B156" s="499" t="s">
        <v>1034</v>
      </c>
      <c r="C156" s="500"/>
      <c r="D156" s="501"/>
      <c r="E156" s="502">
        <v>1</v>
      </c>
      <c r="F156" s="502">
        <v>1</v>
      </c>
      <c r="G156" s="502">
        <f>1-F156</f>
        <v>0</v>
      </c>
      <c r="H156" s="503">
        <f>VLOOKUP(B156,EQUIPAMENTOS!$A:$J,10,FALSE)</f>
        <v>134.05277777777778</v>
      </c>
      <c r="I156" s="504">
        <f>H156</f>
        <v>134.05277777777778</v>
      </c>
      <c r="J156" s="505">
        <f t="shared" si="6"/>
        <v>134.05277777777778</v>
      </c>
      <c r="K156" s="471"/>
    </row>
    <row r="157" spans="1:11">
      <c r="A157" s="463"/>
      <c r="B157" s="499" t="s">
        <v>655</v>
      </c>
      <c r="C157" s="500"/>
      <c r="D157" s="501"/>
      <c r="E157" s="502">
        <v>2</v>
      </c>
      <c r="F157" s="502">
        <v>1</v>
      </c>
      <c r="G157" s="502">
        <f>1-F157</f>
        <v>0</v>
      </c>
      <c r="H157" s="503">
        <f>VLOOKUP(B157,EQUIPAMENTOS!$A:$J,10,FALSE)</f>
        <v>145</v>
      </c>
      <c r="I157" s="504">
        <f>H157</f>
        <v>145</v>
      </c>
      <c r="J157" s="505">
        <f t="shared" si="6"/>
        <v>290</v>
      </c>
      <c r="K157" s="471"/>
    </row>
    <row r="158" spans="1:11">
      <c r="A158" s="463"/>
      <c r="B158" s="499" t="s">
        <v>1158</v>
      </c>
      <c r="C158" s="500"/>
      <c r="D158" s="501"/>
      <c r="E158" s="502">
        <v>2</v>
      </c>
      <c r="F158" s="502">
        <v>1</v>
      </c>
      <c r="G158" s="502">
        <f>1-F158</f>
        <v>0</v>
      </c>
      <c r="H158" s="503" t="e">
        <f>VLOOKUP(B158,EQUIPAMENTOS!$A:$J,10,FALSE)</f>
        <v>#N/A</v>
      </c>
      <c r="I158" s="504" t="e">
        <f>H158</f>
        <v>#N/A</v>
      </c>
      <c r="J158" s="505" t="e">
        <f t="shared" si="6"/>
        <v>#N/A</v>
      </c>
      <c r="K158" s="471"/>
    </row>
    <row r="159" spans="1:11">
      <c r="A159" s="463"/>
      <c r="B159" s="499"/>
      <c r="C159" s="500"/>
      <c r="D159" s="501"/>
      <c r="E159" s="502"/>
      <c r="F159" s="502"/>
      <c r="G159" s="502"/>
      <c r="H159" s="503"/>
      <c r="I159" s="504"/>
      <c r="J159" s="505">
        <f t="shared" si="6"/>
        <v>0</v>
      </c>
      <c r="K159" s="471"/>
    </row>
    <row r="160" spans="1:11">
      <c r="A160" s="463"/>
      <c r="B160" s="499"/>
      <c r="C160" s="500"/>
      <c r="D160" s="501"/>
      <c r="E160" s="502"/>
      <c r="F160" s="502"/>
      <c r="G160" s="502"/>
      <c r="H160" s="503"/>
      <c r="I160" s="504"/>
      <c r="J160" s="505">
        <f t="shared" si="6"/>
        <v>0</v>
      </c>
      <c r="K160" s="471"/>
    </row>
    <row r="161" spans="1:11">
      <c r="A161" s="463"/>
      <c r="B161" s="506"/>
      <c r="C161" s="507"/>
      <c r="D161" s="508"/>
      <c r="E161" s="509"/>
      <c r="F161" s="509"/>
      <c r="G161" s="509"/>
      <c r="H161" s="510"/>
      <c r="I161" s="511"/>
      <c r="J161" s="505">
        <f t="shared" si="6"/>
        <v>0</v>
      </c>
      <c r="K161" s="471"/>
    </row>
    <row r="162" spans="1:11">
      <c r="A162" s="463"/>
      <c r="B162" s="512" t="s">
        <v>946</v>
      </c>
      <c r="C162" s="482"/>
      <c r="D162" s="482"/>
      <c r="E162" s="482"/>
      <c r="F162" s="482"/>
      <c r="G162" s="482"/>
      <c r="H162" s="482"/>
      <c r="I162" s="513" t="s">
        <v>175</v>
      </c>
      <c r="J162" s="514" t="e">
        <f>SUM(J155:J161)</f>
        <v>#N/A</v>
      </c>
      <c r="K162" s="471"/>
    </row>
    <row r="163" spans="1:11">
      <c r="A163" s="463"/>
      <c r="B163" s="515"/>
      <c r="C163" s="515"/>
      <c r="D163" s="515"/>
      <c r="E163" s="515"/>
      <c r="F163" s="515"/>
      <c r="G163" s="515"/>
      <c r="H163" s="515"/>
      <c r="I163" s="516"/>
      <c r="J163" s="517"/>
      <c r="K163" s="471"/>
    </row>
    <row r="164" spans="1:11" ht="20.399999999999999">
      <c r="A164" s="463"/>
      <c r="B164" s="1490" t="s">
        <v>947</v>
      </c>
      <c r="C164" s="1491"/>
      <c r="D164" s="1491"/>
      <c r="E164" s="1492"/>
      <c r="F164" s="518" t="s">
        <v>688</v>
      </c>
      <c r="G164" s="519"/>
      <c r="H164" s="520" t="s">
        <v>427</v>
      </c>
      <c r="I164" s="521" t="s">
        <v>948</v>
      </c>
      <c r="J164" s="522" t="s">
        <v>949</v>
      </c>
      <c r="K164" s="471"/>
    </row>
    <row r="165" spans="1:11">
      <c r="A165" s="463"/>
      <c r="B165" s="523"/>
      <c r="C165" s="524"/>
      <c r="D165" s="525"/>
      <c r="E165" s="526"/>
      <c r="F165" s="527"/>
      <c r="G165" s="528"/>
      <c r="H165" s="529"/>
      <c r="I165" s="497"/>
      <c r="J165" s="498"/>
      <c r="K165" s="471"/>
    </row>
    <row r="166" spans="1:11">
      <c r="A166" s="463"/>
      <c r="B166" s="530" t="s">
        <v>970</v>
      </c>
      <c r="C166" s="531"/>
      <c r="D166" s="472"/>
      <c r="E166" s="500"/>
      <c r="F166" s="501"/>
      <c r="G166" s="532"/>
      <c r="H166" s="533">
        <f>E155</f>
        <v>1</v>
      </c>
      <c r="I166" s="534">
        <f>VLOOKUP(B166,'MÃO DE OBRA'!$A:$E,5,FALSE)/220</f>
        <v>35.988199999999999</v>
      </c>
      <c r="J166" s="505">
        <f t="shared" ref="J166:J172" si="7">H166*I166</f>
        <v>35.988199999999999</v>
      </c>
      <c r="K166" s="471"/>
    </row>
    <row r="167" spans="1:11">
      <c r="A167" s="463"/>
      <c r="B167" s="530" t="s">
        <v>1035</v>
      </c>
      <c r="C167" s="531"/>
      <c r="D167" s="472"/>
      <c r="E167" s="500"/>
      <c r="F167" s="501"/>
      <c r="G167" s="532"/>
      <c r="H167" s="533">
        <f>E156</f>
        <v>1</v>
      </c>
      <c r="I167" s="534">
        <f>VLOOKUP(B167,'MÃO DE OBRA'!$A:$E,5,FALSE)/220</f>
        <v>21.588799999999999</v>
      </c>
      <c r="J167" s="505">
        <f t="shared" si="7"/>
        <v>21.588799999999999</v>
      </c>
      <c r="K167" s="471"/>
    </row>
    <row r="168" spans="1:11">
      <c r="A168" s="463"/>
      <c r="B168" s="530" t="s">
        <v>969</v>
      </c>
      <c r="C168" s="531"/>
      <c r="D168" s="472"/>
      <c r="E168" s="500"/>
      <c r="F168" s="501"/>
      <c r="G168" s="532"/>
      <c r="H168" s="533">
        <f>E157</f>
        <v>2</v>
      </c>
      <c r="I168" s="534">
        <f>VLOOKUP(B168,'MÃO DE OBRA'!$A:$E,5,FALSE)/220</f>
        <v>21.588799999999999</v>
      </c>
      <c r="J168" s="505">
        <f t="shared" si="7"/>
        <v>43.177599999999998</v>
      </c>
      <c r="K168" s="471"/>
    </row>
    <row r="169" spans="1:11">
      <c r="A169" s="463"/>
      <c r="B169" s="530" t="s">
        <v>977</v>
      </c>
      <c r="C169" s="531"/>
      <c r="D169" s="472"/>
      <c r="E169" s="500"/>
      <c r="F169" s="501"/>
      <c r="G169" s="532"/>
      <c r="H169" s="533">
        <f>E158</f>
        <v>2</v>
      </c>
      <c r="I169" s="534">
        <f>VLOOKUP(B169,'MÃO DE OBRA'!$A:$E,5,FALSE)/220</f>
        <v>27.68359090909091</v>
      </c>
      <c r="J169" s="505">
        <f t="shared" si="7"/>
        <v>55.36718181818182</v>
      </c>
      <c r="K169" s="471"/>
    </row>
    <row r="170" spans="1:11">
      <c r="A170" s="463"/>
      <c r="B170" s="530" t="s">
        <v>472</v>
      </c>
      <c r="C170" s="531"/>
      <c r="D170" s="472"/>
      <c r="E170" s="500"/>
      <c r="F170" s="501"/>
      <c r="G170" s="532"/>
      <c r="H170" s="533">
        <v>2</v>
      </c>
      <c r="I170" s="534">
        <f>VLOOKUP(B170,'MÃO DE OBRA'!$A:$E,5,FALSE)/220</f>
        <v>18.377072727272729</v>
      </c>
      <c r="J170" s="505">
        <f t="shared" si="7"/>
        <v>36.754145454545458</v>
      </c>
      <c r="K170" s="471"/>
    </row>
    <row r="171" spans="1:11">
      <c r="A171" s="463"/>
      <c r="B171" s="530" t="s">
        <v>534</v>
      </c>
      <c r="C171" s="531"/>
      <c r="D171" s="472"/>
      <c r="E171" s="500"/>
      <c r="F171" s="501"/>
      <c r="G171" s="532"/>
      <c r="H171" s="533">
        <v>1</v>
      </c>
      <c r="I171" s="534">
        <f>VLOOKUP(B171,'MÃO DE OBRA'!$A:$E,5,FALSE)/220</f>
        <v>21.588799999999999</v>
      </c>
      <c r="J171" s="505">
        <f t="shared" si="7"/>
        <v>21.588799999999999</v>
      </c>
      <c r="K171" s="471"/>
    </row>
    <row r="172" spans="1:11">
      <c r="A172" s="463"/>
      <c r="B172" s="530" t="s">
        <v>479</v>
      </c>
      <c r="C172" s="531"/>
      <c r="D172" s="472"/>
      <c r="E172" s="500"/>
      <c r="F172" s="501"/>
      <c r="G172" s="532"/>
      <c r="H172" s="533"/>
      <c r="I172" s="534">
        <f>VLOOKUP(B172,'MÃO DE OBRA'!$A:$E,5,FALSE)/220</f>
        <v>25.789327272727274</v>
      </c>
      <c r="J172" s="505">
        <f t="shared" si="7"/>
        <v>0</v>
      </c>
      <c r="K172" s="471"/>
    </row>
    <row r="173" spans="1:11">
      <c r="A173" s="463"/>
      <c r="B173" s="530"/>
      <c r="C173" s="531"/>
      <c r="D173" s="472"/>
      <c r="E173" s="500"/>
      <c r="F173" s="501"/>
      <c r="G173" s="532"/>
      <c r="H173" s="533"/>
      <c r="I173" s="504"/>
      <c r="J173" s="505"/>
      <c r="K173" s="471"/>
    </row>
    <row r="174" spans="1:11">
      <c r="A174" s="463"/>
      <c r="B174" s="530"/>
      <c r="C174" s="531"/>
      <c r="D174" s="472"/>
      <c r="E174" s="500"/>
      <c r="F174" s="501"/>
      <c r="G174" s="532"/>
      <c r="H174" s="533"/>
      <c r="I174" s="504"/>
      <c r="J174" s="505">
        <f>H174*I174</f>
        <v>0</v>
      </c>
      <c r="K174" s="471"/>
    </row>
    <row r="175" spans="1:11">
      <c r="A175" s="463"/>
      <c r="B175" s="512" t="s">
        <v>946</v>
      </c>
      <c r="C175" s="515"/>
      <c r="D175" s="515"/>
      <c r="E175" s="515"/>
      <c r="F175" s="515"/>
      <c r="G175" s="515"/>
      <c r="H175" s="515"/>
      <c r="I175" s="535" t="s">
        <v>175</v>
      </c>
      <c r="J175" s="514">
        <f>SUM(J165:J174)</f>
        <v>214.46472727272729</v>
      </c>
      <c r="K175" s="471"/>
    </row>
    <row r="176" spans="1:11">
      <c r="A176" s="463"/>
      <c r="B176" s="536"/>
      <c r="C176" s="536"/>
      <c r="D176" s="536"/>
      <c r="E176" s="536"/>
      <c r="F176" s="536"/>
      <c r="G176" s="536"/>
      <c r="H176" s="536"/>
      <c r="I176" s="537"/>
      <c r="J176" s="536"/>
      <c r="K176" s="471"/>
    </row>
    <row r="177" spans="1:12">
      <c r="A177" s="463"/>
      <c r="B177" s="538" t="s">
        <v>952</v>
      </c>
      <c r="C177" s="539"/>
      <c r="D177" s="536"/>
      <c r="E177" s="540">
        <f>PRODUÇÕES!D27*0.878</f>
        <v>48.29</v>
      </c>
      <c r="F177" s="541" t="s">
        <v>973</v>
      </c>
      <c r="G177" s="519"/>
      <c r="H177" s="519"/>
      <c r="I177" s="542" t="s">
        <v>953</v>
      </c>
      <c r="J177" s="514" t="e">
        <f>J162+J175</f>
        <v>#N/A</v>
      </c>
      <c r="K177" s="471"/>
    </row>
    <row r="178" spans="1:12">
      <c r="A178" s="463"/>
      <c r="B178" s="543"/>
      <c r="C178" s="536"/>
      <c r="D178" s="536"/>
      <c r="E178" s="544"/>
      <c r="F178" s="545"/>
      <c r="G178" s="545"/>
      <c r="H178" s="545"/>
      <c r="I178" s="537"/>
      <c r="J178" s="536"/>
      <c r="K178" s="471"/>
    </row>
    <row r="179" spans="1:12" ht="20.399999999999999">
      <c r="A179" s="463"/>
      <c r="B179" s="1493" t="s">
        <v>362</v>
      </c>
      <c r="C179" s="1494"/>
      <c r="D179" s="1494"/>
      <c r="E179" s="1495"/>
      <c r="F179" s="546" t="s">
        <v>688</v>
      </c>
      <c r="G179" s="547" t="s">
        <v>371</v>
      </c>
      <c r="H179" s="520" t="s">
        <v>942</v>
      </c>
      <c r="I179" s="548" t="s">
        <v>361</v>
      </c>
      <c r="J179" s="549" t="s">
        <v>363</v>
      </c>
      <c r="K179" s="471"/>
    </row>
    <row r="180" spans="1:12">
      <c r="A180" s="463"/>
      <c r="B180" s="550" t="str">
        <f>B155</f>
        <v>Motoniveladora 140K</v>
      </c>
      <c r="C180" s="551"/>
      <c r="D180" s="551"/>
      <c r="E180" s="552"/>
      <c r="F180" s="553" t="str">
        <f>VLOOKUP(B180,EQUIPAMENTOS!$A:$N,12,FALSE)</f>
        <v>Diesel S10</v>
      </c>
      <c r="G180" s="554" t="s">
        <v>415</v>
      </c>
      <c r="H180" s="560">
        <f>VLOOKUP(B180,EQUIPAMENTOS!$A:$N,13,FALSE)</f>
        <v>0</v>
      </c>
      <c r="I180" s="556">
        <f>VLOOKUP(B180,EQUIPAMENTOS!$A:$N,14,FALSE)</f>
        <v>28</v>
      </c>
      <c r="J180" s="498">
        <f t="shared" ref="J180:J185" si="8">H180*I180*E155*F155</f>
        <v>0</v>
      </c>
      <c r="K180" s="471"/>
    </row>
    <row r="181" spans="1:12">
      <c r="A181" s="463"/>
      <c r="B181" s="550" t="str">
        <f>B156</f>
        <v>Trator de pneus COM GRADE</v>
      </c>
      <c r="C181" s="531"/>
      <c r="D181" s="531"/>
      <c r="E181" s="500"/>
      <c r="F181" s="553" t="str">
        <f>VLOOKUP(B181,EQUIPAMENTOS!$A:$N,12,FALSE)</f>
        <v>Diesel S10</v>
      </c>
      <c r="G181" s="554" t="s">
        <v>415</v>
      </c>
      <c r="H181" s="560">
        <f>VLOOKUP(B181,EQUIPAMENTOS!$A:$N,13,FALSE)</f>
        <v>0</v>
      </c>
      <c r="I181" s="556">
        <f>VLOOKUP(B181,EQUIPAMENTOS!$A:$N,14,FALSE)</f>
        <v>18</v>
      </c>
      <c r="J181" s="505">
        <f t="shared" si="8"/>
        <v>0</v>
      </c>
      <c r="K181" s="471"/>
    </row>
    <row r="182" spans="1:12">
      <c r="A182" s="463"/>
      <c r="B182" s="550" t="str">
        <f>B157</f>
        <v>Rolo compactador pé de carneiro 10T</v>
      </c>
      <c r="C182" s="531"/>
      <c r="D182" s="531"/>
      <c r="E182" s="500"/>
      <c r="F182" s="553" t="str">
        <f>VLOOKUP(B182,EQUIPAMENTOS!$A:$N,12,FALSE)</f>
        <v>Diesel S10</v>
      </c>
      <c r="G182" s="554" t="s">
        <v>415</v>
      </c>
      <c r="H182" s="560">
        <f>VLOOKUP(B182,EQUIPAMENTOS!$A:$N,13,FALSE)</f>
        <v>0</v>
      </c>
      <c r="I182" s="556">
        <f>VLOOKUP(B182,EQUIPAMENTOS!$A:$N,14,FALSE)</f>
        <v>16</v>
      </c>
      <c r="J182" s="505">
        <f t="shared" si="8"/>
        <v>0</v>
      </c>
      <c r="K182" s="471"/>
    </row>
    <row r="183" spans="1:12">
      <c r="A183" s="463"/>
      <c r="B183" s="550" t="str">
        <f>B158</f>
        <v>Caminhão Pipa 15.000 l</v>
      </c>
      <c r="C183" s="531"/>
      <c r="D183" s="531"/>
      <c r="E183" s="500"/>
      <c r="F183" s="553" t="e">
        <f>VLOOKUP(B183,EQUIPAMENTOS!$A:$N,12,FALSE)</f>
        <v>#N/A</v>
      </c>
      <c r="G183" s="554" t="s">
        <v>415</v>
      </c>
      <c r="H183" s="560" t="e">
        <f>VLOOKUP(B183,EQUIPAMENTOS!$A:$N,13,FALSE)</f>
        <v>#N/A</v>
      </c>
      <c r="I183" s="556" t="e">
        <f>VLOOKUP(B183,EQUIPAMENTOS!$A:$N,14,FALSE)</f>
        <v>#N/A</v>
      </c>
      <c r="J183" s="505" t="e">
        <f t="shared" si="8"/>
        <v>#N/A</v>
      </c>
      <c r="K183" s="471"/>
    </row>
    <row r="184" spans="1:12">
      <c r="A184" s="463"/>
      <c r="B184" s="530"/>
      <c r="C184" s="531"/>
      <c r="D184" s="531"/>
      <c r="E184" s="500"/>
      <c r="F184" s="501"/>
      <c r="G184" s="559"/>
      <c r="H184" s="560"/>
      <c r="I184" s="556"/>
      <c r="J184" s="505">
        <f t="shared" si="8"/>
        <v>0</v>
      </c>
      <c r="K184" s="471"/>
    </row>
    <row r="185" spans="1:12">
      <c r="A185" s="463"/>
      <c r="B185" s="530"/>
      <c r="C185" s="539"/>
      <c r="D185" s="539"/>
      <c r="E185" s="507"/>
      <c r="F185" s="501"/>
      <c r="G185" s="481"/>
      <c r="H185" s="560"/>
      <c r="I185" s="561"/>
      <c r="J185" s="505">
        <f t="shared" si="8"/>
        <v>0</v>
      </c>
      <c r="K185" s="471"/>
    </row>
    <row r="186" spans="1:12">
      <c r="A186" s="463"/>
      <c r="B186" s="563" t="s">
        <v>946</v>
      </c>
      <c r="C186" s="539"/>
      <c r="D186" s="539"/>
      <c r="E186" s="539"/>
      <c r="F186" s="536"/>
      <c r="G186" s="539"/>
      <c r="H186" s="564"/>
      <c r="I186" s="565" t="s">
        <v>175</v>
      </c>
      <c r="J186" s="514" t="e">
        <f>SUM(J180:J185)</f>
        <v>#N/A</v>
      </c>
      <c r="K186" s="471"/>
      <c r="L186" s="6" t="e">
        <f>J186/E177</f>
        <v>#N/A</v>
      </c>
    </row>
    <row r="187" spans="1:12">
      <c r="A187" s="463"/>
      <c r="B187" s="566"/>
      <c r="C187" s="539"/>
      <c r="D187" s="539"/>
      <c r="E187" s="567"/>
      <c r="F187" s="568"/>
      <c r="G187" s="519"/>
      <c r="H187" s="519"/>
      <c r="I187" s="542"/>
      <c r="J187" s="567"/>
      <c r="K187" s="471"/>
    </row>
    <row r="188" spans="1:12" ht="20.399999999999999">
      <c r="A188" s="463"/>
      <c r="B188" s="1493" t="s">
        <v>955</v>
      </c>
      <c r="C188" s="1494"/>
      <c r="D188" s="1494"/>
      <c r="E188" s="1494"/>
      <c r="F188" s="1495"/>
      <c r="G188" s="569" t="s">
        <v>372</v>
      </c>
      <c r="H188" s="519" t="s">
        <v>956</v>
      </c>
      <c r="I188" s="570" t="s">
        <v>942</v>
      </c>
      <c r="J188" s="522" t="s">
        <v>363</v>
      </c>
      <c r="K188" s="471"/>
    </row>
    <row r="189" spans="1:12">
      <c r="A189" s="463"/>
      <c r="B189" s="571"/>
      <c r="C189" s="572"/>
      <c r="D189" s="573"/>
      <c r="E189" s="573"/>
      <c r="F189" s="574"/>
      <c r="G189" s="502"/>
      <c r="H189" s="502"/>
      <c r="I189" s="575"/>
      <c r="J189" s="505"/>
      <c r="K189" s="471"/>
    </row>
    <row r="190" spans="1:12">
      <c r="A190" s="463"/>
      <c r="B190" s="576"/>
      <c r="C190" s="577"/>
      <c r="D190" s="578"/>
      <c r="E190" s="578"/>
      <c r="F190" s="579"/>
      <c r="G190" s="502"/>
      <c r="H190" s="502"/>
      <c r="I190" s="575"/>
      <c r="J190" s="505"/>
      <c r="K190" s="471"/>
    </row>
    <row r="191" spans="1:12">
      <c r="A191" s="463"/>
      <c r="B191" s="1496" t="s">
        <v>175</v>
      </c>
      <c r="C191" s="1496"/>
      <c r="D191" s="1496"/>
      <c r="E191" s="1496"/>
      <c r="F191" s="1496"/>
      <c r="G191" s="1496"/>
      <c r="H191" s="1496"/>
      <c r="I191" s="1496"/>
      <c r="J191" s="514">
        <f>SUM(J189:J190)</f>
        <v>0</v>
      </c>
      <c r="K191" s="471"/>
    </row>
    <row r="192" spans="1:12">
      <c r="A192" s="463"/>
      <c r="B192" s="580"/>
      <c r="C192" s="524"/>
      <c r="D192" s="524"/>
      <c r="E192" s="581"/>
      <c r="F192" s="582"/>
      <c r="G192" s="583"/>
      <c r="H192" s="583"/>
      <c r="I192" s="584"/>
      <c r="J192" s="585"/>
      <c r="K192" s="471"/>
    </row>
    <row r="193" spans="1:11">
      <c r="A193" s="463"/>
      <c r="B193" s="586" t="s">
        <v>957</v>
      </c>
      <c r="C193" s="586"/>
      <c r="D193" s="563"/>
      <c r="E193" s="536"/>
      <c r="F193" s="536"/>
      <c r="G193" s="536"/>
      <c r="H193" s="587"/>
      <c r="I193" s="588"/>
      <c r="J193" s="514" t="e">
        <f>(J177+J186+J191)/E177</f>
        <v>#N/A</v>
      </c>
      <c r="K193" s="471"/>
    </row>
    <row r="194" spans="1:11">
      <c r="A194" s="463"/>
      <c r="B194" s="566"/>
      <c r="C194" s="539"/>
      <c r="D194" s="539"/>
      <c r="E194" s="567"/>
      <c r="F194" s="568"/>
      <c r="G194" s="519"/>
      <c r="H194" s="519"/>
      <c r="I194" s="542"/>
      <c r="J194" s="589"/>
      <c r="K194" s="471"/>
    </row>
    <row r="195" spans="1:11" ht="20.399999999999999">
      <c r="A195" s="463"/>
      <c r="B195" s="1493" t="s">
        <v>958</v>
      </c>
      <c r="C195" s="1494"/>
      <c r="D195" s="1494"/>
      <c r="E195" s="1494"/>
      <c r="F195" s="1495"/>
      <c r="G195" s="569" t="s">
        <v>372</v>
      </c>
      <c r="H195" s="519" t="s">
        <v>956</v>
      </c>
      <c r="I195" s="570" t="s">
        <v>942</v>
      </c>
      <c r="J195" s="522" t="s">
        <v>363</v>
      </c>
      <c r="K195" s="471"/>
    </row>
    <row r="196" spans="1:11">
      <c r="A196" s="463"/>
      <c r="B196" s="576" t="s">
        <v>1038</v>
      </c>
      <c r="C196" s="577"/>
      <c r="D196" s="578"/>
      <c r="E196" s="578"/>
      <c r="F196" s="579"/>
      <c r="G196" s="502">
        <v>1.1000000000000001</v>
      </c>
      <c r="H196" s="502" t="s">
        <v>208</v>
      </c>
      <c r="I196" s="575">
        <f>(78)*2.24</f>
        <v>174.72000000000003</v>
      </c>
      <c r="J196" s="505">
        <f>G196*I196</f>
        <v>192.19200000000004</v>
      </c>
      <c r="K196" s="471"/>
    </row>
    <row r="197" spans="1:11">
      <c r="A197" s="463"/>
      <c r="B197" s="576"/>
      <c r="C197" s="577"/>
      <c r="D197" s="578"/>
      <c r="E197" s="578"/>
      <c r="F197" s="579"/>
      <c r="G197" s="502"/>
      <c r="H197" s="502"/>
      <c r="I197" s="575"/>
      <c r="J197" s="505">
        <f>G197*I197</f>
        <v>0</v>
      </c>
      <c r="K197" s="471"/>
    </row>
    <row r="198" spans="1:11">
      <c r="A198" s="463"/>
      <c r="B198" s="576"/>
      <c r="C198" s="577"/>
      <c r="D198" s="578"/>
      <c r="E198" s="578"/>
      <c r="F198" s="579"/>
      <c r="G198" s="502"/>
      <c r="H198" s="502"/>
      <c r="I198" s="575"/>
      <c r="J198" s="505">
        <f>G198*I198</f>
        <v>0</v>
      </c>
      <c r="K198" s="471"/>
    </row>
    <row r="199" spans="1:11">
      <c r="A199" s="463"/>
      <c r="B199" s="590"/>
      <c r="C199" s="591"/>
      <c r="D199" s="592"/>
      <c r="E199" s="592"/>
      <c r="F199" s="593"/>
      <c r="G199" s="502"/>
      <c r="H199" s="502"/>
      <c r="I199" s="575"/>
      <c r="J199" s="505">
        <f>G199*I199</f>
        <v>0</v>
      </c>
      <c r="K199" s="471"/>
    </row>
    <row r="200" spans="1:11">
      <c r="A200" s="463"/>
      <c r="B200" s="594"/>
      <c r="C200" s="536"/>
      <c r="D200" s="536"/>
      <c r="E200" s="595"/>
      <c r="F200" s="596"/>
      <c r="G200" s="545"/>
      <c r="H200" s="545"/>
      <c r="I200" s="537" t="s">
        <v>175</v>
      </c>
      <c r="J200" s="514">
        <f>SUM(J196:J199)</f>
        <v>192.19200000000004</v>
      </c>
      <c r="K200" s="471"/>
    </row>
    <row r="201" spans="1:11">
      <c r="A201" s="463"/>
      <c r="B201" s="597"/>
      <c r="C201" s="536"/>
      <c r="D201" s="536"/>
      <c r="E201" s="595"/>
      <c r="F201" s="596"/>
      <c r="G201" s="545"/>
      <c r="H201" s="545"/>
      <c r="I201" s="537"/>
      <c r="J201" s="595"/>
      <c r="K201" s="471"/>
    </row>
    <row r="202" spans="1:11" ht="20.399999999999999">
      <c r="A202" s="463"/>
      <c r="B202" s="598" t="s">
        <v>959</v>
      </c>
      <c r="C202" s="598"/>
      <c r="D202" s="598"/>
      <c r="E202" s="599"/>
      <c r="F202" s="600" t="s">
        <v>372</v>
      </c>
      <c r="G202" s="569" t="s">
        <v>960</v>
      </c>
      <c r="H202" s="519" t="s">
        <v>942</v>
      </c>
      <c r="I202" s="570" t="s">
        <v>361</v>
      </c>
      <c r="J202" s="522" t="s">
        <v>363</v>
      </c>
      <c r="K202" s="471"/>
    </row>
    <row r="203" spans="1:11">
      <c r="A203" s="463"/>
      <c r="B203" s="576" t="s">
        <v>946</v>
      </c>
      <c r="C203" s="577"/>
      <c r="D203" s="578"/>
      <c r="E203" s="579" t="s">
        <v>946</v>
      </c>
      <c r="F203" s="502">
        <v>0</v>
      </c>
      <c r="G203" s="502">
        <v>0</v>
      </c>
      <c r="H203" s="502">
        <v>0</v>
      </c>
      <c r="I203" s="575">
        <v>0</v>
      </c>
      <c r="J203" s="505">
        <f>I203*H203*G203*F203</f>
        <v>0</v>
      </c>
      <c r="K203" s="471"/>
    </row>
    <row r="204" spans="1:11">
      <c r="A204" s="463"/>
      <c r="B204" s="590" t="s">
        <v>946</v>
      </c>
      <c r="C204" s="591"/>
      <c r="D204" s="592"/>
      <c r="E204" s="593" t="s">
        <v>946</v>
      </c>
      <c r="F204" s="509">
        <v>0</v>
      </c>
      <c r="G204" s="509">
        <v>0</v>
      </c>
      <c r="H204" s="509">
        <v>0</v>
      </c>
      <c r="I204" s="601">
        <v>0</v>
      </c>
      <c r="J204" s="505">
        <f>I204*H204*G204*F204</f>
        <v>0</v>
      </c>
      <c r="K204" s="471"/>
    </row>
    <row r="205" spans="1:11">
      <c r="A205" s="463"/>
      <c r="B205" s="594"/>
      <c r="C205" s="536"/>
      <c r="D205" s="536"/>
      <c r="E205" s="595"/>
      <c r="F205" s="596"/>
      <c r="G205" s="545"/>
      <c r="H205" s="545"/>
      <c r="I205" s="537" t="s">
        <v>175</v>
      </c>
      <c r="J205" s="514">
        <f>SUM(J203:J204)</f>
        <v>0</v>
      </c>
      <c r="K205" s="471"/>
    </row>
    <row r="206" spans="1:11">
      <c r="A206" s="463"/>
      <c r="B206" s="536"/>
      <c r="C206" s="536"/>
      <c r="D206" s="536"/>
      <c r="E206" s="536"/>
      <c r="F206" s="536"/>
      <c r="G206" s="536"/>
      <c r="H206" s="536"/>
      <c r="I206" s="537"/>
      <c r="J206" s="536"/>
      <c r="K206" s="471"/>
    </row>
    <row r="207" spans="1:11">
      <c r="A207" s="463"/>
      <c r="B207" s="1481" t="s">
        <v>961</v>
      </c>
      <c r="C207" s="1482"/>
      <c r="D207" s="1482"/>
      <c r="E207" s="1482"/>
      <c r="F207" s="1482"/>
      <c r="G207" s="1482"/>
      <c r="H207" s="1482"/>
      <c r="I207" s="1483"/>
      <c r="J207" s="586" t="e">
        <f>J205+J200+J193</f>
        <v>#N/A</v>
      </c>
      <c r="K207" s="471"/>
    </row>
    <row r="208" spans="1:11">
      <c r="A208" s="463"/>
      <c r="B208" s="536"/>
      <c r="C208" s="536"/>
      <c r="D208" s="536"/>
      <c r="E208" s="536"/>
      <c r="F208" s="536"/>
      <c r="G208" s="536"/>
      <c r="H208" s="536"/>
      <c r="I208" s="537"/>
      <c r="J208" s="536"/>
      <c r="K208" s="471"/>
    </row>
    <row r="209" spans="1:11">
      <c r="A209" s="463"/>
      <c r="B209" s="1481" t="s">
        <v>962</v>
      </c>
      <c r="C209" s="1482"/>
      <c r="D209" s="1482"/>
      <c r="E209" s="1482"/>
      <c r="F209" s="1482"/>
      <c r="G209" s="1482"/>
      <c r="H209" s="1482"/>
      <c r="I209" s="1483"/>
      <c r="J209" s="514" t="e">
        <f>J207*0</f>
        <v>#N/A</v>
      </c>
      <c r="K209" s="471"/>
    </row>
    <row r="210" spans="1:11">
      <c r="A210" s="463"/>
      <c r="B210" s="536"/>
      <c r="C210" s="536"/>
      <c r="D210" s="536"/>
      <c r="E210" s="536"/>
      <c r="F210" s="536"/>
      <c r="G210" s="536"/>
      <c r="H210" s="536"/>
      <c r="I210" s="537"/>
      <c r="J210" s="536"/>
      <c r="K210" s="471"/>
    </row>
    <row r="211" spans="1:11">
      <c r="A211" s="463"/>
      <c r="B211" s="1481" t="s">
        <v>963</v>
      </c>
      <c r="C211" s="1482"/>
      <c r="D211" s="1482"/>
      <c r="E211" s="1482"/>
      <c r="F211" s="1482"/>
      <c r="G211" s="1482"/>
      <c r="H211" s="1482"/>
      <c r="I211" s="1483"/>
      <c r="J211" s="586" t="e">
        <f>J207+J209</f>
        <v>#N/A</v>
      </c>
      <c r="K211" s="471"/>
    </row>
    <row r="212" spans="1:11">
      <c r="A212" s="463"/>
      <c r="B212" s="524"/>
      <c r="C212" s="524"/>
      <c r="D212" s="524"/>
      <c r="E212" s="524"/>
      <c r="F212" s="524"/>
      <c r="G212" s="524"/>
      <c r="H212" s="524"/>
      <c r="I212" s="584"/>
      <c r="J212" s="524"/>
      <c r="K212" s="471"/>
    </row>
    <row r="213" spans="1:11">
      <c r="A213" s="463"/>
      <c r="B213" s="602"/>
      <c r="C213" s="572"/>
      <c r="D213" s="572"/>
      <c r="E213" s="572"/>
      <c r="F213" s="572"/>
      <c r="G213" s="572"/>
      <c r="H213" s="572"/>
      <c r="I213" s="572"/>
      <c r="J213" s="603"/>
      <c r="K213" s="471"/>
    </row>
    <row r="214" spans="1:11">
      <c r="A214" s="463"/>
      <c r="B214" s="604"/>
      <c r="C214" s="605"/>
      <c r="D214" s="606"/>
      <c r="E214" s="606"/>
      <c r="F214" s="607" t="s">
        <v>946</v>
      </c>
      <c r="G214" s="608" t="s">
        <v>946</v>
      </c>
      <c r="H214" s="605"/>
      <c r="I214" s="605"/>
      <c r="J214" s="609"/>
      <c r="K214" s="471"/>
    </row>
    <row r="215" spans="1:11">
      <c r="A215" s="463"/>
      <c r="B215" s="472"/>
      <c r="C215" s="472"/>
      <c r="D215" s="472"/>
      <c r="E215" s="472"/>
      <c r="F215" s="472"/>
      <c r="G215" s="472"/>
      <c r="H215" s="472"/>
      <c r="I215" s="472"/>
      <c r="J215" s="472"/>
      <c r="K215" s="471"/>
    </row>
    <row r="216" spans="1:11">
      <c r="A216" s="463"/>
      <c r="B216" s="610">
        <f>PLANEJAMENTO!E123</f>
        <v>0</v>
      </c>
      <c r="C216" s="611"/>
      <c r="D216" s="611"/>
      <c r="E216" s="611"/>
      <c r="F216" s="612"/>
      <c r="G216" s="613" t="s">
        <v>363</v>
      </c>
      <c r="H216" s="515"/>
      <c r="I216" s="515"/>
      <c r="J216" s="518"/>
      <c r="K216" s="471"/>
    </row>
    <row r="217" spans="1:11">
      <c r="A217" s="463"/>
      <c r="B217" s="614">
        <f>PLANEJAMENTO!E124</f>
        <v>0</v>
      </c>
      <c r="C217" s="615"/>
      <c r="D217" s="615"/>
      <c r="E217" s="615"/>
      <c r="F217" s="616"/>
      <c r="G217" s="1484" t="s">
        <v>964</v>
      </c>
      <c r="H217" s="1485"/>
      <c r="I217" s="1485"/>
      <c r="J217" s="1486"/>
      <c r="K217" s="471"/>
    </row>
    <row r="218" spans="1:11">
      <c r="A218" s="463"/>
      <c r="B218" s="617"/>
      <c r="C218" s="618"/>
      <c r="D218" s="618"/>
      <c r="E218" s="618"/>
      <c r="F218" s="619"/>
      <c r="G218" s="620"/>
      <c r="H218" s="1487"/>
      <c r="I218" s="1488"/>
      <c r="J218" s="1489"/>
      <c r="K218" s="471"/>
    </row>
    <row r="219" spans="1:11" ht="15" thickBot="1">
      <c r="A219" s="621"/>
      <c r="B219" s="622"/>
      <c r="C219" s="622"/>
      <c r="D219" s="622"/>
      <c r="E219" s="622"/>
      <c r="F219" s="622"/>
      <c r="G219" s="622"/>
      <c r="H219" s="622"/>
      <c r="I219" s="622"/>
      <c r="J219" s="622"/>
      <c r="K219" s="623"/>
    </row>
    <row r="220" spans="1:11">
      <c r="A220" s="460"/>
      <c r="B220" s="461"/>
      <c r="C220" s="461"/>
      <c r="D220" s="461"/>
      <c r="E220" s="461"/>
      <c r="F220" s="461"/>
      <c r="G220" s="461"/>
      <c r="H220" s="461"/>
      <c r="I220" s="461"/>
      <c r="J220" s="461"/>
      <c r="K220" s="462"/>
    </row>
    <row r="221" spans="1:11">
      <c r="A221" s="463"/>
      <c r="B221" s="464" t="s">
        <v>178</v>
      </c>
      <c r="C221" s="465"/>
      <c r="D221" s="466" t="s">
        <v>936</v>
      </c>
      <c r="E221" s="467"/>
      <c r="F221" s="468"/>
      <c r="G221" s="468"/>
      <c r="H221" s="469"/>
      <c r="I221" s="469"/>
      <c r="J221" s="470"/>
      <c r="K221" s="471"/>
    </row>
    <row r="222" spans="1:11">
      <c r="A222" s="463"/>
      <c r="B222" s="472"/>
      <c r="C222" s="472"/>
      <c r="D222" s="472"/>
      <c r="E222" s="472"/>
      <c r="F222" s="472"/>
      <c r="G222" s="472"/>
      <c r="H222" s="472"/>
      <c r="I222" s="472"/>
      <c r="J222" s="472"/>
      <c r="K222" s="471"/>
    </row>
    <row r="223" spans="1:11">
      <c r="A223" s="463"/>
      <c r="B223" s="473" t="s">
        <v>688</v>
      </c>
      <c r="C223" s="474" t="s">
        <v>937</v>
      </c>
      <c r="D223" s="1497" t="s">
        <v>250</v>
      </c>
      <c r="E223" s="1498"/>
      <c r="F223" s="1498"/>
      <c r="G223" s="1498"/>
      <c r="H223" s="1498"/>
      <c r="I223" s="1499"/>
      <c r="J223" s="475" t="s">
        <v>267</v>
      </c>
      <c r="K223" s="471"/>
    </row>
    <row r="224" spans="1:11" ht="20.399999999999999">
      <c r="A224" s="463"/>
      <c r="B224" s="476" t="s">
        <v>3</v>
      </c>
      <c r="C224" s="477">
        <f ca="1">TODAY()</f>
        <v>46140</v>
      </c>
      <c r="D224" s="681" t="s">
        <v>1205</v>
      </c>
      <c r="E224" s="479"/>
      <c r="F224" s="479"/>
      <c r="G224" s="479"/>
      <c r="H224" s="479"/>
      <c r="I224" s="480"/>
      <c r="J224" s="481" t="str">
        <f>F250</f>
        <v>M3</v>
      </c>
      <c r="K224" s="471"/>
    </row>
    <row r="225" spans="1:11">
      <c r="A225" s="463"/>
      <c r="B225" s="482"/>
      <c r="C225" s="482"/>
      <c r="D225" s="482"/>
      <c r="E225" s="482"/>
      <c r="F225" s="482"/>
      <c r="G225" s="482"/>
      <c r="H225" s="482"/>
      <c r="I225" s="483"/>
      <c r="J225" s="484"/>
      <c r="K225" s="471"/>
    </row>
    <row r="226" spans="1:11">
      <c r="A226" s="463"/>
      <c r="B226" s="1484" t="s">
        <v>938</v>
      </c>
      <c r="C226" s="1486"/>
      <c r="D226" s="1502" t="s">
        <v>688</v>
      </c>
      <c r="E226" s="1504" t="s">
        <v>939</v>
      </c>
      <c r="F226" s="485" t="s">
        <v>940</v>
      </c>
      <c r="G226" s="486"/>
      <c r="H226" s="485" t="s">
        <v>941</v>
      </c>
      <c r="I226" s="486"/>
      <c r="J226" s="487" t="s">
        <v>942</v>
      </c>
      <c r="K226" s="471"/>
    </row>
    <row r="227" spans="1:11">
      <c r="A227" s="463"/>
      <c r="B227" s="1500"/>
      <c r="C227" s="1501"/>
      <c r="D227" s="1503"/>
      <c r="E227" s="1505"/>
      <c r="F227" s="488" t="s">
        <v>943</v>
      </c>
      <c r="G227" s="488" t="s">
        <v>944</v>
      </c>
      <c r="H227" s="488" t="s">
        <v>943</v>
      </c>
      <c r="I227" s="489" t="s">
        <v>944</v>
      </c>
      <c r="J227" s="490" t="s">
        <v>945</v>
      </c>
      <c r="K227" s="471"/>
    </row>
    <row r="228" spans="1:11">
      <c r="A228" s="463"/>
      <c r="B228" s="499" t="s">
        <v>642</v>
      </c>
      <c r="C228" s="492"/>
      <c r="D228" s="493"/>
      <c r="E228" s="494">
        <v>1</v>
      </c>
      <c r="F228" s="494">
        <v>1</v>
      </c>
      <c r="G228" s="495">
        <f>1-F228</f>
        <v>0</v>
      </c>
      <c r="H228" s="503">
        <f>VLOOKUP(B228,EQUIPAMENTOS!$A:$J,10,FALSE)</f>
        <v>190</v>
      </c>
      <c r="I228" s="497">
        <f>H228</f>
        <v>190</v>
      </c>
      <c r="J228" s="498">
        <f t="shared" ref="J228:J234" si="9">H228*F228*E228+I228*G228*E228</f>
        <v>190</v>
      </c>
      <c r="K228" s="471"/>
    </row>
    <row r="229" spans="1:11">
      <c r="A229" s="463"/>
      <c r="B229" s="499" t="s">
        <v>1034</v>
      </c>
      <c r="C229" s="500"/>
      <c r="D229" s="501"/>
      <c r="E229" s="502">
        <v>1</v>
      </c>
      <c r="F229" s="502">
        <v>1</v>
      </c>
      <c r="G229" s="502">
        <f>1-F229</f>
        <v>0</v>
      </c>
      <c r="H229" s="503">
        <f>VLOOKUP(B229,EQUIPAMENTOS!$A:$J,10,FALSE)</f>
        <v>134.05277777777778</v>
      </c>
      <c r="I229" s="504">
        <f>H229</f>
        <v>134.05277777777778</v>
      </c>
      <c r="J229" s="505">
        <f t="shared" si="9"/>
        <v>134.05277777777778</v>
      </c>
      <c r="K229" s="471"/>
    </row>
    <row r="230" spans="1:11">
      <c r="A230" s="463"/>
      <c r="B230" s="499" t="s">
        <v>655</v>
      </c>
      <c r="C230" s="500"/>
      <c r="D230" s="501"/>
      <c r="E230" s="502">
        <v>2</v>
      </c>
      <c r="F230" s="502">
        <v>1</v>
      </c>
      <c r="G230" s="502">
        <f>1-F230</f>
        <v>0</v>
      </c>
      <c r="H230" s="503">
        <f>VLOOKUP(B230,EQUIPAMENTOS!$A:$J,10,FALSE)</f>
        <v>145</v>
      </c>
      <c r="I230" s="504">
        <f>H230</f>
        <v>145</v>
      </c>
      <c r="J230" s="505">
        <f t="shared" si="9"/>
        <v>290</v>
      </c>
      <c r="K230" s="471"/>
    </row>
    <row r="231" spans="1:11">
      <c r="A231" s="463"/>
      <c r="B231" s="499" t="s">
        <v>1158</v>
      </c>
      <c r="C231" s="500"/>
      <c r="D231" s="501"/>
      <c r="E231" s="502">
        <v>2</v>
      </c>
      <c r="F231" s="502">
        <v>1</v>
      </c>
      <c r="G231" s="502">
        <f>1-F231</f>
        <v>0</v>
      </c>
      <c r="H231" s="503" t="e">
        <f>VLOOKUP(B231,EQUIPAMENTOS!$A:$J,10,FALSE)</f>
        <v>#N/A</v>
      </c>
      <c r="I231" s="504" t="e">
        <f>H231</f>
        <v>#N/A</v>
      </c>
      <c r="J231" s="505" t="e">
        <f t="shared" si="9"/>
        <v>#N/A</v>
      </c>
      <c r="K231" s="471"/>
    </row>
    <row r="232" spans="1:11">
      <c r="A232" s="463"/>
      <c r="B232" s="499"/>
      <c r="C232" s="500"/>
      <c r="D232" s="501"/>
      <c r="E232" s="502"/>
      <c r="F232" s="502"/>
      <c r="G232" s="502"/>
      <c r="H232" s="503"/>
      <c r="I232" s="504"/>
      <c r="J232" s="505">
        <f t="shared" si="9"/>
        <v>0</v>
      </c>
      <c r="K232" s="471"/>
    </row>
    <row r="233" spans="1:11">
      <c r="A233" s="463"/>
      <c r="B233" s="499"/>
      <c r="C233" s="500"/>
      <c r="D233" s="501"/>
      <c r="E233" s="502"/>
      <c r="F233" s="502"/>
      <c r="G233" s="502"/>
      <c r="H233" s="503"/>
      <c r="I233" s="504"/>
      <c r="J233" s="505">
        <f t="shared" si="9"/>
        <v>0</v>
      </c>
      <c r="K233" s="471"/>
    </row>
    <row r="234" spans="1:11">
      <c r="A234" s="463"/>
      <c r="B234" s="506"/>
      <c r="C234" s="507"/>
      <c r="D234" s="508"/>
      <c r="E234" s="509"/>
      <c r="F234" s="509"/>
      <c r="G234" s="509"/>
      <c r="H234" s="510"/>
      <c r="I234" s="511"/>
      <c r="J234" s="505">
        <f t="shared" si="9"/>
        <v>0</v>
      </c>
      <c r="K234" s="471"/>
    </row>
    <row r="235" spans="1:11">
      <c r="A235" s="463"/>
      <c r="B235" s="512" t="s">
        <v>946</v>
      </c>
      <c r="C235" s="482"/>
      <c r="D235" s="482"/>
      <c r="E235" s="482"/>
      <c r="F235" s="482"/>
      <c r="G235" s="482"/>
      <c r="H235" s="482"/>
      <c r="I235" s="513" t="s">
        <v>175</v>
      </c>
      <c r="J235" s="514" t="e">
        <f>SUM(J228:J234)</f>
        <v>#N/A</v>
      </c>
      <c r="K235" s="471"/>
    </row>
    <row r="236" spans="1:11">
      <c r="A236" s="463"/>
      <c r="B236" s="515"/>
      <c r="C236" s="515"/>
      <c r="D236" s="515"/>
      <c r="E236" s="515"/>
      <c r="F236" s="515"/>
      <c r="G236" s="515"/>
      <c r="H236" s="515"/>
      <c r="I236" s="516"/>
      <c r="J236" s="517"/>
      <c r="K236" s="471"/>
    </row>
    <row r="237" spans="1:11" ht="20.399999999999999">
      <c r="A237" s="463"/>
      <c r="B237" s="1490" t="s">
        <v>947</v>
      </c>
      <c r="C237" s="1491"/>
      <c r="D237" s="1491"/>
      <c r="E237" s="1492"/>
      <c r="F237" s="518" t="s">
        <v>688</v>
      </c>
      <c r="G237" s="519"/>
      <c r="H237" s="520" t="s">
        <v>427</v>
      </c>
      <c r="I237" s="521" t="s">
        <v>948</v>
      </c>
      <c r="J237" s="522" t="s">
        <v>949</v>
      </c>
      <c r="K237" s="471"/>
    </row>
    <row r="238" spans="1:11">
      <c r="A238" s="463"/>
      <c r="B238" s="523"/>
      <c r="C238" s="524"/>
      <c r="D238" s="525"/>
      <c r="E238" s="526"/>
      <c r="F238" s="527"/>
      <c r="G238" s="528"/>
      <c r="H238" s="529"/>
      <c r="I238" s="497"/>
      <c r="J238" s="498"/>
      <c r="K238" s="471"/>
    </row>
    <row r="239" spans="1:11">
      <c r="A239" s="463"/>
      <c r="B239" s="530" t="s">
        <v>970</v>
      </c>
      <c r="C239" s="531"/>
      <c r="D239" s="472"/>
      <c r="E239" s="500"/>
      <c r="F239" s="501"/>
      <c r="G239" s="532"/>
      <c r="H239" s="533">
        <f>E228</f>
        <v>1</v>
      </c>
      <c r="I239" s="534">
        <f>VLOOKUP(B239,'MÃO DE OBRA'!$A:$E,5,FALSE)/220</f>
        <v>35.988199999999999</v>
      </c>
      <c r="J239" s="505">
        <f t="shared" ref="J239:J245" si="10">H239*I239</f>
        <v>35.988199999999999</v>
      </c>
      <c r="K239" s="471"/>
    </row>
    <row r="240" spans="1:11">
      <c r="A240" s="463"/>
      <c r="B240" s="530" t="s">
        <v>1035</v>
      </c>
      <c r="C240" s="531"/>
      <c r="D240" s="472"/>
      <c r="E240" s="500"/>
      <c r="F240" s="501"/>
      <c r="G240" s="532"/>
      <c r="H240" s="533">
        <f>E229</f>
        <v>1</v>
      </c>
      <c r="I240" s="534">
        <f>VLOOKUP(B240,'MÃO DE OBRA'!$A:$E,5,FALSE)/220</f>
        <v>21.588799999999999</v>
      </c>
      <c r="J240" s="505">
        <f t="shared" si="10"/>
        <v>21.588799999999999</v>
      </c>
      <c r="K240" s="471"/>
    </row>
    <row r="241" spans="1:11">
      <c r="A241" s="463"/>
      <c r="B241" s="530" t="s">
        <v>969</v>
      </c>
      <c r="C241" s="531"/>
      <c r="D241" s="472"/>
      <c r="E241" s="500"/>
      <c r="F241" s="501"/>
      <c r="G241" s="532"/>
      <c r="H241" s="533">
        <f>E230</f>
        <v>2</v>
      </c>
      <c r="I241" s="534">
        <f>VLOOKUP(B241,'MÃO DE OBRA'!$A:$E,5,FALSE)/220</f>
        <v>21.588799999999999</v>
      </c>
      <c r="J241" s="505">
        <f t="shared" si="10"/>
        <v>43.177599999999998</v>
      </c>
      <c r="K241" s="471"/>
    </row>
    <row r="242" spans="1:11">
      <c r="A242" s="463"/>
      <c r="B242" s="530" t="s">
        <v>977</v>
      </c>
      <c r="C242" s="531"/>
      <c r="D242" s="472"/>
      <c r="E242" s="500"/>
      <c r="F242" s="501"/>
      <c r="G242" s="532"/>
      <c r="H242" s="533">
        <f>E231</f>
        <v>2</v>
      </c>
      <c r="I242" s="534">
        <f>VLOOKUP(B242,'MÃO DE OBRA'!$A:$E,5,FALSE)/220</f>
        <v>27.68359090909091</v>
      </c>
      <c r="J242" s="505">
        <f t="shared" si="10"/>
        <v>55.36718181818182</v>
      </c>
      <c r="K242" s="471"/>
    </row>
    <row r="243" spans="1:11">
      <c r="A243" s="463"/>
      <c r="B243" s="530" t="s">
        <v>472</v>
      </c>
      <c r="C243" s="531"/>
      <c r="D243" s="472"/>
      <c r="E243" s="500"/>
      <c r="F243" s="501"/>
      <c r="G243" s="532"/>
      <c r="H243" s="533">
        <v>2</v>
      </c>
      <c r="I243" s="534">
        <f>VLOOKUP(B243,'MÃO DE OBRA'!$A:$E,5,FALSE)/220</f>
        <v>18.377072727272729</v>
      </c>
      <c r="J243" s="505">
        <f t="shared" si="10"/>
        <v>36.754145454545458</v>
      </c>
      <c r="K243" s="471"/>
    </row>
    <row r="244" spans="1:11">
      <c r="A244" s="463"/>
      <c r="B244" s="530" t="s">
        <v>534</v>
      </c>
      <c r="C244" s="531"/>
      <c r="D244" s="472"/>
      <c r="E244" s="500"/>
      <c r="F244" s="501"/>
      <c r="G244" s="532"/>
      <c r="H244" s="533">
        <v>1</v>
      </c>
      <c r="I244" s="534">
        <f>VLOOKUP(B244,'MÃO DE OBRA'!$A:$E,5,FALSE)/220</f>
        <v>21.588799999999999</v>
      </c>
      <c r="J244" s="505">
        <f t="shared" si="10"/>
        <v>21.588799999999999</v>
      </c>
      <c r="K244" s="471"/>
    </row>
    <row r="245" spans="1:11">
      <c r="A245" s="463"/>
      <c r="B245" s="530" t="s">
        <v>479</v>
      </c>
      <c r="C245" s="531"/>
      <c r="D245" s="472"/>
      <c r="E245" s="500"/>
      <c r="F245" s="501"/>
      <c r="G245" s="532"/>
      <c r="H245" s="533"/>
      <c r="I245" s="534">
        <f>VLOOKUP(B245,'MÃO DE OBRA'!$A:$E,5,FALSE)/220</f>
        <v>25.789327272727274</v>
      </c>
      <c r="J245" s="505">
        <f t="shared" si="10"/>
        <v>0</v>
      </c>
      <c r="K245" s="471"/>
    </row>
    <row r="246" spans="1:11">
      <c r="A246" s="463"/>
      <c r="B246" s="530"/>
      <c r="C246" s="531"/>
      <c r="D246" s="472"/>
      <c r="E246" s="500"/>
      <c r="F246" s="501"/>
      <c r="G246" s="532"/>
      <c r="H246" s="533"/>
      <c r="I246" s="504"/>
      <c r="J246" s="505"/>
      <c r="K246" s="471"/>
    </row>
    <row r="247" spans="1:11">
      <c r="A247" s="463"/>
      <c r="B247" s="530"/>
      <c r="C247" s="531"/>
      <c r="D247" s="472"/>
      <c r="E247" s="500"/>
      <c r="F247" s="501"/>
      <c r="G247" s="532"/>
      <c r="H247" s="533"/>
      <c r="I247" s="504"/>
      <c r="J247" s="505">
        <f>H247*I247</f>
        <v>0</v>
      </c>
      <c r="K247" s="471"/>
    </row>
    <row r="248" spans="1:11">
      <c r="A248" s="463"/>
      <c r="B248" s="512" t="s">
        <v>946</v>
      </c>
      <c r="C248" s="515"/>
      <c r="D248" s="515"/>
      <c r="E248" s="515"/>
      <c r="F248" s="515"/>
      <c r="G248" s="515"/>
      <c r="H248" s="515"/>
      <c r="I248" s="535" t="s">
        <v>175</v>
      </c>
      <c r="J248" s="514">
        <f>SUM(J238:J247)</f>
        <v>214.46472727272729</v>
      </c>
      <c r="K248" s="471"/>
    </row>
    <row r="249" spans="1:11">
      <c r="A249" s="463"/>
      <c r="B249" s="536"/>
      <c r="C249" s="536"/>
      <c r="D249" s="536"/>
      <c r="E249" s="536"/>
      <c r="F249" s="536"/>
      <c r="G249" s="536"/>
      <c r="H249" s="536"/>
      <c r="I249" s="537"/>
      <c r="J249" s="536"/>
      <c r="K249" s="471"/>
    </row>
    <row r="250" spans="1:11">
      <c r="A250" s="463"/>
      <c r="B250" s="538" t="s">
        <v>952</v>
      </c>
      <c r="C250" s="539"/>
      <c r="D250" s="536"/>
      <c r="E250" s="540">
        <f>PRODUÇÕES!D27*0.87</f>
        <v>47.85</v>
      </c>
      <c r="F250" s="541" t="s">
        <v>973</v>
      </c>
      <c r="G250" s="519"/>
      <c r="H250" s="519"/>
      <c r="I250" s="542" t="s">
        <v>953</v>
      </c>
      <c r="J250" s="514" t="e">
        <f>J235+J248</f>
        <v>#N/A</v>
      </c>
      <c r="K250" s="471"/>
    </row>
    <row r="251" spans="1:11">
      <c r="A251" s="463"/>
      <c r="B251" s="543"/>
      <c r="C251" s="536"/>
      <c r="D251" s="536"/>
      <c r="E251" s="544"/>
      <c r="F251" s="545"/>
      <c r="G251" s="545"/>
      <c r="H251" s="545"/>
      <c r="I251" s="537"/>
      <c r="J251" s="536"/>
      <c r="K251" s="471"/>
    </row>
    <row r="252" spans="1:11" ht="20.399999999999999">
      <c r="A252" s="463"/>
      <c r="B252" s="1493" t="s">
        <v>362</v>
      </c>
      <c r="C252" s="1494"/>
      <c r="D252" s="1494"/>
      <c r="E252" s="1495"/>
      <c r="F252" s="546" t="s">
        <v>688</v>
      </c>
      <c r="G252" s="547" t="s">
        <v>371</v>
      </c>
      <c r="H252" s="520" t="s">
        <v>942</v>
      </c>
      <c r="I252" s="548" t="s">
        <v>361</v>
      </c>
      <c r="J252" s="549" t="s">
        <v>363</v>
      </c>
      <c r="K252" s="471"/>
    </row>
    <row r="253" spans="1:11">
      <c r="A253" s="463"/>
      <c r="B253" s="550" t="str">
        <f>B228</f>
        <v>Motoniveladora 140K</v>
      </c>
      <c r="C253" s="551"/>
      <c r="D253" s="551"/>
      <c r="E253" s="552"/>
      <c r="F253" s="553" t="str">
        <f>VLOOKUP(B253,EQUIPAMENTOS!$A:$N,12,FALSE)</f>
        <v>Diesel S10</v>
      </c>
      <c r="G253" s="554" t="s">
        <v>415</v>
      </c>
      <c r="H253" s="560">
        <f>VLOOKUP(B253,EQUIPAMENTOS!$A:$N,13,FALSE)</f>
        <v>0</v>
      </c>
      <c r="I253" s="556">
        <f>VLOOKUP(B253,EQUIPAMENTOS!$A:$N,14,FALSE)</f>
        <v>28</v>
      </c>
      <c r="J253" s="498">
        <f t="shared" ref="J253:J258" si="11">H253*I253*E228*F228</f>
        <v>0</v>
      </c>
      <c r="K253" s="471"/>
    </row>
    <row r="254" spans="1:11">
      <c r="A254" s="463"/>
      <c r="B254" s="550" t="str">
        <f>B229</f>
        <v>Trator de pneus COM GRADE</v>
      </c>
      <c r="C254" s="531"/>
      <c r="D254" s="531"/>
      <c r="E254" s="500"/>
      <c r="F254" s="553" t="str">
        <f>VLOOKUP(B254,EQUIPAMENTOS!$A:$N,12,FALSE)</f>
        <v>Diesel S10</v>
      </c>
      <c r="G254" s="554" t="s">
        <v>415</v>
      </c>
      <c r="H254" s="560">
        <f>VLOOKUP(B254,EQUIPAMENTOS!$A:$N,13,FALSE)</f>
        <v>0</v>
      </c>
      <c r="I254" s="556">
        <f>VLOOKUP(B254,EQUIPAMENTOS!$A:$N,14,FALSE)</f>
        <v>18</v>
      </c>
      <c r="J254" s="505">
        <f t="shared" si="11"/>
        <v>0</v>
      </c>
      <c r="K254" s="471"/>
    </row>
    <row r="255" spans="1:11">
      <c r="A255" s="463"/>
      <c r="B255" s="550" t="str">
        <f>B230</f>
        <v>Rolo compactador pé de carneiro 10T</v>
      </c>
      <c r="C255" s="531"/>
      <c r="D255" s="531"/>
      <c r="E255" s="500"/>
      <c r="F255" s="553" t="str">
        <f>VLOOKUP(B255,EQUIPAMENTOS!$A:$N,12,FALSE)</f>
        <v>Diesel S10</v>
      </c>
      <c r="G255" s="554" t="s">
        <v>415</v>
      </c>
      <c r="H255" s="560">
        <f>VLOOKUP(B255,EQUIPAMENTOS!$A:$N,13,FALSE)</f>
        <v>0</v>
      </c>
      <c r="I255" s="556">
        <f>VLOOKUP(B255,EQUIPAMENTOS!$A:$N,14,FALSE)</f>
        <v>16</v>
      </c>
      <c r="J255" s="505">
        <f t="shared" si="11"/>
        <v>0</v>
      </c>
      <c r="K255" s="471"/>
    </row>
    <row r="256" spans="1:11">
      <c r="A256" s="463"/>
      <c r="B256" s="550" t="str">
        <f>B231</f>
        <v>Caminhão Pipa 15.000 l</v>
      </c>
      <c r="C256" s="531"/>
      <c r="D256" s="531"/>
      <c r="E256" s="500"/>
      <c r="F256" s="553" t="e">
        <f>VLOOKUP(B256,EQUIPAMENTOS!$A:$N,12,FALSE)</f>
        <v>#N/A</v>
      </c>
      <c r="G256" s="554" t="s">
        <v>415</v>
      </c>
      <c r="H256" s="560" t="e">
        <f>VLOOKUP(B256,EQUIPAMENTOS!$A:$N,13,FALSE)</f>
        <v>#N/A</v>
      </c>
      <c r="I256" s="556" t="e">
        <f>VLOOKUP(B256,EQUIPAMENTOS!$A:$N,14,FALSE)</f>
        <v>#N/A</v>
      </c>
      <c r="J256" s="505" t="e">
        <f t="shared" si="11"/>
        <v>#N/A</v>
      </c>
      <c r="K256" s="471"/>
    </row>
    <row r="257" spans="1:12">
      <c r="A257" s="463"/>
      <c r="B257" s="530"/>
      <c r="C257" s="531"/>
      <c r="D257" s="531"/>
      <c r="E257" s="500"/>
      <c r="F257" s="501"/>
      <c r="G257" s="559"/>
      <c r="H257" s="560"/>
      <c r="I257" s="556"/>
      <c r="J257" s="505">
        <f t="shared" si="11"/>
        <v>0</v>
      </c>
      <c r="K257" s="471"/>
    </row>
    <row r="258" spans="1:12">
      <c r="A258" s="463"/>
      <c r="B258" s="530"/>
      <c r="C258" s="539"/>
      <c r="D258" s="539"/>
      <c r="E258" s="507"/>
      <c r="F258" s="501"/>
      <c r="G258" s="481"/>
      <c r="H258" s="560"/>
      <c r="I258" s="561"/>
      <c r="J258" s="505">
        <f t="shared" si="11"/>
        <v>0</v>
      </c>
      <c r="K258" s="471"/>
    </row>
    <row r="259" spans="1:12">
      <c r="A259" s="463"/>
      <c r="B259" s="563" t="s">
        <v>946</v>
      </c>
      <c r="C259" s="539"/>
      <c r="D259" s="539"/>
      <c r="E259" s="539"/>
      <c r="F259" s="536"/>
      <c r="G259" s="539"/>
      <c r="H259" s="564"/>
      <c r="I259" s="565" t="s">
        <v>175</v>
      </c>
      <c r="J259" s="514" t="e">
        <f>SUM(J253:J258)</f>
        <v>#N/A</v>
      </c>
      <c r="K259" s="471"/>
      <c r="L259" s="6" t="e">
        <f>J259/E250</f>
        <v>#N/A</v>
      </c>
    </row>
    <row r="260" spans="1:12">
      <c r="A260" s="463"/>
      <c r="B260" s="566"/>
      <c r="C260" s="539"/>
      <c r="D260" s="539"/>
      <c r="E260" s="567"/>
      <c r="F260" s="568"/>
      <c r="G260" s="519"/>
      <c r="H260" s="519"/>
      <c r="I260" s="542"/>
      <c r="J260" s="567"/>
      <c r="K260" s="471"/>
    </row>
    <row r="261" spans="1:12" ht="20.399999999999999">
      <c r="A261" s="463"/>
      <c r="B261" s="1493" t="s">
        <v>955</v>
      </c>
      <c r="C261" s="1494"/>
      <c r="D261" s="1494"/>
      <c r="E261" s="1494"/>
      <c r="F261" s="1495"/>
      <c r="G261" s="569" t="s">
        <v>372</v>
      </c>
      <c r="H261" s="519" t="s">
        <v>956</v>
      </c>
      <c r="I261" s="570" t="s">
        <v>942</v>
      </c>
      <c r="J261" s="522" t="s">
        <v>363</v>
      </c>
      <c r="K261" s="471"/>
    </row>
    <row r="262" spans="1:12">
      <c r="A262" s="463"/>
      <c r="B262" s="571"/>
      <c r="C262" s="572"/>
      <c r="D262" s="573"/>
      <c r="E262" s="573"/>
      <c r="F262" s="574"/>
      <c r="G262" s="502"/>
      <c r="H262" s="502"/>
      <c r="I262" s="575"/>
      <c r="J262" s="505"/>
      <c r="K262" s="471"/>
    </row>
    <row r="263" spans="1:12">
      <c r="A263" s="463"/>
      <c r="B263" s="576"/>
      <c r="C263" s="577"/>
      <c r="D263" s="578"/>
      <c r="E263" s="578"/>
      <c r="F263" s="579"/>
      <c r="G263" s="502"/>
      <c r="H263" s="502"/>
      <c r="I263" s="575"/>
      <c r="J263" s="505"/>
      <c r="K263" s="471"/>
    </row>
    <row r="264" spans="1:12">
      <c r="A264" s="463"/>
      <c r="B264" s="1496" t="s">
        <v>175</v>
      </c>
      <c r="C264" s="1496"/>
      <c r="D264" s="1496"/>
      <c r="E264" s="1496"/>
      <c r="F264" s="1496"/>
      <c r="G264" s="1496"/>
      <c r="H264" s="1496"/>
      <c r="I264" s="1496"/>
      <c r="J264" s="514">
        <f>SUM(J262:J263)</f>
        <v>0</v>
      </c>
      <c r="K264" s="471"/>
    </row>
    <row r="265" spans="1:12">
      <c r="A265" s="463"/>
      <c r="B265" s="580"/>
      <c r="C265" s="524"/>
      <c r="D265" s="524"/>
      <c r="E265" s="581"/>
      <c r="F265" s="582"/>
      <c r="G265" s="583"/>
      <c r="H265" s="583"/>
      <c r="I265" s="584"/>
      <c r="J265" s="585"/>
      <c r="K265" s="471"/>
    </row>
    <row r="266" spans="1:12">
      <c r="A266" s="463"/>
      <c r="B266" s="586" t="s">
        <v>957</v>
      </c>
      <c r="C266" s="586"/>
      <c r="D266" s="563"/>
      <c r="E266" s="536"/>
      <c r="F266" s="536"/>
      <c r="G266" s="536"/>
      <c r="H266" s="587"/>
      <c r="I266" s="588"/>
      <c r="J266" s="514" t="e">
        <f>(J250+J259+J264)/E250</f>
        <v>#N/A</v>
      </c>
      <c r="K266" s="471"/>
    </row>
    <row r="267" spans="1:12">
      <c r="A267" s="463"/>
      <c r="B267" s="566"/>
      <c r="C267" s="539"/>
      <c r="D267" s="539"/>
      <c r="E267" s="567"/>
      <c r="F267" s="568"/>
      <c r="G267" s="519"/>
      <c r="H267" s="519"/>
      <c r="I267" s="542"/>
      <c r="J267" s="589"/>
      <c r="K267" s="471"/>
    </row>
    <row r="268" spans="1:12" ht="20.399999999999999">
      <c r="A268" s="463"/>
      <c r="B268" s="1493" t="s">
        <v>958</v>
      </c>
      <c r="C268" s="1494"/>
      <c r="D268" s="1494"/>
      <c r="E268" s="1494"/>
      <c r="F268" s="1495"/>
      <c r="G268" s="569" t="s">
        <v>372</v>
      </c>
      <c r="H268" s="519" t="s">
        <v>956</v>
      </c>
      <c r="I268" s="570" t="s">
        <v>942</v>
      </c>
      <c r="J268" s="522" t="s">
        <v>363</v>
      </c>
      <c r="K268" s="471"/>
    </row>
    <row r="269" spans="1:12">
      <c r="A269" s="463"/>
      <c r="B269" s="576" t="s">
        <v>1039</v>
      </c>
      <c r="C269" s="577"/>
      <c r="D269" s="578"/>
      <c r="E269" s="578"/>
      <c r="F269" s="579"/>
      <c r="G269" s="502">
        <v>0.08</v>
      </c>
      <c r="H269" s="502" t="s">
        <v>208</v>
      </c>
      <c r="I269" s="575">
        <f>2180*(38/50)</f>
        <v>1656.8</v>
      </c>
      <c r="J269" s="505">
        <f>G269*I269</f>
        <v>132.54400000000001</v>
      </c>
      <c r="K269" s="471"/>
    </row>
    <row r="270" spans="1:12">
      <c r="A270" s="463"/>
      <c r="B270" s="576"/>
      <c r="C270" s="577"/>
      <c r="D270" s="578"/>
      <c r="E270" s="578"/>
      <c r="F270" s="579"/>
      <c r="G270" s="502"/>
      <c r="H270" s="502"/>
      <c r="I270" s="575"/>
      <c r="J270" s="505">
        <f>G270*I270</f>
        <v>0</v>
      </c>
      <c r="K270" s="471"/>
    </row>
    <row r="271" spans="1:12">
      <c r="A271" s="463"/>
      <c r="B271" s="576"/>
      <c r="C271" s="577"/>
      <c r="D271" s="578"/>
      <c r="E271" s="578"/>
      <c r="F271" s="579"/>
      <c r="G271" s="502"/>
      <c r="H271" s="502"/>
      <c r="I271" s="575"/>
      <c r="J271" s="505">
        <f>G271*I271</f>
        <v>0</v>
      </c>
      <c r="K271" s="471"/>
    </row>
    <row r="272" spans="1:12">
      <c r="A272" s="463"/>
      <c r="B272" s="590"/>
      <c r="C272" s="591"/>
      <c r="D272" s="592"/>
      <c r="E272" s="592"/>
      <c r="F272" s="593"/>
      <c r="G272" s="502"/>
      <c r="H272" s="502"/>
      <c r="I272" s="575"/>
      <c r="J272" s="505">
        <f>G272*I272</f>
        <v>0</v>
      </c>
      <c r="K272" s="471"/>
    </row>
    <row r="273" spans="1:11">
      <c r="A273" s="463"/>
      <c r="B273" s="594"/>
      <c r="C273" s="536"/>
      <c r="D273" s="536"/>
      <c r="E273" s="595"/>
      <c r="F273" s="596"/>
      <c r="G273" s="545"/>
      <c r="H273" s="545"/>
      <c r="I273" s="537" t="s">
        <v>175</v>
      </c>
      <c r="J273" s="514">
        <f>SUM(J269:J272)</f>
        <v>132.54400000000001</v>
      </c>
      <c r="K273" s="471"/>
    </row>
    <row r="274" spans="1:11">
      <c r="A274" s="463"/>
      <c r="B274" s="597"/>
      <c r="C274" s="536"/>
      <c r="D274" s="536"/>
      <c r="E274" s="595"/>
      <c r="F274" s="596"/>
      <c r="G274" s="545"/>
      <c r="H274" s="545"/>
      <c r="I274" s="537"/>
      <c r="J274" s="595"/>
      <c r="K274" s="471"/>
    </row>
    <row r="275" spans="1:11" ht="20.399999999999999">
      <c r="A275" s="463"/>
      <c r="B275" s="598" t="s">
        <v>959</v>
      </c>
      <c r="C275" s="598"/>
      <c r="D275" s="598"/>
      <c r="E275" s="599"/>
      <c r="F275" s="600" t="s">
        <v>372</v>
      </c>
      <c r="G275" s="569" t="s">
        <v>960</v>
      </c>
      <c r="H275" s="519" t="s">
        <v>942</v>
      </c>
      <c r="I275" s="570" t="s">
        <v>361</v>
      </c>
      <c r="J275" s="522" t="s">
        <v>363</v>
      </c>
      <c r="K275" s="471"/>
    </row>
    <row r="276" spans="1:11">
      <c r="A276" s="463"/>
      <c r="B276" s="576" t="s">
        <v>946</v>
      </c>
      <c r="C276" s="577"/>
      <c r="D276" s="578"/>
      <c r="E276" s="579" t="s">
        <v>946</v>
      </c>
      <c r="F276" s="502">
        <v>0</v>
      </c>
      <c r="G276" s="502">
        <v>0</v>
      </c>
      <c r="H276" s="502">
        <v>0</v>
      </c>
      <c r="I276" s="575">
        <v>0</v>
      </c>
      <c r="J276" s="505">
        <f>I276*H276*G276*F276</f>
        <v>0</v>
      </c>
      <c r="K276" s="471"/>
    </row>
    <row r="277" spans="1:11">
      <c r="A277" s="463"/>
      <c r="B277" s="590" t="s">
        <v>946</v>
      </c>
      <c r="C277" s="591"/>
      <c r="D277" s="592"/>
      <c r="E277" s="593" t="s">
        <v>946</v>
      </c>
      <c r="F277" s="509">
        <v>0</v>
      </c>
      <c r="G277" s="509">
        <v>0</v>
      </c>
      <c r="H277" s="509">
        <v>0</v>
      </c>
      <c r="I277" s="601">
        <v>0</v>
      </c>
      <c r="J277" s="505">
        <f>I277*H277*G277*F277</f>
        <v>0</v>
      </c>
      <c r="K277" s="471"/>
    </row>
    <row r="278" spans="1:11">
      <c r="A278" s="463"/>
      <c r="B278" s="594"/>
      <c r="C278" s="536"/>
      <c r="D278" s="536"/>
      <c r="E278" s="595"/>
      <c r="F278" s="596"/>
      <c r="G278" s="545"/>
      <c r="H278" s="545"/>
      <c r="I278" s="537" t="s">
        <v>175</v>
      </c>
      <c r="J278" s="514">
        <f>SUM(J276:J277)</f>
        <v>0</v>
      </c>
      <c r="K278" s="471"/>
    </row>
    <row r="279" spans="1:11">
      <c r="A279" s="463"/>
      <c r="B279" s="536"/>
      <c r="C279" s="536"/>
      <c r="D279" s="536"/>
      <c r="E279" s="536"/>
      <c r="F279" s="536"/>
      <c r="G279" s="536"/>
      <c r="H279" s="536"/>
      <c r="I279" s="537"/>
      <c r="J279" s="536"/>
      <c r="K279" s="471"/>
    </row>
    <row r="280" spans="1:11">
      <c r="A280" s="463"/>
      <c r="B280" s="1481" t="s">
        <v>961</v>
      </c>
      <c r="C280" s="1482"/>
      <c r="D280" s="1482"/>
      <c r="E280" s="1482"/>
      <c r="F280" s="1482"/>
      <c r="G280" s="1482"/>
      <c r="H280" s="1482"/>
      <c r="I280" s="1483"/>
      <c r="J280" s="586" t="e">
        <f>J278+J273+J266</f>
        <v>#N/A</v>
      </c>
      <c r="K280" s="471"/>
    </row>
    <row r="281" spans="1:11">
      <c r="A281" s="463"/>
      <c r="B281" s="536"/>
      <c r="C281" s="536"/>
      <c r="D281" s="536"/>
      <c r="E281" s="536"/>
      <c r="F281" s="536"/>
      <c r="G281" s="536"/>
      <c r="H281" s="536"/>
      <c r="I281" s="537"/>
      <c r="J281" s="536"/>
      <c r="K281" s="471"/>
    </row>
    <row r="282" spans="1:11">
      <c r="A282" s="463"/>
      <c r="B282" s="1481" t="s">
        <v>962</v>
      </c>
      <c r="C282" s="1482"/>
      <c r="D282" s="1482"/>
      <c r="E282" s="1482"/>
      <c r="F282" s="1482"/>
      <c r="G282" s="1482"/>
      <c r="H282" s="1482"/>
      <c r="I282" s="1483"/>
      <c r="J282" s="514" t="e">
        <f>J280*0</f>
        <v>#N/A</v>
      </c>
      <c r="K282" s="471"/>
    </row>
    <row r="283" spans="1:11">
      <c r="A283" s="463"/>
      <c r="B283" s="536"/>
      <c r="C283" s="536"/>
      <c r="D283" s="536"/>
      <c r="E283" s="536"/>
      <c r="F283" s="536"/>
      <c r="G283" s="536"/>
      <c r="H283" s="536"/>
      <c r="I283" s="537"/>
      <c r="J283" s="536"/>
      <c r="K283" s="471"/>
    </row>
    <row r="284" spans="1:11">
      <c r="A284" s="463"/>
      <c r="B284" s="1481" t="s">
        <v>963</v>
      </c>
      <c r="C284" s="1482"/>
      <c r="D284" s="1482"/>
      <c r="E284" s="1482"/>
      <c r="F284" s="1482"/>
      <c r="G284" s="1482"/>
      <c r="H284" s="1482"/>
      <c r="I284" s="1483"/>
      <c r="J284" s="586" t="e">
        <f>J280+J282</f>
        <v>#N/A</v>
      </c>
      <c r="K284" s="471"/>
    </row>
    <row r="285" spans="1:11">
      <c r="A285" s="463"/>
      <c r="B285" s="524"/>
      <c r="C285" s="524"/>
      <c r="D285" s="524"/>
      <c r="E285" s="524"/>
      <c r="F285" s="524"/>
      <c r="G285" s="524"/>
      <c r="H285" s="524"/>
      <c r="I285" s="584"/>
      <c r="J285" s="524"/>
      <c r="K285" s="471"/>
    </row>
    <row r="286" spans="1:11">
      <c r="A286" s="463"/>
      <c r="B286" s="602"/>
      <c r="C286" s="572"/>
      <c r="D286" s="572"/>
      <c r="E286" s="572"/>
      <c r="F286" s="572"/>
      <c r="G286" s="572"/>
      <c r="H286" s="572"/>
      <c r="I286" s="572"/>
      <c r="J286" s="603"/>
      <c r="K286" s="471"/>
    </row>
    <row r="287" spans="1:11">
      <c r="A287" s="463"/>
      <c r="B287" s="604"/>
      <c r="C287" s="605"/>
      <c r="D287" s="606"/>
      <c r="E287" s="606"/>
      <c r="F287" s="607" t="s">
        <v>946</v>
      </c>
      <c r="G287" s="608" t="s">
        <v>946</v>
      </c>
      <c r="H287" s="605"/>
      <c r="I287" s="605"/>
      <c r="J287" s="609"/>
      <c r="K287" s="471"/>
    </row>
    <row r="288" spans="1:11">
      <c r="A288" s="463"/>
      <c r="B288" s="472"/>
      <c r="C288" s="472"/>
      <c r="D288" s="472"/>
      <c r="E288" s="472"/>
      <c r="F288" s="472"/>
      <c r="G288" s="472"/>
      <c r="H288" s="472"/>
      <c r="I288" s="472"/>
      <c r="J288" s="472"/>
      <c r="K288" s="471"/>
    </row>
    <row r="289" spans="1:11">
      <c r="A289" s="463"/>
      <c r="B289" s="610">
        <f>PLANEJAMENTO!E196</f>
        <v>0</v>
      </c>
      <c r="C289" s="611"/>
      <c r="D289" s="611"/>
      <c r="E289" s="611"/>
      <c r="F289" s="612"/>
      <c r="G289" s="613" t="s">
        <v>363</v>
      </c>
      <c r="H289" s="515"/>
      <c r="I289" s="515"/>
      <c r="J289" s="518"/>
      <c r="K289" s="471"/>
    </row>
    <row r="290" spans="1:11">
      <c r="A290" s="463"/>
      <c r="B290" s="614">
        <f>PLANEJAMENTO!E197</f>
        <v>0</v>
      </c>
      <c r="C290" s="615"/>
      <c r="D290" s="615"/>
      <c r="E290" s="615"/>
      <c r="F290" s="616"/>
      <c r="G290" s="1484" t="s">
        <v>964</v>
      </c>
      <c r="H290" s="1485"/>
      <c r="I290" s="1485"/>
      <c r="J290" s="1486"/>
      <c r="K290" s="471"/>
    </row>
    <row r="291" spans="1:11">
      <c r="A291" s="463"/>
      <c r="B291" s="617"/>
      <c r="C291" s="618"/>
      <c r="D291" s="618"/>
      <c r="E291" s="618"/>
      <c r="F291" s="619"/>
      <c r="G291" s="620"/>
      <c r="H291" s="1487"/>
      <c r="I291" s="1488"/>
      <c r="J291" s="1489"/>
      <c r="K291" s="471"/>
    </row>
    <row r="292" spans="1:11" ht="15" thickBot="1">
      <c r="A292" s="621"/>
      <c r="B292" s="622"/>
      <c r="C292" s="622"/>
      <c r="D292" s="622"/>
      <c r="E292" s="622"/>
      <c r="F292" s="622"/>
      <c r="G292" s="622"/>
      <c r="H292" s="622"/>
      <c r="I292" s="622"/>
      <c r="J292" s="622"/>
      <c r="K292" s="623"/>
    </row>
    <row r="293" spans="1:11">
      <c r="A293" s="460"/>
      <c r="B293" s="461"/>
      <c r="C293" s="461"/>
      <c r="D293" s="461"/>
      <c r="E293" s="461"/>
      <c r="F293" s="461"/>
      <c r="G293" s="461"/>
      <c r="H293" s="461"/>
      <c r="I293" s="461"/>
      <c r="J293" s="461"/>
      <c r="K293" s="462"/>
    </row>
    <row r="294" spans="1:11">
      <c r="A294" s="463"/>
      <c r="B294" s="464" t="s">
        <v>178</v>
      </c>
      <c r="C294" s="465"/>
      <c r="D294" s="466" t="s">
        <v>936</v>
      </c>
      <c r="E294" s="467"/>
      <c r="F294" s="468"/>
      <c r="G294" s="468"/>
      <c r="H294" s="469"/>
      <c r="I294" s="469"/>
      <c r="J294" s="470"/>
      <c r="K294" s="471"/>
    </row>
    <row r="295" spans="1:11">
      <c r="A295" s="463"/>
      <c r="B295" s="472"/>
      <c r="C295" s="472"/>
      <c r="D295" s="472"/>
      <c r="E295" s="472"/>
      <c r="F295" s="472"/>
      <c r="G295" s="472"/>
      <c r="H295" s="472"/>
      <c r="I295" s="472"/>
      <c r="J295" s="472"/>
      <c r="K295" s="471"/>
    </row>
    <row r="296" spans="1:11">
      <c r="A296" s="463"/>
      <c r="B296" s="473" t="s">
        <v>688</v>
      </c>
      <c r="C296" s="474" t="s">
        <v>937</v>
      </c>
      <c r="D296" s="1497" t="s">
        <v>250</v>
      </c>
      <c r="E296" s="1498"/>
      <c r="F296" s="1498"/>
      <c r="G296" s="1498"/>
      <c r="H296" s="1498"/>
      <c r="I296" s="1499"/>
      <c r="J296" s="475" t="s">
        <v>267</v>
      </c>
      <c r="K296" s="471"/>
    </row>
    <row r="297" spans="1:11">
      <c r="A297" s="463"/>
      <c r="B297" s="476" t="s">
        <v>3</v>
      </c>
      <c r="C297" s="477">
        <f ca="1">TODAY()</f>
        <v>46140</v>
      </c>
      <c r="D297" s="681" t="s">
        <v>1209</v>
      </c>
      <c r="E297" s="479"/>
      <c r="F297" s="479"/>
      <c r="G297" s="479"/>
      <c r="H297" s="479"/>
      <c r="I297" s="480"/>
      <c r="J297" s="481" t="str">
        <f>F315</f>
        <v>m2</v>
      </c>
      <c r="K297" s="471"/>
    </row>
    <row r="298" spans="1:11">
      <c r="A298" s="463"/>
      <c r="B298" s="482"/>
      <c r="C298" s="482"/>
      <c r="D298" s="482"/>
      <c r="E298" s="482"/>
      <c r="F298" s="482"/>
      <c r="G298" s="482"/>
      <c r="H298" s="482"/>
      <c r="I298" s="483"/>
      <c r="J298" s="484"/>
      <c r="K298" s="471"/>
    </row>
    <row r="299" spans="1:11">
      <c r="A299" s="463"/>
      <c r="B299" s="1484" t="s">
        <v>938</v>
      </c>
      <c r="C299" s="1486"/>
      <c r="D299" s="1502" t="s">
        <v>688</v>
      </c>
      <c r="E299" s="1504" t="s">
        <v>939</v>
      </c>
      <c r="F299" s="485" t="s">
        <v>940</v>
      </c>
      <c r="G299" s="486"/>
      <c r="H299" s="485" t="s">
        <v>941</v>
      </c>
      <c r="I299" s="486"/>
      <c r="J299" s="487" t="s">
        <v>942</v>
      </c>
      <c r="K299" s="471"/>
    </row>
    <row r="300" spans="1:11">
      <c r="A300" s="463"/>
      <c r="B300" s="1500"/>
      <c r="C300" s="1501"/>
      <c r="D300" s="1503"/>
      <c r="E300" s="1505"/>
      <c r="F300" s="488" t="s">
        <v>943</v>
      </c>
      <c r="G300" s="488" t="s">
        <v>944</v>
      </c>
      <c r="H300" s="488" t="s">
        <v>943</v>
      </c>
      <c r="I300" s="489" t="s">
        <v>944</v>
      </c>
      <c r="J300" s="490" t="s">
        <v>945</v>
      </c>
      <c r="K300" s="471"/>
    </row>
    <row r="301" spans="1:11">
      <c r="A301" s="463"/>
      <c r="B301" s="499" t="s">
        <v>649</v>
      </c>
      <c r="C301" s="492"/>
      <c r="D301" s="493"/>
      <c r="E301" s="494">
        <v>1</v>
      </c>
      <c r="F301" s="494">
        <v>1</v>
      </c>
      <c r="G301" s="495">
        <f>1-F301</f>
        <v>0</v>
      </c>
      <c r="H301" s="503">
        <f>VLOOKUP(B301,EQUIPAMENTOS!$A:$J,10,FALSE)</f>
        <v>10</v>
      </c>
      <c r="I301" s="497">
        <f>H301</f>
        <v>10</v>
      </c>
      <c r="J301" s="498">
        <f>H301*F301*E301+I301*G301*E301</f>
        <v>10</v>
      </c>
      <c r="K301" s="471"/>
    </row>
    <row r="302" spans="1:11">
      <c r="A302" s="463"/>
      <c r="B302" s="499"/>
      <c r="C302" s="500"/>
      <c r="D302" s="501"/>
      <c r="E302" s="502"/>
      <c r="F302" s="502"/>
      <c r="G302" s="502"/>
      <c r="H302" s="503"/>
      <c r="I302" s="504"/>
      <c r="J302" s="505">
        <f>H302*F302*E302+I302*G302*E302</f>
        <v>0</v>
      </c>
      <c r="K302" s="471"/>
    </row>
    <row r="303" spans="1:11">
      <c r="A303" s="463"/>
      <c r="B303" s="499"/>
      <c r="C303" s="500"/>
      <c r="D303" s="501"/>
      <c r="E303" s="502"/>
      <c r="F303" s="502"/>
      <c r="G303" s="502"/>
      <c r="H303" s="503"/>
      <c r="I303" s="504"/>
      <c r="J303" s="505">
        <f>H303*F303*E303+I303*G303*E303</f>
        <v>0</v>
      </c>
      <c r="K303" s="471"/>
    </row>
    <row r="304" spans="1:11">
      <c r="A304" s="463"/>
      <c r="B304" s="506"/>
      <c r="C304" s="507"/>
      <c r="D304" s="508"/>
      <c r="E304" s="509"/>
      <c r="F304" s="509"/>
      <c r="G304" s="509"/>
      <c r="H304" s="510"/>
      <c r="I304" s="511"/>
      <c r="J304" s="505">
        <f>H304*F304*E304+I304*G304*E304</f>
        <v>0</v>
      </c>
      <c r="K304" s="471"/>
    </row>
    <row r="305" spans="1:11">
      <c r="A305" s="463"/>
      <c r="B305" s="512" t="s">
        <v>946</v>
      </c>
      <c r="C305" s="482"/>
      <c r="D305" s="482"/>
      <c r="E305" s="482"/>
      <c r="F305" s="482"/>
      <c r="G305" s="482"/>
      <c r="H305" s="482"/>
      <c r="I305" s="513" t="s">
        <v>175</v>
      </c>
      <c r="J305" s="514">
        <f>SUM(J301:J304)</f>
        <v>10</v>
      </c>
      <c r="K305" s="471"/>
    </row>
    <row r="306" spans="1:11">
      <c r="A306" s="463"/>
      <c r="B306" s="515"/>
      <c r="C306" s="515"/>
      <c r="D306" s="515"/>
      <c r="E306" s="515"/>
      <c r="F306" s="515"/>
      <c r="G306" s="515"/>
      <c r="H306" s="515"/>
      <c r="I306" s="516"/>
      <c r="J306" s="517"/>
      <c r="K306" s="471"/>
    </row>
    <row r="307" spans="1:11" ht="20.399999999999999">
      <c r="A307" s="463"/>
      <c r="B307" s="1490" t="s">
        <v>947</v>
      </c>
      <c r="C307" s="1491"/>
      <c r="D307" s="1491"/>
      <c r="E307" s="1492"/>
      <c r="F307" s="518" t="s">
        <v>688</v>
      </c>
      <c r="G307" s="519"/>
      <c r="H307" s="520" t="s">
        <v>427</v>
      </c>
      <c r="I307" s="521" t="s">
        <v>948</v>
      </c>
      <c r="J307" s="522" t="s">
        <v>949</v>
      </c>
      <c r="K307" s="471"/>
    </row>
    <row r="308" spans="1:11">
      <c r="A308" s="463"/>
      <c r="B308" s="523"/>
      <c r="C308" s="524"/>
      <c r="D308" s="525"/>
      <c r="E308" s="526"/>
      <c r="F308" s="527"/>
      <c r="G308" s="528"/>
      <c r="H308" s="529"/>
      <c r="I308" s="497"/>
      <c r="J308" s="498"/>
      <c r="K308" s="471"/>
    </row>
    <row r="309" spans="1:11">
      <c r="A309" s="463"/>
      <c r="B309" s="530" t="s">
        <v>988</v>
      </c>
      <c r="C309" s="531"/>
      <c r="D309" s="472"/>
      <c r="E309" s="500"/>
      <c r="F309" s="501"/>
      <c r="G309" s="532"/>
      <c r="H309" s="533">
        <v>1</v>
      </c>
      <c r="I309" s="534">
        <f>VLOOKUP(B309,'MÃO DE OBRA'!$A:$E,5,FALSE)/220</f>
        <v>21.588799999999999</v>
      </c>
      <c r="J309" s="505">
        <f>H309*I309</f>
        <v>21.588799999999999</v>
      </c>
      <c r="K309" s="471"/>
    </row>
    <row r="310" spans="1:11">
      <c r="A310" s="463"/>
      <c r="B310" s="530" t="s">
        <v>472</v>
      </c>
      <c r="C310" s="531"/>
      <c r="D310" s="472"/>
      <c r="E310" s="500"/>
      <c r="F310" s="501"/>
      <c r="G310" s="532"/>
      <c r="H310" s="533">
        <v>4</v>
      </c>
      <c r="I310" s="534">
        <f>VLOOKUP(B310,'MÃO DE OBRA'!$A:$E,5,FALSE)/220</f>
        <v>18.377072727272729</v>
      </c>
      <c r="J310" s="505">
        <f>H310*I310</f>
        <v>73.508290909090917</v>
      </c>
      <c r="K310" s="471"/>
    </row>
    <row r="311" spans="1:11" hidden="1">
      <c r="A311" s="463"/>
      <c r="B311" s="530" t="s">
        <v>1210</v>
      </c>
      <c r="C311" s="531"/>
      <c r="D311" s="472"/>
      <c r="E311" s="500"/>
      <c r="F311" s="501"/>
      <c r="G311" s="532"/>
      <c r="H311" s="533"/>
      <c r="I311" s="504"/>
      <c r="J311" s="505"/>
      <c r="K311" s="471"/>
    </row>
    <row r="312" spans="1:11">
      <c r="A312" s="463"/>
      <c r="B312" s="530"/>
      <c r="C312" s="531"/>
      <c r="D312" s="472"/>
      <c r="E312" s="500"/>
      <c r="F312" s="501"/>
      <c r="G312" s="532"/>
      <c r="H312" s="533"/>
      <c r="I312" s="504"/>
      <c r="J312" s="505">
        <f>H312*I312</f>
        <v>0</v>
      </c>
      <c r="K312" s="471"/>
    </row>
    <row r="313" spans="1:11">
      <c r="A313" s="463"/>
      <c r="B313" s="512" t="s">
        <v>946</v>
      </c>
      <c r="C313" s="515"/>
      <c r="D313" s="515"/>
      <c r="E313" s="515"/>
      <c r="F313" s="515"/>
      <c r="G313" s="515"/>
      <c r="H313" s="515"/>
      <c r="I313" s="535" t="s">
        <v>175</v>
      </c>
      <c r="J313" s="514">
        <f>SUM(J308:J312)</f>
        <v>95.097090909090923</v>
      </c>
      <c r="K313" s="471"/>
    </row>
    <row r="314" spans="1:11">
      <c r="A314" s="463"/>
      <c r="B314" s="536"/>
      <c r="C314" s="536"/>
      <c r="D314" s="536"/>
      <c r="E314" s="536"/>
      <c r="F314" s="536"/>
      <c r="G314" s="536"/>
      <c r="H314" s="536"/>
      <c r="I314" s="537"/>
      <c r="J314" s="536"/>
      <c r="K314" s="471"/>
    </row>
    <row r="315" spans="1:11">
      <c r="A315" s="463"/>
      <c r="B315" s="538" t="s">
        <v>952</v>
      </c>
      <c r="C315" s="539"/>
      <c r="D315" s="536"/>
      <c r="E315" s="540" t="e">
        <f>CRONOGRAMA!#REF!*0.86</f>
        <v>#REF!</v>
      </c>
      <c r="F315" s="541" t="s">
        <v>965</v>
      </c>
      <c r="G315" s="519"/>
      <c r="H315" s="519"/>
      <c r="I315" s="542" t="s">
        <v>953</v>
      </c>
      <c r="J315" s="514">
        <f>J305+J313</f>
        <v>105.09709090909092</v>
      </c>
      <c r="K315" s="471"/>
    </row>
    <row r="316" spans="1:11">
      <c r="A316" s="463"/>
      <c r="B316" s="543"/>
      <c r="C316" s="536"/>
      <c r="D316" s="536"/>
      <c r="E316" s="544"/>
      <c r="F316" s="545"/>
      <c r="G316" s="545"/>
      <c r="H316" s="545"/>
      <c r="I316" s="537"/>
      <c r="J316" s="536"/>
      <c r="K316" s="471"/>
    </row>
    <row r="317" spans="1:11" ht="20.399999999999999">
      <c r="A317" s="463"/>
      <c r="B317" s="1493" t="s">
        <v>362</v>
      </c>
      <c r="C317" s="1494"/>
      <c r="D317" s="1494"/>
      <c r="E317" s="1495"/>
      <c r="F317" s="546" t="s">
        <v>688</v>
      </c>
      <c r="G317" s="547" t="s">
        <v>371</v>
      </c>
      <c r="H317" s="520" t="s">
        <v>942</v>
      </c>
      <c r="I317" s="548" t="s">
        <v>361</v>
      </c>
      <c r="J317" s="549" t="s">
        <v>363</v>
      </c>
      <c r="K317" s="471"/>
    </row>
    <row r="318" spans="1:11">
      <c r="A318" s="463"/>
      <c r="B318" s="550" t="str">
        <f>B301</f>
        <v>Placa vibratória</v>
      </c>
      <c r="C318" s="551"/>
      <c r="D318" s="551"/>
      <c r="E318" s="552"/>
      <c r="F318" s="553" t="str">
        <f>VLOOKUP(B318,EQUIPAMENTOS!$A:$N,12,FALSE)</f>
        <v>Gasolina</v>
      </c>
      <c r="G318" s="554" t="s">
        <v>415</v>
      </c>
      <c r="H318" s="560">
        <f>VLOOKUP(B318,EQUIPAMENTOS!$A:$N,13,FALSE)</f>
        <v>6.59</v>
      </c>
      <c r="I318" s="556">
        <f>VLOOKUP(B318,EQUIPAMENTOS!$A:$N,14,FALSE)</f>
        <v>3</v>
      </c>
      <c r="J318" s="498">
        <f>H318*I318*E301*F301</f>
        <v>19.77</v>
      </c>
      <c r="K318" s="471"/>
    </row>
    <row r="319" spans="1:11">
      <c r="A319" s="463"/>
      <c r="B319" s="530"/>
      <c r="C319" s="531"/>
      <c r="D319" s="531"/>
      <c r="E319" s="500"/>
      <c r="F319" s="501"/>
      <c r="G319" s="559"/>
      <c r="H319" s="560"/>
      <c r="I319" s="556"/>
      <c r="J319" s="505">
        <f>H319*I319*E302*F302</f>
        <v>0</v>
      </c>
      <c r="K319" s="471"/>
    </row>
    <row r="320" spans="1:11">
      <c r="A320" s="463"/>
      <c r="B320" s="530"/>
      <c r="C320" s="539"/>
      <c r="D320" s="539"/>
      <c r="E320" s="507"/>
      <c r="F320" s="501"/>
      <c r="G320" s="481"/>
      <c r="H320" s="560"/>
      <c r="I320" s="561"/>
      <c r="J320" s="505">
        <f>H320*I320*E303*F303</f>
        <v>0</v>
      </c>
      <c r="K320" s="471"/>
    </row>
    <row r="321" spans="1:12">
      <c r="A321" s="463"/>
      <c r="B321" s="563" t="s">
        <v>946</v>
      </c>
      <c r="C321" s="539"/>
      <c r="D321" s="539"/>
      <c r="E321" s="539"/>
      <c r="F321" s="536"/>
      <c r="G321" s="539"/>
      <c r="H321" s="564"/>
      <c r="I321" s="565" t="s">
        <v>175</v>
      </c>
      <c r="J321" s="514">
        <f>SUM(J318:J320)</f>
        <v>19.77</v>
      </c>
      <c r="K321" s="471"/>
      <c r="L321" s="6" t="e">
        <f>J321/E315</f>
        <v>#REF!</v>
      </c>
    </row>
    <row r="322" spans="1:12">
      <c r="A322" s="463"/>
      <c r="B322" s="566"/>
      <c r="C322" s="539"/>
      <c r="D322" s="539"/>
      <c r="E322" s="567"/>
      <c r="F322" s="568"/>
      <c r="G322" s="519"/>
      <c r="H322" s="519"/>
      <c r="I322" s="542"/>
      <c r="J322" s="567"/>
      <c r="K322" s="471"/>
    </row>
    <row r="323" spans="1:12" ht="20.399999999999999">
      <c r="A323" s="463"/>
      <c r="B323" s="1493" t="s">
        <v>955</v>
      </c>
      <c r="C323" s="1494"/>
      <c r="D323" s="1494"/>
      <c r="E323" s="1494"/>
      <c r="F323" s="1495"/>
      <c r="G323" s="569" t="s">
        <v>372</v>
      </c>
      <c r="H323" s="519" t="s">
        <v>956</v>
      </c>
      <c r="I323" s="570" t="s">
        <v>942</v>
      </c>
      <c r="J323" s="522" t="s">
        <v>363</v>
      </c>
      <c r="K323" s="471"/>
    </row>
    <row r="324" spans="1:12">
      <c r="A324" s="463"/>
      <c r="B324" s="571"/>
      <c r="C324" s="572"/>
      <c r="D324" s="573"/>
      <c r="E324" s="573"/>
      <c r="F324" s="574"/>
      <c r="G324" s="502"/>
      <c r="H324" s="502"/>
      <c r="I324" s="575"/>
      <c r="J324" s="505"/>
      <c r="K324" s="471"/>
    </row>
    <row r="325" spans="1:12">
      <c r="A325" s="463"/>
      <c r="B325" s="576"/>
      <c r="C325" s="577"/>
      <c r="D325" s="578"/>
      <c r="E325" s="578"/>
      <c r="F325" s="579"/>
      <c r="G325" s="502"/>
      <c r="H325" s="502"/>
      <c r="I325" s="575"/>
      <c r="J325" s="505"/>
      <c r="K325" s="471"/>
    </row>
    <row r="326" spans="1:12">
      <c r="A326" s="463"/>
      <c r="B326" s="1496" t="s">
        <v>175</v>
      </c>
      <c r="C326" s="1496"/>
      <c r="D326" s="1496"/>
      <c r="E326" s="1496"/>
      <c r="F326" s="1496"/>
      <c r="G326" s="1496"/>
      <c r="H326" s="1496"/>
      <c r="I326" s="1496"/>
      <c r="J326" s="514">
        <f>SUM(J324:J325)</f>
        <v>0</v>
      </c>
      <c r="K326" s="471"/>
    </row>
    <row r="327" spans="1:12">
      <c r="A327" s="463"/>
      <c r="B327" s="580"/>
      <c r="C327" s="524"/>
      <c r="D327" s="524"/>
      <c r="E327" s="581"/>
      <c r="F327" s="582"/>
      <c r="G327" s="583"/>
      <c r="H327" s="583"/>
      <c r="I327" s="584"/>
      <c r="J327" s="585"/>
      <c r="K327" s="471"/>
    </row>
    <row r="328" spans="1:12">
      <c r="A328" s="463"/>
      <c r="B328" s="586" t="s">
        <v>957</v>
      </c>
      <c r="C328" s="586"/>
      <c r="D328" s="563"/>
      <c r="E328" s="536"/>
      <c r="F328" s="536"/>
      <c r="G328" s="536"/>
      <c r="H328" s="587"/>
      <c r="I328" s="588"/>
      <c r="J328" s="514" t="e">
        <f>(J315+J321+J326)/E315</f>
        <v>#REF!</v>
      </c>
      <c r="K328" s="471"/>
    </row>
    <row r="329" spans="1:12">
      <c r="A329" s="463"/>
      <c r="B329" s="566"/>
      <c r="C329" s="539"/>
      <c r="D329" s="539"/>
      <c r="E329" s="567"/>
      <c r="F329" s="568"/>
      <c r="G329" s="519"/>
      <c r="H329" s="519"/>
      <c r="I329" s="542"/>
      <c r="J329" s="589"/>
      <c r="K329" s="471"/>
    </row>
    <row r="330" spans="1:12" ht="20.399999999999999">
      <c r="A330" s="463"/>
      <c r="B330" s="1493" t="s">
        <v>958</v>
      </c>
      <c r="C330" s="1494"/>
      <c r="D330" s="1494"/>
      <c r="E330" s="1494"/>
      <c r="F330" s="1495"/>
      <c r="G330" s="569" t="s">
        <v>372</v>
      </c>
      <c r="H330" s="519" t="s">
        <v>956</v>
      </c>
      <c r="I330" s="570" t="s">
        <v>942</v>
      </c>
      <c r="J330" s="522" t="s">
        <v>363</v>
      </c>
      <c r="K330" s="471"/>
    </row>
    <row r="331" spans="1:12">
      <c r="A331" s="463"/>
      <c r="B331" s="576"/>
      <c r="C331" s="577"/>
      <c r="D331" s="578"/>
      <c r="E331" s="578"/>
      <c r="F331" s="579"/>
      <c r="G331" s="502"/>
      <c r="H331" s="502"/>
      <c r="I331" s="575"/>
      <c r="J331" s="505"/>
      <c r="K331" s="471"/>
    </row>
    <row r="332" spans="1:12">
      <c r="A332" s="463"/>
      <c r="B332" s="576"/>
      <c r="C332" s="577"/>
      <c r="D332" s="578"/>
      <c r="E332" s="578"/>
      <c r="F332" s="579"/>
      <c r="G332" s="502"/>
      <c r="H332" s="502"/>
      <c r="I332" s="575"/>
      <c r="J332" s="505">
        <f>G332*I332</f>
        <v>0</v>
      </c>
      <c r="K332" s="471"/>
    </row>
    <row r="333" spans="1:12">
      <c r="A333" s="463"/>
      <c r="B333" s="576"/>
      <c r="C333" s="577"/>
      <c r="D333" s="578"/>
      <c r="E333" s="578"/>
      <c r="F333" s="579"/>
      <c r="G333" s="502"/>
      <c r="H333" s="502"/>
      <c r="I333" s="575"/>
      <c r="J333" s="505">
        <f>G333*I333</f>
        <v>0</v>
      </c>
      <c r="K333" s="471"/>
    </row>
    <row r="334" spans="1:12">
      <c r="A334" s="463"/>
      <c r="B334" s="590"/>
      <c r="C334" s="591"/>
      <c r="D334" s="592"/>
      <c r="E334" s="592"/>
      <c r="F334" s="593"/>
      <c r="G334" s="502"/>
      <c r="H334" s="502"/>
      <c r="I334" s="575"/>
      <c r="J334" s="505">
        <f>G334*I334</f>
        <v>0</v>
      </c>
      <c r="K334" s="471"/>
    </row>
    <row r="335" spans="1:12">
      <c r="A335" s="463"/>
      <c r="B335" s="594"/>
      <c r="C335" s="536"/>
      <c r="D335" s="536"/>
      <c r="E335" s="595"/>
      <c r="F335" s="596"/>
      <c r="G335" s="545"/>
      <c r="H335" s="545"/>
      <c r="I335" s="537" t="s">
        <v>175</v>
      </c>
      <c r="J335" s="514">
        <f>SUM(J331:J334)</f>
        <v>0</v>
      </c>
      <c r="K335" s="471"/>
    </row>
    <row r="336" spans="1:12">
      <c r="A336" s="463"/>
      <c r="B336" s="597"/>
      <c r="C336" s="536"/>
      <c r="D336" s="536"/>
      <c r="E336" s="595"/>
      <c r="F336" s="596"/>
      <c r="G336" s="545"/>
      <c r="H336" s="545"/>
      <c r="I336" s="537"/>
      <c r="J336" s="595"/>
      <c r="K336" s="471"/>
    </row>
    <row r="337" spans="1:11" ht="20.399999999999999">
      <c r="A337" s="463"/>
      <c r="B337" s="598" t="s">
        <v>959</v>
      </c>
      <c r="C337" s="598"/>
      <c r="D337" s="598"/>
      <c r="E337" s="599"/>
      <c r="F337" s="600" t="s">
        <v>372</v>
      </c>
      <c r="G337" s="569" t="s">
        <v>960</v>
      </c>
      <c r="H337" s="519" t="s">
        <v>942</v>
      </c>
      <c r="I337" s="570" t="s">
        <v>361</v>
      </c>
      <c r="J337" s="522" t="s">
        <v>363</v>
      </c>
      <c r="K337" s="471"/>
    </row>
    <row r="338" spans="1:11">
      <c r="A338" s="463"/>
      <c r="B338" s="576" t="s">
        <v>946</v>
      </c>
      <c r="C338" s="577"/>
      <c r="D338" s="578"/>
      <c r="E338" s="579" t="s">
        <v>946</v>
      </c>
      <c r="F338" s="502">
        <v>0</v>
      </c>
      <c r="G338" s="502">
        <v>0</v>
      </c>
      <c r="H338" s="502">
        <v>0</v>
      </c>
      <c r="I338" s="575">
        <v>0</v>
      </c>
      <c r="J338" s="505">
        <f>I338*H338*G338*F338</f>
        <v>0</v>
      </c>
      <c r="K338" s="471"/>
    </row>
    <row r="339" spans="1:11">
      <c r="A339" s="463"/>
      <c r="B339" s="590" t="s">
        <v>946</v>
      </c>
      <c r="C339" s="591"/>
      <c r="D339" s="592"/>
      <c r="E339" s="593" t="s">
        <v>946</v>
      </c>
      <c r="F339" s="509">
        <v>0</v>
      </c>
      <c r="G339" s="509">
        <v>0</v>
      </c>
      <c r="H339" s="509">
        <v>0</v>
      </c>
      <c r="I339" s="601">
        <v>0</v>
      </c>
      <c r="J339" s="505">
        <f>I339*H339*G339*F339</f>
        <v>0</v>
      </c>
      <c r="K339" s="471"/>
    </row>
    <row r="340" spans="1:11">
      <c r="A340" s="463"/>
      <c r="B340" s="594"/>
      <c r="C340" s="536"/>
      <c r="D340" s="536"/>
      <c r="E340" s="595"/>
      <c r="F340" s="596"/>
      <c r="G340" s="545"/>
      <c r="H340" s="545"/>
      <c r="I340" s="537" t="s">
        <v>175</v>
      </c>
      <c r="J340" s="514">
        <f>SUM(J338:J339)</f>
        <v>0</v>
      </c>
      <c r="K340" s="471"/>
    </row>
    <row r="341" spans="1:11">
      <c r="A341" s="463"/>
      <c r="B341" s="536"/>
      <c r="C341" s="536"/>
      <c r="D341" s="536"/>
      <c r="E341" s="536"/>
      <c r="F341" s="536"/>
      <c r="G341" s="536"/>
      <c r="H341" s="536"/>
      <c r="I341" s="537"/>
      <c r="J341" s="536"/>
      <c r="K341" s="471"/>
    </row>
    <row r="342" spans="1:11">
      <c r="A342" s="463"/>
      <c r="B342" s="1481" t="s">
        <v>961</v>
      </c>
      <c r="C342" s="1482"/>
      <c r="D342" s="1482"/>
      <c r="E342" s="1482"/>
      <c r="F342" s="1482"/>
      <c r="G342" s="1482"/>
      <c r="H342" s="1482"/>
      <c r="I342" s="1483"/>
      <c r="J342" s="586" t="e">
        <f>J340+J335+J328</f>
        <v>#REF!</v>
      </c>
      <c r="K342" s="471"/>
    </row>
    <row r="343" spans="1:11">
      <c r="A343" s="463"/>
      <c r="B343" s="536"/>
      <c r="C343" s="536"/>
      <c r="D343" s="536"/>
      <c r="E343" s="536"/>
      <c r="F343" s="536"/>
      <c r="G343" s="536"/>
      <c r="H343" s="536"/>
      <c r="I343" s="537"/>
      <c r="J343" s="536"/>
      <c r="K343" s="471"/>
    </row>
    <row r="344" spans="1:11">
      <c r="A344" s="463"/>
      <c r="B344" s="1481" t="s">
        <v>962</v>
      </c>
      <c r="C344" s="1482"/>
      <c r="D344" s="1482"/>
      <c r="E344" s="1482"/>
      <c r="F344" s="1482"/>
      <c r="G344" s="1482"/>
      <c r="H344" s="1482"/>
      <c r="I344" s="1483"/>
      <c r="J344" s="514" t="e">
        <f>J342*0</f>
        <v>#REF!</v>
      </c>
      <c r="K344" s="471"/>
    </row>
    <row r="345" spans="1:11">
      <c r="A345" s="463"/>
      <c r="B345" s="536"/>
      <c r="C345" s="536"/>
      <c r="D345" s="536"/>
      <c r="E345" s="536"/>
      <c r="F345" s="536"/>
      <c r="G345" s="536"/>
      <c r="H345" s="536"/>
      <c r="I345" s="537"/>
      <c r="J345" s="536"/>
      <c r="K345" s="471"/>
    </row>
    <row r="346" spans="1:11">
      <c r="A346" s="463"/>
      <c r="B346" s="1481" t="s">
        <v>963</v>
      </c>
      <c r="C346" s="1482"/>
      <c r="D346" s="1482"/>
      <c r="E346" s="1482"/>
      <c r="F346" s="1482"/>
      <c r="G346" s="1482"/>
      <c r="H346" s="1482"/>
      <c r="I346" s="1483"/>
      <c r="J346" s="586" t="e">
        <f>J342+J344</f>
        <v>#REF!</v>
      </c>
      <c r="K346" s="471"/>
    </row>
    <row r="347" spans="1:11">
      <c r="A347" s="463"/>
      <c r="B347" s="524"/>
      <c r="C347" s="524"/>
      <c r="D347" s="524"/>
      <c r="E347" s="524"/>
      <c r="F347" s="524"/>
      <c r="G347" s="524"/>
      <c r="H347" s="524"/>
      <c r="I347" s="584"/>
      <c r="J347" s="524"/>
      <c r="K347" s="471"/>
    </row>
    <row r="348" spans="1:11">
      <c r="A348" s="463"/>
      <c r="B348" s="602"/>
      <c r="C348" s="572"/>
      <c r="D348" s="572"/>
      <c r="E348" s="572"/>
      <c r="F348" s="572"/>
      <c r="G348" s="572"/>
      <c r="H348" s="572"/>
      <c r="I348" s="572"/>
      <c r="J348" s="603"/>
      <c r="K348" s="471"/>
    </row>
    <row r="349" spans="1:11">
      <c r="A349" s="463"/>
      <c r="B349" s="604"/>
      <c r="C349" s="605"/>
      <c r="D349" s="606"/>
      <c r="E349" s="606"/>
      <c r="F349" s="607" t="s">
        <v>946</v>
      </c>
      <c r="G349" s="608" t="s">
        <v>946</v>
      </c>
      <c r="H349" s="605"/>
      <c r="I349" s="605"/>
      <c r="J349" s="609"/>
      <c r="K349" s="471"/>
    </row>
    <row r="350" spans="1:11">
      <c r="A350" s="463"/>
      <c r="B350" s="472"/>
      <c r="C350" s="472"/>
      <c r="D350" s="472"/>
      <c r="E350" s="472"/>
      <c r="F350" s="472"/>
      <c r="G350" s="472"/>
      <c r="H350" s="472"/>
      <c r="I350" s="472"/>
      <c r="J350" s="472"/>
      <c r="K350" s="471"/>
    </row>
    <row r="351" spans="1:11">
      <c r="A351" s="463"/>
      <c r="B351" s="610">
        <f>PLANEJAMENTO!E269</f>
        <v>0</v>
      </c>
      <c r="C351" s="611"/>
      <c r="D351" s="611"/>
      <c r="E351" s="611"/>
      <c r="F351" s="612"/>
      <c r="G351" s="613" t="s">
        <v>363</v>
      </c>
      <c r="H351" s="515"/>
      <c r="I351" s="515"/>
      <c r="J351" s="518"/>
      <c r="K351" s="471"/>
    </row>
    <row r="352" spans="1:11">
      <c r="A352" s="463"/>
      <c r="B352" s="614">
        <f>PLANEJAMENTO!E270</f>
        <v>0</v>
      </c>
      <c r="C352" s="615"/>
      <c r="D352" s="615"/>
      <c r="E352" s="615"/>
      <c r="F352" s="616"/>
      <c r="G352" s="1484" t="s">
        <v>964</v>
      </c>
      <c r="H352" s="1485"/>
      <c r="I352" s="1485"/>
      <c r="J352" s="1486"/>
      <c r="K352" s="471"/>
    </row>
    <row r="353" spans="1:11">
      <c r="A353" s="463"/>
      <c r="B353" s="617"/>
      <c r="C353" s="618"/>
      <c r="D353" s="618"/>
      <c r="E353" s="618"/>
      <c r="F353" s="619"/>
      <c r="G353" s="620"/>
      <c r="H353" s="1487"/>
      <c r="I353" s="1488"/>
      <c r="J353" s="1489"/>
      <c r="K353" s="471"/>
    </row>
    <row r="354" spans="1:11" ht="15" thickBot="1">
      <c r="A354" s="621"/>
      <c r="B354" s="622"/>
      <c r="C354" s="622"/>
      <c r="D354" s="622"/>
      <c r="E354" s="622"/>
      <c r="F354" s="622"/>
      <c r="G354" s="622"/>
      <c r="H354" s="622"/>
      <c r="I354" s="622"/>
      <c r="J354" s="622"/>
      <c r="K354" s="623"/>
    </row>
  </sheetData>
  <mergeCells count="70">
    <mergeCell ref="B344:I344"/>
    <mergeCell ref="B346:I346"/>
    <mergeCell ref="G352:J352"/>
    <mergeCell ref="H353:J353"/>
    <mergeCell ref="B317:E317"/>
    <mergeCell ref="B323:F323"/>
    <mergeCell ref="B326:I326"/>
    <mergeCell ref="B330:F330"/>
    <mergeCell ref="B342:I342"/>
    <mergeCell ref="D296:I296"/>
    <mergeCell ref="B299:C300"/>
    <mergeCell ref="D299:D300"/>
    <mergeCell ref="E299:E300"/>
    <mergeCell ref="B307:E307"/>
    <mergeCell ref="B33:E33"/>
    <mergeCell ref="D4:I4"/>
    <mergeCell ref="B7:C8"/>
    <mergeCell ref="D7:D8"/>
    <mergeCell ref="E7:E8"/>
    <mergeCell ref="B18:E18"/>
    <mergeCell ref="G71:J71"/>
    <mergeCell ref="H72:J72"/>
    <mergeCell ref="B42:F42"/>
    <mergeCell ref="B45:I45"/>
    <mergeCell ref="B49:F49"/>
    <mergeCell ref="B61:I61"/>
    <mergeCell ref="B63:I63"/>
    <mergeCell ref="B65:I65"/>
    <mergeCell ref="D77:I77"/>
    <mergeCell ref="B80:C81"/>
    <mergeCell ref="D80:D81"/>
    <mergeCell ref="E80:E81"/>
    <mergeCell ref="B91:E91"/>
    <mergeCell ref="B106:E106"/>
    <mergeCell ref="B115:F115"/>
    <mergeCell ref="B118:I118"/>
    <mergeCell ref="B122:F122"/>
    <mergeCell ref="B134:I134"/>
    <mergeCell ref="B136:I136"/>
    <mergeCell ref="B138:I138"/>
    <mergeCell ref="G144:J144"/>
    <mergeCell ref="H145:J145"/>
    <mergeCell ref="D150:I150"/>
    <mergeCell ref="B153:C154"/>
    <mergeCell ref="D153:D154"/>
    <mergeCell ref="E153:E154"/>
    <mergeCell ref="B164:E164"/>
    <mergeCell ref="B179:E179"/>
    <mergeCell ref="B188:F188"/>
    <mergeCell ref="B191:I191"/>
    <mergeCell ref="B195:F195"/>
    <mergeCell ref="B207:I207"/>
    <mergeCell ref="B209:I209"/>
    <mergeCell ref="B211:I211"/>
    <mergeCell ref="G217:J217"/>
    <mergeCell ref="H218:J218"/>
    <mergeCell ref="D223:I223"/>
    <mergeCell ref="B226:C227"/>
    <mergeCell ref="D226:D227"/>
    <mergeCell ref="E226:E227"/>
    <mergeCell ref="B237:E237"/>
    <mergeCell ref="B252:E252"/>
    <mergeCell ref="B261:F261"/>
    <mergeCell ref="B264:I264"/>
    <mergeCell ref="B268:F268"/>
    <mergeCell ref="B280:I280"/>
    <mergeCell ref="B282:I282"/>
    <mergeCell ref="B284:I284"/>
    <mergeCell ref="G290:J290"/>
    <mergeCell ref="H291:J291"/>
  </mergeCells>
  <pageMargins left="0.511811024" right="0.511811024" top="0.78740157499999996" bottom="0.78740157499999996" header="0.31496062000000002" footer="0.31496062000000002"/>
  <pageSetup paperSize="9" scale="65" orientation="portrait" r:id="rId1"/>
  <rowBreaks count="2" manualBreakCount="2">
    <brk id="73" max="16383" man="1"/>
    <brk id="219"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0DD45-17E2-4832-8708-094C3208700D}">
  <sheetPr codeName="Planilha47">
    <tabColor rgb="FFFFFF66"/>
  </sheetPr>
  <dimension ref="A1:K148"/>
  <sheetViews>
    <sheetView view="pageBreakPreview" topLeftCell="A18" zoomScaleNormal="100" zoomScaleSheetLayoutView="100" workbookViewId="0">
      <selection activeCell="F31" sqref="F31"/>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235</v>
      </c>
      <c r="E5" s="479"/>
      <c r="F5" s="479"/>
      <c r="G5" s="479"/>
      <c r="H5" s="479"/>
      <c r="I5" s="480"/>
      <c r="J5" s="481" t="str">
        <f>F31</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640</v>
      </c>
      <c r="C9" s="492"/>
      <c r="D9" s="493"/>
      <c r="E9" s="494">
        <v>1</v>
      </c>
      <c r="F9" s="494">
        <v>1</v>
      </c>
      <c r="G9" s="495">
        <f>1-F9</f>
        <v>0</v>
      </c>
      <c r="H9" s="503">
        <f>VLOOKUP(B9,EQUIPAMENTOS!$A:$J,10,FALSE)</f>
        <v>163</v>
      </c>
      <c r="I9" s="497">
        <f>H9</f>
        <v>163</v>
      </c>
      <c r="J9" s="498">
        <f t="shared" ref="J9:J15" si="0">H9*F9*E9+I9*G9*E9</f>
        <v>163</v>
      </c>
      <c r="K9" s="471"/>
    </row>
    <row r="10" spans="1:11">
      <c r="A10" s="463"/>
      <c r="B10" s="499" t="s">
        <v>667</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986</v>
      </c>
      <c r="C11" s="500"/>
      <c r="D11" s="501"/>
      <c r="E11" s="502">
        <v>2</v>
      </c>
      <c r="F11" s="502">
        <v>1</v>
      </c>
      <c r="G11" s="502">
        <f>1-F11</f>
        <v>0</v>
      </c>
      <c r="H11" s="503">
        <f>VLOOKUP(B11,EQUIPAMENTOS!$A:$J,10,FALSE)</f>
        <v>145</v>
      </c>
      <c r="I11" s="504">
        <f>H11</f>
        <v>145</v>
      </c>
      <c r="J11" s="505">
        <f t="shared" si="0"/>
        <v>290</v>
      </c>
      <c r="K11" s="471"/>
    </row>
    <row r="12" spans="1:11">
      <c r="A12" s="463"/>
      <c r="B12" s="499" t="s">
        <v>627</v>
      </c>
      <c r="C12" s="500"/>
      <c r="D12" s="501"/>
      <c r="E12" s="502">
        <v>2</v>
      </c>
      <c r="F12" s="502">
        <v>1</v>
      </c>
      <c r="G12" s="502">
        <f>1-F12</f>
        <v>0</v>
      </c>
      <c r="H12" s="503">
        <f>VLOOKUP(B12,EQUIPAMENTOS!$A:$J,10,FALSE)</f>
        <v>100</v>
      </c>
      <c r="I12" s="504">
        <f>H12</f>
        <v>100</v>
      </c>
      <c r="J12" s="505">
        <f t="shared" si="0"/>
        <v>200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787.05277777777781</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f>
        <v>55</v>
      </c>
      <c r="F31" s="541" t="s">
        <v>208</v>
      </c>
      <c r="G31" s="519"/>
      <c r="H31" s="519"/>
      <c r="I31" s="542" t="s">
        <v>953</v>
      </c>
      <c r="J31" s="514">
        <f>J16+J29</f>
        <v>1001.5175050505051</v>
      </c>
      <c r="K31" s="471"/>
    </row>
    <row r="32" spans="1:11">
      <c r="A32" s="463"/>
      <c r="B32" s="543"/>
      <c r="C32" s="536"/>
      <c r="D32" s="536"/>
      <c r="E32" s="544"/>
      <c r="F32" s="545"/>
      <c r="G32" s="545"/>
      <c r="H32" s="545"/>
      <c r="I32" s="537"/>
      <c r="J32" s="536"/>
      <c r="K32" s="471"/>
    </row>
    <row r="33" spans="1:11" ht="20.399999999999999">
      <c r="A33" s="463"/>
      <c r="B33" s="1493" t="s">
        <v>362</v>
      </c>
      <c r="C33" s="1494"/>
      <c r="D33" s="1494"/>
      <c r="E33" s="1495"/>
      <c r="F33" s="546" t="s">
        <v>688</v>
      </c>
      <c r="G33" s="547" t="s">
        <v>371</v>
      </c>
      <c r="H33" s="520" t="s">
        <v>942</v>
      </c>
      <c r="I33" s="548" t="s">
        <v>361</v>
      </c>
      <c r="J33" s="549" t="s">
        <v>363</v>
      </c>
      <c r="K33" s="471"/>
    </row>
    <row r="34" spans="1:11">
      <c r="A34" s="463"/>
      <c r="B34" s="550" t="str">
        <f>B9</f>
        <v>Motoniveladora 120K</v>
      </c>
      <c r="C34" s="551"/>
      <c r="D34" s="551"/>
      <c r="E34" s="552"/>
      <c r="F34" s="553" t="str">
        <f>VLOOKUP(B34,EQUIPAMENTOS!$A:$N,12,FALSE)</f>
        <v>Diesel S10</v>
      </c>
      <c r="G34" s="554" t="s">
        <v>415</v>
      </c>
      <c r="H34" s="560">
        <f>VLOOKUP(B34,EQUIPAMENTOS!$A:$N,13,FALSE)</f>
        <v>0</v>
      </c>
      <c r="I34" s="556">
        <f>VLOOKUP(B34,EQUIPAMENTOS!$A:$N,14,FALSE)</f>
        <v>16</v>
      </c>
      <c r="J34" s="505">
        <f>H34*I34*E9*F9</f>
        <v>0</v>
      </c>
      <c r="K34" s="471"/>
    </row>
    <row r="35" spans="1:11">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H35*I35*E10*F10</f>
        <v>0</v>
      </c>
      <c r="K35" s="471"/>
    </row>
    <row r="36" spans="1:11">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H36*I36*E11*F11</f>
        <v>0</v>
      </c>
      <c r="K36" s="471"/>
    </row>
    <row r="37" spans="1:11">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H37*I37*E12*F12</f>
        <v>0</v>
      </c>
      <c r="K37" s="471"/>
    </row>
    <row r="38" spans="1:11">
      <c r="A38" s="463"/>
      <c r="B38" s="530"/>
      <c r="C38" s="531"/>
      <c r="D38" s="531"/>
      <c r="E38" s="500"/>
      <c r="F38" s="501"/>
      <c r="G38" s="559"/>
      <c r="H38" s="560"/>
      <c r="I38" s="556"/>
      <c r="J38" s="505">
        <f>H38*I38*E13</f>
        <v>0</v>
      </c>
      <c r="K38" s="471"/>
    </row>
    <row r="39" spans="1:11">
      <c r="A39" s="463"/>
      <c r="B39" s="530"/>
      <c r="C39" s="539"/>
      <c r="D39" s="539"/>
      <c r="E39" s="507"/>
      <c r="F39" s="501"/>
      <c r="G39" s="481"/>
      <c r="H39" s="560"/>
      <c r="I39" s="561"/>
      <c r="J39" s="562">
        <f>H39*I39*E14</f>
        <v>0</v>
      </c>
      <c r="K39" s="471"/>
    </row>
    <row r="40" spans="1:11">
      <c r="A40" s="463"/>
      <c r="B40" s="563" t="s">
        <v>946</v>
      </c>
      <c r="C40" s="539"/>
      <c r="D40" s="539"/>
      <c r="E40" s="539"/>
      <c r="F40" s="536"/>
      <c r="G40" s="539"/>
      <c r="H40" s="564"/>
      <c r="I40" s="565" t="s">
        <v>175</v>
      </c>
      <c r="J40" s="514">
        <f>SUM(J34:J39)</f>
        <v>0</v>
      </c>
      <c r="K40" s="471"/>
    </row>
    <row r="41" spans="1:11">
      <c r="A41" s="463"/>
      <c r="B41" s="566"/>
      <c r="C41" s="539"/>
      <c r="D41" s="539"/>
      <c r="E41" s="567"/>
      <c r="F41" s="568"/>
      <c r="G41" s="519"/>
      <c r="H41" s="519"/>
      <c r="I41" s="542"/>
      <c r="J41" s="567"/>
      <c r="K41" s="471"/>
    </row>
    <row r="42" spans="1:11" ht="20.399999999999999">
      <c r="A42" s="463"/>
      <c r="B42" s="1493" t="s">
        <v>955</v>
      </c>
      <c r="C42" s="1494"/>
      <c r="D42" s="1494"/>
      <c r="E42" s="1494"/>
      <c r="F42" s="1495"/>
      <c r="G42" s="569" t="s">
        <v>372</v>
      </c>
      <c r="H42" s="519" t="s">
        <v>956</v>
      </c>
      <c r="I42" s="570" t="s">
        <v>942</v>
      </c>
      <c r="J42" s="522" t="s">
        <v>363</v>
      </c>
      <c r="K42" s="471"/>
    </row>
    <row r="43" spans="1:11">
      <c r="A43" s="463"/>
      <c r="B43" s="571"/>
      <c r="C43" s="572"/>
      <c r="D43" s="573"/>
      <c r="E43" s="573"/>
      <c r="F43" s="574"/>
      <c r="G43" s="502"/>
      <c r="H43" s="502"/>
      <c r="I43" s="575"/>
      <c r="J43" s="505"/>
      <c r="K43" s="471"/>
    </row>
    <row r="44" spans="1:11">
      <c r="A44" s="463"/>
      <c r="B44" s="576"/>
      <c r="C44" s="577"/>
      <c r="D44" s="578"/>
      <c r="E44" s="578"/>
      <c r="F44" s="579"/>
      <c r="G44" s="502"/>
      <c r="H44" s="502"/>
      <c r="I44" s="575"/>
      <c r="J44" s="505"/>
      <c r="K44" s="471"/>
    </row>
    <row r="45" spans="1:11">
      <c r="A45" s="463"/>
      <c r="B45" s="1496" t="s">
        <v>175</v>
      </c>
      <c r="C45" s="1496"/>
      <c r="D45" s="1496"/>
      <c r="E45" s="1496"/>
      <c r="F45" s="1496"/>
      <c r="G45" s="1496"/>
      <c r="H45" s="1496"/>
      <c r="I45" s="1496"/>
      <c r="J45" s="514">
        <f>SUM(J43:J44)</f>
        <v>0</v>
      </c>
      <c r="K45" s="471"/>
    </row>
    <row r="46" spans="1:11">
      <c r="A46" s="463"/>
      <c r="B46" s="580"/>
      <c r="C46" s="524"/>
      <c r="D46" s="524"/>
      <c r="E46" s="581"/>
      <c r="F46" s="582"/>
      <c r="G46" s="583"/>
      <c r="H46" s="583"/>
      <c r="I46" s="584"/>
      <c r="J46" s="585"/>
      <c r="K46" s="471"/>
    </row>
    <row r="47" spans="1:11">
      <c r="A47" s="463"/>
      <c r="B47" s="586" t="s">
        <v>957</v>
      </c>
      <c r="C47" s="586"/>
      <c r="D47" s="563"/>
      <c r="E47" s="536"/>
      <c r="F47" s="536"/>
      <c r="G47" s="536"/>
      <c r="H47" s="587"/>
      <c r="I47" s="588"/>
      <c r="J47" s="514">
        <f>(J31+J40+J45)/E31</f>
        <v>18.209409182736454</v>
      </c>
      <c r="K47" s="471"/>
    </row>
    <row r="48" spans="1:11">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1" t="s">
        <v>1037</v>
      </c>
      <c r="C50" s="572"/>
      <c r="D50" s="573"/>
      <c r="E50" s="573"/>
      <c r="F50" s="574"/>
      <c r="G50" s="502">
        <v>1.3</v>
      </c>
      <c r="H50" s="502" t="s">
        <v>208</v>
      </c>
      <c r="I50" s="575">
        <f>280/12</f>
        <v>23.333333333333332</v>
      </c>
      <c r="J50" s="505">
        <f>G50*I50</f>
        <v>30.333333333333332</v>
      </c>
      <c r="K50" s="471"/>
    </row>
    <row r="51" spans="1:11">
      <c r="A51" s="463"/>
      <c r="B51" s="576" t="s">
        <v>1038</v>
      </c>
      <c r="C51" s="577"/>
      <c r="D51" s="578"/>
      <c r="E51" s="578"/>
      <c r="F51" s="579"/>
      <c r="G51" s="502"/>
      <c r="H51" s="502" t="s">
        <v>208</v>
      </c>
      <c r="I51" s="575">
        <f>(73.6)*2.24</f>
        <v>164.864</v>
      </c>
      <c r="J51" s="505">
        <f>G51*I51</f>
        <v>0</v>
      </c>
      <c r="K51" s="471"/>
    </row>
    <row r="52" spans="1:11">
      <c r="A52" s="463"/>
      <c r="B52" s="576" t="s">
        <v>1039</v>
      </c>
      <c r="C52" s="577"/>
      <c r="D52" s="578"/>
      <c r="E52" s="578"/>
      <c r="F52" s="579"/>
      <c r="G52" s="502"/>
      <c r="H52" s="502" t="s">
        <v>208</v>
      </c>
      <c r="I52" s="575">
        <f>2180*(30/50)</f>
        <v>1308</v>
      </c>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30.333333333333332</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1040</v>
      </c>
      <c r="C57" s="577"/>
      <c r="D57" s="578"/>
      <c r="E57" s="579" t="s">
        <v>946</v>
      </c>
      <c r="F57" s="502">
        <v>1.3</v>
      </c>
      <c r="G57" s="502">
        <v>27</v>
      </c>
      <c r="H57" s="502">
        <v>1</v>
      </c>
      <c r="I57" s="575">
        <v>1</v>
      </c>
      <c r="J57" s="505">
        <f>I57*H57*G57*F57</f>
        <v>35.1</v>
      </c>
      <c r="K57" s="471"/>
    </row>
    <row r="58" spans="1:11">
      <c r="A58" s="463"/>
      <c r="B58" s="576" t="s">
        <v>1041</v>
      </c>
      <c r="C58" s="577"/>
      <c r="D58" s="578"/>
      <c r="E58" s="579"/>
      <c r="F58" s="502">
        <f>1/160</f>
        <v>6.2500000000000003E-3</v>
      </c>
      <c r="G58" s="502">
        <v>1</v>
      </c>
      <c r="H58" s="502">
        <f>EQUIPAMENTOS!J14</f>
        <v>175</v>
      </c>
      <c r="I58" s="575">
        <v>1.3</v>
      </c>
      <c r="J58" s="505">
        <f>I58*H58*G58*F58</f>
        <v>1.421875</v>
      </c>
      <c r="K58" s="471"/>
    </row>
    <row r="59" spans="1:11">
      <c r="A59" s="463"/>
      <c r="B59" s="590" t="s">
        <v>1042</v>
      </c>
      <c r="C59" s="591"/>
      <c r="D59" s="592"/>
      <c r="E59" s="593" t="s">
        <v>946</v>
      </c>
      <c r="F59" s="509">
        <f>1/160</f>
        <v>6.2500000000000003E-3</v>
      </c>
      <c r="G59" s="509">
        <v>1</v>
      </c>
      <c r="H59" s="509">
        <f>DADOS!E21</f>
        <v>0</v>
      </c>
      <c r="I59" s="601">
        <f>EQUIPAMENTOS!N14</f>
        <v>22</v>
      </c>
      <c r="J59" s="505">
        <f>I59*H59*G59*F59</f>
        <v>0</v>
      </c>
      <c r="K59" s="471"/>
    </row>
    <row r="60" spans="1:11">
      <c r="A60" s="463"/>
      <c r="B60" s="594"/>
      <c r="C60" s="536"/>
      <c r="D60" s="536"/>
      <c r="E60" s="595"/>
      <c r="F60" s="596"/>
      <c r="G60" s="545"/>
      <c r="H60" s="545"/>
      <c r="I60" s="537" t="s">
        <v>175</v>
      </c>
      <c r="J60" s="514">
        <f>SUM(J57:J59)</f>
        <v>36.521875000000001</v>
      </c>
      <c r="K60" s="471"/>
    </row>
    <row r="61" spans="1:11">
      <c r="A61" s="463"/>
      <c r="B61" s="536"/>
      <c r="C61" s="536"/>
      <c r="D61" s="536"/>
      <c r="E61" s="536"/>
      <c r="F61" s="536"/>
      <c r="G61" s="536"/>
      <c r="H61" s="536"/>
      <c r="I61" s="537"/>
      <c r="J61" s="536"/>
      <c r="K61" s="471"/>
    </row>
    <row r="62" spans="1:11">
      <c r="A62" s="463"/>
      <c r="B62" s="1481" t="s">
        <v>961</v>
      </c>
      <c r="C62" s="1482"/>
      <c r="D62" s="1482"/>
      <c r="E62" s="1482"/>
      <c r="F62" s="1482"/>
      <c r="G62" s="1482"/>
      <c r="H62" s="1482"/>
      <c r="I62" s="1483"/>
      <c r="J62" s="586">
        <f>J60+J54+J47</f>
        <v>85.064617516069788</v>
      </c>
      <c r="K62" s="471"/>
    </row>
    <row r="63" spans="1:11">
      <c r="A63" s="463"/>
      <c r="B63" s="536"/>
      <c r="C63" s="536"/>
      <c r="D63" s="536"/>
      <c r="E63" s="536"/>
      <c r="F63" s="536"/>
      <c r="G63" s="536"/>
      <c r="H63" s="536"/>
      <c r="I63" s="537"/>
      <c r="J63" s="536"/>
      <c r="K63" s="471"/>
    </row>
    <row r="64" spans="1:11">
      <c r="A64" s="463"/>
      <c r="B64" s="1481" t="s">
        <v>962</v>
      </c>
      <c r="C64" s="1482"/>
      <c r="D64" s="1482"/>
      <c r="E64" s="1482"/>
      <c r="F64" s="1482"/>
      <c r="G64" s="1482"/>
      <c r="H64" s="1482"/>
      <c r="I64" s="1483"/>
      <c r="J64" s="514">
        <f>J62*0</f>
        <v>0</v>
      </c>
      <c r="K64" s="471"/>
    </row>
    <row r="65" spans="1:11">
      <c r="A65" s="463"/>
      <c r="B65" s="536"/>
      <c r="C65" s="536"/>
      <c r="D65" s="536"/>
      <c r="E65" s="536"/>
      <c r="F65" s="536"/>
      <c r="G65" s="536"/>
      <c r="H65" s="536"/>
      <c r="I65" s="537"/>
      <c r="J65" s="536"/>
      <c r="K65" s="471"/>
    </row>
    <row r="66" spans="1:11">
      <c r="A66" s="463"/>
      <c r="B66" s="1481" t="s">
        <v>963</v>
      </c>
      <c r="C66" s="1482"/>
      <c r="D66" s="1482"/>
      <c r="E66" s="1482"/>
      <c r="F66" s="1482"/>
      <c r="G66" s="1482"/>
      <c r="H66" s="1482"/>
      <c r="I66" s="1483"/>
      <c r="J66" s="586">
        <f>J62+J64</f>
        <v>85.064617516069788</v>
      </c>
      <c r="K66" s="471"/>
    </row>
    <row r="67" spans="1:11">
      <c r="A67" s="463"/>
      <c r="B67" s="524"/>
      <c r="C67" s="524"/>
      <c r="D67" s="524"/>
      <c r="E67" s="524"/>
      <c r="F67" s="524"/>
      <c r="G67" s="524"/>
      <c r="H67" s="524"/>
      <c r="I67" s="584"/>
      <c r="J67" s="524"/>
      <c r="K67" s="471"/>
    </row>
    <row r="68" spans="1:11">
      <c r="A68" s="463"/>
      <c r="B68" s="602"/>
      <c r="C68" s="572"/>
      <c r="D68" s="572"/>
      <c r="E68" s="572"/>
      <c r="F68" s="572"/>
      <c r="G68" s="572"/>
      <c r="H68" s="572"/>
      <c r="I68" s="572"/>
      <c r="J68" s="603"/>
      <c r="K68" s="471"/>
    </row>
    <row r="69" spans="1:11">
      <c r="A69" s="463"/>
      <c r="B69" s="604"/>
      <c r="C69" s="605"/>
      <c r="D69" s="606"/>
      <c r="E69" s="606"/>
      <c r="F69" s="607" t="s">
        <v>946</v>
      </c>
      <c r="G69" s="608" t="s">
        <v>946</v>
      </c>
      <c r="H69" s="605"/>
      <c r="I69" s="605"/>
      <c r="J69" s="609"/>
      <c r="K69" s="471"/>
    </row>
    <row r="70" spans="1:11">
      <c r="A70" s="463"/>
      <c r="B70" s="472"/>
      <c r="C70" s="472"/>
      <c r="D70" s="472"/>
      <c r="E70" s="472"/>
      <c r="F70" s="472"/>
      <c r="G70" s="472"/>
      <c r="H70" s="472"/>
      <c r="I70" s="472"/>
      <c r="J70" s="472"/>
      <c r="K70" s="471"/>
    </row>
    <row r="71" spans="1:11">
      <c r="A71" s="463"/>
      <c r="B71" s="610" t="str">
        <f>PLANEJAMENTO!F2</f>
        <v>OPERAÇÃO DE SUPRESSÃO E SUMP</v>
      </c>
      <c r="C71" s="611"/>
      <c r="D71" s="611"/>
      <c r="E71" s="611"/>
      <c r="F71" s="612"/>
      <c r="G71" s="613" t="s">
        <v>363</v>
      </c>
      <c r="H71" s="515"/>
      <c r="I71" s="515"/>
      <c r="J71" s="518"/>
      <c r="K71" s="471"/>
    </row>
    <row r="72" spans="1:11">
      <c r="A72" s="463"/>
      <c r="B72" s="614" t="str">
        <f>PLANEJAMENTO!F3</f>
        <v>MARA ROSA</v>
      </c>
      <c r="C72" s="615"/>
      <c r="D72" s="615"/>
      <c r="E72" s="615"/>
      <c r="F72" s="616"/>
      <c r="G72" s="1484" t="s">
        <v>964</v>
      </c>
      <c r="H72" s="1485"/>
      <c r="I72" s="1485"/>
      <c r="J72" s="1486"/>
      <c r="K72" s="471"/>
    </row>
    <row r="73" spans="1:11">
      <c r="A73" s="463"/>
      <c r="B73" s="617"/>
      <c r="C73" s="618"/>
      <c r="D73" s="618"/>
      <c r="E73" s="618"/>
      <c r="F73" s="619"/>
      <c r="G73" s="620"/>
      <c r="H73" s="1487"/>
      <c r="I73" s="1488"/>
      <c r="J73" s="1489"/>
      <c r="K73" s="471"/>
    </row>
    <row r="74" spans="1:11" ht="15" thickBot="1">
      <c r="A74" s="621"/>
      <c r="B74" s="622"/>
      <c r="C74" s="622"/>
      <c r="D74" s="622"/>
      <c r="E74" s="622"/>
      <c r="F74" s="622"/>
      <c r="G74" s="622"/>
      <c r="H74" s="622"/>
      <c r="I74" s="622"/>
      <c r="J74" s="622"/>
      <c r="K74" s="623"/>
    </row>
    <row r="75" spans="1:11">
      <c r="A75" s="460"/>
      <c r="B75" s="461"/>
      <c r="C75" s="461"/>
      <c r="D75" s="461"/>
      <c r="E75" s="461"/>
      <c r="F75" s="461"/>
      <c r="G75" s="461"/>
      <c r="H75" s="461"/>
      <c r="I75" s="461"/>
      <c r="J75" s="461"/>
      <c r="K75" s="462"/>
    </row>
    <row r="76" spans="1:11">
      <c r="A76" s="463"/>
      <c r="B76" s="464" t="s">
        <v>178</v>
      </c>
      <c r="C76" s="465"/>
      <c r="D76" s="466" t="s">
        <v>936</v>
      </c>
      <c r="E76" s="467"/>
      <c r="F76" s="468"/>
      <c r="G76" s="468"/>
      <c r="H76" s="469"/>
      <c r="I76" s="469"/>
      <c r="J76" s="470"/>
      <c r="K76" s="471"/>
    </row>
    <row r="77" spans="1:11">
      <c r="A77" s="463"/>
      <c r="B77" s="472"/>
      <c r="C77" s="472"/>
      <c r="D77" s="472"/>
      <c r="E77" s="472"/>
      <c r="F77" s="472"/>
      <c r="G77" s="472"/>
      <c r="H77" s="472"/>
      <c r="I77" s="472"/>
      <c r="J77" s="472"/>
      <c r="K77" s="471"/>
    </row>
    <row r="78" spans="1:11">
      <c r="A78" s="463"/>
      <c r="B78" s="473" t="s">
        <v>688</v>
      </c>
      <c r="C78" s="474" t="s">
        <v>937</v>
      </c>
      <c r="D78" s="1497" t="s">
        <v>250</v>
      </c>
      <c r="E78" s="1498"/>
      <c r="F78" s="1498"/>
      <c r="G78" s="1498"/>
      <c r="H78" s="1498"/>
      <c r="I78" s="1499"/>
      <c r="J78" s="475" t="s">
        <v>267</v>
      </c>
      <c r="K78" s="471"/>
    </row>
    <row r="79" spans="1:11">
      <c r="A79" s="463"/>
      <c r="B79" s="476" t="s">
        <v>3</v>
      </c>
      <c r="C79" s="477"/>
      <c r="D79" s="478" t="s">
        <v>234</v>
      </c>
      <c r="E79" s="479"/>
      <c r="F79" s="479"/>
      <c r="G79" s="479"/>
      <c r="H79" s="479"/>
      <c r="I79" s="480"/>
      <c r="J79" s="481" t="str">
        <f>F105</f>
        <v>m3</v>
      </c>
      <c r="K79" s="471"/>
    </row>
    <row r="80" spans="1:11">
      <c r="A80" s="463"/>
      <c r="B80" s="482"/>
      <c r="C80" s="482"/>
      <c r="D80" s="482"/>
      <c r="E80" s="482"/>
      <c r="F80" s="482"/>
      <c r="G80" s="482"/>
      <c r="H80" s="482"/>
      <c r="I80" s="483"/>
      <c r="J80" s="484"/>
      <c r="K80" s="471"/>
    </row>
    <row r="81" spans="1:11">
      <c r="A81" s="463"/>
      <c r="B81" s="1484" t="s">
        <v>938</v>
      </c>
      <c r="C81" s="1486"/>
      <c r="D81" s="1502" t="s">
        <v>688</v>
      </c>
      <c r="E81" s="1504" t="s">
        <v>939</v>
      </c>
      <c r="F81" s="485" t="s">
        <v>940</v>
      </c>
      <c r="G81" s="486"/>
      <c r="H81" s="485" t="s">
        <v>941</v>
      </c>
      <c r="I81" s="486"/>
      <c r="J81" s="487" t="s">
        <v>942</v>
      </c>
      <c r="K81" s="471"/>
    </row>
    <row r="82" spans="1:11">
      <c r="A82" s="463"/>
      <c r="B82" s="1500"/>
      <c r="C82" s="1501"/>
      <c r="D82" s="1503"/>
      <c r="E82" s="1505"/>
      <c r="F82" s="488" t="s">
        <v>943</v>
      </c>
      <c r="G82" s="488" t="s">
        <v>944</v>
      </c>
      <c r="H82" s="488" t="s">
        <v>943</v>
      </c>
      <c r="I82" s="489" t="s">
        <v>944</v>
      </c>
      <c r="J82" s="490" t="s">
        <v>945</v>
      </c>
      <c r="K82" s="471"/>
    </row>
    <row r="83" spans="1:11">
      <c r="A83" s="463"/>
      <c r="B83" s="499" t="s">
        <v>640</v>
      </c>
      <c r="C83" s="492"/>
      <c r="D83" s="493"/>
      <c r="E83" s="494">
        <v>1</v>
      </c>
      <c r="F83" s="494">
        <v>1</v>
      </c>
      <c r="G83" s="495">
        <f>1-F83</f>
        <v>0</v>
      </c>
      <c r="H83" s="503">
        <f>VLOOKUP(B83,EQUIPAMENTOS!$A:$J,10,FALSE)</f>
        <v>163</v>
      </c>
      <c r="I83" s="497">
        <f>H83</f>
        <v>163</v>
      </c>
      <c r="J83" s="498">
        <f t="shared" ref="J83:J89" si="2">H83*F83*E83+I83*G83*E83</f>
        <v>163</v>
      </c>
      <c r="K83" s="471"/>
    </row>
    <row r="84" spans="1:11">
      <c r="A84" s="463"/>
      <c r="B84" s="499" t="s">
        <v>667</v>
      </c>
      <c r="C84" s="500"/>
      <c r="D84" s="501"/>
      <c r="E84" s="502">
        <v>1</v>
      </c>
      <c r="F84" s="502">
        <v>1</v>
      </c>
      <c r="G84" s="502">
        <f>1-F84</f>
        <v>0</v>
      </c>
      <c r="H84" s="503">
        <f>VLOOKUP(B84,EQUIPAMENTOS!$A:$J,10,FALSE)</f>
        <v>134.05277777777778</v>
      </c>
      <c r="I84" s="504">
        <f>H84</f>
        <v>134.05277777777778</v>
      </c>
      <c r="J84" s="505">
        <f t="shared" si="2"/>
        <v>134.05277777777778</v>
      </c>
      <c r="K84" s="471"/>
    </row>
    <row r="85" spans="1:11">
      <c r="A85" s="463"/>
      <c r="B85" s="499" t="s">
        <v>986</v>
      </c>
      <c r="C85" s="500"/>
      <c r="D85" s="501"/>
      <c r="E85" s="502">
        <v>2</v>
      </c>
      <c r="F85" s="502">
        <v>1</v>
      </c>
      <c r="G85" s="502">
        <f>1-F85</f>
        <v>0</v>
      </c>
      <c r="H85" s="503">
        <f>VLOOKUP(B85,EQUIPAMENTOS!$A:$J,10,FALSE)</f>
        <v>145</v>
      </c>
      <c r="I85" s="504">
        <f>H85</f>
        <v>145</v>
      </c>
      <c r="J85" s="505">
        <f t="shared" si="2"/>
        <v>290</v>
      </c>
      <c r="K85" s="471"/>
    </row>
    <row r="86" spans="1:11">
      <c r="A86" s="463"/>
      <c r="B86" s="499" t="s">
        <v>627</v>
      </c>
      <c r="C86" s="500"/>
      <c r="D86" s="501"/>
      <c r="E86" s="502">
        <v>2</v>
      </c>
      <c r="F86" s="502">
        <v>1</v>
      </c>
      <c r="G86" s="502">
        <f>1-F86</f>
        <v>0</v>
      </c>
      <c r="H86" s="503">
        <f>VLOOKUP(B86,EQUIPAMENTOS!$A:$J,10,FALSE)</f>
        <v>100</v>
      </c>
      <c r="I86" s="504">
        <f>H86</f>
        <v>100</v>
      </c>
      <c r="J86" s="505">
        <f t="shared" si="2"/>
        <v>200</v>
      </c>
      <c r="K86" s="471"/>
    </row>
    <row r="87" spans="1:11">
      <c r="A87" s="463"/>
      <c r="B87" s="499"/>
      <c r="C87" s="500"/>
      <c r="D87" s="501"/>
      <c r="E87" s="502"/>
      <c r="F87" s="502"/>
      <c r="G87" s="502"/>
      <c r="H87" s="503"/>
      <c r="I87" s="504"/>
      <c r="J87" s="505">
        <f t="shared" si="2"/>
        <v>0</v>
      </c>
      <c r="K87" s="471"/>
    </row>
    <row r="88" spans="1:11">
      <c r="A88" s="463"/>
      <c r="B88" s="499"/>
      <c r="C88" s="500"/>
      <c r="D88" s="501"/>
      <c r="E88" s="502"/>
      <c r="F88" s="502"/>
      <c r="G88" s="502"/>
      <c r="H88" s="503"/>
      <c r="I88" s="504"/>
      <c r="J88" s="505">
        <f t="shared" si="2"/>
        <v>0</v>
      </c>
      <c r="K88" s="471"/>
    </row>
    <row r="89" spans="1:11">
      <c r="A89" s="463"/>
      <c r="B89" s="506"/>
      <c r="C89" s="507"/>
      <c r="D89" s="508"/>
      <c r="E89" s="509"/>
      <c r="F89" s="509"/>
      <c r="G89" s="509"/>
      <c r="H89" s="510"/>
      <c r="I89" s="511"/>
      <c r="J89" s="505">
        <f t="shared" si="2"/>
        <v>0</v>
      </c>
      <c r="K89" s="471"/>
    </row>
    <row r="90" spans="1:11">
      <c r="A90" s="463"/>
      <c r="B90" s="512" t="s">
        <v>946</v>
      </c>
      <c r="C90" s="482"/>
      <c r="D90" s="482"/>
      <c r="E90" s="482"/>
      <c r="F90" s="482"/>
      <c r="G90" s="482"/>
      <c r="H90" s="482"/>
      <c r="I90" s="513" t="s">
        <v>175</v>
      </c>
      <c r="J90" s="514">
        <f>SUM(J83:J89)</f>
        <v>787.05277777777781</v>
      </c>
      <c r="K90" s="471"/>
    </row>
    <row r="91" spans="1:11">
      <c r="A91" s="463"/>
      <c r="B91" s="515"/>
      <c r="C91" s="515"/>
      <c r="D91" s="515"/>
      <c r="E91" s="515"/>
      <c r="F91" s="515"/>
      <c r="G91" s="515"/>
      <c r="H91" s="515"/>
      <c r="I91" s="516"/>
      <c r="J91" s="517"/>
      <c r="K91" s="471"/>
    </row>
    <row r="92" spans="1:11" ht="20.399999999999999">
      <c r="A92" s="463"/>
      <c r="B92" s="1490" t="s">
        <v>947</v>
      </c>
      <c r="C92" s="1491"/>
      <c r="D92" s="1491"/>
      <c r="E92" s="1492"/>
      <c r="F92" s="518" t="s">
        <v>688</v>
      </c>
      <c r="G92" s="519"/>
      <c r="H92" s="520" t="s">
        <v>427</v>
      </c>
      <c r="I92" s="521" t="s">
        <v>948</v>
      </c>
      <c r="J92" s="522" t="s">
        <v>949</v>
      </c>
      <c r="K92" s="471"/>
    </row>
    <row r="93" spans="1:11">
      <c r="A93" s="463"/>
      <c r="B93" s="523"/>
      <c r="C93" s="524"/>
      <c r="D93" s="525"/>
      <c r="E93" s="526"/>
      <c r="F93" s="527"/>
      <c r="G93" s="528"/>
      <c r="H93" s="529"/>
      <c r="I93" s="497"/>
      <c r="J93" s="498"/>
      <c r="K93" s="471"/>
    </row>
    <row r="94" spans="1:11">
      <c r="A94" s="463"/>
      <c r="B94" s="530" t="s">
        <v>970</v>
      </c>
      <c r="C94" s="531"/>
      <c r="D94" s="472"/>
      <c r="E94" s="500"/>
      <c r="F94" s="501"/>
      <c r="G94" s="532"/>
      <c r="H94" s="533">
        <f>E83</f>
        <v>1</v>
      </c>
      <c r="I94" s="534">
        <f>VLOOKUP(B94,'MÃO DE OBRA'!$A:$E,5,FALSE)/220</f>
        <v>35.988199999999999</v>
      </c>
      <c r="J94" s="505">
        <f t="shared" ref="J94:J99" si="3">H94*I94</f>
        <v>35.988199999999999</v>
      </c>
      <c r="K94" s="471"/>
    </row>
    <row r="95" spans="1:11">
      <c r="A95" s="463"/>
      <c r="B95" s="530" t="s">
        <v>1035</v>
      </c>
      <c r="C95" s="531"/>
      <c r="D95" s="472"/>
      <c r="E95" s="500"/>
      <c r="F95" s="501"/>
      <c r="G95" s="532"/>
      <c r="H95" s="533">
        <f>E84</f>
        <v>1</v>
      </c>
      <c r="I95" s="534">
        <f>VLOOKUP(B95,'MÃO DE OBRA'!$A:$E,5,FALSE)/220</f>
        <v>21.588799999999999</v>
      </c>
      <c r="J95" s="505">
        <f t="shared" si="3"/>
        <v>21.588799999999999</v>
      </c>
      <c r="K95" s="471"/>
    </row>
    <row r="96" spans="1:11">
      <c r="A96" s="463"/>
      <c r="B96" s="530" t="s">
        <v>969</v>
      </c>
      <c r="C96" s="531"/>
      <c r="D96" s="472"/>
      <c r="E96" s="500"/>
      <c r="F96" s="501"/>
      <c r="G96" s="532"/>
      <c r="H96" s="533">
        <f>E85</f>
        <v>2</v>
      </c>
      <c r="I96" s="534">
        <f>VLOOKUP(B96,'MÃO DE OBRA'!$A:$E,5,FALSE)/220</f>
        <v>21.588799999999999</v>
      </c>
      <c r="J96" s="505">
        <f t="shared" si="3"/>
        <v>43.177599999999998</v>
      </c>
      <c r="K96" s="471"/>
    </row>
    <row r="97" spans="1:11">
      <c r="A97" s="463"/>
      <c r="B97" s="530" t="s">
        <v>977</v>
      </c>
      <c r="C97" s="531"/>
      <c r="D97" s="472"/>
      <c r="E97" s="500"/>
      <c r="F97" s="501"/>
      <c r="G97" s="532"/>
      <c r="H97" s="533">
        <f>E86</f>
        <v>2</v>
      </c>
      <c r="I97" s="534">
        <f>VLOOKUP(B97,'MÃO DE OBRA'!$A:$E,5,FALSE)/220</f>
        <v>27.68359090909091</v>
      </c>
      <c r="J97" s="505">
        <f t="shared" si="3"/>
        <v>55.36718181818182</v>
      </c>
      <c r="K97" s="471"/>
    </row>
    <row r="98" spans="1:11">
      <c r="A98" s="463"/>
      <c r="B98" s="530" t="s">
        <v>472</v>
      </c>
      <c r="C98" s="531"/>
      <c r="D98" s="472"/>
      <c r="E98" s="500"/>
      <c r="F98" s="501"/>
      <c r="G98" s="532"/>
      <c r="H98" s="533">
        <v>2</v>
      </c>
      <c r="I98" s="534">
        <f>VLOOKUP(B98,'MÃO DE OBRA'!$A:$E,5,FALSE)/220</f>
        <v>18.377072727272729</v>
      </c>
      <c r="J98" s="505">
        <f t="shared" si="3"/>
        <v>36.754145454545458</v>
      </c>
      <c r="K98" s="471"/>
    </row>
    <row r="99" spans="1:11">
      <c r="A99" s="463"/>
      <c r="B99" s="530" t="s">
        <v>534</v>
      </c>
      <c r="C99" s="531"/>
      <c r="D99" s="472"/>
      <c r="E99" s="500"/>
      <c r="F99" s="501"/>
      <c r="G99" s="532"/>
      <c r="H99" s="533">
        <v>1</v>
      </c>
      <c r="I99" s="534">
        <f>VLOOKUP(B99,'MÃO DE OBRA'!$A:$E,5,FALSE)/220</f>
        <v>21.588799999999999</v>
      </c>
      <c r="J99" s="505">
        <f t="shared" si="3"/>
        <v>21.588799999999999</v>
      </c>
      <c r="K99" s="471"/>
    </row>
    <row r="100" spans="1:11">
      <c r="A100" s="463"/>
      <c r="B100" s="530"/>
      <c r="C100" s="531"/>
      <c r="D100" s="472"/>
      <c r="E100" s="500"/>
      <c r="F100" s="501"/>
      <c r="G100" s="532"/>
      <c r="H100" s="533"/>
      <c r="I100" s="534"/>
      <c r="J100" s="505"/>
      <c r="K100" s="471"/>
    </row>
    <row r="101" spans="1:11">
      <c r="A101" s="463"/>
      <c r="B101" s="530"/>
      <c r="C101" s="531"/>
      <c r="D101" s="472"/>
      <c r="E101" s="500"/>
      <c r="F101" s="501"/>
      <c r="G101" s="532"/>
      <c r="H101" s="533"/>
      <c r="I101" s="504"/>
      <c r="J101" s="505"/>
      <c r="K101" s="471"/>
    </row>
    <row r="102" spans="1:11">
      <c r="A102" s="463"/>
      <c r="B102" s="530"/>
      <c r="C102" s="531"/>
      <c r="D102" s="472"/>
      <c r="E102" s="500"/>
      <c r="F102" s="501"/>
      <c r="G102" s="532"/>
      <c r="H102" s="533"/>
      <c r="I102" s="504"/>
      <c r="J102" s="505">
        <f>H102*I102</f>
        <v>0</v>
      </c>
      <c r="K102" s="471"/>
    </row>
    <row r="103" spans="1:11">
      <c r="A103" s="463"/>
      <c r="B103" s="512" t="s">
        <v>946</v>
      </c>
      <c r="C103" s="515"/>
      <c r="D103" s="515"/>
      <c r="E103" s="515"/>
      <c r="F103" s="515"/>
      <c r="G103" s="515"/>
      <c r="H103" s="515"/>
      <c r="I103" s="535" t="s">
        <v>175</v>
      </c>
      <c r="J103" s="514">
        <f>SUM(J93:J102)</f>
        <v>214.46472727272729</v>
      </c>
      <c r="K103" s="471"/>
    </row>
    <row r="104" spans="1:11">
      <c r="A104" s="463"/>
      <c r="B104" s="536"/>
      <c r="C104" s="536"/>
      <c r="D104" s="536"/>
      <c r="E104" s="536"/>
      <c r="F104" s="536"/>
      <c r="G104" s="536"/>
      <c r="H104" s="536"/>
      <c r="I104" s="537"/>
      <c r="J104" s="536"/>
      <c r="K104" s="471"/>
    </row>
    <row r="105" spans="1:11">
      <c r="A105" s="463"/>
      <c r="B105" s="538" t="s">
        <v>952</v>
      </c>
      <c r="C105" s="539"/>
      <c r="D105" s="536"/>
      <c r="E105" s="540">
        <v>55</v>
      </c>
      <c r="F105" s="541" t="s">
        <v>931</v>
      </c>
      <c r="G105" s="519"/>
      <c r="H105" s="519"/>
      <c r="I105" s="542" t="s">
        <v>953</v>
      </c>
      <c r="J105" s="514">
        <f>J90+J103</f>
        <v>1001.5175050505051</v>
      </c>
      <c r="K105" s="471"/>
    </row>
    <row r="106" spans="1:11">
      <c r="A106" s="463"/>
      <c r="B106" s="543"/>
      <c r="C106" s="536"/>
      <c r="D106" s="536"/>
      <c r="E106" s="544"/>
      <c r="F106" s="545"/>
      <c r="G106" s="545"/>
      <c r="H106" s="545"/>
      <c r="I106" s="537"/>
      <c r="J106" s="536"/>
      <c r="K106" s="471"/>
    </row>
    <row r="107" spans="1:11" ht="20.399999999999999">
      <c r="A107" s="463"/>
      <c r="B107" s="1493" t="s">
        <v>362</v>
      </c>
      <c r="C107" s="1494"/>
      <c r="D107" s="1494"/>
      <c r="E107" s="1495"/>
      <c r="F107" s="546" t="s">
        <v>688</v>
      </c>
      <c r="G107" s="547" t="s">
        <v>371</v>
      </c>
      <c r="H107" s="520" t="s">
        <v>942</v>
      </c>
      <c r="I107" s="548" t="s">
        <v>361</v>
      </c>
      <c r="J107" s="549" t="s">
        <v>363</v>
      </c>
      <c r="K107" s="471"/>
    </row>
    <row r="108" spans="1:11">
      <c r="A108" s="463"/>
      <c r="B108" s="550" t="str">
        <f>B83</f>
        <v>Motoniveladora 120K</v>
      </c>
      <c r="C108" s="551"/>
      <c r="D108" s="551"/>
      <c r="E108" s="552"/>
      <c r="F108" s="553" t="str">
        <f>VLOOKUP(B108,EQUIPAMENTOS!$A:$N,12,FALSE)</f>
        <v>Diesel S10</v>
      </c>
      <c r="G108" s="554" t="s">
        <v>415</v>
      </c>
      <c r="H108" s="560">
        <f>VLOOKUP(B108,EQUIPAMENTOS!$A:$N,13,FALSE)</f>
        <v>0</v>
      </c>
      <c r="I108" s="556">
        <f>VLOOKUP(B108,EQUIPAMENTOS!$A:$N,14,FALSE)</f>
        <v>16</v>
      </c>
      <c r="J108" s="505">
        <f>H108*I108*E83*F83</f>
        <v>0</v>
      </c>
      <c r="K108" s="471"/>
    </row>
    <row r="109" spans="1:11">
      <c r="A109" s="463"/>
      <c r="B109" s="550" t="str">
        <f>B84</f>
        <v>Trator de pneus com grade</v>
      </c>
      <c r="C109" s="531"/>
      <c r="D109" s="531"/>
      <c r="E109" s="500"/>
      <c r="F109" s="553" t="str">
        <f>VLOOKUP(B109,EQUIPAMENTOS!$A:$N,12,FALSE)</f>
        <v>Diesel S10</v>
      </c>
      <c r="G109" s="554" t="s">
        <v>415</v>
      </c>
      <c r="H109" s="560">
        <f>VLOOKUP(B109,EQUIPAMENTOS!$A:$N,13,FALSE)</f>
        <v>0</v>
      </c>
      <c r="I109" s="556">
        <f>VLOOKUP(B109,EQUIPAMENTOS!$A:$N,14,FALSE)</f>
        <v>18</v>
      </c>
      <c r="J109" s="505">
        <f>H109*I109*E84*F84</f>
        <v>0</v>
      </c>
      <c r="K109" s="471"/>
    </row>
    <row r="110" spans="1:11">
      <c r="A110" s="463"/>
      <c r="B110" s="550" t="str">
        <f>B85</f>
        <v>Rolo compactador pé de carneiro 10t</v>
      </c>
      <c r="C110" s="531"/>
      <c r="D110" s="531"/>
      <c r="E110" s="500"/>
      <c r="F110" s="553" t="str">
        <f>VLOOKUP(B110,EQUIPAMENTOS!$A:$N,12,FALSE)</f>
        <v>Diesel S10</v>
      </c>
      <c r="G110" s="554" t="s">
        <v>415</v>
      </c>
      <c r="H110" s="560">
        <f>VLOOKUP(B110,EQUIPAMENTOS!$A:$N,13,FALSE)</f>
        <v>0</v>
      </c>
      <c r="I110" s="556">
        <f>VLOOKUP(B110,EQUIPAMENTOS!$A:$N,14,FALSE)</f>
        <v>16</v>
      </c>
      <c r="J110" s="505">
        <f>H110*I110*E85*F85</f>
        <v>0</v>
      </c>
      <c r="K110" s="471"/>
    </row>
    <row r="111" spans="1:11">
      <c r="A111" s="463"/>
      <c r="B111" s="550" t="str">
        <f>B86</f>
        <v xml:space="preserve">Caminhão Pipa 10.000 l </v>
      </c>
      <c r="C111" s="531"/>
      <c r="D111" s="531"/>
      <c r="E111" s="500"/>
      <c r="F111" s="553" t="str">
        <f>VLOOKUP(B111,EQUIPAMENTOS!$A:$N,12,FALSE)</f>
        <v>Diesel S10</v>
      </c>
      <c r="G111" s="554" t="s">
        <v>415</v>
      </c>
      <c r="H111" s="560">
        <f>VLOOKUP(B111,EQUIPAMENTOS!$A:$N,13,FALSE)</f>
        <v>0</v>
      </c>
      <c r="I111" s="556">
        <f>VLOOKUP(B111,EQUIPAMENTOS!$A:$N,14,FALSE)</f>
        <v>7</v>
      </c>
      <c r="J111" s="505">
        <f>H111*I111*E86*F86</f>
        <v>0</v>
      </c>
      <c r="K111" s="471"/>
    </row>
    <row r="112" spans="1:11">
      <c r="A112" s="463"/>
      <c r="B112" s="530"/>
      <c r="C112" s="531"/>
      <c r="D112" s="531"/>
      <c r="E112" s="500"/>
      <c r="F112" s="501"/>
      <c r="G112" s="559"/>
      <c r="H112" s="560"/>
      <c r="I112" s="556"/>
      <c r="J112" s="505">
        <f>H112*I112*E87</f>
        <v>0</v>
      </c>
      <c r="K112" s="471"/>
    </row>
    <row r="113" spans="1:11">
      <c r="A113" s="463"/>
      <c r="B113" s="530"/>
      <c r="C113" s="539"/>
      <c r="D113" s="539"/>
      <c r="E113" s="507"/>
      <c r="F113" s="501"/>
      <c r="G113" s="481"/>
      <c r="H113" s="560"/>
      <c r="I113" s="561"/>
      <c r="J113" s="562">
        <f>H113*I113*E88</f>
        <v>0</v>
      </c>
      <c r="K113" s="471"/>
    </row>
    <row r="114" spans="1:11">
      <c r="A114" s="463"/>
      <c r="B114" s="563" t="s">
        <v>946</v>
      </c>
      <c r="C114" s="539"/>
      <c r="D114" s="539"/>
      <c r="E114" s="539"/>
      <c r="F114" s="536"/>
      <c r="G114" s="539"/>
      <c r="H114" s="564"/>
      <c r="I114" s="565" t="s">
        <v>175</v>
      </c>
      <c r="J114" s="514">
        <f>SUM(J108:J113)</f>
        <v>0</v>
      </c>
      <c r="K114" s="471"/>
    </row>
    <row r="115" spans="1:11">
      <c r="A115" s="463"/>
      <c r="B115" s="566"/>
      <c r="C115" s="539"/>
      <c r="D115" s="539"/>
      <c r="E115" s="567"/>
      <c r="F115" s="568"/>
      <c r="G115" s="519"/>
      <c r="H115" s="519"/>
      <c r="I115" s="542"/>
      <c r="J115" s="567"/>
      <c r="K115" s="471"/>
    </row>
    <row r="116" spans="1:11" ht="20.399999999999999">
      <c r="A116" s="463"/>
      <c r="B116" s="1493" t="s">
        <v>955</v>
      </c>
      <c r="C116" s="1494"/>
      <c r="D116" s="1494"/>
      <c r="E116" s="1494"/>
      <c r="F116" s="1495"/>
      <c r="G116" s="569" t="s">
        <v>372</v>
      </c>
      <c r="H116" s="519" t="s">
        <v>956</v>
      </c>
      <c r="I116" s="570" t="s">
        <v>942</v>
      </c>
      <c r="J116" s="522" t="s">
        <v>363</v>
      </c>
      <c r="K116" s="471"/>
    </row>
    <row r="117" spans="1:11">
      <c r="A117" s="463"/>
      <c r="B117" s="571"/>
      <c r="C117" s="572"/>
      <c r="D117" s="573"/>
      <c r="E117" s="573"/>
      <c r="F117" s="574"/>
      <c r="G117" s="502"/>
      <c r="H117" s="502"/>
      <c r="I117" s="575"/>
      <c r="J117" s="505"/>
      <c r="K117" s="471"/>
    </row>
    <row r="118" spans="1:11">
      <c r="A118" s="463"/>
      <c r="B118" s="576"/>
      <c r="C118" s="577"/>
      <c r="D118" s="578"/>
      <c r="E118" s="578"/>
      <c r="F118" s="579"/>
      <c r="G118" s="502"/>
      <c r="H118" s="502"/>
      <c r="I118" s="575"/>
      <c r="J118" s="505"/>
      <c r="K118" s="471"/>
    </row>
    <row r="119" spans="1:11">
      <c r="A119" s="463"/>
      <c r="B119" s="1496" t="s">
        <v>175</v>
      </c>
      <c r="C119" s="1496"/>
      <c r="D119" s="1496"/>
      <c r="E119" s="1496"/>
      <c r="F119" s="1496"/>
      <c r="G119" s="1496"/>
      <c r="H119" s="1496"/>
      <c r="I119" s="1496"/>
      <c r="J119" s="514">
        <f>SUM(J117:J118)</f>
        <v>0</v>
      </c>
      <c r="K119" s="471"/>
    </row>
    <row r="120" spans="1:11">
      <c r="A120" s="463"/>
      <c r="B120" s="580"/>
      <c r="C120" s="524"/>
      <c r="D120" s="524"/>
      <c r="E120" s="581"/>
      <c r="F120" s="582"/>
      <c r="G120" s="583"/>
      <c r="H120" s="583"/>
      <c r="I120" s="584"/>
      <c r="J120" s="585"/>
      <c r="K120" s="471"/>
    </row>
    <row r="121" spans="1:11">
      <c r="A121" s="463"/>
      <c r="B121" s="586" t="s">
        <v>957</v>
      </c>
      <c r="C121" s="586"/>
      <c r="D121" s="563"/>
      <c r="E121" s="536"/>
      <c r="F121" s="536"/>
      <c r="G121" s="536"/>
      <c r="H121" s="587"/>
      <c r="I121" s="588"/>
      <c r="J121" s="514">
        <f>(J105+J114+J119)/E105</f>
        <v>18.209409182736454</v>
      </c>
      <c r="K121" s="471"/>
    </row>
    <row r="122" spans="1:11">
      <c r="A122" s="463"/>
      <c r="B122" s="566"/>
      <c r="C122" s="539"/>
      <c r="D122" s="539"/>
      <c r="E122" s="567"/>
      <c r="F122" s="568"/>
      <c r="G122" s="519"/>
      <c r="H122" s="519"/>
      <c r="I122" s="542"/>
      <c r="J122" s="589"/>
      <c r="K122" s="471"/>
    </row>
    <row r="123" spans="1:11" ht="20.399999999999999">
      <c r="A123" s="463"/>
      <c r="B123" s="1493" t="s">
        <v>958</v>
      </c>
      <c r="C123" s="1494"/>
      <c r="D123" s="1494"/>
      <c r="E123" s="1494"/>
      <c r="F123" s="1495"/>
      <c r="G123" s="569" t="s">
        <v>372</v>
      </c>
      <c r="H123" s="519" t="s">
        <v>956</v>
      </c>
      <c r="I123" s="570" t="s">
        <v>942</v>
      </c>
      <c r="J123" s="522" t="s">
        <v>363</v>
      </c>
      <c r="K123" s="471"/>
    </row>
    <row r="124" spans="1:11">
      <c r="A124" s="463"/>
      <c r="B124" s="571" t="s">
        <v>1037</v>
      </c>
      <c r="C124" s="572"/>
      <c r="D124" s="573"/>
      <c r="E124" s="573"/>
      <c r="F124" s="574"/>
      <c r="G124" s="502">
        <v>1.3</v>
      </c>
      <c r="H124" s="502" t="s">
        <v>931</v>
      </c>
      <c r="I124" s="575">
        <f>280/12</f>
        <v>23.333333333333332</v>
      </c>
      <c r="J124" s="505">
        <f>G124*I124</f>
        <v>30.333333333333332</v>
      </c>
      <c r="K124" s="471"/>
    </row>
    <row r="125" spans="1:11">
      <c r="A125" s="463"/>
      <c r="B125" s="576" t="s">
        <v>1038</v>
      </c>
      <c r="C125" s="577"/>
      <c r="D125" s="578"/>
      <c r="E125" s="578"/>
      <c r="F125" s="579"/>
      <c r="G125" s="502"/>
      <c r="H125" s="502" t="s">
        <v>931</v>
      </c>
      <c r="I125" s="575">
        <f>(73.6)*2.24</f>
        <v>164.864</v>
      </c>
      <c r="J125" s="505">
        <f>G125*I125</f>
        <v>0</v>
      </c>
      <c r="K125" s="471"/>
    </row>
    <row r="126" spans="1:11">
      <c r="A126" s="463"/>
      <c r="B126" s="576" t="s">
        <v>1039</v>
      </c>
      <c r="C126" s="577"/>
      <c r="D126" s="578"/>
      <c r="E126" s="578"/>
      <c r="F126" s="579"/>
      <c r="G126" s="502">
        <f>0.03</f>
        <v>0.03</v>
      </c>
      <c r="H126" s="502" t="s">
        <v>931</v>
      </c>
      <c r="I126" s="575">
        <f>2180*(30/50)</f>
        <v>1308</v>
      </c>
      <c r="J126" s="505">
        <f>G126*I126</f>
        <v>39.24</v>
      </c>
      <c r="K126" s="471"/>
    </row>
    <row r="127" spans="1:11">
      <c r="A127" s="463"/>
      <c r="B127" s="590"/>
      <c r="C127" s="591"/>
      <c r="D127" s="592"/>
      <c r="E127" s="592"/>
      <c r="F127" s="593"/>
      <c r="G127" s="502"/>
      <c r="H127" s="502"/>
      <c r="I127" s="575"/>
      <c r="J127" s="505">
        <f>G127*I127</f>
        <v>0</v>
      </c>
      <c r="K127" s="471"/>
    </row>
    <row r="128" spans="1:11">
      <c r="A128" s="463"/>
      <c r="B128" s="594"/>
      <c r="C128" s="536"/>
      <c r="D128" s="536"/>
      <c r="E128" s="595"/>
      <c r="F128" s="596"/>
      <c r="G128" s="545"/>
      <c r="H128" s="545"/>
      <c r="I128" s="537" t="s">
        <v>175</v>
      </c>
      <c r="J128" s="514">
        <f>SUM(J124:J127)</f>
        <v>69.573333333333338</v>
      </c>
      <c r="K128" s="471"/>
    </row>
    <row r="129" spans="1:11">
      <c r="A129" s="463"/>
      <c r="B129" s="597"/>
      <c r="C129" s="536"/>
      <c r="D129" s="536"/>
      <c r="E129" s="595"/>
      <c r="F129" s="596"/>
      <c r="G129" s="545"/>
      <c r="H129" s="545"/>
      <c r="I129" s="537"/>
      <c r="J129" s="595"/>
      <c r="K129" s="471"/>
    </row>
    <row r="130" spans="1:11" ht="20.399999999999999">
      <c r="A130" s="463"/>
      <c r="B130" s="598" t="s">
        <v>959</v>
      </c>
      <c r="C130" s="598"/>
      <c r="D130" s="598"/>
      <c r="E130" s="599"/>
      <c r="F130" s="600" t="s">
        <v>372</v>
      </c>
      <c r="G130" s="569" t="s">
        <v>960</v>
      </c>
      <c r="H130" s="519" t="s">
        <v>942</v>
      </c>
      <c r="I130" s="570" t="s">
        <v>361</v>
      </c>
      <c r="J130" s="522" t="s">
        <v>363</v>
      </c>
      <c r="K130" s="471"/>
    </row>
    <row r="131" spans="1:11">
      <c r="A131" s="463"/>
      <c r="B131" s="576" t="s">
        <v>1040</v>
      </c>
      <c r="C131" s="577"/>
      <c r="D131" s="578"/>
      <c r="E131" s="579" t="s">
        <v>946</v>
      </c>
      <c r="F131" s="502">
        <v>1.3</v>
      </c>
      <c r="G131" s="502">
        <v>27</v>
      </c>
      <c r="H131" s="502">
        <v>1</v>
      </c>
      <c r="I131" s="575">
        <f>I57</f>
        <v>1</v>
      </c>
      <c r="J131" s="505">
        <f>I131*H131*G131*F131</f>
        <v>35.1</v>
      </c>
      <c r="K131" s="471"/>
    </row>
    <row r="132" spans="1:11">
      <c r="A132" s="463"/>
      <c r="B132" s="576" t="s">
        <v>1041</v>
      </c>
      <c r="C132" s="577"/>
      <c r="D132" s="578"/>
      <c r="E132" s="579"/>
      <c r="F132" s="502">
        <f>1/160</f>
        <v>6.2500000000000003E-3</v>
      </c>
      <c r="G132" s="502">
        <v>1</v>
      </c>
      <c r="H132" s="502">
        <f>H58</f>
        <v>175</v>
      </c>
      <c r="I132" s="575">
        <v>1.3</v>
      </c>
      <c r="J132" s="505">
        <f>I132*H132*G132*F132</f>
        <v>1.421875</v>
      </c>
      <c r="K132" s="471"/>
    </row>
    <row r="133" spans="1:11">
      <c r="A133" s="463"/>
      <c r="B133" s="590" t="s">
        <v>1042</v>
      </c>
      <c r="C133" s="591"/>
      <c r="D133" s="592"/>
      <c r="E133" s="593" t="s">
        <v>946</v>
      </c>
      <c r="F133" s="509">
        <f>1/160</f>
        <v>6.2500000000000003E-3</v>
      </c>
      <c r="G133" s="509">
        <v>1</v>
      </c>
      <c r="H133" s="502">
        <f>H59</f>
        <v>0</v>
      </c>
      <c r="I133" s="601">
        <f>I59</f>
        <v>22</v>
      </c>
      <c r="J133" s="505">
        <f>I133*H133*G133*F133</f>
        <v>0</v>
      </c>
      <c r="K133" s="471"/>
    </row>
    <row r="134" spans="1:11">
      <c r="A134" s="463"/>
      <c r="B134" s="594"/>
      <c r="C134" s="536"/>
      <c r="D134" s="536"/>
      <c r="E134" s="595"/>
      <c r="F134" s="596"/>
      <c r="G134" s="545"/>
      <c r="H134" s="545"/>
      <c r="I134" s="537" t="s">
        <v>175</v>
      </c>
      <c r="J134" s="514">
        <f>SUM(J131:J133)</f>
        <v>36.521875000000001</v>
      </c>
      <c r="K134" s="471"/>
    </row>
    <row r="135" spans="1:11">
      <c r="A135" s="463"/>
      <c r="B135" s="536"/>
      <c r="C135" s="536"/>
      <c r="D135" s="536"/>
      <c r="E135" s="536"/>
      <c r="F135" s="536"/>
      <c r="G135" s="536"/>
      <c r="H135" s="536"/>
      <c r="I135" s="537"/>
      <c r="J135" s="536"/>
      <c r="K135" s="471"/>
    </row>
    <row r="136" spans="1:11">
      <c r="A136" s="463"/>
      <c r="B136" s="1481" t="s">
        <v>961</v>
      </c>
      <c r="C136" s="1482"/>
      <c r="D136" s="1482"/>
      <c r="E136" s="1482"/>
      <c r="F136" s="1482"/>
      <c r="G136" s="1482"/>
      <c r="H136" s="1482"/>
      <c r="I136" s="1483"/>
      <c r="J136" s="586">
        <f>J134+J128+J121</f>
        <v>124.3046175160698</v>
      </c>
      <c r="K136" s="471"/>
    </row>
    <row r="137" spans="1:11">
      <c r="A137" s="463"/>
      <c r="B137" s="536"/>
      <c r="C137" s="536"/>
      <c r="D137" s="536"/>
      <c r="E137" s="536"/>
      <c r="F137" s="536"/>
      <c r="G137" s="536"/>
      <c r="H137" s="536"/>
      <c r="I137" s="537"/>
      <c r="J137" s="536"/>
      <c r="K137" s="471"/>
    </row>
    <row r="138" spans="1:11">
      <c r="A138" s="463"/>
      <c r="B138" s="1481" t="s">
        <v>962</v>
      </c>
      <c r="C138" s="1482"/>
      <c r="D138" s="1482"/>
      <c r="E138" s="1482"/>
      <c r="F138" s="1482"/>
      <c r="G138" s="1482"/>
      <c r="H138" s="1482"/>
      <c r="I138" s="1483"/>
      <c r="J138" s="514">
        <f>J136*0</f>
        <v>0</v>
      </c>
      <c r="K138" s="471"/>
    </row>
    <row r="139" spans="1:11">
      <c r="A139" s="463"/>
      <c r="B139" s="536"/>
      <c r="C139" s="536"/>
      <c r="D139" s="536"/>
      <c r="E139" s="536"/>
      <c r="F139" s="536"/>
      <c r="G139" s="536"/>
      <c r="H139" s="536"/>
      <c r="I139" s="537"/>
      <c r="J139" s="536"/>
      <c r="K139" s="471"/>
    </row>
    <row r="140" spans="1:11">
      <c r="A140" s="463"/>
      <c r="B140" s="1481" t="s">
        <v>963</v>
      </c>
      <c r="C140" s="1482"/>
      <c r="D140" s="1482"/>
      <c r="E140" s="1482"/>
      <c r="F140" s="1482"/>
      <c r="G140" s="1482"/>
      <c r="H140" s="1482"/>
      <c r="I140" s="1483"/>
      <c r="J140" s="586">
        <f>J136+J138</f>
        <v>124.3046175160698</v>
      </c>
      <c r="K140" s="471"/>
    </row>
    <row r="141" spans="1:11">
      <c r="A141" s="463"/>
      <c r="B141" s="524"/>
      <c r="C141" s="524"/>
      <c r="D141" s="524"/>
      <c r="E141" s="524"/>
      <c r="F141" s="524"/>
      <c r="G141" s="524"/>
      <c r="H141" s="524"/>
      <c r="I141" s="584"/>
      <c r="J141" s="524"/>
      <c r="K141" s="471"/>
    </row>
    <row r="142" spans="1:11">
      <c r="A142" s="463"/>
      <c r="B142" s="602"/>
      <c r="C142" s="572"/>
      <c r="D142" s="572"/>
      <c r="E142" s="572"/>
      <c r="F142" s="572"/>
      <c r="G142" s="572"/>
      <c r="H142" s="572"/>
      <c r="I142" s="572"/>
      <c r="J142" s="603"/>
      <c r="K142" s="471"/>
    </row>
    <row r="143" spans="1:11">
      <c r="A143" s="463"/>
      <c r="B143" s="604"/>
      <c r="C143" s="605"/>
      <c r="D143" s="606"/>
      <c r="E143" s="606"/>
      <c r="F143" s="607" t="s">
        <v>946</v>
      </c>
      <c r="G143" s="608" t="s">
        <v>946</v>
      </c>
      <c r="H143" s="605"/>
      <c r="I143" s="605"/>
      <c r="J143" s="609"/>
      <c r="K143" s="471"/>
    </row>
    <row r="144" spans="1:11">
      <c r="A144" s="463"/>
      <c r="B144" s="472"/>
      <c r="C144" s="472"/>
      <c r="D144" s="472"/>
      <c r="E144" s="472"/>
      <c r="F144" s="472"/>
      <c r="G144" s="472"/>
      <c r="H144" s="472"/>
      <c r="I144" s="472"/>
      <c r="J144" s="472"/>
      <c r="K144" s="471"/>
    </row>
    <row r="145" spans="1:11">
      <c r="A145" s="463"/>
      <c r="B145" s="610"/>
      <c r="C145" s="611"/>
      <c r="D145" s="611"/>
      <c r="E145" s="611"/>
      <c r="F145" s="612"/>
      <c r="G145" s="613" t="s">
        <v>363</v>
      </c>
      <c r="H145" s="515"/>
      <c r="I145" s="515"/>
      <c r="J145" s="518"/>
      <c r="K145" s="471"/>
    </row>
    <row r="146" spans="1:11">
      <c r="A146" s="463"/>
      <c r="B146" s="614"/>
      <c r="C146" s="615"/>
      <c r="D146" s="615"/>
      <c r="E146" s="615"/>
      <c r="F146" s="616"/>
      <c r="G146" s="1484" t="s">
        <v>964</v>
      </c>
      <c r="H146" s="1485"/>
      <c r="I146" s="1485"/>
      <c r="J146" s="1486"/>
      <c r="K146" s="471"/>
    </row>
    <row r="147" spans="1:11">
      <c r="A147" s="463"/>
      <c r="B147" s="617"/>
      <c r="C147" s="618"/>
      <c r="D147" s="618"/>
      <c r="E147" s="618"/>
      <c r="F147" s="619"/>
      <c r="G147" s="620"/>
      <c r="H147" s="1487"/>
      <c r="I147" s="1488"/>
      <c r="J147" s="1489"/>
      <c r="K147" s="471"/>
    </row>
    <row r="148" spans="1:11" ht="15" thickBot="1">
      <c r="A148" s="621"/>
      <c r="B148" s="622"/>
      <c r="C148" s="622"/>
      <c r="D148" s="622"/>
      <c r="E148" s="622"/>
      <c r="F148" s="622"/>
      <c r="G148" s="622"/>
      <c r="H148" s="622"/>
      <c r="I148" s="622"/>
      <c r="J148" s="622"/>
      <c r="K148" s="623"/>
    </row>
  </sheetData>
  <mergeCells count="28">
    <mergeCell ref="B138:I138"/>
    <mergeCell ref="B140:I140"/>
    <mergeCell ref="G146:J146"/>
    <mergeCell ref="H147:J147"/>
    <mergeCell ref="B107:E107"/>
    <mergeCell ref="B116:F116"/>
    <mergeCell ref="B119:I119"/>
    <mergeCell ref="B123:F123"/>
    <mergeCell ref="B136:I136"/>
    <mergeCell ref="D78:I78"/>
    <mergeCell ref="B81:C82"/>
    <mergeCell ref="D81:D82"/>
    <mergeCell ref="E81:E82"/>
    <mergeCell ref="B92:E92"/>
    <mergeCell ref="B33:E33"/>
    <mergeCell ref="D4:I4"/>
    <mergeCell ref="B7:C8"/>
    <mergeCell ref="D7:D8"/>
    <mergeCell ref="E7:E8"/>
    <mergeCell ref="B18:E18"/>
    <mergeCell ref="G72:J72"/>
    <mergeCell ref="H73:J73"/>
    <mergeCell ref="B42:F42"/>
    <mergeCell ref="B45:I45"/>
    <mergeCell ref="B49:F49"/>
    <mergeCell ref="B62:I62"/>
    <mergeCell ref="B64:I64"/>
    <mergeCell ref="B66:I66"/>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4"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E6220-2812-426A-8C32-9CD0B5666409}">
  <sheetPr codeName="Planilha50">
    <tabColor rgb="FFFFFF66"/>
  </sheetPr>
  <dimension ref="A1:K148"/>
  <sheetViews>
    <sheetView view="pageBreakPreview" topLeftCell="A40" zoomScaleNormal="100" zoomScaleSheetLayoutView="100" workbookViewId="0">
      <selection activeCell="B51" sqref="B51:J51"/>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236</v>
      </c>
      <c r="E5" s="479"/>
      <c r="F5" s="479"/>
      <c r="G5" s="479"/>
      <c r="H5" s="479"/>
      <c r="I5" s="480"/>
      <c r="J5" s="481" t="str">
        <f>F31</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640</v>
      </c>
      <c r="C9" s="492"/>
      <c r="D9" s="493"/>
      <c r="E9" s="494">
        <v>1</v>
      </c>
      <c r="F9" s="494">
        <v>1</v>
      </c>
      <c r="G9" s="495">
        <f>1-F9</f>
        <v>0</v>
      </c>
      <c r="H9" s="503">
        <f>VLOOKUP(B9,EQUIPAMENTOS!$A:$J,10,FALSE)</f>
        <v>163</v>
      </c>
      <c r="I9" s="497">
        <f>H9</f>
        <v>163</v>
      </c>
      <c r="J9" s="498">
        <f t="shared" ref="J9:J15" si="0">H9*F9*E9+I9*G9*E9</f>
        <v>163</v>
      </c>
      <c r="K9" s="471"/>
    </row>
    <row r="10" spans="1:11">
      <c r="A10" s="463"/>
      <c r="B10" s="499" t="s">
        <v>667</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986</v>
      </c>
      <c r="C11" s="500"/>
      <c r="D11" s="501"/>
      <c r="E11" s="502">
        <v>2</v>
      </c>
      <c r="F11" s="502">
        <v>1</v>
      </c>
      <c r="G11" s="502">
        <f>1-F11</f>
        <v>0</v>
      </c>
      <c r="H11" s="503">
        <f>VLOOKUP(B11,EQUIPAMENTOS!$A:$J,10,FALSE)</f>
        <v>145</v>
      </c>
      <c r="I11" s="504">
        <f>H11</f>
        <v>145</v>
      </c>
      <c r="J11" s="505">
        <f t="shared" si="0"/>
        <v>290</v>
      </c>
      <c r="K11" s="471"/>
    </row>
    <row r="12" spans="1:11">
      <c r="A12" s="463"/>
      <c r="B12" s="499" t="s">
        <v>627</v>
      </c>
      <c r="C12" s="500"/>
      <c r="D12" s="501"/>
      <c r="E12" s="502">
        <v>2</v>
      </c>
      <c r="F12" s="502">
        <v>1</v>
      </c>
      <c r="G12" s="502">
        <f>1-F12</f>
        <v>0</v>
      </c>
      <c r="H12" s="503">
        <f>VLOOKUP(B12,EQUIPAMENTOS!$A:$J,10,FALSE)</f>
        <v>100</v>
      </c>
      <c r="I12" s="504">
        <f>H12</f>
        <v>100</v>
      </c>
      <c r="J12" s="505">
        <f t="shared" si="0"/>
        <v>200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787.05277777777781</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f>
        <v>55</v>
      </c>
      <c r="F31" s="541" t="s">
        <v>208</v>
      </c>
      <c r="G31" s="519"/>
      <c r="H31" s="519"/>
      <c r="I31" s="542" t="s">
        <v>953</v>
      </c>
      <c r="J31" s="514">
        <f>J16+J29</f>
        <v>1001.5175050505051</v>
      </c>
      <c r="K31" s="471"/>
    </row>
    <row r="32" spans="1:11">
      <c r="A32" s="463"/>
      <c r="B32" s="543"/>
      <c r="C32" s="536"/>
      <c r="D32" s="536"/>
      <c r="E32" s="544"/>
      <c r="F32" s="545"/>
      <c r="G32" s="545"/>
      <c r="H32" s="545"/>
      <c r="I32" s="537"/>
      <c r="J32" s="536"/>
      <c r="K32" s="471"/>
    </row>
    <row r="33" spans="1:11" ht="20.399999999999999">
      <c r="A33" s="463"/>
      <c r="B33" s="1493" t="s">
        <v>362</v>
      </c>
      <c r="C33" s="1494"/>
      <c r="D33" s="1494"/>
      <c r="E33" s="1495"/>
      <c r="F33" s="546" t="s">
        <v>688</v>
      </c>
      <c r="G33" s="547" t="s">
        <v>371</v>
      </c>
      <c r="H33" s="520" t="s">
        <v>942</v>
      </c>
      <c r="I33" s="548" t="s">
        <v>361</v>
      </c>
      <c r="J33" s="549" t="s">
        <v>363</v>
      </c>
      <c r="K33" s="471"/>
    </row>
    <row r="34" spans="1:11">
      <c r="A34" s="463"/>
      <c r="B34" s="550" t="str">
        <f>B9</f>
        <v>Motoniveladora 120K</v>
      </c>
      <c r="C34" s="551"/>
      <c r="D34" s="551"/>
      <c r="E34" s="552"/>
      <c r="F34" s="553" t="str">
        <f>VLOOKUP(B34,EQUIPAMENTOS!$A:$N,12,FALSE)</f>
        <v>Diesel S10</v>
      </c>
      <c r="G34" s="554" t="s">
        <v>415</v>
      </c>
      <c r="H34" s="560">
        <f>VLOOKUP(B34,EQUIPAMENTOS!$A:$N,13,FALSE)</f>
        <v>0</v>
      </c>
      <c r="I34" s="556">
        <f>VLOOKUP(B34,EQUIPAMENTOS!$A:$N,14,FALSE)</f>
        <v>16</v>
      </c>
      <c r="J34" s="505">
        <f>H34*I34*E9*F9</f>
        <v>0</v>
      </c>
      <c r="K34" s="471"/>
    </row>
    <row r="35" spans="1:11">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H35*I35*E10*F10</f>
        <v>0</v>
      </c>
      <c r="K35" s="471"/>
    </row>
    <row r="36" spans="1:11">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H36*I36*E11*F11</f>
        <v>0</v>
      </c>
      <c r="K36" s="471"/>
    </row>
    <row r="37" spans="1:11">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H37*I37*E12*F12</f>
        <v>0</v>
      </c>
      <c r="K37" s="471"/>
    </row>
    <row r="38" spans="1:11">
      <c r="A38" s="463"/>
      <c r="B38" s="530"/>
      <c r="C38" s="531"/>
      <c r="D38" s="531"/>
      <c r="E38" s="500"/>
      <c r="F38" s="501"/>
      <c r="G38" s="559"/>
      <c r="H38" s="560"/>
      <c r="I38" s="556"/>
      <c r="J38" s="505">
        <f>H38*I38*E13</f>
        <v>0</v>
      </c>
      <c r="K38" s="471"/>
    </row>
    <row r="39" spans="1:11">
      <c r="A39" s="463"/>
      <c r="B39" s="530"/>
      <c r="C39" s="539"/>
      <c r="D39" s="539"/>
      <c r="E39" s="507"/>
      <c r="F39" s="501"/>
      <c r="G39" s="481"/>
      <c r="H39" s="560"/>
      <c r="I39" s="561"/>
      <c r="J39" s="562">
        <f>H39*I39*E14</f>
        <v>0</v>
      </c>
      <c r="K39" s="471"/>
    </row>
    <row r="40" spans="1:11">
      <c r="A40" s="463"/>
      <c r="B40" s="563" t="s">
        <v>946</v>
      </c>
      <c r="C40" s="539"/>
      <c r="D40" s="539"/>
      <c r="E40" s="539"/>
      <c r="F40" s="536"/>
      <c r="G40" s="539"/>
      <c r="H40" s="564"/>
      <c r="I40" s="565" t="s">
        <v>175</v>
      </c>
      <c r="J40" s="514">
        <f>SUM(J34:J39)</f>
        <v>0</v>
      </c>
      <c r="K40" s="471"/>
    </row>
    <row r="41" spans="1:11">
      <c r="A41" s="463"/>
      <c r="B41" s="566"/>
      <c r="C41" s="539"/>
      <c r="D41" s="539"/>
      <c r="E41" s="567"/>
      <c r="F41" s="568"/>
      <c r="G41" s="519"/>
      <c r="H41" s="519"/>
      <c r="I41" s="542"/>
      <c r="J41" s="567"/>
      <c r="K41" s="471"/>
    </row>
    <row r="42" spans="1:11" ht="20.399999999999999">
      <c r="A42" s="463"/>
      <c r="B42" s="1493" t="s">
        <v>955</v>
      </c>
      <c r="C42" s="1494"/>
      <c r="D42" s="1494"/>
      <c r="E42" s="1494"/>
      <c r="F42" s="1495"/>
      <c r="G42" s="569" t="s">
        <v>372</v>
      </c>
      <c r="H42" s="519" t="s">
        <v>956</v>
      </c>
      <c r="I42" s="570" t="s">
        <v>942</v>
      </c>
      <c r="J42" s="522" t="s">
        <v>363</v>
      </c>
      <c r="K42" s="471"/>
    </row>
    <row r="43" spans="1:11">
      <c r="A43" s="463"/>
      <c r="B43" s="571"/>
      <c r="C43" s="572"/>
      <c r="D43" s="573"/>
      <c r="E43" s="573"/>
      <c r="F43" s="574"/>
      <c r="G43" s="502"/>
      <c r="H43" s="502"/>
      <c r="I43" s="575"/>
      <c r="J43" s="505"/>
      <c r="K43" s="471"/>
    </row>
    <row r="44" spans="1:11">
      <c r="A44" s="463"/>
      <c r="B44" s="576"/>
      <c r="C44" s="577"/>
      <c r="D44" s="578"/>
      <c r="E44" s="578"/>
      <c r="F44" s="579"/>
      <c r="G44" s="502"/>
      <c r="H44" s="502"/>
      <c r="I44" s="575"/>
      <c r="J44" s="505"/>
      <c r="K44" s="471"/>
    </row>
    <row r="45" spans="1:11">
      <c r="A45" s="463"/>
      <c r="B45" s="1496" t="s">
        <v>175</v>
      </c>
      <c r="C45" s="1496"/>
      <c r="D45" s="1496"/>
      <c r="E45" s="1496"/>
      <c r="F45" s="1496"/>
      <c r="G45" s="1496"/>
      <c r="H45" s="1496"/>
      <c r="I45" s="1496"/>
      <c r="J45" s="514">
        <f>SUM(J43:J44)</f>
        <v>0</v>
      </c>
      <c r="K45" s="471"/>
    </row>
    <row r="46" spans="1:11">
      <c r="A46" s="463"/>
      <c r="B46" s="580"/>
      <c r="C46" s="524"/>
      <c r="D46" s="524"/>
      <c r="E46" s="581"/>
      <c r="F46" s="582"/>
      <c r="G46" s="583"/>
      <c r="H46" s="583"/>
      <c r="I46" s="584"/>
      <c r="J46" s="585"/>
      <c r="K46" s="471"/>
    </row>
    <row r="47" spans="1:11">
      <c r="A47" s="463"/>
      <c r="B47" s="586" t="s">
        <v>957</v>
      </c>
      <c r="C47" s="586"/>
      <c r="D47" s="563"/>
      <c r="E47" s="536"/>
      <c r="F47" s="536"/>
      <c r="G47" s="536"/>
      <c r="H47" s="587"/>
      <c r="I47" s="588"/>
      <c r="J47" s="514">
        <f>(J31+J40+J45)/E31</f>
        <v>18.209409182736454</v>
      </c>
      <c r="K47" s="471"/>
    </row>
    <row r="48" spans="1:11">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1" t="s">
        <v>1037</v>
      </c>
      <c r="C50" s="572"/>
      <c r="D50" s="573"/>
      <c r="E50" s="573"/>
      <c r="F50" s="574"/>
      <c r="G50" s="502">
        <v>1.3</v>
      </c>
      <c r="H50" s="502" t="s">
        <v>208</v>
      </c>
      <c r="I50" s="575">
        <f>280/12</f>
        <v>23.333333333333332</v>
      </c>
      <c r="J50" s="505">
        <f>G50*I50</f>
        <v>30.333333333333332</v>
      </c>
      <c r="K50" s="471"/>
    </row>
    <row r="51" spans="1:11">
      <c r="A51" s="463"/>
      <c r="B51" s="576" t="s">
        <v>1038</v>
      </c>
      <c r="C51" s="577"/>
      <c r="D51" s="578"/>
      <c r="E51" s="578"/>
      <c r="F51" s="579"/>
      <c r="G51" s="502"/>
      <c r="H51" s="502" t="s">
        <v>208</v>
      </c>
      <c r="I51" s="575">
        <f>(73.6)*2.24</f>
        <v>164.864</v>
      </c>
      <c r="J51" s="505">
        <f>G51*I51</f>
        <v>0</v>
      </c>
      <c r="K51" s="471"/>
    </row>
    <row r="52" spans="1:11">
      <c r="A52" s="463"/>
      <c r="B52" s="576" t="s">
        <v>1039</v>
      </c>
      <c r="C52" s="577"/>
      <c r="D52" s="578"/>
      <c r="E52" s="578"/>
      <c r="F52" s="579"/>
      <c r="G52" s="502"/>
      <c r="H52" s="502" t="s">
        <v>208</v>
      </c>
      <c r="I52" s="575">
        <f>2180*(30/50)</f>
        <v>1308</v>
      </c>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30.333333333333332</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1040</v>
      </c>
      <c r="C57" s="577"/>
      <c r="D57" s="578"/>
      <c r="E57" s="579" t="s">
        <v>946</v>
      </c>
      <c r="F57" s="502">
        <v>1.3</v>
      </c>
      <c r="G57" s="502">
        <v>27</v>
      </c>
      <c r="H57" s="502">
        <v>1</v>
      </c>
      <c r="I57" s="575">
        <v>1</v>
      </c>
      <c r="J57" s="505">
        <f>I57*H57*G57*F57</f>
        <v>35.1</v>
      </c>
      <c r="K57" s="471"/>
    </row>
    <row r="58" spans="1:11">
      <c r="A58" s="463"/>
      <c r="B58" s="576" t="s">
        <v>1041</v>
      </c>
      <c r="C58" s="577"/>
      <c r="D58" s="578"/>
      <c r="E58" s="579"/>
      <c r="F58" s="502">
        <f>1/160</f>
        <v>6.2500000000000003E-3</v>
      </c>
      <c r="G58" s="502">
        <v>1</v>
      </c>
      <c r="H58" s="502">
        <f>EQUIPAMENTOS!J14</f>
        <v>175</v>
      </c>
      <c r="I58" s="575">
        <v>1.3</v>
      </c>
      <c r="J58" s="505">
        <f>I58*H58*G58*F58</f>
        <v>1.421875</v>
      </c>
      <c r="K58" s="471"/>
    </row>
    <row r="59" spans="1:11">
      <c r="A59" s="463"/>
      <c r="B59" s="590" t="s">
        <v>1042</v>
      </c>
      <c r="C59" s="591"/>
      <c r="D59" s="592"/>
      <c r="E59" s="593" t="s">
        <v>946</v>
      </c>
      <c r="F59" s="509">
        <f>1/160</f>
        <v>6.2500000000000003E-3</v>
      </c>
      <c r="G59" s="509">
        <v>1</v>
      </c>
      <c r="H59" s="509">
        <f>DADOS!E21</f>
        <v>0</v>
      </c>
      <c r="I59" s="601">
        <f>EQUIPAMENTOS!N14</f>
        <v>22</v>
      </c>
      <c r="J59" s="505">
        <f>I59*H59*G59*F59</f>
        <v>0</v>
      </c>
      <c r="K59" s="471"/>
    </row>
    <row r="60" spans="1:11">
      <c r="A60" s="463"/>
      <c r="B60" s="594"/>
      <c r="C60" s="536"/>
      <c r="D60" s="536"/>
      <c r="E60" s="595"/>
      <c r="F60" s="596"/>
      <c r="G60" s="545"/>
      <c r="H60" s="545"/>
      <c r="I60" s="537" t="s">
        <v>175</v>
      </c>
      <c r="J60" s="514">
        <f>SUM(J57:J59)</f>
        <v>36.521875000000001</v>
      </c>
      <c r="K60" s="471"/>
    </row>
    <row r="61" spans="1:11">
      <c r="A61" s="463"/>
      <c r="B61" s="536"/>
      <c r="C61" s="536"/>
      <c r="D61" s="536"/>
      <c r="E61" s="536"/>
      <c r="F61" s="536"/>
      <c r="G61" s="536"/>
      <c r="H61" s="536"/>
      <c r="I61" s="537"/>
      <c r="J61" s="536"/>
      <c r="K61" s="471"/>
    </row>
    <row r="62" spans="1:11">
      <c r="A62" s="463"/>
      <c r="B62" s="1481" t="s">
        <v>961</v>
      </c>
      <c r="C62" s="1482"/>
      <c r="D62" s="1482"/>
      <c r="E62" s="1482"/>
      <c r="F62" s="1482"/>
      <c r="G62" s="1482"/>
      <c r="H62" s="1482"/>
      <c r="I62" s="1483"/>
      <c r="J62" s="586">
        <f>J60+J54+J47</f>
        <v>85.064617516069788</v>
      </c>
      <c r="K62" s="471"/>
    </row>
    <row r="63" spans="1:11">
      <c r="A63" s="463"/>
      <c r="B63" s="536"/>
      <c r="C63" s="536"/>
      <c r="D63" s="536"/>
      <c r="E63" s="536"/>
      <c r="F63" s="536"/>
      <c r="G63" s="536"/>
      <c r="H63" s="536"/>
      <c r="I63" s="537"/>
      <c r="J63" s="536"/>
      <c r="K63" s="471"/>
    </row>
    <row r="64" spans="1:11">
      <c r="A64" s="463"/>
      <c r="B64" s="1481" t="s">
        <v>962</v>
      </c>
      <c r="C64" s="1482"/>
      <c r="D64" s="1482"/>
      <c r="E64" s="1482"/>
      <c r="F64" s="1482"/>
      <c r="G64" s="1482"/>
      <c r="H64" s="1482"/>
      <c r="I64" s="1483"/>
      <c r="J64" s="514">
        <f>J62*0</f>
        <v>0</v>
      </c>
      <c r="K64" s="471"/>
    </row>
    <row r="65" spans="1:11">
      <c r="A65" s="463"/>
      <c r="B65" s="536"/>
      <c r="C65" s="536"/>
      <c r="D65" s="536"/>
      <c r="E65" s="536"/>
      <c r="F65" s="536"/>
      <c r="G65" s="536"/>
      <c r="H65" s="536"/>
      <c r="I65" s="537"/>
      <c r="J65" s="536"/>
      <c r="K65" s="471"/>
    </row>
    <row r="66" spans="1:11">
      <c r="A66" s="463"/>
      <c r="B66" s="1481" t="s">
        <v>963</v>
      </c>
      <c r="C66" s="1482"/>
      <c r="D66" s="1482"/>
      <c r="E66" s="1482"/>
      <c r="F66" s="1482"/>
      <c r="G66" s="1482"/>
      <c r="H66" s="1482"/>
      <c r="I66" s="1483"/>
      <c r="J66" s="586">
        <f>J62+J64</f>
        <v>85.064617516069788</v>
      </c>
      <c r="K66" s="471"/>
    </row>
    <row r="67" spans="1:11">
      <c r="A67" s="463"/>
      <c r="B67" s="524"/>
      <c r="C67" s="524"/>
      <c r="D67" s="524"/>
      <c r="E67" s="524"/>
      <c r="F67" s="524"/>
      <c r="G67" s="524"/>
      <c r="H67" s="524"/>
      <c r="I67" s="584"/>
      <c r="J67" s="524"/>
      <c r="K67" s="471"/>
    </row>
    <row r="68" spans="1:11">
      <c r="A68" s="463"/>
      <c r="B68" s="602"/>
      <c r="C68" s="572"/>
      <c r="D68" s="572"/>
      <c r="E68" s="572"/>
      <c r="F68" s="572"/>
      <c r="G68" s="572"/>
      <c r="H68" s="572"/>
      <c r="I68" s="572"/>
      <c r="J68" s="603"/>
      <c r="K68" s="471"/>
    </row>
    <row r="69" spans="1:11">
      <c r="A69" s="463"/>
      <c r="B69" s="604"/>
      <c r="C69" s="605"/>
      <c r="D69" s="606"/>
      <c r="E69" s="606"/>
      <c r="F69" s="607" t="s">
        <v>946</v>
      </c>
      <c r="G69" s="608" t="s">
        <v>946</v>
      </c>
      <c r="H69" s="605"/>
      <c r="I69" s="605"/>
      <c r="J69" s="609"/>
      <c r="K69" s="471"/>
    </row>
    <row r="70" spans="1:11">
      <c r="A70" s="463"/>
      <c r="B70" s="472"/>
      <c r="C70" s="472"/>
      <c r="D70" s="472"/>
      <c r="E70" s="472"/>
      <c r="F70" s="472"/>
      <c r="G70" s="472"/>
      <c r="H70" s="472"/>
      <c r="I70" s="472"/>
      <c r="J70" s="472"/>
      <c r="K70" s="471"/>
    </row>
    <row r="71" spans="1:11">
      <c r="A71" s="463"/>
      <c r="B71" s="610" t="str">
        <f>PLANEJAMENTO!F2</f>
        <v>OPERAÇÃO DE SUPRESSÃO E SUMP</v>
      </c>
      <c r="C71" s="611"/>
      <c r="D71" s="611"/>
      <c r="E71" s="611"/>
      <c r="F71" s="612"/>
      <c r="G71" s="613" t="s">
        <v>363</v>
      </c>
      <c r="H71" s="515"/>
      <c r="I71" s="515"/>
      <c r="J71" s="518"/>
      <c r="K71" s="471"/>
    </row>
    <row r="72" spans="1:11">
      <c r="A72" s="463"/>
      <c r="B72" s="614" t="str">
        <f>PLANEJAMENTO!F3</f>
        <v>MARA ROSA</v>
      </c>
      <c r="C72" s="615"/>
      <c r="D72" s="615"/>
      <c r="E72" s="615"/>
      <c r="F72" s="616"/>
      <c r="G72" s="1484" t="s">
        <v>964</v>
      </c>
      <c r="H72" s="1485"/>
      <c r="I72" s="1485"/>
      <c r="J72" s="1486"/>
      <c r="K72" s="471"/>
    </row>
    <row r="73" spans="1:11">
      <c r="A73" s="463"/>
      <c r="B73" s="617"/>
      <c r="C73" s="618"/>
      <c r="D73" s="618"/>
      <c r="E73" s="618"/>
      <c r="F73" s="619"/>
      <c r="G73" s="620"/>
      <c r="H73" s="1487"/>
      <c r="I73" s="1488"/>
      <c r="J73" s="1489"/>
      <c r="K73" s="471"/>
    </row>
    <row r="74" spans="1:11" ht="15" thickBot="1">
      <c r="A74" s="621"/>
      <c r="B74" s="622"/>
      <c r="C74" s="622"/>
      <c r="D74" s="622"/>
      <c r="E74" s="622"/>
      <c r="F74" s="622"/>
      <c r="G74" s="622"/>
      <c r="H74" s="622"/>
      <c r="I74" s="622"/>
      <c r="J74" s="622"/>
      <c r="K74" s="623"/>
    </row>
    <row r="75" spans="1:11" hidden="1">
      <c r="A75" s="460"/>
      <c r="B75" s="461"/>
      <c r="C75" s="461"/>
      <c r="D75" s="461"/>
      <c r="E75" s="461"/>
      <c r="F75" s="461"/>
      <c r="G75" s="461"/>
      <c r="H75" s="461"/>
      <c r="I75" s="461"/>
      <c r="J75" s="461"/>
      <c r="K75" s="462"/>
    </row>
    <row r="76" spans="1:11" hidden="1">
      <c r="A76" s="463"/>
      <c r="B76" s="464" t="s">
        <v>178</v>
      </c>
      <c r="C76" s="465"/>
      <c r="D76" s="466" t="s">
        <v>936</v>
      </c>
      <c r="E76" s="467"/>
      <c r="F76" s="468"/>
      <c r="G76" s="468"/>
      <c r="H76" s="469"/>
      <c r="I76" s="469"/>
      <c r="J76" s="470"/>
      <c r="K76" s="471"/>
    </row>
    <row r="77" spans="1:11" hidden="1">
      <c r="A77" s="463"/>
      <c r="B77" s="472"/>
      <c r="C77" s="472"/>
      <c r="D77" s="472"/>
      <c r="E77" s="472"/>
      <c r="F77" s="472"/>
      <c r="G77" s="472"/>
      <c r="H77" s="472"/>
      <c r="I77" s="472"/>
      <c r="J77" s="472"/>
      <c r="K77" s="471"/>
    </row>
    <row r="78" spans="1:11" hidden="1">
      <c r="A78" s="463"/>
      <c r="B78" s="473" t="s">
        <v>688</v>
      </c>
      <c r="C78" s="474" t="s">
        <v>937</v>
      </c>
      <c r="D78" s="1497" t="s">
        <v>250</v>
      </c>
      <c r="E78" s="1498"/>
      <c r="F78" s="1498"/>
      <c r="G78" s="1498"/>
      <c r="H78" s="1498"/>
      <c r="I78" s="1499"/>
      <c r="J78" s="475" t="s">
        <v>267</v>
      </c>
      <c r="K78" s="471"/>
    </row>
    <row r="79" spans="1:11" hidden="1">
      <c r="A79" s="463"/>
      <c r="B79" s="476" t="s">
        <v>3</v>
      </c>
      <c r="C79" s="477"/>
      <c r="D79" s="478"/>
      <c r="E79" s="479"/>
      <c r="F79" s="479"/>
      <c r="G79" s="479"/>
      <c r="H79" s="479"/>
      <c r="I79" s="480"/>
      <c r="J79" s="481" t="str">
        <f>F105</f>
        <v>m3</v>
      </c>
      <c r="K79" s="471"/>
    </row>
    <row r="80" spans="1:11" hidden="1">
      <c r="A80" s="463"/>
      <c r="B80" s="482"/>
      <c r="C80" s="482"/>
      <c r="D80" s="482"/>
      <c r="E80" s="482"/>
      <c r="F80" s="482"/>
      <c r="G80" s="482"/>
      <c r="H80" s="482"/>
      <c r="I80" s="483"/>
      <c r="J80" s="484"/>
      <c r="K80" s="471"/>
    </row>
    <row r="81" spans="1:11" hidden="1">
      <c r="A81" s="463"/>
      <c r="B81" s="1484" t="s">
        <v>938</v>
      </c>
      <c r="C81" s="1486"/>
      <c r="D81" s="1502" t="s">
        <v>688</v>
      </c>
      <c r="E81" s="1504" t="s">
        <v>939</v>
      </c>
      <c r="F81" s="485" t="s">
        <v>940</v>
      </c>
      <c r="G81" s="486"/>
      <c r="H81" s="485" t="s">
        <v>941</v>
      </c>
      <c r="I81" s="486"/>
      <c r="J81" s="487" t="s">
        <v>942</v>
      </c>
      <c r="K81" s="471"/>
    </row>
    <row r="82" spans="1:11" hidden="1">
      <c r="A82" s="463"/>
      <c r="B82" s="1500"/>
      <c r="C82" s="1501"/>
      <c r="D82" s="1503"/>
      <c r="E82" s="1505"/>
      <c r="F82" s="488" t="s">
        <v>943</v>
      </c>
      <c r="G82" s="488" t="s">
        <v>944</v>
      </c>
      <c r="H82" s="488" t="s">
        <v>943</v>
      </c>
      <c r="I82" s="489" t="s">
        <v>944</v>
      </c>
      <c r="J82" s="490" t="s">
        <v>945</v>
      </c>
      <c r="K82" s="471"/>
    </row>
    <row r="83" spans="1:11" hidden="1">
      <c r="A83" s="463"/>
      <c r="B83" s="499" t="s">
        <v>640</v>
      </c>
      <c r="C83" s="492"/>
      <c r="D83" s="493"/>
      <c r="E83" s="494">
        <v>1</v>
      </c>
      <c r="F83" s="494">
        <v>1</v>
      </c>
      <c r="G83" s="495">
        <f>1-F83</f>
        <v>0</v>
      </c>
      <c r="H83" s="503">
        <f>VLOOKUP(B83,EQUIPAMENTOS!$A:$J,10,FALSE)</f>
        <v>163</v>
      </c>
      <c r="I83" s="497">
        <f>H83</f>
        <v>163</v>
      </c>
      <c r="J83" s="498">
        <f t="shared" ref="J83:J89" si="2">H83*F83*E83+I83*G83*E83</f>
        <v>163</v>
      </c>
      <c r="K83" s="471"/>
    </row>
    <row r="84" spans="1:11" hidden="1">
      <c r="A84" s="463"/>
      <c r="B84" s="499" t="s">
        <v>667</v>
      </c>
      <c r="C84" s="500"/>
      <c r="D84" s="501"/>
      <c r="E84" s="502">
        <v>1</v>
      </c>
      <c r="F84" s="502">
        <v>1</v>
      </c>
      <c r="G84" s="502">
        <f>1-F84</f>
        <v>0</v>
      </c>
      <c r="H84" s="503">
        <f>VLOOKUP(B84,EQUIPAMENTOS!$A:$J,10,FALSE)</f>
        <v>134.05277777777778</v>
      </c>
      <c r="I84" s="504">
        <f>H84</f>
        <v>134.05277777777778</v>
      </c>
      <c r="J84" s="505">
        <f t="shared" si="2"/>
        <v>134.05277777777778</v>
      </c>
      <c r="K84" s="471"/>
    </row>
    <row r="85" spans="1:11" hidden="1">
      <c r="A85" s="463"/>
      <c r="B85" s="499" t="s">
        <v>986</v>
      </c>
      <c r="C85" s="500"/>
      <c r="D85" s="501"/>
      <c r="E85" s="502">
        <v>2</v>
      </c>
      <c r="F85" s="502">
        <v>1</v>
      </c>
      <c r="G85" s="502">
        <f>1-F85</f>
        <v>0</v>
      </c>
      <c r="H85" s="503">
        <f>VLOOKUP(B85,EQUIPAMENTOS!$A:$J,10,FALSE)</f>
        <v>145</v>
      </c>
      <c r="I85" s="504">
        <f>H85</f>
        <v>145</v>
      </c>
      <c r="J85" s="505">
        <f t="shared" si="2"/>
        <v>290</v>
      </c>
      <c r="K85" s="471"/>
    </row>
    <row r="86" spans="1:11" hidden="1">
      <c r="A86" s="463"/>
      <c r="B86" s="499" t="s">
        <v>627</v>
      </c>
      <c r="C86" s="500"/>
      <c r="D86" s="501"/>
      <c r="E86" s="502">
        <v>2</v>
      </c>
      <c r="F86" s="502">
        <v>1</v>
      </c>
      <c r="G86" s="502">
        <f>1-F86</f>
        <v>0</v>
      </c>
      <c r="H86" s="503">
        <f>VLOOKUP(B86,EQUIPAMENTOS!$A:$J,10,FALSE)</f>
        <v>100</v>
      </c>
      <c r="I86" s="504">
        <f>H86</f>
        <v>100</v>
      </c>
      <c r="J86" s="505">
        <f t="shared" si="2"/>
        <v>200</v>
      </c>
      <c r="K86" s="471"/>
    </row>
    <row r="87" spans="1:11" hidden="1">
      <c r="A87" s="463"/>
      <c r="B87" s="499"/>
      <c r="C87" s="500"/>
      <c r="D87" s="501"/>
      <c r="E87" s="502"/>
      <c r="F87" s="502"/>
      <c r="G87" s="502"/>
      <c r="H87" s="503"/>
      <c r="I87" s="504"/>
      <c r="J87" s="505">
        <f t="shared" si="2"/>
        <v>0</v>
      </c>
      <c r="K87" s="471"/>
    </row>
    <row r="88" spans="1:11" hidden="1">
      <c r="A88" s="463"/>
      <c r="B88" s="499"/>
      <c r="C88" s="500"/>
      <c r="D88" s="501"/>
      <c r="E88" s="502"/>
      <c r="F88" s="502"/>
      <c r="G88" s="502"/>
      <c r="H88" s="503"/>
      <c r="I88" s="504"/>
      <c r="J88" s="505">
        <f t="shared" si="2"/>
        <v>0</v>
      </c>
      <c r="K88" s="471"/>
    </row>
    <row r="89" spans="1:11" hidden="1">
      <c r="A89" s="463"/>
      <c r="B89" s="506"/>
      <c r="C89" s="507"/>
      <c r="D89" s="508"/>
      <c r="E89" s="509"/>
      <c r="F89" s="509"/>
      <c r="G89" s="509"/>
      <c r="H89" s="510"/>
      <c r="I89" s="511"/>
      <c r="J89" s="505">
        <f t="shared" si="2"/>
        <v>0</v>
      </c>
      <c r="K89" s="471"/>
    </row>
    <row r="90" spans="1:11" hidden="1">
      <c r="A90" s="463"/>
      <c r="B90" s="512" t="s">
        <v>946</v>
      </c>
      <c r="C90" s="482"/>
      <c r="D90" s="482"/>
      <c r="E90" s="482"/>
      <c r="F90" s="482"/>
      <c r="G90" s="482"/>
      <c r="H90" s="482"/>
      <c r="I90" s="513" t="s">
        <v>175</v>
      </c>
      <c r="J90" s="514">
        <f>SUM(J83:J89)</f>
        <v>787.05277777777781</v>
      </c>
      <c r="K90" s="471"/>
    </row>
    <row r="91" spans="1:11" hidden="1">
      <c r="A91" s="463"/>
      <c r="B91" s="515"/>
      <c r="C91" s="515"/>
      <c r="D91" s="515"/>
      <c r="E91" s="515"/>
      <c r="F91" s="515"/>
      <c r="G91" s="515"/>
      <c r="H91" s="515"/>
      <c r="I91" s="516"/>
      <c r="J91" s="517"/>
      <c r="K91" s="471"/>
    </row>
    <row r="92" spans="1:11" ht="20.399999999999999" hidden="1">
      <c r="A92" s="463"/>
      <c r="B92" s="1490" t="s">
        <v>947</v>
      </c>
      <c r="C92" s="1491"/>
      <c r="D92" s="1491"/>
      <c r="E92" s="1492"/>
      <c r="F92" s="518" t="s">
        <v>688</v>
      </c>
      <c r="G92" s="519"/>
      <c r="H92" s="520" t="s">
        <v>427</v>
      </c>
      <c r="I92" s="521" t="s">
        <v>948</v>
      </c>
      <c r="J92" s="522" t="s">
        <v>949</v>
      </c>
      <c r="K92" s="471"/>
    </row>
    <row r="93" spans="1:11" hidden="1">
      <c r="A93" s="463"/>
      <c r="B93" s="523"/>
      <c r="C93" s="524"/>
      <c r="D93" s="525"/>
      <c r="E93" s="526"/>
      <c r="F93" s="527"/>
      <c r="G93" s="528"/>
      <c r="H93" s="529"/>
      <c r="I93" s="497"/>
      <c r="J93" s="498"/>
      <c r="K93" s="471"/>
    </row>
    <row r="94" spans="1:11" hidden="1">
      <c r="A94" s="463"/>
      <c r="B94" s="530" t="s">
        <v>970</v>
      </c>
      <c r="C94" s="531"/>
      <c r="D94" s="472"/>
      <c r="E94" s="500"/>
      <c r="F94" s="501"/>
      <c r="G94" s="532"/>
      <c r="H94" s="533">
        <f>E83</f>
        <v>1</v>
      </c>
      <c r="I94" s="534">
        <f>VLOOKUP(B94,'MÃO DE OBRA'!$A:$E,5,FALSE)/220</f>
        <v>35.988199999999999</v>
      </c>
      <c r="J94" s="505">
        <f t="shared" ref="J94:J99" si="3">H94*I94</f>
        <v>35.988199999999999</v>
      </c>
      <c r="K94" s="471"/>
    </row>
    <row r="95" spans="1:11" hidden="1">
      <c r="A95" s="463"/>
      <c r="B95" s="530" t="s">
        <v>1035</v>
      </c>
      <c r="C95" s="531"/>
      <c r="D95" s="472"/>
      <c r="E95" s="500"/>
      <c r="F95" s="501"/>
      <c r="G95" s="532"/>
      <c r="H95" s="533">
        <f>E84</f>
        <v>1</v>
      </c>
      <c r="I95" s="534">
        <f>VLOOKUP(B95,'MÃO DE OBRA'!$A:$E,5,FALSE)/220</f>
        <v>21.588799999999999</v>
      </c>
      <c r="J95" s="505">
        <f t="shared" si="3"/>
        <v>21.588799999999999</v>
      </c>
      <c r="K95" s="471"/>
    </row>
    <row r="96" spans="1:11" hidden="1">
      <c r="A96" s="463"/>
      <c r="B96" s="530" t="s">
        <v>969</v>
      </c>
      <c r="C96" s="531"/>
      <c r="D96" s="472"/>
      <c r="E96" s="500"/>
      <c r="F96" s="501"/>
      <c r="G96" s="532"/>
      <c r="H96" s="533">
        <f>E85</f>
        <v>2</v>
      </c>
      <c r="I96" s="534">
        <f>VLOOKUP(B96,'MÃO DE OBRA'!$A:$E,5,FALSE)/220</f>
        <v>21.588799999999999</v>
      </c>
      <c r="J96" s="505">
        <f t="shared" si="3"/>
        <v>43.177599999999998</v>
      </c>
      <c r="K96" s="471"/>
    </row>
    <row r="97" spans="1:11" hidden="1">
      <c r="A97" s="463"/>
      <c r="B97" s="530" t="s">
        <v>977</v>
      </c>
      <c r="C97" s="531"/>
      <c r="D97" s="472"/>
      <c r="E97" s="500"/>
      <c r="F97" s="501"/>
      <c r="G97" s="532"/>
      <c r="H97" s="533">
        <f>E86</f>
        <v>2</v>
      </c>
      <c r="I97" s="534">
        <f>VLOOKUP(B97,'MÃO DE OBRA'!$A:$E,5,FALSE)/220</f>
        <v>27.68359090909091</v>
      </c>
      <c r="J97" s="505">
        <f t="shared" si="3"/>
        <v>55.36718181818182</v>
      </c>
      <c r="K97" s="471"/>
    </row>
    <row r="98" spans="1:11" hidden="1">
      <c r="A98" s="463"/>
      <c r="B98" s="530" t="s">
        <v>472</v>
      </c>
      <c r="C98" s="531"/>
      <c r="D98" s="472"/>
      <c r="E98" s="500"/>
      <c r="F98" s="501"/>
      <c r="G98" s="532"/>
      <c r="H98" s="533">
        <v>2</v>
      </c>
      <c r="I98" s="534">
        <f>VLOOKUP(B98,'MÃO DE OBRA'!$A:$E,5,FALSE)/220</f>
        <v>18.377072727272729</v>
      </c>
      <c r="J98" s="505">
        <f t="shared" si="3"/>
        <v>36.754145454545458</v>
      </c>
      <c r="K98" s="471"/>
    </row>
    <row r="99" spans="1:11" hidden="1">
      <c r="A99" s="463"/>
      <c r="B99" s="530" t="s">
        <v>534</v>
      </c>
      <c r="C99" s="531"/>
      <c r="D99" s="472"/>
      <c r="E99" s="500"/>
      <c r="F99" s="501"/>
      <c r="G99" s="532"/>
      <c r="H99" s="533">
        <v>1</v>
      </c>
      <c r="I99" s="534">
        <f>VLOOKUP(B99,'MÃO DE OBRA'!$A:$E,5,FALSE)/220</f>
        <v>21.588799999999999</v>
      </c>
      <c r="J99" s="505">
        <f t="shared" si="3"/>
        <v>21.588799999999999</v>
      </c>
      <c r="K99" s="471"/>
    </row>
    <row r="100" spans="1:11" hidden="1">
      <c r="A100" s="463"/>
      <c r="B100" s="530"/>
      <c r="C100" s="531"/>
      <c r="D100" s="472"/>
      <c r="E100" s="500"/>
      <c r="F100" s="501"/>
      <c r="G100" s="532"/>
      <c r="H100" s="533"/>
      <c r="I100" s="534"/>
      <c r="J100" s="505"/>
      <c r="K100" s="471"/>
    </row>
    <row r="101" spans="1:11" hidden="1">
      <c r="A101" s="463"/>
      <c r="B101" s="530"/>
      <c r="C101" s="531"/>
      <c r="D101" s="472"/>
      <c r="E101" s="500"/>
      <c r="F101" s="501"/>
      <c r="G101" s="532"/>
      <c r="H101" s="533"/>
      <c r="I101" s="504"/>
      <c r="J101" s="505"/>
      <c r="K101" s="471"/>
    </row>
    <row r="102" spans="1:11" hidden="1">
      <c r="A102" s="463"/>
      <c r="B102" s="530"/>
      <c r="C102" s="531"/>
      <c r="D102" s="472"/>
      <c r="E102" s="500"/>
      <c r="F102" s="501"/>
      <c r="G102" s="532"/>
      <c r="H102" s="533"/>
      <c r="I102" s="504"/>
      <c r="J102" s="505">
        <f>H102*I102</f>
        <v>0</v>
      </c>
      <c r="K102" s="471"/>
    </row>
    <row r="103" spans="1:11" hidden="1">
      <c r="A103" s="463"/>
      <c r="B103" s="512" t="s">
        <v>946</v>
      </c>
      <c r="C103" s="515"/>
      <c r="D103" s="515"/>
      <c r="E103" s="515"/>
      <c r="F103" s="515"/>
      <c r="G103" s="515"/>
      <c r="H103" s="515"/>
      <c r="I103" s="535" t="s">
        <v>175</v>
      </c>
      <c r="J103" s="514">
        <f>SUM(J93:J102)</f>
        <v>214.46472727272729</v>
      </c>
      <c r="K103" s="471"/>
    </row>
    <row r="104" spans="1:11" hidden="1">
      <c r="A104" s="463"/>
      <c r="B104" s="536"/>
      <c r="C104" s="536"/>
      <c r="D104" s="536"/>
      <c r="E104" s="536"/>
      <c r="F104" s="536"/>
      <c r="G104" s="536"/>
      <c r="H104" s="536"/>
      <c r="I104" s="537"/>
      <c r="J104" s="536"/>
      <c r="K104" s="471"/>
    </row>
    <row r="105" spans="1:11" hidden="1">
      <c r="A105" s="463"/>
      <c r="B105" s="538" t="s">
        <v>952</v>
      </c>
      <c r="C105" s="539"/>
      <c r="D105" s="536"/>
      <c r="E105" s="540">
        <v>55</v>
      </c>
      <c r="F105" s="541" t="s">
        <v>931</v>
      </c>
      <c r="G105" s="519"/>
      <c r="H105" s="519"/>
      <c r="I105" s="542" t="s">
        <v>953</v>
      </c>
      <c r="J105" s="514">
        <f>J90+J103</f>
        <v>1001.5175050505051</v>
      </c>
      <c r="K105" s="471"/>
    </row>
    <row r="106" spans="1:11" hidden="1">
      <c r="A106" s="463"/>
      <c r="B106" s="543"/>
      <c r="C106" s="536"/>
      <c r="D106" s="536"/>
      <c r="E106" s="544"/>
      <c r="F106" s="545"/>
      <c r="G106" s="545"/>
      <c r="H106" s="545"/>
      <c r="I106" s="537"/>
      <c r="J106" s="536"/>
      <c r="K106" s="471"/>
    </row>
    <row r="107" spans="1:11" ht="20.399999999999999" hidden="1">
      <c r="A107" s="463"/>
      <c r="B107" s="1493" t="s">
        <v>362</v>
      </c>
      <c r="C107" s="1494"/>
      <c r="D107" s="1494"/>
      <c r="E107" s="1495"/>
      <c r="F107" s="546" t="s">
        <v>688</v>
      </c>
      <c r="G107" s="547" t="s">
        <v>371</v>
      </c>
      <c r="H107" s="520" t="s">
        <v>942</v>
      </c>
      <c r="I107" s="548" t="s">
        <v>361</v>
      </c>
      <c r="J107" s="549" t="s">
        <v>363</v>
      </c>
      <c r="K107" s="471"/>
    </row>
    <row r="108" spans="1:11" hidden="1">
      <c r="A108" s="463"/>
      <c r="B108" s="550" t="str">
        <f>B83</f>
        <v>Motoniveladora 120K</v>
      </c>
      <c r="C108" s="551"/>
      <c r="D108" s="551"/>
      <c r="E108" s="552"/>
      <c r="F108" s="553" t="str">
        <f>VLOOKUP(B108,EQUIPAMENTOS!$A:$N,12,FALSE)</f>
        <v>Diesel S10</v>
      </c>
      <c r="G108" s="554" t="s">
        <v>415</v>
      </c>
      <c r="H108" s="560">
        <f>VLOOKUP(B108,EQUIPAMENTOS!$A:$N,13,FALSE)</f>
        <v>0</v>
      </c>
      <c r="I108" s="556">
        <f>VLOOKUP(B108,EQUIPAMENTOS!$A:$N,14,FALSE)</f>
        <v>16</v>
      </c>
      <c r="J108" s="505">
        <f>H108*I108*E83*F83</f>
        <v>0</v>
      </c>
      <c r="K108" s="471"/>
    </row>
    <row r="109" spans="1:11" hidden="1">
      <c r="A109" s="463"/>
      <c r="B109" s="550" t="str">
        <f>B84</f>
        <v>Trator de pneus com grade</v>
      </c>
      <c r="C109" s="531"/>
      <c r="D109" s="531"/>
      <c r="E109" s="500"/>
      <c r="F109" s="553" t="str">
        <f>VLOOKUP(B109,EQUIPAMENTOS!$A:$N,12,FALSE)</f>
        <v>Diesel S10</v>
      </c>
      <c r="G109" s="554" t="s">
        <v>415</v>
      </c>
      <c r="H109" s="560">
        <f>VLOOKUP(B109,EQUIPAMENTOS!$A:$N,13,FALSE)</f>
        <v>0</v>
      </c>
      <c r="I109" s="556">
        <f>VLOOKUP(B109,EQUIPAMENTOS!$A:$N,14,FALSE)</f>
        <v>18</v>
      </c>
      <c r="J109" s="505">
        <f>H109*I109*E84*F84</f>
        <v>0</v>
      </c>
      <c r="K109" s="471"/>
    </row>
    <row r="110" spans="1:11" hidden="1">
      <c r="A110" s="463"/>
      <c r="B110" s="550" t="str">
        <f>B85</f>
        <v>Rolo compactador pé de carneiro 10t</v>
      </c>
      <c r="C110" s="531"/>
      <c r="D110" s="531"/>
      <c r="E110" s="500"/>
      <c r="F110" s="553" t="str">
        <f>VLOOKUP(B110,EQUIPAMENTOS!$A:$N,12,FALSE)</f>
        <v>Diesel S10</v>
      </c>
      <c r="G110" s="554" t="s">
        <v>415</v>
      </c>
      <c r="H110" s="560">
        <f>VLOOKUP(B110,EQUIPAMENTOS!$A:$N,13,FALSE)</f>
        <v>0</v>
      </c>
      <c r="I110" s="556">
        <f>VLOOKUP(B110,EQUIPAMENTOS!$A:$N,14,FALSE)</f>
        <v>16</v>
      </c>
      <c r="J110" s="505">
        <f>H110*I110*E85*F85</f>
        <v>0</v>
      </c>
      <c r="K110" s="471"/>
    </row>
    <row r="111" spans="1:11" hidden="1">
      <c r="A111" s="463"/>
      <c r="B111" s="550" t="str">
        <f>B86</f>
        <v xml:space="preserve">Caminhão Pipa 10.000 l </v>
      </c>
      <c r="C111" s="531"/>
      <c r="D111" s="531"/>
      <c r="E111" s="500"/>
      <c r="F111" s="553" t="str">
        <f>VLOOKUP(B111,EQUIPAMENTOS!$A:$N,12,FALSE)</f>
        <v>Diesel S10</v>
      </c>
      <c r="G111" s="554" t="s">
        <v>415</v>
      </c>
      <c r="H111" s="560">
        <f>VLOOKUP(B111,EQUIPAMENTOS!$A:$N,13,FALSE)</f>
        <v>0</v>
      </c>
      <c r="I111" s="556">
        <f>VLOOKUP(B111,EQUIPAMENTOS!$A:$N,14,FALSE)</f>
        <v>7</v>
      </c>
      <c r="J111" s="505">
        <f>H111*I111*E86*F86</f>
        <v>0</v>
      </c>
      <c r="K111" s="471"/>
    </row>
    <row r="112" spans="1:11" hidden="1">
      <c r="A112" s="463"/>
      <c r="B112" s="530"/>
      <c r="C112" s="531"/>
      <c r="D112" s="531"/>
      <c r="E112" s="500"/>
      <c r="F112" s="501"/>
      <c r="G112" s="559"/>
      <c r="H112" s="560"/>
      <c r="I112" s="556"/>
      <c r="J112" s="505">
        <f>H112*I112*E87</f>
        <v>0</v>
      </c>
      <c r="K112" s="471"/>
    </row>
    <row r="113" spans="1:11" hidden="1">
      <c r="A113" s="463"/>
      <c r="B113" s="530"/>
      <c r="C113" s="539"/>
      <c r="D113" s="539"/>
      <c r="E113" s="507"/>
      <c r="F113" s="501"/>
      <c r="G113" s="481"/>
      <c r="H113" s="560"/>
      <c r="I113" s="561"/>
      <c r="J113" s="562">
        <f>H113*I113*E88</f>
        <v>0</v>
      </c>
      <c r="K113" s="471"/>
    </row>
    <row r="114" spans="1:11" hidden="1">
      <c r="A114" s="463"/>
      <c r="B114" s="563" t="s">
        <v>946</v>
      </c>
      <c r="C114" s="539"/>
      <c r="D114" s="539"/>
      <c r="E114" s="539"/>
      <c r="F114" s="536"/>
      <c r="G114" s="539"/>
      <c r="H114" s="564"/>
      <c r="I114" s="565" t="s">
        <v>175</v>
      </c>
      <c r="J114" s="514">
        <f>SUM(J108:J113)</f>
        <v>0</v>
      </c>
      <c r="K114" s="471"/>
    </row>
    <row r="115" spans="1:11" hidden="1">
      <c r="A115" s="463"/>
      <c r="B115" s="566"/>
      <c r="C115" s="539"/>
      <c r="D115" s="539"/>
      <c r="E115" s="567"/>
      <c r="F115" s="568"/>
      <c r="G115" s="519"/>
      <c r="H115" s="519"/>
      <c r="I115" s="542"/>
      <c r="J115" s="567"/>
      <c r="K115" s="471"/>
    </row>
    <row r="116" spans="1:11" ht="20.399999999999999" hidden="1">
      <c r="A116" s="463"/>
      <c r="B116" s="1493" t="s">
        <v>955</v>
      </c>
      <c r="C116" s="1494"/>
      <c r="D116" s="1494"/>
      <c r="E116" s="1494"/>
      <c r="F116" s="1495"/>
      <c r="G116" s="569" t="s">
        <v>372</v>
      </c>
      <c r="H116" s="519" t="s">
        <v>956</v>
      </c>
      <c r="I116" s="570" t="s">
        <v>942</v>
      </c>
      <c r="J116" s="522" t="s">
        <v>363</v>
      </c>
      <c r="K116" s="471"/>
    </row>
    <row r="117" spans="1:11" hidden="1">
      <c r="A117" s="463"/>
      <c r="B117" s="571"/>
      <c r="C117" s="572"/>
      <c r="D117" s="573"/>
      <c r="E117" s="573"/>
      <c r="F117" s="574"/>
      <c r="G117" s="502"/>
      <c r="H117" s="502"/>
      <c r="I117" s="575"/>
      <c r="J117" s="505"/>
      <c r="K117" s="471"/>
    </row>
    <row r="118" spans="1:11" hidden="1">
      <c r="A118" s="463"/>
      <c r="B118" s="576"/>
      <c r="C118" s="577"/>
      <c r="D118" s="578"/>
      <c r="E118" s="578"/>
      <c r="F118" s="579"/>
      <c r="G118" s="502"/>
      <c r="H118" s="502"/>
      <c r="I118" s="575"/>
      <c r="J118" s="505"/>
      <c r="K118" s="471"/>
    </row>
    <row r="119" spans="1:11" hidden="1">
      <c r="A119" s="463"/>
      <c r="B119" s="1496" t="s">
        <v>175</v>
      </c>
      <c r="C119" s="1496"/>
      <c r="D119" s="1496"/>
      <c r="E119" s="1496"/>
      <c r="F119" s="1496"/>
      <c r="G119" s="1496"/>
      <c r="H119" s="1496"/>
      <c r="I119" s="1496"/>
      <c r="J119" s="514">
        <f>SUM(J117:J118)</f>
        <v>0</v>
      </c>
      <c r="K119" s="471"/>
    </row>
    <row r="120" spans="1:11" hidden="1">
      <c r="A120" s="463"/>
      <c r="B120" s="580"/>
      <c r="C120" s="524"/>
      <c r="D120" s="524"/>
      <c r="E120" s="581"/>
      <c r="F120" s="582"/>
      <c r="G120" s="583"/>
      <c r="H120" s="583"/>
      <c r="I120" s="584"/>
      <c r="J120" s="585"/>
      <c r="K120" s="471"/>
    </row>
    <row r="121" spans="1:11" hidden="1">
      <c r="A121" s="463"/>
      <c r="B121" s="586" t="s">
        <v>957</v>
      </c>
      <c r="C121" s="586"/>
      <c r="D121" s="563"/>
      <c r="E121" s="536"/>
      <c r="F121" s="536"/>
      <c r="G121" s="536"/>
      <c r="H121" s="587"/>
      <c r="I121" s="588"/>
      <c r="J121" s="514">
        <f>(J105+J114+J119)/E105</f>
        <v>18.209409182736454</v>
      </c>
      <c r="K121" s="471"/>
    </row>
    <row r="122" spans="1:11" hidden="1">
      <c r="A122" s="463"/>
      <c r="B122" s="566"/>
      <c r="C122" s="539"/>
      <c r="D122" s="539"/>
      <c r="E122" s="567"/>
      <c r="F122" s="568"/>
      <c r="G122" s="519"/>
      <c r="H122" s="519"/>
      <c r="I122" s="542"/>
      <c r="J122" s="589"/>
      <c r="K122" s="471"/>
    </row>
    <row r="123" spans="1:11" ht="20.399999999999999" hidden="1">
      <c r="A123" s="463"/>
      <c r="B123" s="1493" t="s">
        <v>958</v>
      </c>
      <c r="C123" s="1494"/>
      <c r="D123" s="1494"/>
      <c r="E123" s="1494"/>
      <c r="F123" s="1495"/>
      <c r="G123" s="569" t="s">
        <v>372</v>
      </c>
      <c r="H123" s="519" t="s">
        <v>956</v>
      </c>
      <c r="I123" s="570" t="s">
        <v>942</v>
      </c>
      <c r="J123" s="522" t="s">
        <v>363</v>
      </c>
      <c r="K123" s="471"/>
    </row>
    <row r="124" spans="1:11" hidden="1">
      <c r="A124" s="463"/>
      <c r="B124" s="571" t="s">
        <v>1037</v>
      </c>
      <c r="C124" s="572"/>
      <c r="D124" s="573"/>
      <c r="E124" s="573"/>
      <c r="F124" s="574"/>
      <c r="G124" s="502">
        <v>1.3</v>
      </c>
      <c r="H124" s="502" t="s">
        <v>931</v>
      </c>
      <c r="I124" s="575">
        <f>280/12</f>
        <v>23.333333333333332</v>
      </c>
      <c r="J124" s="505">
        <f>G124*I124</f>
        <v>30.333333333333332</v>
      </c>
      <c r="K124" s="471"/>
    </row>
    <row r="125" spans="1:11" hidden="1">
      <c r="A125" s="463"/>
      <c r="B125" s="576" t="s">
        <v>1038</v>
      </c>
      <c r="C125" s="577"/>
      <c r="D125" s="578"/>
      <c r="E125" s="578"/>
      <c r="F125" s="579"/>
      <c r="G125" s="502"/>
      <c r="H125" s="502" t="s">
        <v>931</v>
      </c>
      <c r="I125" s="575">
        <f>(73.6)*2.24</f>
        <v>164.864</v>
      </c>
      <c r="J125" s="505">
        <f>G125*I125</f>
        <v>0</v>
      </c>
      <c r="K125" s="471"/>
    </row>
    <row r="126" spans="1:11" hidden="1">
      <c r="A126" s="463"/>
      <c r="B126" s="576" t="s">
        <v>1039</v>
      </c>
      <c r="C126" s="577"/>
      <c r="D126" s="578"/>
      <c r="E126" s="578"/>
      <c r="F126" s="579"/>
      <c r="G126" s="502">
        <f>0.03</f>
        <v>0.03</v>
      </c>
      <c r="H126" s="502" t="s">
        <v>931</v>
      </c>
      <c r="I126" s="575">
        <f>2180*(30/50)</f>
        <v>1308</v>
      </c>
      <c r="J126" s="505">
        <f>G126*I126</f>
        <v>39.24</v>
      </c>
      <c r="K126" s="471"/>
    </row>
    <row r="127" spans="1:11" hidden="1">
      <c r="A127" s="463"/>
      <c r="B127" s="590"/>
      <c r="C127" s="591"/>
      <c r="D127" s="592"/>
      <c r="E127" s="592"/>
      <c r="F127" s="593"/>
      <c r="G127" s="502"/>
      <c r="H127" s="502"/>
      <c r="I127" s="575"/>
      <c r="J127" s="505">
        <f>G127*I127</f>
        <v>0</v>
      </c>
      <c r="K127" s="471"/>
    </row>
    <row r="128" spans="1:11" hidden="1">
      <c r="A128" s="463"/>
      <c r="B128" s="594"/>
      <c r="C128" s="536"/>
      <c r="D128" s="536"/>
      <c r="E128" s="595"/>
      <c r="F128" s="596"/>
      <c r="G128" s="545"/>
      <c r="H128" s="545"/>
      <c r="I128" s="537" t="s">
        <v>175</v>
      </c>
      <c r="J128" s="514">
        <f>SUM(J124:J127)</f>
        <v>69.573333333333338</v>
      </c>
      <c r="K128" s="471"/>
    </row>
    <row r="129" spans="1:11" hidden="1">
      <c r="A129" s="463"/>
      <c r="B129" s="597"/>
      <c r="C129" s="536"/>
      <c r="D129" s="536"/>
      <c r="E129" s="595"/>
      <c r="F129" s="596"/>
      <c r="G129" s="545"/>
      <c r="H129" s="545"/>
      <c r="I129" s="537"/>
      <c r="J129" s="595"/>
      <c r="K129" s="471"/>
    </row>
    <row r="130" spans="1:11" ht="20.399999999999999" hidden="1">
      <c r="A130" s="463"/>
      <c r="B130" s="598" t="s">
        <v>959</v>
      </c>
      <c r="C130" s="598"/>
      <c r="D130" s="598"/>
      <c r="E130" s="599"/>
      <c r="F130" s="600" t="s">
        <v>372</v>
      </c>
      <c r="G130" s="569" t="s">
        <v>960</v>
      </c>
      <c r="H130" s="519" t="s">
        <v>942</v>
      </c>
      <c r="I130" s="570" t="s">
        <v>361</v>
      </c>
      <c r="J130" s="522" t="s">
        <v>363</v>
      </c>
      <c r="K130" s="471"/>
    </row>
    <row r="131" spans="1:11" hidden="1">
      <c r="A131" s="463"/>
      <c r="B131" s="576" t="s">
        <v>1040</v>
      </c>
      <c r="C131" s="577"/>
      <c r="D131" s="578"/>
      <c r="E131" s="579" t="s">
        <v>946</v>
      </c>
      <c r="F131" s="502">
        <v>1.3</v>
      </c>
      <c r="G131" s="502">
        <v>27</v>
      </c>
      <c r="H131" s="502">
        <v>1</v>
      </c>
      <c r="I131" s="575">
        <f>I57</f>
        <v>1</v>
      </c>
      <c r="J131" s="505">
        <f>I131*H131*G131*F131</f>
        <v>35.1</v>
      </c>
      <c r="K131" s="471"/>
    </row>
    <row r="132" spans="1:11" hidden="1">
      <c r="A132" s="463"/>
      <c r="B132" s="576" t="s">
        <v>1041</v>
      </c>
      <c r="C132" s="577"/>
      <c r="D132" s="578"/>
      <c r="E132" s="579"/>
      <c r="F132" s="502">
        <f>1/160</f>
        <v>6.2500000000000003E-3</v>
      </c>
      <c r="G132" s="502">
        <v>1</v>
      </c>
      <c r="H132" s="502">
        <f>H58</f>
        <v>175</v>
      </c>
      <c r="I132" s="575">
        <v>1.3</v>
      </c>
      <c r="J132" s="505">
        <f>I132*H132*G132*F132</f>
        <v>1.421875</v>
      </c>
      <c r="K132" s="471"/>
    </row>
    <row r="133" spans="1:11" hidden="1">
      <c r="A133" s="463"/>
      <c r="B133" s="590" t="s">
        <v>1042</v>
      </c>
      <c r="C133" s="591"/>
      <c r="D133" s="592"/>
      <c r="E133" s="593" t="s">
        <v>946</v>
      </c>
      <c r="F133" s="509">
        <f>1/160</f>
        <v>6.2500000000000003E-3</v>
      </c>
      <c r="G133" s="509">
        <v>1</v>
      </c>
      <c r="H133" s="502">
        <f>H59</f>
        <v>0</v>
      </c>
      <c r="I133" s="601">
        <f>I59</f>
        <v>22</v>
      </c>
      <c r="J133" s="505">
        <f>I133*H133*G133*F133</f>
        <v>0</v>
      </c>
      <c r="K133" s="471"/>
    </row>
    <row r="134" spans="1:11" hidden="1">
      <c r="A134" s="463"/>
      <c r="B134" s="594"/>
      <c r="C134" s="536"/>
      <c r="D134" s="536"/>
      <c r="E134" s="595"/>
      <c r="F134" s="596"/>
      <c r="G134" s="545"/>
      <c r="H134" s="545"/>
      <c r="I134" s="537" t="s">
        <v>175</v>
      </c>
      <c r="J134" s="514">
        <f>SUM(J131:J133)</f>
        <v>36.521875000000001</v>
      </c>
      <c r="K134" s="471"/>
    </row>
    <row r="135" spans="1:11" hidden="1">
      <c r="A135" s="463"/>
      <c r="B135" s="536"/>
      <c r="C135" s="536"/>
      <c r="D135" s="536"/>
      <c r="E135" s="536"/>
      <c r="F135" s="536"/>
      <c r="G135" s="536"/>
      <c r="H135" s="536"/>
      <c r="I135" s="537"/>
      <c r="J135" s="536"/>
      <c r="K135" s="471"/>
    </row>
    <row r="136" spans="1:11" hidden="1">
      <c r="A136" s="463"/>
      <c r="B136" s="1481" t="s">
        <v>961</v>
      </c>
      <c r="C136" s="1482"/>
      <c r="D136" s="1482"/>
      <c r="E136" s="1482"/>
      <c r="F136" s="1482"/>
      <c r="G136" s="1482"/>
      <c r="H136" s="1482"/>
      <c r="I136" s="1483"/>
      <c r="J136" s="586">
        <f>J134+J128+J121</f>
        <v>124.3046175160698</v>
      </c>
      <c r="K136" s="471"/>
    </row>
    <row r="137" spans="1:11" hidden="1">
      <c r="A137" s="463"/>
      <c r="B137" s="536"/>
      <c r="C137" s="536"/>
      <c r="D137" s="536"/>
      <c r="E137" s="536"/>
      <c r="F137" s="536"/>
      <c r="G137" s="536"/>
      <c r="H137" s="536"/>
      <c r="I137" s="537"/>
      <c r="J137" s="536"/>
      <c r="K137" s="471"/>
    </row>
    <row r="138" spans="1:11" hidden="1">
      <c r="A138" s="463"/>
      <c r="B138" s="1481" t="s">
        <v>962</v>
      </c>
      <c r="C138" s="1482"/>
      <c r="D138" s="1482"/>
      <c r="E138" s="1482"/>
      <c r="F138" s="1482"/>
      <c r="G138" s="1482"/>
      <c r="H138" s="1482"/>
      <c r="I138" s="1483"/>
      <c r="J138" s="514">
        <f>J136*0</f>
        <v>0</v>
      </c>
      <c r="K138" s="471"/>
    </row>
    <row r="139" spans="1:11" hidden="1">
      <c r="A139" s="463"/>
      <c r="B139" s="536"/>
      <c r="C139" s="536"/>
      <c r="D139" s="536"/>
      <c r="E139" s="536"/>
      <c r="F139" s="536"/>
      <c r="G139" s="536"/>
      <c r="H139" s="536"/>
      <c r="I139" s="537"/>
      <c r="J139" s="536"/>
      <c r="K139" s="471"/>
    </row>
    <row r="140" spans="1:11" hidden="1">
      <c r="A140" s="463"/>
      <c r="B140" s="1481" t="s">
        <v>963</v>
      </c>
      <c r="C140" s="1482"/>
      <c r="D140" s="1482"/>
      <c r="E140" s="1482"/>
      <c r="F140" s="1482"/>
      <c r="G140" s="1482"/>
      <c r="H140" s="1482"/>
      <c r="I140" s="1483"/>
      <c r="J140" s="586">
        <f>J136+J138</f>
        <v>124.3046175160698</v>
      </c>
      <c r="K140" s="471"/>
    </row>
    <row r="141" spans="1:11" hidden="1">
      <c r="A141" s="463"/>
      <c r="B141" s="524"/>
      <c r="C141" s="524"/>
      <c r="D141" s="524"/>
      <c r="E141" s="524"/>
      <c r="F141" s="524"/>
      <c r="G141" s="524"/>
      <c r="H141" s="524"/>
      <c r="I141" s="584"/>
      <c r="J141" s="524"/>
      <c r="K141" s="471"/>
    </row>
    <row r="142" spans="1:11" hidden="1">
      <c r="A142" s="463"/>
      <c r="B142" s="602"/>
      <c r="C142" s="572"/>
      <c r="D142" s="572"/>
      <c r="E142" s="572"/>
      <c r="F142" s="572"/>
      <c r="G142" s="572"/>
      <c r="H142" s="572"/>
      <c r="I142" s="572"/>
      <c r="J142" s="603"/>
      <c r="K142" s="471"/>
    </row>
    <row r="143" spans="1:11" hidden="1">
      <c r="A143" s="463"/>
      <c r="B143" s="604"/>
      <c r="C143" s="605"/>
      <c r="D143" s="606"/>
      <c r="E143" s="606"/>
      <c r="F143" s="607" t="s">
        <v>946</v>
      </c>
      <c r="G143" s="608" t="s">
        <v>946</v>
      </c>
      <c r="H143" s="605"/>
      <c r="I143" s="605"/>
      <c r="J143" s="609"/>
      <c r="K143" s="471"/>
    </row>
    <row r="144" spans="1:11" hidden="1">
      <c r="A144" s="463"/>
      <c r="B144" s="472"/>
      <c r="C144" s="472"/>
      <c r="D144" s="472"/>
      <c r="E144" s="472"/>
      <c r="F144" s="472"/>
      <c r="G144" s="472"/>
      <c r="H144" s="472"/>
      <c r="I144" s="472"/>
      <c r="J144" s="472"/>
      <c r="K144" s="471"/>
    </row>
    <row r="145" spans="1:11" hidden="1">
      <c r="A145" s="463"/>
      <c r="B145" s="610"/>
      <c r="C145" s="611"/>
      <c r="D145" s="611"/>
      <c r="E145" s="611"/>
      <c r="F145" s="612"/>
      <c r="G145" s="613" t="s">
        <v>363</v>
      </c>
      <c r="H145" s="515"/>
      <c r="I145" s="515"/>
      <c r="J145" s="518"/>
      <c r="K145" s="471"/>
    </row>
    <row r="146" spans="1:11" hidden="1">
      <c r="A146" s="463"/>
      <c r="B146" s="614"/>
      <c r="C146" s="615"/>
      <c r="D146" s="615"/>
      <c r="E146" s="615"/>
      <c r="F146" s="616"/>
      <c r="G146" s="1484" t="s">
        <v>964</v>
      </c>
      <c r="H146" s="1485"/>
      <c r="I146" s="1485"/>
      <c r="J146" s="1486"/>
      <c r="K146" s="471"/>
    </row>
    <row r="147" spans="1:11" hidden="1">
      <c r="A147" s="463"/>
      <c r="B147" s="617"/>
      <c r="C147" s="618"/>
      <c r="D147" s="618"/>
      <c r="E147" s="618"/>
      <c r="F147" s="619"/>
      <c r="G147" s="620"/>
      <c r="H147" s="1487"/>
      <c r="I147" s="1488"/>
      <c r="J147" s="1489"/>
      <c r="K147" s="471"/>
    </row>
    <row r="148" spans="1:11" ht="15" hidden="1" thickBot="1">
      <c r="A148" s="621"/>
      <c r="B148" s="622"/>
      <c r="C148" s="622"/>
      <c r="D148" s="622"/>
      <c r="E148" s="622"/>
      <c r="F148" s="622"/>
      <c r="G148" s="622"/>
      <c r="H148" s="622"/>
      <c r="I148" s="622"/>
      <c r="J148" s="622"/>
      <c r="K148" s="623"/>
    </row>
  </sheetData>
  <mergeCells count="28">
    <mergeCell ref="B138:I138"/>
    <mergeCell ref="B140:I140"/>
    <mergeCell ref="G146:J146"/>
    <mergeCell ref="H147:J147"/>
    <mergeCell ref="B92:E92"/>
    <mergeCell ref="B107:E107"/>
    <mergeCell ref="B116:F116"/>
    <mergeCell ref="B119:I119"/>
    <mergeCell ref="B123:F123"/>
    <mergeCell ref="B136:I136"/>
    <mergeCell ref="G72:J72"/>
    <mergeCell ref="H73:J73"/>
    <mergeCell ref="D78:I78"/>
    <mergeCell ref="B81:C82"/>
    <mergeCell ref="D81:D82"/>
    <mergeCell ref="E81:E82"/>
    <mergeCell ref="B66:I66"/>
    <mergeCell ref="D4:I4"/>
    <mergeCell ref="B7:C8"/>
    <mergeCell ref="D7:D8"/>
    <mergeCell ref="E7:E8"/>
    <mergeCell ref="B18:E18"/>
    <mergeCell ref="B33:E33"/>
    <mergeCell ref="B42:F42"/>
    <mergeCell ref="B45:I45"/>
    <mergeCell ref="B49:F49"/>
    <mergeCell ref="B62:I62"/>
    <mergeCell ref="B64:I64"/>
  </mergeCells>
  <pageMargins left="0.511811024" right="0.511811024" top="0.78740157499999996" bottom="0.78740157499999996" header="0.31496062000000002" footer="0.31496062000000002"/>
  <pageSetup paperSize="9" scale="65" orientation="portrait" r:id="rId1"/>
  <rowBreaks count="1" manualBreakCount="1">
    <brk id="74" max="16383" man="1"/>
  </row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3527-561C-4CF3-85A5-74538B05BEB6}">
  <sheetPr codeName="Planilha10">
    <tabColor theme="8" tint="0.39997558519241921"/>
  </sheetPr>
  <dimension ref="B4:P245"/>
  <sheetViews>
    <sheetView showGridLines="0" zoomScaleNormal="100" workbookViewId="0">
      <selection activeCell="I10" sqref="I10:K10"/>
    </sheetView>
  </sheetViews>
  <sheetFormatPr defaultColWidth="8.88671875" defaultRowHeight="14.4"/>
  <cols>
    <col min="1" max="1" width="4" customWidth="1"/>
    <col min="2" max="2" width="42.109375" customWidth="1"/>
    <col min="3" max="3" width="7.33203125" customWidth="1"/>
    <col min="4" max="4" width="6.88671875" customWidth="1"/>
    <col min="5" max="5" width="6.5546875" customWidth="1"/>
    <col min="6" max="10" width="4" customWidth="1"/>
    <col min="11" max="11" width="8.109375" customWidth="1"/>
    <col min="12" max="12" width="14.33203125" bestFit="1" customWidth="1"/>
    <col min="13" max="13" width="11.6640625" style="82" customWidth="1"/>
    <col min="14" max="14" width="11.109375" style="82" bestFit="1" customWidth="1"/>
    <col min="15" max="16" width="13.88671875" bestFit="1" customWidth="1"/>
  </cols>
  <sheetData>
    <row r="4" spans="2:16" ht="39.75" customHeight="1">
      <c r="B4" s="1476" t="s">
        <v>299</v>
      </c>
      <c r="C4" s="1476"/>
      <c r="D4" s="1476"/>
      <c r="E4" s="1476"/>
      <c r="F4" s="1476"/>
      <c r="G4" s="1476"/>
      <c r="H4" s="1476"/>
      <c r="I4" s="1476"/>
      <c r="J4" s="1476"/>
      <c r="K4" s="1476"/>
    </row>
    <row r="5" spans="2:16" ht="15" customHeight="1">
      <c r="B5" s="1512" t="s">
        <v>300</v>
      </c>
      <c r="C5" s="1514" t="s">
        <v>301</v>
      </c>
      <c r="D5" s="1516" t="s">
        <v>302</v>
      </c>
      <c r="E5" s="1520"/>
      <c r="F5" s="1516" t="s">
        <v>303</v>
      </c>
      <c r="G5" s="1517"/>
      <c r="H5" s="1517"/>
      <c r="I5" s="1516" t="s">
        <v>304</v>
      </c>
      <c r="J5" s="1517"/>
      <c r="K5" s="1517"/>
      <c r="L5" s="1509" t="s">
        <v>305</v>
      </c>
    </row>
    <row r="6" spans="2:16">
      <c r="B6" s="1513"/>
      <c r="C6" s="1515"/>
      <c r="D6" s="1518"/>
      <c r="E6" s="1521"/>
      <c r="F6" s="1518"/>
      <c r="G6" s="1519"/>
      <c r="H6" s="1519"/>
      <c r="I6" s="1518"/>
      <c r="J6" s="1519"/>
      <c r="K6" s="1519"/>
      <c r="L6" s="1509"/>
    </row>
    <row r="7" spans="2:16">
      <c r="B7" s="1513"/>
      <c r="C7" s="1515"/>
      <c r="D7" s="1522"/>
      <c r="E7" s="1523"/>
      <c r="F7" s="1518"/>
      <c r="G7" s="1519"/>
      <c r="H7" s="1519"/>
      <c r="I7" s="1518"/>
      <c r="J7" s="1519"/>
      <c r="K7" s="1519"/>
      <c r="L7" s="1509"/>
    </row>
    <row r="8" spans="2:16">
      <c r="B8" s="799" t="str">
        <f>EQUIPE!E7</f>
        <v>EQUIPE 1 - SUPRESSÃO VEGETAL</v>
      </c>
      <c r="C8" s="800">
        <f>EQUIPE!G21</f>
        <v>6</v>
      </c>
      <c r="D8" s="1510">
        <f>EQUIPE!O10</f>
        <v>1</v>
      </c>
      <c r="E8" s="1511"/>
      <c r="F8" s="1506">
        <f>EQUIPE!E10</f>
        <v>200886.81805555557</v>
      </c>
      <c r="G8" s="1507"/>
      <c r="H8" s="1508"/>
      <c r="I8" s="1506">
        <f>D8*F8</f>
        <v>200886.81805555557</v>
      </c>
      <c r="J8" s="1507"/>
      <c r="K8" s="1508"/>
      <c r="L8" s="754">
        <f>SUM(PLANEJAMENTO!W11:X22)</f>
        <v>224703.27604804788</v>
      </c>
      <c r="M8" s="694">
        <f>L8-I8</f>
        <v>23816.457992492302</v>
      </c>
      <c r="O8" s="162"/>
    </row>
    <row r="9" spans="2:16">
      <c r="B9" s="799" t="str">
        <f>EQUIPE!E43</f>
        <v>EQUIPE 2 - LIMPEZA DA ÁREA</v>
      </c>
      <c r="C9" s="800">
        <f>EQUIPE!G57</f>
        <v>6</v>
      </c>
      <c r="D9" s="1510">
        <f>EQUIPE!O46</f>
        <v>1</v>
      </c>
      <c r="E9" s="1511"/>
      <c r="F9" s="1506">
        <f>EQUIPE!E46</f>
        <v>190886.81805555557</v>
      </c>
      <c r="G9" s="1507"/>
      <c r="H9" s="1508"/>
      <c r="I9" s="1506">
        <f>D9*F9</f>
        <v>190886.81805555557</v>
      </c>
      <c r="J9" s="1507"/>
      <c r="K9" s="1508"/>
      <c r="L9" s="754">
        <f>SUM(PLANEJAMENTO!W24:X33)</f>
        <v>108901.00786293118</v>
      </c>
      <c r="M9" s="694">
        <f>L9-I9</f>
        <v>-81985.810192624398</v>
      </c>
      <c r="O9" s="162"/>
    </row>
    <row r="10" spans="2:16">
      <c r="B10" s="799" t="str">
        <f>EQUIPE!E69</f>
        <v>EQUIPE 3 - ESCAVAÇÃO, CARGA, TRANSPORTE E ESPALHAMENTO</v>
      </c>
      <c r="C10" s="800">
        <f>EQUIPE!G86</f>
        <v>12</v>
      </c>
      <c r="D10" s="1506">
        <f>EQUIPE!O72</f>
        <v>5</v>
      </c>
      <c r="E10" s="1508"/>
      <c r="F10" s="1506">
        <f>EQUIPE!E72</f>
        <v>325647.64555555553</v>
      </c>
      <c r="G10" s="1507"/>
      <c r="H10" s="1508"/>
      <c r="I10" s="1506">
        <f>D10*F10</f>
        <v>1628238.2277777777</v>
      </c>
      <c r="J10" s="1507"/>
      <c r="K10" s="1508"/>
      <c r="L10" s="754">
        <f>SUM(PLANEJAMENTO!W35:X39)</f>
        <v>2415847.5008435417</v>
      </c>
      <c r="M10" s="694">
        <f>L10-I10</f>
        <v>787609.27306576399</v>
      </c>
      <c r="O10" s="185"/>
    </row>
    <row r="11" spans="2:16">
      <c r="B11" s="799"/>
      <c r="C11" s="800"/>
      <c r="D11" s="1506"/>
      <c r="E11" s="1508"/>
      <c r="F11" s="1506"/>
      <c r="G11" s="1507"/>
      <c r="H11" s="1508"/>
      <c r="I11" s="1506"/>
      <c r="J11" s="1507"/>
      <c r="K11" s="1508"/>
      <c r="L11" s="739"/>
      <c r="M11" s="740"/>
    </row>
    <row r="12" spans="2:16">
      <c r="B12" s="799"/>
      <c r="C12" s="800"/>
      <c r="D12" s="1506"/>
      <c r="E12" s="1508"/>
      <c r="F12" s="1506"/>
      <c r="G12" s="1507"/>
      <c r="H12" s="1508"/>
      <c r="I12" s="1506"/>
      <c r="J12" s="1507"/>
      <c r="K12" s="1508"/>
      <c r="L12" s="739"/>
      <c r="M12" s="740"/>
    </row>
    <row r="13" spans="2:16">
      <c r="B13" s="799"/>
      <c r="C13" s="800">
        <v>-4</v>
      </c>
      <c r="D13" s="1506"/>
      <c r="E13" s="1508"/>
      <c r="F13" s="1506"/>
      <c r="G13" s="1507"/>
      <c r="H13" s="1508"/>
      <c r="I13" s="1506"/>
      <c r="J13" s="1507"/>
      <c r="K13" s="1508"/>
      <c r="L13" s="934"/>
      <c r="M13" s="740"/>
      <c r="N13" s="142"/>
    </row>
    <row r="14" spans="2:16">
      <c r="B14" s="799" t="s">
        <v>175</v>
      </c>
      <c r="C14" s="856">
        <f>SUM(C8:C13)</f>
        <v>20</v>
      </c>
      <c r="D14" s="1525"/>
      <c r="E14" s="1525"/>
      <c r="F14" s="1525"/>
      <c r="G14" s="1525"/>
      <c r="H14" s="1525"/>
      <c r="I14" s="1506">
        <f>SUM(I8:K10)</f>
        <v>2020011.8638888889</v>
      </c>
      <c r="J14" s="1507"/>
      <c r="K14" s="1508"/>
      <c r="L14" s="934">
        <f>SUM(L8:L10)</f>
        <v>2749451.7847545207</v>
      </c>
      <c r="M14" s="801">
        <f>L14-I14</f>
        <v>729439.9208656319</v>
      </c>
      <c r="O14" s="148"/>
      <c r="P14" s="141"/>
    </row>
    <row r="15" spans="2:16">
      <c r="C15" s="857">
        <f>ADM!G34+TOP!G28+QSMS!G25</f>
        <v>18</v>
      </c>
      <c r="I15" s="1526"/>
      <c r="J15" s="1527"/>
      <c r="K15" s="1527"/>
      <c r="M15" s="147"/>
      <c r="O15" s="161"/>
    </row>
    <row r="16" spans="2:16">
      <c r="L16" s="6"/>
      <c r="M16" s="147"/>
    </row>
    <row r="17" spans="3:13">
      <c r="C17">
        <f>C14+C15</f>
        <v>38</v>
      </c>
      <c r="G17" s="1524"/>
      <c r="H17" s="1524"/>
      <c r="I17" s="1524"/>
      <c r="M17" s="147"/>
    </row>
    <row r="18" spans="3:13">
      <c r="C18">
        <f>C17/(3*3)+1+1</f>
        <v>6.2222222222222223</v>
      </c>
      <c r="G18" s="1524"/>
      <c r="H18" s="1524"/>
      <c r="I18" s="1524"/>
      <c r="L18" s="898">
        <f>PLANEJAMENTO!S71+PLANEJAMENTO!R71-PLANEJAMENTO!S65-PLANEJAMENTO!R65</f>
        <v>1627871.4708665898</v>
      </c>
      <c r="M18" s="147"/>
    </row>
    <row r="19" spans="3:13">
      <c r="L19" s="6">
        <f>L18-L14</f>
        <v>-1121580.3138879309</v>
      </c>
      <c r="M19" s="147"/>
    </row>
    <row r="21" spans="3:13">
      <c r="M21" s="147"/>
    </row>
    <row r="245" spans="5:5">
      <c r="E245" t="e">
        <f>CRONOGRAMA!#REF!*0.51</f>
        <v>#REF!</v>
      </c>
    </row>
  </sheetData>
  <mergeCells count="30">
    <mergeCell ref="D13:E13"/>
    <mergeCell ref="F13:H13"/>
    <mergeCell ref="I13:K13"/>
    <mergeCell ref="D11:E11"/>
    <mergeCell ref="F11:H11"/>
    <mergeCell ref="I11:K11"/>
    <mergeCell ref="F12:H12"/>
    <mergeCell ref="I12:K12"/>
    <mergeCell ref="D12:E12"/>
    <mergeCell ref="G17:I17"/>
    <mergeCell ref="G18:I18"/>
    <mergeCell ref="D14:H14"/>
    <mergeCell ref="I14:K14"/>
    <mergeCell ref="I15:K15"/>
    <mergeCell ref="B4:K4"/>
    <mergeCell ref="B5:B7"/>
    <mergeCell ref="C5:C7"/>
    <mergeCell ref="F5:H7"/>
    <mergeCell ref="I5:K7"/>
    <mergeCell ref="D5:E7"/>
    <mergeCell ref="F10:H10"/>
    <mergeCell ref="I10:K10"/>
    <mergeCell ref="L5:L7"/>
    <mergeCell ref="I9:K9"/>
    <mergeCell ref="D9:E9"/>
    <mergeCell ref="F9:H9"/>
    <mergeCell ref="D10:E10"/>
    <mergeCell ref="D8:E8"/>
    <mergeCell ref="F8:H8"/>
    <mergeCell ref="I8:K8"/>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4098" r:id="rId3" name="Label1">
          <controlPr defaultSize="0" autoLine="0" r:id="rId4">
            <anchor moveWithCells="1">
              <from>
                <xdr:col>4</xdr:col>
                <xdr:colOff>251460</xdr:colOff>
                <xdr:row>0</xdr:row>
                <xdr:rowOff>99060</xdr:rowOff>
              </from>
              <to>
                <xdr:col>12</xdr:col>
                <xdr:colOff>579120</xdr:colOff>
                <xdr:row>1</xdr:row>
                <xdr:rowOff>45720</xdr:rowOff>
              </to>
            </anchor>
          </controlPr>
        </control>
      </mc:Choice>
      <mc:Fallback>
        <control shapeId="4098" r:id="rId3" name="Label1"/>
      </mc:Fallback>
    </mc:AlternateContent>
    <mc:AlternateContent xmlns:mc="http://schemas.openxmlformats.org/markup-compatibility/2006">
      <mc:Choice Requires="x14">
        <control shapeId="4097" r:id="rId5" name="ComboBox11">
          <controlPr defaultSize="0" autoLine="0" r:id="rId6">
            <anchor moveWithCells="1">
              <from>
                <xdr:col>4</xdr:col>
                <xdr:colOff>198120</xdr:colOff>
                <xdr:row>1</xdr:row>
                <xdr:rowOff>60960</xdr:rowOff>
              </from>
              <to>
                <xdr:col>12</xdr:col>
                <xdr:colOff>693420</xdr:colOff>
                <xdr:row>2</xdr:row>
                <xdr:rowOff>114300</xdr:rowOff>
              </to>
            </anchor>
          </controlPr>
        </control>
      </mc:Choice>
      <mc:Fallback>
        <control shapeId="4097" r:id="rId5" name="ComboBox1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FB7B-2B84-42EE-A827-26B01065257F}">
  <sheetPr codeName="Planilha35">
    <tabColor rgb="FFFFFF66"/>
  </sheetPr>
  <dimension ref="A1:S1835"/>
  <sheetViews>
    <sheetView view="pageBreakPreview" topLeftCell="A203" zoomScaleNormal="100" zoomScaleSheetLayoutView="100" workbookViewId="0">
      <selection activeCell="J358" sqref="J358"/>
    </sheetView>
  </sheetViews>
  <sheetFormatPr defaultRowHeight="14.4"/>
  <cols>
    <col min="1" max="1" width="2.109375" customWidth="1"/>
    <col min="3" max="3" width="27.33203125" customWidth="1"/>
    <col min="4" max="4" width="11.88671875" customWidth="1"/>
    <col min="6" max="7" width="10.88671875" customWidth="1"/>
    <col min="8" max="8" width="8.6640625" customWidth="1"/>
    <col min="9" max="9" width="12.5546875" customWidth="1"/>
    <col min="10" max="10" width="10.88671875" customWidth="1"/>
    <col min="11" max="11" width="2.109375" customWidth="1"/>
    <col min="12" max="14" width="11.5546875" bestFit="1" customWidth="1"/>
  </cols>
  <sheetData>
    <row r="1" spans="1:12">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497" t="s">
        <v>250</v>
      </c>
      <c r="E4" s="1498"/>
      <c r="F4" s="1498"/>
      <c r="G4" s="1498"/>
      <c r="H4" s="1498"/>
      <c r="I4" s="1499"/>
      <c r="J4" s="475" t="s">
        <v>267</v>
      </c>
      <c r="K4" s="471"/>
    </row>
    <row r="5" spans="1:12">
      <c r="A5" s="463"/>
      <c r="B5" s="476" t="s">
        <v>3</v>
      </c>
      <c r="C5" s="477">
        <f ca="1">TODAY()</f>
        <v>46140</v>
      </c>
      <c r="D5" s="681" t="s">
        <v>1469</v>
      </c>
      <c r="E5" s="479"/>
      <c r="F5" s="479"/>
      <c r="G5" s="479"/>
      <c r="H5" s="479"/>
      <c r="I5" s="480"/>
      <c r="J5" s="481" t="str">
        <f>F22</f>
        <v>UN</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1" t="s">
        <v>637</v>
      </c>
      <c r="C9" s="492"/>
      <c r="D9" s="493"/>
      <c r="E9" s="494">
        <v>1</v>
      </c>
      <c r="F9" s="494">
        <v>1</v>
      </c>
      <c r="G9" s="495">
        <f>1-F9</f>
        <v>0</v>
      </c>
      <c r="H9" s="496">
        <f>VLOOKUP(B9,EQUIPAMENTOS!$A:$J,10,FALSE)</f>
        <v>25</v>
      </c>
      <c r="I9" s="497">
        <f>H9</f>
        <v>25</v>
      </c>
      <c r="J9" s="498">
        <f>H9*F9*E9+I9*G9*E9</f>
        <v>25</v>
      </c>
      <c r="K9" s="471"/>
    </row>
    <row r="10" spans="1:12">
      <c r="A10" s="463"/>
      <c r="B10" s="499"/>
      <c r="C10" s="500"/>
      <c r="D10" s="501"/>
      <c r="E10" s="875"/>
      <c r="F10" s="502"/>
      <c r="G10" s="502"/>
      <c r="H10" s="503"/>
      <c r="I10" s="504"/>
      <c r="J10" s="505"/>
      <c r="K10" s="471"/>
    </row>
    <row r="11" spans="1:12">
      <c r="A11" s="463"/>
      <c r="B11" s="499"/>
      <c r="C11" s="500"/>
      <c r="D11" s="501"/>
      <c r="E11" s="502"/>
      <c r="F11" s="502"/>
      <c r="G11" s="502"/>
      <c r="H11" s="503"/>
      <c r="I11" s="504"/>
      <c r="J11" s="505"/>
      <c r="K11" s="471"/>
    </row>
    <row r="12" spans="1:12">
      <c r="A12" s="463"/>
      <c r="B12" s="499"/>
      <c r="C12" s="500"/>
      <c r="D12" s="501"/>
      <c r="E12" s="502"/>
      <c r="F12" s="502"/>
      <c r="G12" s="502"/>
      <c r="H12" s="503"/>
      <c r="I12" s="504"/>
      <c r="J12" s="505"/>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25</v>
      </c>
      <c r="K14" s="471"/>
      <c r="L14" s="6">
        <f>J14/E22</f>
        <v>123.34169109128375</v>
      </c>
    </row>
    <row r="15" spans="1:12">
      <c r="A15" s="463"/>
      <c r="B15" s="515"/>
      <c r="C15" s="515"/>
      <c r="D15" s="515"/>
      <c r="E15" s="515"/>
      <c r="F15" s="515"/>
      <c r="G15" s="515"/>
      <c r="H15" s="515"/>
      <c r="I15" s="516"/>
      <c r="J15" s="517"/>
      <c r="K15" s="471"/>
    </row>
    <row r="16" spans="1:12" ht="20.399999999999999">
      <c r="A16" s="463"/>
      <c r="B16" s="1490" t="s">
        <v>947</v>
      </c>
      <c r="C16" s="1491"/>
      <c r="D16" s="1491"/>
      <c r="E16" s="1492"/>
      <c r="F16" s="725" t="s">
        <v>688</v>
      </c>
      <c r="G16" s="853"/>
      <c r="H16" s="520" t="s">
        <v>427</v>
      </c>
      <c r="I16" s="521" t="s">
        <v>948</v>
      </c>
      <c r="J16" s="522" t="s">
        <v>949</v>
      </c>
      <c r="K16" s="471"/>
    </row>
    <row r="17" spans="1:12">
      <c r="A17" s="463"/>
      <c r="B17" s="530" t="s">
        <v>1166</v>
      </c>
      <c r="C17" s="531"/>
      <c r="D17" s="472"/>
      <c r="E17" s="500"/>
      <c r="F17" s="501"/>
      <c r="G17" s="532"/>
      <c r="H17" s="533">
        <f>E9</f>
        <v>1</v>
      </c>
      <c r="I17" s="534">
        <f>(VLOOKUP(B17,'MÃO DE OBRA'!$A:$E,5,FALSE)/220)</f>
        <v>27.68050090909091</v>
      </c>
      <c r="J17" s="505">
        <f>H17*I17</f>
        <v>27.68050090909091</v>
      </c>
      <c r="K17" s="471"/>
    </row>
    <row r="18" spans="1:12">
      <c r="A18" s="463"/>
      <c r="B18" s="530" t="s">
        <v>472</v>
      </c>
      <c r="C18" s="531"/>
      <c r="D18" s="472"/>
      <c r="E18" s="500"/>
      <c r="F18" s="501"/>
      <c r="G18" s="532"/>
      <c r="H18" s="533">
        <v>2</v>
      </c>
      <c r="I18" s="534">
        <f>(VLOOKUP(B18,'MÃO DE OBRA'!$A:$E,5,FALSE)/220)</f>
        <v>18.377072727272729</v>
      </c>
      <c r="J18" s="505">
        <f>H18*I18</f>
        <v>36.754145454545458</v>
      </c>
      <c r="K18" s="471"/>
    </row>
    <row r="19" spans="1:12">
      <c r="A19" s="463"/>
      <c r="B19" s="530"/>
      <c r="C19" s="531"/>
      <c r="D19" s="472"/>
      <c r="E19" s="500"/>
      <c r="F19" s="501"/>
      <c r="G19" s="532"/>
      <c r="H19" s="533"/>
      <c r="I19" s="534"/>
      <c r="J19" s="505"/>
      <c r="K19" s="471"/>
    </row>
    <row r="20" spans="1:12">
      <c r="A20" s="463"/>
      <c r="B20" s="512" t="s">
        <v>946</v>
      </c>
      <c r="C20" s="515"/>
      <c r="D20" s="515"/>
      <c r="E20" s="515"/>
      <c r="F20" s="515"/>
      <c r="G20" s="515"/>
      <c r="H20" s="515"/>
      <c r="I20" s="535" t="s">
        <v>175</v>
      </c>
      <c r="J20" s="514">
        <f>SUM(J17:J19)</f>
        <v>64.434646363636375</v>
      </c>
      <c r="K20" s="471"/>
    </row>
    <row r="21" spans="1:12">
      <c r="A21" s="463"/>
      <c r="B21" s="536"/>
      <c r="C21" s="536"/>
      <c r="D21" s="536"/>
      <c r="E21" s="536"/>
      <c r="F21" s="536"/>
      <c r="G21" s="536"/>
      <c r="H21" s="536"/>
      <c r="I21" s="537"/>
      <c r="J21" s="536"/>
      <c r="K21" s="471"/>
    </row>
    <row r="22" spans="1:12">
      <c r="A22" s="463"/>
      <c r="B22" s="538" t="s">
        <v>952</v>
      </c>
      <c r="C22" s="539"/>
      <c r="D22" s="536"/>
      <c r="E22" s="540">
        <v>0.20268896736220191</v>
      </c>
      <c r="F22" s="541" t="s">
        <v>1470</v>
      </c>
      <c r="G22" s="519"/>
      <c r="H22" s="519"/>
      <c r="I22" s="542" t="s">
        <v>953</v>
      </c>
      <c r="J22" s="514">
        <f>J14+J20</f>
        <v>89.434646363636375</v>
      </c>
      <c r="K22" s="471"/>
    </row>
    <row r="23" spans="1:12">
      <c r="A23" s="463"/>
      <c r="B23" s="543"/>
      <c r="C23" s="536"/>
      <c r="D23" s="536"/>
      <c r="E23" s="544"/>
      <c r="F23" s="545"/>
      <c r="G23" s="545"/>
      <c r="H23" s="545"/>
      <c r="I23" s="537"/>
      <c r="J23" s="536"/>
      <c r="K23" s="471"/>
    </row>
    <row r="24" spans="1:12" ht="20.399999999999999">
      <c r="A24" s="463"/>
      <c r="B24" s="1493" t="s">
        <v>362</v>
      </c>
      <c r="C24" s="1494"/>
      <c r="D24" s="1494"/>
      <c r="E24" s="1495"/>
      <c r="F24" s="546" t="s">
        <v>688</v>
      </c>
      <c r="G24" s="547" t="s">
        <v>371</v>
      </c>
      <c r="H24" s="520" t="s">
        <v>942</v>
      </c>
      <c r="I24" s="548" t="s">
        <v>361</v>
      </c>
      <c r="J24" s="549" t="s">
        <v>363</v>
      </c>
      <c r="K24" s="471"/>
    </row>
    <row r="25" spans="1:12">
      <c r="A25" s="463"/>
      <c r="B25" s="550" t="str">
        <f>B9</f>
        <v>Motosserra a gasolina</v>
      </c>
      <c r="C25" s="551"/>
      <c r="D25" s="551"/>
      <c r="E25" s="552"/>
      <c r="F25" s="553" t="str">
        <f>VLOOKUP(B25,EQUIPAMENTOS!$A:$N,12,FALSE)</f>
        <v>Gasolina</v>
      </c>
      <c r="G25" s="554" t="s">
        <v>415</v>
      </c>
      <c r="H25" s="560">
        <f>VLOOKUP(B25,EQUIPAMENTOS!$A:$N,13,FALSE)</f>
        <v>6.59</v>
      </c>
      <c r="I25" s="556">
        <f>VLOOKUP(B25,EQUIPAMENTOS!$A:$N,14,FALSE)</f>
        <v>1.2</v>
      </c>
      <c r="J25" s="498">
        <f>H25*I25*E9*F9</f>
        <v>7.9079999999999995</v>
      </c>
      <c r="K25" s="471"/>
    </row>
    <row r="26" spans="1:12">
      <c r="A26" s="463"/>
      <c r="B26" s="557"/>
      <c r="C26" s="531"/>
      <c r="D26" s="531"/>
      <c r="E26" s="500"/>
      <c r="F26" s="553"/>
      <c r="G26" s="554"/>
      <c r="H26" s="560"/>
      <c r="I26" s="556"/>
      <c r="J26" s="505"/>
      <c r="K26" s="471"/>
    </row>
    <row r="27" spans="1:12">
      <c r="A27" s="463"/>
      <c r="B27" s="557"/>
      <c r="C27" s="531"/>
      <c r="D27" s="531"/>
      <c r="E27" s="500"/>
      <c r="F27" s="553"/>
      <c r="G27" s="554"/>
      <c r="H27" s="560"/>
      <c r="I27" s="556"/>
      <c r="J27" s="505"/>
      <c r="K27" s="471"/>
    </row>
    <row r="28" spans="1:12">
      <c r="A28" s="463"/>
      <c r="B28" s="908"/>
      <c r="C28" s="539"/>
      <c r="D28" s="539"/>
      <c r="E28" s="507"/>
      <c r="F28" s="909"/>
      <c r="G28" s="870"/>
      <c r="H28" s="642"/>
      <c r="I28" s="871"/>
      <c r="J28" s="562"/>
      <c r="K28" s="471"/>
    </row>
    <row r="29" spans="1:12">
      <c r="A29" s="463"/>
      <c r="B29" s="866" t="s">
        <v>946</v>
      </c>
      <c r="C29" s="539"/>
      <c r="D29" s="539"/>
      <c r="E29" s="539"/>
      <c r="F29" s="539"/>
      <c r="G29" s="539"/>
      <c r="H29" s="867"/>
      <c r="I29" s="868" t="s">
        <v>175</v>
      </c>
      <c r="J29" s="562">
        <f>SUM(J25:J28)</f>
        <v>7.9079999999999995</v>
      </c>
      <c r="K29" s="471"/>
      <c r="L29" s="6"/>
    </row>
    <row r="30" spans="1:12">
      <c r="A30" s="463"/>
      <c r="B30" s="566"/>
      <c r="C30" s="539"/>
      <c r="D30" s="539"/>
      <c r="E30" s="567"/>
      <c r="F30" s="568"/>
      <c r="G30" s="519"/>
      <c r="H30" s="519"/>
      <c r="I30" s="542"/>
      <c r="J30" s="567"/>
      <c r="K30" s="471"/>
    </row>
    <row r="31" spans="1:12" ht="20.399999999999999">
      <c r="A31" s="463"/>
      <c r="B31" s="1493" t="s">
        <v>955</v>
      </c>
      <c r="C31" s="1494"/>
      <c r="D31" s="1494"/>
      <c r="E31" s="1494"/>
      <c r="F31" s="1495"/>
      <c r="G31" s="569" t="s">
        <v>372</v>
      </c>
      <c r="H31" s="519" t="s">
        <v>956</v>
      </c>
      <c r="I31" s="570" t="s">
        <v>942</v>
      </c>
      <c r="J31" s="522" t="s">
        <v>363</v>
      </c>
      <c r="K31" s="471"/>
    </row>
    <row r="32" spans="1:12">
      <c r="A32" s="463"/>
      <c r="B32" s="571"/>
      <c r="C32" s="572"/>
      <c r="D32" s="573"/>
      <c r="E32" s="573"/>
      <c r="F32" s="574"/>
      <c r="G32" s="502"/>
      <c r="H32" s="502"/>
      <c r="I32" s="575"/>
      <c r="J32" s="505"/>
      <c r="K32" s="471"/>
    </row>
    <row r="33" spans="1:12">
      <c r="A33" s="463"/>
      <c r="B33" s="576"/>
      <c r="C33" s="577"/>
      <c r="D33" s="578"/>
      <c r="E33" s="578"/>
      <c r="F33" s="579"/>
      <c r="G33" s="502"/>
      <c r="H33" s="502"/>
      <c r="I33" s="575"/>
      <c r="J33" s="505"/>
      <c r="K33" s="471"/>
    </row>
    <row r="34" spans="1:12">
      <c r="A34" s="463"/>
      <c r="B34" s="1496" t="s">
        <v>175</v>
      </c>
      <c r="C34" s="1496"/>
      <c r="D34" s="1496"/>
      <c r="E34" s="1496"/>
      <c r="F34" s="1496"/>
      <c r="G34" s="1496"/>
      <c r="H34" s="1496"/>
      <c r="I34" s="1496"/>
      <c r="J34" s="514">
        <f>SUM(J32:J33)</f>
        <v>0</v>
      </c>
      <c r="K34" s="471"/>
    </row>
    <row r="35" spans="1:12">
      <c r="A35" s="463"/>
      <c r="B35" s="580"/>
      <c r="C35" s="524"/>
      <c r="D35" s="524"/>
      <c r="E35" s="581"/>
      <c r="F35" s="582"/>
      <c r="G35" s="583"/>
      <c r="H35" s="583"/>
      <c r="I35" s="584"/>
      <c r="J35" s="585"/>
      <c r="K35" s="471"/>
    </row>
    <row r="36" spans="1:12">
      <c r="A36" s="463"/>
      <c r="B36" s="586" t="s">
        <v>957</v>
      </c>
      <c r="C36" s="586"/>
      <c r="D36" s="563"/>
      <c r="E36" s="536"/>
      <c r="F36" s="536"/>
      <c r="G36" s="536"/>
      <c r="H36" s="587"/>
      <c r="I36" s="588"/>
      <c r="J36" s="514">
        <f>(J22+J29+J34)/E22</f>
        <v>480.25626471166851</v>
      </c>
      <c r="K36" s="471"/>
      <c r="L36">
        <v>480.25616960939408</v>
      </c>
    </row>
    <row r="37" spans="1:12">
      <c r="A37" s="463"/>
      <c r="B37" s="566"/>
      <c r="C37" s="539"/>
      <c r="D37" s="539"/>
      <c r="E37" s="567"/>
      <c r="F37" s="568"/>
      <c r="G37" s="519"/>
      <c r="H37" s="519"/>
      <c r="I37" s="542"/>
      <c r="J37" s="589"/>
      <c r="K37" s="471"/>
    </row>
    <row r="38" spans="1:12" ht="20.399999999999999">
      <c r="A38" s="463"/>
      <c r="B38" s="1493" t="s">
        <v>958</v>
      </c>
      <c r="C38" s="1494"/>
      <c r="D38" s="1494"/>
      <c r="E38" s="1494"/>
      <c r="F38" s="1495"/>
      <c r="G38" s="569" t="s">
        <v>372</v>
      </c>
      <c r="H38" s="519" t="s">
        <v>956</v>
      </c>
      <c r="I38" s="570" t="s">
        <v>942</v>
      </c>
      <c r="J38" s="522" t="s">
        <v>363</v>
      </c>
      <c r="K38" s="471"/>
    </row>
    <row r="39" spans="1:12">
      <c r="A39" s="463"/>
      <c r="B39" s="571"/>
      <c r="C39" s="572"/>
      <c r="D39" s="573"/>
      <c r="E39" s="573"/>
      <c r="F39" s="574"/>
      <c r="G39" s="502"/>
      <c r="H39" s="502"/>
      <c r="I39" s="575"/>
      <c r="J39" s="505">
        <f>G39*I39</f>
        <v>0</v>
      </c>
      <c r="K39" s="471"/>
    </row>
    <row r="40" spans="1:12">
      <c r="A40" s="463"/>
      <c r="B40" s="576"/>
      <c r="C40" s="577"/>
      <c r="D40" s="578"/>
      <c r="E40" s="578"/>
      <c r="F40" s="579"/>
      <c r="G40" s="502"/>
      <c r="H40" s="502"/>
      <c r="I40" s="575"/>
      <c r="J40" s="505">
        <f>G40*I40</f>
        <v>0</v>
      </c>
      <c r="K40" s="471"/>
    </row>
    <row r="41" spans="1:12">
      <c r="A41" s="463"/>
      <c r="B41" s="576"/>
      <c r="C41" s="577"/>
      <c r="D41" s="578"/>
      <c r="E41" s="578"/>
      <c r="F41" s="579"/>
      <c r="G41" s="502"/>
      <c r="H41" s="502"/>
      <c r="I41" s="575"/>
      <c r="J41" s="505">
        <f>G41*I41</f>
        <v>0</v>
      </c>
      <c r="K41" s="471"/>
    </row>
    <row r="42" spans="1:12">
      <c r="A42" s="463"/>
      <c r="B42" s="590"/>
      <c r="C42" s="591"/>
      <c r="D42" s="592"/>
      <c r="E42" s="592"/>
      <c r="F42" s="593"/>
      <c r="G42" s="502"/>
      <c r="H42" s="502"/>
      <c r="I42" s="575"/>
      <c r="J42" s="505">
        <f>G42*I42</f>
        <v>0</v>
      </c>
      <c r="K42" s="471"/>
    </row>
    <row r="43" spans="1:12">
      <c r="A43" s="463"/>
      <c r="B43" s="594"/>
      <c r="C43" s="536"/>
      <c r="D43" s="536"/>
      <c r="E43" s="595"/>
      <c r="F43" s="596"/>
      <c r="G43" s="545"/>
      <c r="H43" s="545"/>
      <c r="I43" s="537" t="s">
        <v>175</v>
      </c>
      <c r="J43" s="514">
        <f>SUM(J39:J42)</f>
        <v>0</v>
      </c>
      <c r="K43" s="471"/>
    </row>
    <row r="44" spans="1:12">
      <c r="A44" s="463"/>
      <c r="B44" s="597"/>
      <c r="C44" s="536"/>
      <c r="D44" s="536"/>
      <c r="E44" s="595"/>
      <c r="F44" s="596"/>
      <c r="G44" s="545"/>
      <c r="H44" s="545"/>
      <c r="I44" s="537"/>
      <c r="J44" s="595"/>
      <c r="K44" s="471"/>
    </row>
    <row r="45" spans="1:12" ht="20.399999999999999">
      <c r="A45" s="463"/>
      <c r="B45" s="598" t="s">
        <v>959</v>
      </c>
      <c r="C45" s="598"/>
      <c r="D45" s="598"/>
      <c r="E45" s="599"/>
      <c r="F45" s="600" t="s">
        <v>372</v>
      </c>
      <c r="G45" s="569" t="s">
        <v>960</v>
      </c>
      <c r="H45" s="519" t="s">
        <v>942</v>
      </c>
      <c r="I45" s="570" t="s">
        <v>361</v>
      </c>
      <c r="J45" s="522" t="s">
        <v>363</v>
      </c>
      <c r="K45" s="471"/>
    </row>
    <row r="46" spans="1:12">
      <c r="A46" s="463"/>
      <c r="B46" s="571"/>
      <c r="C46" s="572"/>
      <c r="D46" s="573"/>
      <c r="E46" s="574"/>
      <c r="F46" s="502"/>
      <c r="G46" s="502"/>
      <c r="H46" s="624"/>
      <c r="I46" s="575"/>
      <c r="J46" s="505"/>
      <c r="K46" s="471"/>
    </row>
    <row r="47" spans="1:12">
      <c r="A47" s="463"/>
      <c r="B47" s="590" t="s">
        <v>946</v>
      </c>
      <c r="C47" s="591"/>
      <c r="D47" s="592"/>
      <c r="E47" s="593" t="s">
        <v>946</v>
      </c>
      <c r="F47" s="509">
        <v>0</v>
      </c>
      <c r="G47" s="509">
        <v>0</v>
      </c>
      <c r="H47" s="509">
        <v>0</v>
      </c>
      <c r="I47" s="601">
        <v>0</v>
      </c>
      <c r="J47" s="505">
        <f>I47*H47*G47*F47</f>
        <v>0</v>
      </c>
      <c r="K47" s="471"/>
    </row>
    <row r="48" spans="1:12">
      <c r="A48" s="463"/>
      <c r="B48" s="594"/>
      <c r="C48" s="536"/>
      <c r="D48" s="536"/>
      <c r="E48" s="595"/>
      <c r="F48" s="596"/>
      <c r="G48" s="545"/>
      <c r="H48" s="545"/>
      <c r="I48" s="537" t="s">
        <v>175</v>
      </c>
      <c r="J48" s="514">
        <f>SUM(J46:J47)</f>
        <v>0</v>
      </c>
      <c r="K48" s="471"/>
    </row>
    <row r="49" spans="1:12">
      <c r="A49" s="463"/>
      <c r="B49" s="536"/>
      <c r="C49" s="536"/>
      <c r="D49" s="536"/>
      <c r="E49" s="536"/>
      <c r="F49" s="536"/>
      <c r="G49" s="536"/>
      <c r="H49" s="536"/>
      <c r="I49" s="537"/>
      <c r="J49" s="536"/>
      <c r="K49" s="471"/>
    </row>
    <row r="50" spans="1:12">
      <c r="A50" s="463"/>
      <c r="B50" s="1481" t="s">
        <v>961</v>
      </c>
      <c r="C50" s="1482"/>
      <c r="D50" s="1482"/>
      <c r="E50" s="1482"/>
      <c r="F50" s="1482"/>
      <c r="G50" s="1482"/>
      <c r="H50" s="1482"/>
      <c r="I50" s="1483"/>
      <c r="J50" s="586">
        <f>J48+J43+J36</f>
        <v>480.25626471166851</v>
      </c>
      <c r="K50" s="471"/>
    </row>
    <row r="51" spans="1:12">
      <c r="A51" s="463"/>
      <c r="B51" s="536"/>
      <c r="C51" s="536"/>
      <c r="D51" s="536"/>
      <c r="E51" s="536"/>
      <c r="F51" s="536"/>
      <c r="G51" s="536"/>
      <c r="H51" s="536"/>
      <c r="I51" s="537"/>
      <c r="J51" s="536"/>
      <c r="K51" s="471"/>
    </row>
    <row r="52" spans="1:12">
      <c r="A52" s="463"/>
      <c r="B52" s="1481" t="s">
        <v>962</v>
      </c>
      <c r="C52" s="1482"/>
      <c r="D52" s="1482"/>
      <c r="E52" s="1482"/>
      <c r="F52" s="1482"/>
      <c r="G52" s="1482"/>
      <c r="H52" s="1482"/>
      <c r="I52" s="1483"/>
      <c r="J52" s="514">
        <f>J50*0</f>
        <v>0</v>
      </c>
      <c r="K52" s="471"/>
      <c r="L52" s="6"/>
    </row>
    <row r="53" spans="1:12">
      <c r="A53" s="463"/>
      <c r="B53" s="536"/>
      <c r="C53" s="536"/>
      <c r="D53" s="536"/>
      <c r="E53" s="536"/>
      <c r="F53" s="536"/>
      <c r="G53" s="536"/>
      <c r="H53" s="536"/>
      <c r="I53" s="537"/>
      <c r="J53" s="536"/>
      <c r="K53" s="471"/>
    </row>
    <row r="54" spans="1:12">
      <c r="A54" s="463"/>
      <c r="B54" s="1481" t="s">
        <v>963</v>
      </c>
      <c r="C54" s="1482"/>
      <c r="D54" s="1482"/>
      <c r="E54" s="1482"/>
      <c r="F54" s="1482"/>
      <c r="G54" s="1482"/>
      <c r="H54" s="1482"/>
      <c r="I54" s="1483"/>
      <c r="J54" s="586">
        <f>J50+J52</f>
        <v>480.25626471166851</v>
      </c>
      <c r="K54" s="471"/>
    </row>
    <row r="55" spans="1:12">
      <c r="A55" s="463"/>
      <c r="B55" s="524"/>
      <c r="C55" s="524"/>
      <c r="D55" s="524"/>
      <c r="E55" s="524"/>
      <c r="F55" s="524"/>
      <c r="G55" s="524"/>
      <c r="H55" s="524"/>
      <c r="I55" s="584"/>
      <c r="J55" s="524"/>
      <c r="K55" s="471"/>
    </row>
    <row r="56" spans="1:12">
      <c r="A56" s="463"/>
      <c r="B56" s="602"/>
      <c r="C56" s="572"/>
      <c r="D56" s="572"/>
      <c r="E56" s="572"/>
      <c r="F56" s="572"/>
      <c r="G56" s="572"/>
      <c r="H56" s="572"/>
      <c r="I56" s="572"/>
      <c r="J56" s="603"/>
      <c r="K56" s="471"/>
    </row>
    <row r="57" spans="1:12">
      <c r="A57" s="463"/>
      <c r="B57" s="604"/>
      <c r="C57" s="605"/>
      <c r="D57" s="606"/>
      <c r="E57" s="606"/>
      <c r="F57" s="607" t="s">
        <v>946</v>
      </c>
      <c r="G57" s="608" t="s">
        <v>946</v>
      </c>
      <c r="H57" s="605"/>
      <c r="I57" s="605"/>
      <c r="J57" s="609"/>
      <c r="K57" s="471"/>
    </row>
    <row r="58" spans="1:12">
      <c r="A58" s="463"/>
      <c r="B58" s="472"/>
      <c r="C58" s="472"/>
      <c r="D58" s="472"/>
      <c r="E58" s="472"/>
      <c r="F58" s="472"/>
      <c r="G58" s="472"/>
      <c r="H58" s="472"/>
      <c r="I58" s="472"/>
      <c r="J58" s="472"/>
      <c r="K58" s="471"/>
    </row>
    <row r="59" spans="1:12">
      <c r="A59" s="463"/>
      <c r="B59" s="610"/>
      <c r="C59" s="611"/>
      <c r="D59" s="611"/>
      <c r="E59" s="611"/>
      <c r="F59" s="612"/>
      <c r="G59" s="613" t="s">
        <v>363</v>
      </c>
      <c r="H59" s="515"/>
      <c r="I59" s="515"/>
      <c r="J59" s="518"/>
      <c r="K59" s="471"/>
    </row>
    <row r="60" spans="1:12">
      <c r="A60" s="463"/>
      <c r="B60" s="614"/>
      <c r="C60" s="615"/>
      <c r="D60" s="615"/>
      <c r="E60" s="615"/>
      <c r="F60" s="616"/>
      <c r="G60" s="1484" t="s">
        <v>964</v>
      </c>
      <c r="H60" s="1485"/>
      <c r="I60" s="1485"/>
      <c r="J60" s="1486"/>
      <c r="K60" s="471"/>
    </row>
    <row r="61" spans="1:12">
      <c r="A61" s="463"/>
      <c r="B61" s="617"/>
      <c r="C61" s="618"/>
      <c r="D61" s="618"/>
      <c r="E61" s="618"/>
      <c r="F61" s="619"/>
      <c r="G61" s="620"/>
      <c r="H61" s="1487"/>
      <c r="I61" s="1488"/>
      <c r="J61" s="1489"/>
      <c r="K61" s="471"/>
    </row>
    <row r="62" spans="1:12" ht="15" thickBot="1">
      <c r="A62" s="621"/>
      <c r="B62" s="622"/>
      <c r="C62" s="622"/>
      <c r="D62" s="622"/>
      <c r="E62" s="622"/>
      <c r="F62" s="622"/>
      <c r="G62" s="622"/>
      <c r="H62" s="622"/>
      <c r="I62" s="622"/>
      <c r="J62" s="622"/>
      <c r="K62" s="623"/>
    </row>
    <row r="63" spans="1:12">
      <c r="A63" s="460"/>
      <c r="B63" s="461"/>
      <c r="C63" s="461"/>
      <c r="D63" s="461"/>
      <c r="E63" s="461"/>
      <c r="F63" s="461"/>
      <c r="G63" s="461"/>
      <c r="H63" s="461"/>
      <c r="I63" s="461"/>
      <c r="J63" s="461"/>
      <c r="K63" s="462"/>
    </row>
    <row r="64" spans="1:12">
      <c r="A64" s="463"/>
      <c r="B64" s="464" t="s">
        <v>178</v>
      </c>
      <c r="C64" s="465"/>
      <c r="D64" s="466" t="s">
        <v>936</v>
      </c>
      <c r="E64" s="467"/>
      <c r="F64" s="468"/>
      <c r="G64" s="468"/>
      <c r="H64" s="469"/>
      <c r="I64" s="469"/>
      <c r="J64" s="470"/>
      <c r="K64" s="471"/>
    </row>
    <row r="65" spans="1:12">
      <c r="A65" s="463"/>
      <c r="B65" s="472"/>
      <c r="C65" s="472"/>
      <c r="D65" s="472"/>
      <c r="E65" s="472"/>
      <c r="F65" s="472"/>
      <c r="G65" s="472"/>
      <c r="H65" s="472"/>
      <c r="I65" s="472"/>
      <c r="J65" s="472"/>
      <c r="K65" s="471"/>
    </row>
    <row r="66" spans="1:12">
      <c r="A66" s="463"/>
      <c r="B66" s="473" t="s">
        <v>688</v>
      </c>
      <c r="C66" s="474" t="s">
        <v>937</v>
      </c>
      <c r="D66" s="1497" t="s">
        <v>250</v>
      </c>
      <c r="E66" s="1498"/>
      <c r="F66" s="1498"/>
      <c r="G66" s="1498"/>
      <c r="H66" s="1498"/>
      <c r="I66" s="1499"/>
      <c r="J66" s="475" t="s">
        <v>267</v>
      </c>
      <c r="K66" s="471"/>
    </row>
    <row r="67" spans="1:12" ht="20.399999999999999" customHeight="1">
      <c r="A67" s="463"/>
      <c r="B67" s="476" t="s">
        <v>3</v>
      </c>
      <c r="C67" s="477">
        <f ca="1">TODAY()</f>
        <v>46140</v>
      </c>
      <c r="D67" s="681" t="s">
        <v>1471</v>
      </c>
      <c r="E67" s="479"/>
      <c r="F67" s="479"/>
      <c r="G67" s="479"/>
      <c r="H67" s="479"/>
      <c r="I67" s="480"/>
      <c r="J67" s="481" t="str">
        <f>F84</f>
        <v>UN</v>
      </c>
      <c r="K67" s="471"/>
    </row>
    <row r="68" spans="1:12">
      <c r="A68" s="463"/>
      <c r="B68" s="482"/>
      <c r="C68" s="482"/>
      <c r="D68" s="482"/>
      <c r="E68" s="482"/>
      <c r="F68" s="482"/>
      <c r="G68" s="482"/>
      <c r="H68" s="482"/>
      <c r="I68" s="483"/>
      <c r="J68" s="484"/>
      <c r="K68" s="471"/>
    </row>
    <row r="69" spans="1:12">
      <c r="A69" s="463"/>
      <c r="B69" s="1484" t="s">
        <v>938</v>
      </c>
      <c r="C69" s="1486"/>
      <c r="D69" s="1502" t="s">
        <v>688</v>
      </c>
      <c r="E69" s="1504" t="s">
        <v>939</v>
      </c>
      <c r="F69" s="485" t="s">
        <v>940</v>
      </c>
      <c r="G69" s="486"/>
      <c r="H69" s="485" t="s">
        <v>941</v>
      </c>
      <c r="I69" s="486"/>
      <c r="J69" s="487" t="s">
        <v>942</v>
      </c>
      <c r="K69" s="471"/>
    </row>
    <row r="70" spans="1:12">
      <c r="A70" s="463"/>
      <c r="B70" s="1500"/>
      <c r="C70" s="1501"/>
      <c r="D70" s="1503"/>
      <c r="E70" s="1505"/>
      <c r="F70" s="488" t="s">
        <v>943</v>
      </c>
      <c r="G70" s="488" t="s">
        <v>944</v>
      </c>
      <c r="H70" s="488" t="s">
        <v>943</v>
      </c>
      <c r="I70" s="489" t="s">
        <v>944</v>
      </c>
      <c r="J70" s="490" t="s">
        <v>945</v>
      </c>
      <c r="K70" s="471"/>
    </row>
    <row r="71" spans="1:12">
      <c r="A71" s="463"/>
      <c r="B71" s="491" t="s">
        <v>637</v>
      </c>
      <c r="C71" s="492"/>
      <c r="D71" s="493"/>
      <c r="E71" s="494">
        <v>1</v>
      </c>
      <c r="F71" s="494">
        <v>1</v>
      </c>
      <c r="G71" s="495">
        <f>1-F71</f>
        <v>0</v>
      </c>
      <c r="H71" s="496">
        <f>VLOOKUP(B71,EQUIPAMENTOS!$A:$J,10,FALSE)</f>
        <v>25</v>
      </c>
      <c r="I71" s="497">
        <f>H71</f>
        <v>25</v>
      </c>
      <c r="J71" s="498">
        <f>H71*F71*E71+I71*G71*E71</f>
        <v>25</v>
      </c>
      <c r="K71" s="471"/>
    </row>
    <row r="72" spans="1:12">
      <c r="A72" s="463"/>
      <c r="B72" s="499"/>
      <c r="C72" s="500"/>
      <c r="D72" s="501"/>
      <c r="E72" s="875"/>
      <c r="F72" s="502"/>
      <c r="G72" s="502"/>
      <c r="H72" s="503"/>
      <c r="I72" s="504"/>
      <c r="J72" s="505"/>
      <c r="K72" s="471"/>
    </row>
    <row r="73" spans="1:12">
      <c r="A73" s="463"/>
      <c r="B73" s="499"/>
      <c r="C73" s="500"/>
      <c r="D73" s="501"/>
      <c r="E73" s="502"/>
      <c r="F73" s="502"/>
      <c r="G73" s="502"/>
      <c r="H73" s="503"/>
      <c r="I73" s="504"/>
      <c r="J73" s="505"/>
      <c r="K73" s="471"/>
    </row>
    <row r="74" spans="1:12">
      <c r="A74" s="463"/>
      <c r="B74" s="499"/>
      <c r="C74" s="500"/>
      <c r="D74" s="501"/>
      <c r="E74" s="502"/>
      <c r="F74" s="502"/>
      <c r="G74" s="502"/>
      <c r="H74" s="503"/>
      <c r="I74" s="504"/>
      <c r="J74" s="505"/>
      <c r="K74" s="471"/>
    </row>
    <row r="75" spans="1:12">
      <c r="A75" s="463"/>
      <c r="B75" s="506"/>
      <c r="C75" s="507"/>
      <c r="D75" s="508"/>
      <c r="E75" s="509"/>
      <c r="F75" s="509"/>
      <c r="G75" s="509"/>
      <c r="H75" s="510"/>
      <c r="I75" s="511"/>
      <c r="J75" s="505">
        <f>H75*F75*E75+I75*G75*E75</f>
        <v>0</v>
      </c>
      <c r="K75" s="471"/>
    </row>
    <row r="76" spans="1:12">
      <c r="A76" s="463"/>
      <c r="B76" s="512" t="s">
        <v>946</v>
      </c>
      <c r="C76" s="482"/>
      <c r="D76" s="482"/>
      <c r="E76" s="482"/>
      <c r="F76" s="482"/>
      <c r="G76" s="482"/>
      <c r="H76" s="482"/>
      <c r="I76" s="513" t="s">
        <v>175</v>
      </c>
      <c r="J76" s="514">
        <f>SUM(J71:J75)</f>
        <v>25</v>
      </c>
      <c r="K76" s="471"/>
      <c r="L76" s="6">
        <f>J76/E84</f>
        <v>61.67083162314826</v>
      </c>
    </row>
    <row r="77" spans="1:12">
      <c r="A77" s="463"/>
      <c r="B77" s="515"/>
      <c r="C77" s="515"/>
      <c r="D77" s="515"/>
      <c r="E77" s="515"/>
      <c r="F77" s="515"/>
      <c r="G77" s="515"/>
      <c r="H77" s="515"/>
      <c r="I77" s="516"/>
      <c r="J77" s="517"/>
      <c r="K77" s="471"/>
    </row>
    <row r="78" spans="1:12" ht="20.399999999999999" customHeight="1">
      <c r="A78" s="463"/>
      <c r="B78" s="1490" t="s">
        <v>947</v>
      </c>
      <c r="C78" s="1491"/>
      <c r="D78" s="1491"/>
      <c r="E78" s="1492"/>
      <c r="F78" s="725" t="s">
        <v>688</v>
      </c>
      <c r="G78" s="853"/>
      <c r="H78" s="520" t="s">
        <v>427</v>
      </c>
      <c r="I78" s="521" t="s">
        <v>948</v>
      </c>
      <c r="J78" s="522" t="s">
        <v>949</v>
      </c>
      <c r="K78" s="471"/>
    </row>
    <row r="79" spans="1:12">
      <c r="A79" s="463"/>
      <c r="B79" s="530" t="s">
        <v>1166</v>
      </c>
      <c r="C79" s="531"/>
      <c r="D79" s="472"/>
      <c r="E79" s="500"/>
      <c r="F79" s="501"/>
      <c r="G79" s="532"/>
      <c r="H79" s="533">
        <f>E71</f>
        <v>1</v>
      </c>
      <c r="I79" s="534">
        <f>(VLOOKUP(B79,'MÃO DE OBRA'!$A:$E,5,FALSE)/220)</f>
        <v>27.68050090909091</v>
      </c>
      <c r="J79" s="505">
        <f>H79*I79</f>
        <v>27.68050090909091</v>
      </c>
      <c r="K79" s="471"/>
    </row>
    <row r="80" spans="1:12">
      <c r="A80" s="463"/>
      <c r="B80" s="530" t="s">
        <v>472</v>
      </c>
      <c r="C80" s="531"/>
      <c r="D80" s="472"/>
      <c r="E80" s="500"/>
      <c r="F80" s="501"/>
      <c r="G80" s="532"/>
      <c r="H80" s="533">
        <v>1</v>
      </c>
      <c r="I80" s="534">
        <f>(VLOOKUP(B80,'MÃO DE OBRA'!$A:$E,5,FALSE)/220)</f>
        <v>18.377072727272729</v>
      </c>
      <c r="J80" s="505">
        <f>H80*I80</f>
        <v>18.377072727272729</v>
      </c>
      <c r="K80" s="471"/>
    </row>
    <row r="81" spans="1:12">
      <c r="A81" s="463"/>
      <c r="B81" s="530"/>
      <c r="C81" s="531"/>
      <c r="D81" s="472"/>
      <c r="E81" s="500"/>
      <c r="F81" s="501"/>
      <c r="G81" s="532"/>
      <c r="H81" s="533"/>
      <c r="I81" s="534"/>
      <c r="J81" s="505"/>
      <c r="K81" s="471"/>
    </row>
    <row r="82" spans="1:12">
      <c r="A82" s="463"/>
      <c r="B82" s="512" t="s">
        <v>946</v>
      </c>
      <c r="C82" s="515"/>
      <c r="D82" s="515"/>
      <c r="E82" s="515"/>
      <c r="F82" s="515"/>
      <c r="G82" s="515"/>
      <c r="H82" s="515"/>
      <c r="I82" s="535" t="s">
        <v>175</v>
      </c>
      <c r="J82" s="514">
        <f>SUM(J79:J81)</f>
        <v>46.057573636363642</v>
      </c>
      <c r="K82" s="471"/>
    </row>
    <row r="83" spans="1:12">
      <c r="A83" s="463"/>
      <c r="B83" s="536"/>
      <c r="C83" s="536"/>
      <c r="D83" s="536"/>
      <c r="E83" s="536"/>
      <c r="F83" s="536"/>
      <c r="G83" s="536"/>
      <c r="H83" s="536"/>
      <c r="I83" s="537"/>
      <c r="J83" s="536"/>
      <c r="K83" s="471"/>
    </row>
    <row r="84" spans="1:12">
      <c r="A84" s="463"/>
      <c r="B84" s="538" t="s">
        <v>952</v>
      </c>
      <c r="C84" s="539"/>
      <c r="D84" s="536"/>
      <c r="E84" s="540">
        <v>0.4053780262404667</v>
      </c>
      <c r="F84" s="541" t="s">
        <v>1470</v>
      </c>
      <c r="G84" s="519"/>
      <c r="H84" s="519"/>
      <c r="I84" s="542" t="s">
        <v>953</v>
      </c>
      <c r="J84" s="514">
        <f>J76+J82</f>
        <v>71.057573636363642</v>
      </c>
      <c r="K84" s="471"/>
    </row>
    <row r="85" spans="1:12">
      <c r="A85" s="463"/>
      <c r="B85" s="543"/>
      <c r="C85" s="536"/>
      <c r="D85" s="536"/>
      <c r="E85" s="544"/>
      <c r="F85" s="545"/>
      <c r="G85" s="545"/>
      <c r="H85" s="545"/>
      <c r="I85" s="537"/>
      <c r="J85" s="536"/>
      <c r="K85" s="471"/>
    </row>
    <row r="86" spans="1:12" ht="20.399999999999999">
      <c r="A86" s="463"/>
      <c r="B86" s="1493" t="s">
        <v>362</v>
      </c>
      <c r="C86" s="1494"/>
      <c r="D86" s="1494"/>
      <c r="E86" s="1495"/>
      <c r="F86" s="546" t="s">
        <v>688</v>
      </c>
      <c r="G86" s="547" t="s">
        <v>371</v>
      </c>
      <c r="H86" s="520" t="s">
        <v>942</v>
      </c>
      <c r="I86" s="548" t="s">
        <v>361</v>
      </c>
      <c r="J86" s="549" t="s">
        <v>363</v>
      </c>
      <c r="K86" s="471"/>
    </row>
    <row r="87" spans="1:12">
      <c r="A87" s="463"/>
      <c r="B87" s="550" t="str">
        <f>B71</f>
        <v>Motosserra a gasolina</v>
      </c>
      <c r="C87" s="551"/>
      <c r="D87" s="551"/>
      <c r="E87" s="552"/>
      <c r="F87" s="553" t="str">
        <f>VLOOKUP(B87,EQUIPAMENTOS!$A:$N,12,FALSE)</f>
        <v>Gasolina</v>
      </c>
      <c r="G87" s="554" t="s">
        <v>415</v>
      </c>
      <c r="H87" s="560">
        <f>VLOOKUP(B87,EQUIPAMENTOS!$A:$N,13,FALSE)</f>
        <v>6.59</v>
      </c>
      <c r="I87" s="556">
        <f>VLOOKUP(B87,EQUIPAMENTOS!$A:$N,14,FALSE)</f>
        <v>1.2</v>
      </c>
      <c r="J87" s="498">
        <f>H87*I87*E71*F71</f>
        <v>7.9079999999999995</v>
      </c>
      <c r="K87" s="471"/>
    </row>
    <row r="88" spans="1:12">
      <c r="A88" s="463"/>
      <c r="B88" s="557"/>
      <c r="C88" s="531"/>
      <c r="D88" s="531"/>
      <c r="E88" s="500"/>
      <c r="F88" s="553"/>
      <c r="G88" s="554"/>
      <c r="H88" s="560"/>
      <c r="I88" s="556"/>
      <c r="J88" s="505"/>
      <c r="K88" s="471"/>
    </row>
    <row r="89" spans="1:12">
      <c r="A89" s="463"/>
      <c r="B89" s="557"/>
      <c r="C89" s="531"/>
      <c r="D89" s="531"/>
      <c r="E89" s="500"/>
      <c r="F89" s="553"/>
      <c r="G89" s="554"/>
      <c r="H89" s="560"/>
      <c r="I89" s="556"/>
      <c r="J89" s="505"/>
      <c r="K89" s="471"/>
    </row>
    <row r="90" spans="1:12">
      <c r="A90" s="463"/>
      <c r="B90" s="908"/>
      <c r="C90" s="539"/>
      <c r="D90" s="539"/>
      <c r="E90" s="507"/>
      <c r="F90" s="909"/>
      <c r="G90" s="870"/>
      <c r="H90" s="642"/>
      <c r="I90" s="871"/>
      <c r="J90" s="562"/>
      <c r="K90" s="471"/>
    </row>
    <row r="91" spans="1:12">
      <c r="A91" s="463"/>
      <c r="B91" s="866" t="s">
        <v>946</v>
      </c>
      <c r="C91" s="539"/>
      <c r="D91" s="539"/>
      <c r="E91" s="539"/>
      <c r="F91" s="539"/>
      <c r="G91" s="539"/>
      <c r="H91" s="867"/>
      <c r="I91" s="868" t="s">
        <v>175</v>
      </c>
      <c r="J91" s="562">
        <f>SUM(J87:J90)</f>
        <v>7.9079999999999995</v>
      </c>
      <c r="K91" s="471"/>
      <c r="L91" s="6">
        <f>J91/E84</f>
        <v>19.507717459034257</v>
      </c>
    </row>
    <row r="92" spans="1:12">
      <c r="A92" s="463"/>
      <c r="B92" s="566"/>
      <c r="C92" s="539"/>
      <c r="D92" s="539"/>
      <c r="E92" s="567"/>
      <c r="F92" s="568"/>
      <c r="G92" s="519"/>
      <c r="H92" s="519"/>
      <c r="I92" s="542"/>
      <c r="J92" s="567"/>
      <c r="K92" s="471"/>
    </row>
    <row r="93" spans="1:12" ht="20.399999999999999">
      <c r="A93" s="463"/>
      <c r="B93" s="1493" t="s">
        <v>955</v>
      </c>
      <c r="C93" s="1494"/>
      <c r="D93" s="1494"/>
      <c r="E93" s="1494"/>
      <c r="F93" s="1495"/>
      <c r="G93" s="569" t="s">
        <v>372</v>
      </c>
      <c r="H93" s="519" t="s">
        <v>956</v>
      </c>
      <c r="I93" s="570" t="s">
        <v>942</v>
      </c>
      <c r="J93" s="522" t="s">
        <v>363</v>
      </c>
      <c r="K93" s="471"/>
    </row>
    <row r="94" spans="1:12">
      <c r="A94" s="463"/>
      <c r="B94" s="571"/>
      <c r="C94" s="572"/>
      <c r="D94" s="573"/>
      <c r="E94" s="573"/>
      <c r="F94" s="574"/>
      <c r="G94" s="502"/>
      <c r="H94" s="502"/>
      <c r="I94" s="575"/>
      <c r="J94" s="505"/>
      <c r="K94" s="471"/>
    </row>
    <row r="95" spans="1:12">
      <c r="A95" s="463"/>
      <c r="B95" s="576"/>
      <c r="C95" s="577"/>
      <c r="D95" s="578"/>
      <c r="E95" s="578"/>
      <c r="F95" s="579"/>
      <c r="G95" s="502"/>
      <c r="H95" s="502"/>
      <c r="I95" s="575"/>
      <c r="J95" s="505"/>
      <c r="K95" s="471"/>
    </row>
    <row r="96" spans="1:12">
      <c r="A96" s="463"/>
      <c r="B96" s="1496" t="s">
        <v>175</v>
      </c>
      <c r="C96" s="1496"/>
      <c r="D96" s="1496"/>
      <c r="E96" s="1496"/>
      <c r="F96" s="1496"/>
      <c r="G96" s="1496"/>
      <c r="H96" s="1496"/>
      <c r="I96" s="1496"/>
      <c r="J96" s="514">
        <f>SUM(J94:J95)</f>
        <v>0</v>
      </c>
      <c r="K96" s="471"/>
    </row>
    <row r="97" spans="1:12">
      <c r="A97" s="463"/>
      <c r="B97" s="580"/>
      <c r="C97" s="524"/>
      <c r="D97" s="524"/>
      <c r="E97" s="581"/>
      <c r="F97" s="582"/>
      <c r="G97" s="583"/>
      <c r="H97" s="583"/>
      <c r="I97" s="584"/>
      <c r="J97" s="585"/>
      <c r="K97" s="471"/>
    </row>
    <row r="98" spans="1:12">
      <c r="A98" s="463"/>
      <c r="B98" s="586" t="s">
        <v>957</v>
      </c>
      <c r="C98" s="586"/>
      <c r="D98" s="563"/>
      <c r="E98" s="536"/>
      <c r="F98" s="536"/>
      <c r="G98" s="536"/>
      <c r="H98" s="587"/>
      <c r="I98" s="588"/>
      <c r="J98" s="514">
        <f>(J84+J91+J96)/E84</f>
        <v>194.7949038301399</v>
      </c>
      <c r="K98" s="471"/>
      <c r="L98">
        <v>194.79490923196974</v>
      </c>
    </row>
    <row r="99" spans="1:12">
      <c r="A99" s="463"/>
      <c r="B99" s="566"/>
      <c r="C99" s="539"/>
      <c r="D99" s="539"/>
      <c r="E99" s="567"/>
      <c r="F99" s="568"/>
      <c r="G99" s="519"/>
      <c r="H99" s="519"/>
      <c r="I99" s="542"/>
      <c r="J99" s="589"/>
      <c r="K99" s="471"/>
    </row>
    <row r="100" spans="1:12" ht="20.399999999999999">
      <c r="A100" s="463"/>
      <c r="B100" s="1493" t="s">
        <v>958</v>
      </c>
      <c r="C100" s="1494"/>
      <c r="D100" s="1494"/>
      <c r="E100" s="1494"/>
      <c r="F100" s="1495"/>
      <c r="G100" s="569" t="s">
        <v>372</v>
      </c>
      <c r="H100" s="519" t="s">
        <v>956</v>
      </c>
      <c r="I100" s="570" t="s">
        <v>942</v>
      </c>
      <c r="J100" s="522" t="s">
        <v>363</v>
      </c>
      <c r="K100" s="471"/>
    </row>
    <row r="101" spans="1:12">
      <c r="A101" s="463"/>
      <c r="B101" s="571"/>
      <c r="C101" s="572"/>
      <c r="D101" s="573"/>
      <c r="E101" s="573"/>
      <c r="F101" s="574"/>
      <c r="G101" s="502"/>
      <c r="H101" s="502"/>
      <c r="I101" s="575"/>
      <c r="J101" s="505">
        <f>G101*I101</f>
        <v>0</v>
      </c>
      <c r="K101" s="471"/>
    </row>
    <row r="102" spans="1:12">
      <c r="A102" s="463"/>
      <c r="B102" s="576"/>
      <c r="C102" s="577"/>
      <c r="D102" s="578"/>
      <c r="E102" s="578"/>
      <c r="F102" s="579"/>
      <c r="G102" s="502"/>
      <c r="H102" s="502"/>
      <c r="I102" s="575"/>
      <c r="J102" s="505">
        <f>G102*I102</f>
        <v>0</v>
      </c>
      <c r="K102" s="471"/>
    </row>
    <row r="103" spans="1:12">
      <c r="A103" s="463"/>
      <c r="B103" s="576"/>
      <c r="C103" s="577"/>
      <c r="D103" s="578"/>
      <c r="E103" s="578"/>
      <c r="F103" s="579"/>
      <c r="G103" s="502"/>
      <c r="H103" s="502"/>
      <c r="I103" s="575"/>
      <c r="J103" s="505">
        <f>G103*I103</f>
        <v>0</v>
      </c>
      <c r="K103" s="471"/>
    </row>
    <row r="104" spans="1:12">
      <c r="A104" s="463"/>
      <c r="B104" s="590"/>
      <c r="C104" s="591"/>
      <c r="D104" s="592"/>
      <c r="E104" s="592"/>
      <c r="F104" s="593"/>
      <c r="G104" s="502"/>
      <c r="H104" s="502"/>
      <c r="I104" s="575"/>
      <c r="J104" s="505">
        <f>G104*I104</f>
        <v>0</v>
      </c>
      <c r="K104" s="471"/>
    </row>
    <row r="105" spans="1:12">
      <c r="A105" s="463"/>
      <c r="B105" s="594"/>
      <c r="C105" s="536"/>
      <c r="D105" s="536"/>
      <c r="E105" s="595"/>
      <c r="F105" s="596"/>
      <c r="G105" s="545"/>
      <c r="H105" s="545"/>
      <c r="I105" s="537" t="s">
        <v>175</v>
      </c>
      <c r="J105" s="514">
        <f>SUM(J101:J104)</f>
        <v>0</v>
      </c>
      <c r="K105" s="471"/>
    </row>
    <row r="106" spans="1:12">
      <c r="A106" s="463"/>
      <c r="B106" s="597"/>
      <c r="C106" s="536"/>
      <c r="D106" s="536"/>
      <c r="E106" s="595"/>
      <c r="F106" s="596"/>
      <c r="G106" s="545"/>
      <c r="H106" s="545"/>
      <c r="I106" s="537"/>
      <c r="J106" s="595"/>
      <c r="K106" s="471"/>
    </row>
    <row r="107" spans="1:12" ht="20.399999999999999">
      <c r="A107" s="463"/>
      <c r="B107" s="598" t="s">
        <v>959</v>
      </c>
      <c r="C107" s="598"/>
      <c r="D107" s="598"/>
      <c r="E107" s="599"/>
      <c r="F107" s="600" t="s">
        <v>372</v>
      </c>
      <c r="G107" s="569" t="s">
        <v>960</v>
      </c>
      <c r="H107" s="519" t="s">
        <v>942</v>
      </c>
      <c r="I107" s="570" t="s">
        <v>361</v>
      </c>
      <c r="J107" s="522" t="s">
        <v>363</v>
      </c>
      <c r="K107" s="471"/>
    </row>
    <row r="108" spans="1:12">
      <c r="A108" s="463"/>
      <c r="B108" s="571"/>
      <c r="C108" s="572"/>
      <c r="D108" s="573"/>
      <c r="E108" s="574"/>
      <c r="F108" s="502"/>
      <c r="G108" s="502"/>
      <c r="H108" s="624"/>
      <c r="I108" s="575"/>
      <c r="J108" s="505"/>
      <c r="K108" s="471"/>
    </row>
    <row r="109" spans="1:12">
      <c r="A109" s="463"/>
      <c r="B109" s="590" t="s">
        <v>946</v>
      </c>
      <c r="C109" s="591"/>
      <c r="D109" s="592"/>
      <c r="E109" s="593" t="s">
        <v>946</v>
      </c>
      <c r="F109" s="509">
        <v>0</v>
      </c>
      <c r="G109" s="509">
        <v>0</v>
      </c>
      <c r="H109" s="509">
        <v>0</v>
      </c>
      <c r="I109" s="601">
        <v>0</v>
      </c>
      <c r="J109" s="505">
        <f>I109*H109*G109*F109</f>
        <v>0</v>
      </c>
      <c r="K109" s="471"/>
    </row>
    <row r="110" spans="1:12">
      <c r="A110" s="463"/>
      <c r="B110" s="594"/>
      <c r="C110" s="536"/>
      <c r="D110" s="536"/>
      <c r="E110" s="595"/>
      <c r="F110" s="596"/>
      <c r="G110" s="545"/>
      <c r="H110" s="545"/>
      <c r="I110" s="537" t="s">
        <v>175</v>
      </c>
      <c r="J110" s="514">
        <f>SUM(J108:J109)</f>
        <v>0</v>
      </c>
      <c r="K110" s="471"/>
    </row>
    <row r="111" spans="1:12">
      <c r="A111" s="463"/>
      <c r="B111" s="536"/>
      <c r="C111" s="536"/>
      <c r="D111" s="536"/>
      <c r="E111" s="536"/>
      <c r="F111" s="536"/>
      <c r="G111" s="536"/>
      <c r="H111" s="536"/>
      <c r="I111" s="537"/>
      <c r="J111" s="536"/>
      <c r="K111" s="471"/>
    </row>
    <row r="112" spans="1:12">
      <c r="A112" s="463"/>
      <c r="B112" s="1481" t="s">
        <v>961</v>
      </c>
      <c r="C112" s="1482"/>
      <c r="D112" s="1482"/>
      <c r="E112" s="1482"/>
      <c r="F112" s="1482"/>
      <c r="G112" s="1482"/>
      <c r="H112" s="1482"/>
      <c r="I112" s="1483"/>
      <c r="J112" s="586">
        <f>J110+J105+J98</f>
        <v>194.7949038301399</v>
      </c>
      <c r="K112" s="471"/>
    </row>
    <row r="113" spans="1:11">
      <c r="A113" s="463"/>
      <c r="B113" s="536"/>
      <c r="C113" s="536"/>
      <c r="D113" s="536"/>
      <c r="E113" s="536"/>
      <c r="F113" s="536"/>
      <c r="G113" s="536"/>
      <c r="H113" s="536"/>
      <c r="I113" s="537"/>
      <c r="J113" s="536"/>
      <c r="K113" s="471"/>
    </row>
    <row r="114" spans="1:11">
      <c r="A114" s="463"/>
      <c r="B114" s="1481" t="s">
        <v>962</v>
      </c>
      <c r="C114" s="1482"/>
      <c r="D114" s="1482"/>
      <c r="E114" s="1482"/>
      <c r="F114" s="1482"/>
      <c r="G114" s="1482"/>
      <c r="H114" s="1482"/>
      <c r="I114" s="1483"/>
      <c r="J114" s="514">
        <f>J112*0</f>
        <v>0</v>
      </c>
      <c r="K114" s="471"/>
    </row>
    <row r="115" spans="1:11">
      <c r="A115" s="463"/>
      <c r="B115" s="536"/>
      <c r="C115" s="536"/>
      <c r="D115" s="536"/>
      <c r="E115" s="536"/>
      <c r="F115" s="536"/>
      <c r="G115" s="536"/>
      <c r="H115" s="536"/>
      <c r="I115" s="537"/>
      <c r="J115" s="536"/>
      <c r="K115" s="471"/>
    </row>
    <row r="116" spans="1:11">
      <c r="A116" s="463"/>
      <c r="B116" s="1481" t="s">
        <v>963</v>
      </c>
      <c r="C116" s="1482"/>
      <c r="D116" s="1482"/>
      <c r="E116" s="1482"/>
      <c r="F116" s="1482"/>
      <c r="G116" s="1482"/>
      <c r="H116" s="1482"/>
      <c r="I116" s="1483"/>
      <c r="J116" s="586">
        <f>J112+J114</f>
        <v>194.7949038301399</v>
      </c>
      <c r="K116" s="471"/>
    </row>
    <row r="117" spans="1:11">
      <c r="A117" s="463"/>
      <c r="B117" s="524"/>
      <c r="C117" s="524"/>
      <c r="D117" s="524"/>
      <c r="E117" s="524"/>
      <c r="F117" s="524"/>
      <c r="G117" s="524"/>
      <c r="H117" s="524"/>
      <c r="I117" s="584"/>
      <c r="J117" s="524"/>
      <c r="K117" s="471"/>
    </row>
    <row r="118" spans="1:11">
      <c r="A118" s="463"/>
      <c r="B118" s="602"/>
      <c r="C118" s="572"/>
      <c r="D118" s="572"/>
      <c r="E118" s="572"/>
      <c r="F118" s="572"/>
      <c r="G118" s="572"/>
      <c r="H118" s="572"/>
      <c r="I118" s="572"/>
      <c r="J118" s="603"/>
      <c r="K118" s="471"/>
    </row>
    <row r="119" spans="1:11">
      <c r="A119" s="463"/>
      <c r="B119" s="604"/>
      <c r="C119" s="605"/>
      <c r="D119" s="606"/>
      <c r="E119" s="606"/>
      <c r="F119" s="607" t="s">
        <v>946</v>
      </c>
      <c r="G119" s="608" t="s">
        <v>946</v>
      </c>
      <c r="H119" s="605"/>
      <c r="I119" s="605"/>
      <c r="J119" s="609"/>
      <c r="K119" s="471"/>
    </row>
    <row r="120" spans="1:11">
      <c r="A120" s="463"/>
      <c r="B120" s="472"/>
      <c r="C120" s="472"/>
      <c r="D120" s="472"/>
      <c r="E120" s="472"/>
      <c r="F120" s="472"/>
      <c r="G120" s="472"/>
      <c r="H120" s="472"/>
      <c r="I120" s="472"/>
      <c r="J120" s="472"/>
      <c r="K120" s="471"/>
    </row>
    <row r="121" spans="1:11">
      <c r="A121" s="463"/>
      <c r="B121" s="610"/>
      <c r="C121" s="611"/>
      <c r="D121" s="611"/>
      <c r="E121" s="611"/>
      <c r="F121" s="612"/>
      <c r="G121" s="613" t="s">
        <v>363</v>
      </c>
      <c r="H121" s="515"/>
      <c r="I121" s="515"/>
      <c r="J121" s="518"/>
      <c r="K121" s="471"/>
    </row>
    <row r="122" spans="1:11">
      <c r="A122" s="463"/>
      <c r="B122" s="614"/>
      <c r="C122" s="615"/>
      <c r="D122" s="615"/>
      <c r="E122" s="615"/>
      <c r="F122" s="616"/>
      <c r="G122" s="1484" t="s">
        <v>964</v>
      </c>
      <c r="H122" s="1485"/>
      <c r="I122" s="1485"/>
      <c r="J122" s="1486"/>
      <c r="K122" s="471"/>
    </row>
    <row r="123" spans="1:11">
      <c r="A123" s="463"/>
      <c r="B123" s="617"/>
      <c r="C123" s="618"/>
      <c r="D123" s="618"/>
      <c r="E123" s="618"/>
      <c r="F123" s="619"/>
      <c r="G123" s="620"/>
      <c r="H123" s="1487"/>
      <c r="I123" s="1488"/>
      <c r="J123" s="1489"/>
      <c r="K123" s="471"/>
    </row>
    <row r="124" spans="1:11" ht="15" thickBot="1">
      <c r="A124" s="621"/>
      <c r="B124" s="622"/>
      <c r="C124" s="622"/>
      <c r="D124" s="622"/>
      <c r="E124" s="622"/>
      <c r="F124" s="622"/>
      <c r="G124" s="622"/>
      <c r="H124" s="622"/>
      <c r="I124" s="622"/>
      <c r="J124" s="622"/>
      <c r="K124" s="623"/>
    </row>
    <row r="125" spans="1:11" ht="13.5" customHeight="1">
      <c r="A125" s="460"/>
      <c r="B125" s="461"/>
      <c r="C125" s="461"/>
      <c r="D125" s="461"/>
      <c r="E125" s="461"/>
      <c r="F125" s="461"/>
      <c r="G125" s="461"/>
      <c r="H125" s="461"/>
      <c r="I125" s="461"/>
      <c r="J125" s="461"/>
      <c r="K125" s="462"/>
    </row>
    <row r="126" spans="1:11">
      <c r="A126" s="463"/>
      <c r="B126" s="464" t="s">
        <v>178</v>
      </c>
      <c r="C126" s="465"/>
      <c r="D126" s="466" t="s">
        <v>936</v>
      </c>
      <c r="E126" s="467"/>
      <c r="F126" s="468"/>
      <c r="G126" s="468"/>
      <c r="H126" s="469"/>
      <c r="I126" s="469"/>
      <c r="J126" s="470"/>
      <c r="K126" s="471"/>
    </row>
    <row r="127" spans="1:11">
      <c r="A127" s="463"/>
      <c r="B127" s="472"/>
      <c r="C127" s="472"/>
      <c r="D127" s="472"/>
      <c r="E127" s="472"/>
      <c r="F127" s="472"/>
      <c r="G127" s="472"/>
      <c r="H127" s="472"/>
      <c r="I127" s="472"/>
      <c r="J127" s="472"/>
      <c r="K127" s="471"/>
    </row>
    <row r="128" spans="1:11">
      <c r="A128" s="463"/>
      <c r="B128" s="473" t="s">
        <v>688</v>
      </c>
      <c r="C128" s="474" t="s">
        <v>937</v>
      </c>
      <c r="D128" s="1497" t="s">
        <v>250</v>
      </c>
      <c r="E128" s="1498"/>
      <c r="F128" s="1498"/>
      <c r="G128" s="1498"/>
      <c r="H128" s="1498"/>
      <c r="I128" s="1499"/>
      <c r="J128" s="475" t="s">
        <v>267</v>
      </c>
      <c r="K128" s="471"/>
    </row>
    <row r="129" spans="1:12" ht="16.95" customHeight="1">
      <c r="A129" s="463"/>
      <c r="B129" s="476" t="s">
        <v>3</v>
      </c>
      <c r="C129" s="477">
        <f ca="1">PLANEJAMENTO!F4</f>
        <v>46140</v>
      </c>
      <c r="D129" s="681" t="s">
        <v>1472</v>
      </c>
      <c r="E129" s="479"/>
      <c r="F129" s="479"/>
      <c r="G129" s="479"/>
      <c r="H129" s="479"/>
      <c r="I129" s="480"/>
      <c r="J129" s="481" t="s">
        <v>203</v>
      </c>
      <c r="K129" s="471"/>
    </row>
    <row r="130" spans="1:12">
      <c r="A130" s="463"/>
      <c r="B130" s="482"/>
      <c r="C130" s="482"/>
      <c r="D130" s="482"/>
      <c r="E130" s="482"/>
      <c r="F130" s="482"/>
      <c r="G130" s="482"/>
      <c r="H130" s="482"/>
      <c r="I130" s="483"/>
      <c r="J130" s="484"/>
      <c r="K130" s="471"/>
    </row>
    <row r="131" spans="1:12">
      <c r="A131" s="463"/>
      <c r="B131" s="1484" t="s">
        <v>938</v>
      </c>
      <c r="C131" s="1486"/>
      <c r="D131" s="1502" t="s">
        <v>688</v>
      </c>
      <c r="E131" s="1504" t="s">
        <v>939</v>
      </c>
      <c r="F131" s="485" t="s">
        <v>940</v>
      </c>
      <c r="G131" s="486"/>
      <c r="H131" s="485" t="s">
        <v>941</v>
      </c>
      <c r="I131" s="486"/>
      <c r="J131" s="487" t="s">
        <v>942</v>
      </c>
      <c r="K131" s="471"/>
    </row>
    <row r="132" spans="1:12">
      <c r="A132" s="463"/>
      <c r="B132" s="1500"/>
      <c r="C132" s="1501"/>
      <c r="D132" s="1503"/>
      <c r="E132" s="1505"/>
      <c r="F132" s="488" t="s">
        <v>943</v>
      </c>
      <c r="G132" s="488" t="s">
        <v>944</v>
      </c>
      <c r="H132" s="488" t="s">
        <v>943</v>
      </c>
      <c r="I132" s="489" t="s">
        <v>944</v>
      </c>
      <c r="J132" s="490" t="s">
        <v>945</v>
      </c>
      <c r="K132" s="471"/>
    </row>
    <row r="133" spans="1:12">
      <c r="A133" s="463"/>
      <c r="B133" s="491" t="s">
        <v>669</v>
      </c>
      <c r="C133" s="492"/>
      <c r="D133" s="493"/>
      <c r="E133" s="494">
        <v>1</v>
      </c>
      <c r="F133" s="494">
        <v>1</v>
      </c>
      <c r="G133" s="495">
        <f>1-F133</f>
        <v>0</v>
      </c>
      <c r="H133" s="496">
        <f>VLOOKUP(B133,EQUIPAMENTOS!$A:$J,10,FALSE)</f>
        <v>214.36944444444444</v>
      </c>
      <c r="I133" s="497">
        <f>H133</f>
        <v>214.36944444444444</v>
      </c>
      <c r="J133" s="498">
        <f>H133*F133*E133+I133*G133*E133</f>
        <v>214.36944444444444</v>
      </c>
      <c r="K133" s="471"/>
      <c r="L133" s="6">
        <f>J133/$E$147</f>
        <v>0.61075870865664994</v>
      </c>
    </row>
    <row r="134" spans="1:12">
      <c r="A134" s="463"/>
      <c r="B134" s="499" t="s">
        <v>954</v>
      </c>
      <c r="C134" s="500"/>
      <c r="D134" s="501"/>
      <c r="E134" s="875">
        <v>1</v>
      </c>
      <c r="F134" s="502">
        <v>1</v>
      </c>
      <c r="G134" s="502">
        <f>1-F134</f>
        <v>0</v>
      </c>
      <c r="H134" s="503">
        <f>VLOOKUP(B134,EQUIPAMENTOS!$A:$J,10,FALSE)</f>
        <v>192.58333333333334</v>
      </c>
      <c r="I134" s="504">
        <f>H134</f>
        <v>192.58333333333334</v>
      </c>
      <c r="J134" s="505">
        <f>H134*F134*E134+I134*G134*E134</f>
        <v>192.58333333333334</v>
      </c>
      <c r="K134" s="471"/>
      <c r="L134" s="6">
        <f>J134/$E$147</f>
        <v>0.54868802911854586</v>
      </c>
    </row>
    <row r="135" spans="1:12">
      <c r="A135" s="463"/>
      <c r="B135" s="499" t="s">
        <v>1157</v>
      </c>
      <c r="C135" s="500"/>
      <c r="D135" s="501"/>
      <c r="E135" s="502">
        <v>3</v>
      </c>
      <c r="F135" s="502">
        <v>1</v>
      </c>
      <c r="G135" s="502">
        <f>1-F135</f>
        <v>0</v>
      </c>
      <c r="H135" s="503">
        <f>VLOOKUP(B135,EQUIPAMENTOS!$A:$J,10,FALSE)</f>
        <v>125</v>
      </c>
      <c r="I135" s="504">
        <f>H135</f>
        <v>125</v>
      </c>
      <c r="J135" s="505">
        <f>H135*F135*E135+I135*G135*E135</f>
        <v>375</v>
      </c>
      <c r="K135" s="471"/>
      <c r="L135" s="6">
        <f>J135/$E$147</f>
        <v>1.0684102687293191</v>
      </c>
    </row>
    <row r="136" spans="1:12">
      <c r="A136" s="463"/>
      <c r="B136" s="499"/>
      <c r="C136" s="500"/>
      <c r="D136" s="501"/>
      <c r="E136" s="502"/>
      <c r="F136" s="502"/>
      <c r="G136" s="502"/>
      <c r="H136" s="503"/>
      <c r="I136" s="504"/>
      <c r="J136" s="505"/>
      <c r="K136" s="471"/>
      <c r="L136" s="6"/>
    </row>
    <row r="137" spans="1:12">
      <c r="A137" s="463"/>
      <c r="B137" s="506"/>
      <c r="C137" s="507"/>
      <c r="D137" s="508"/>
      <c r="E137" s="509"/>
      <c r="F137" s="509"/>
      <c r="G137" s="509"/>
      <c r="H137" s="510"/>
      <c r="I137" s="511"/>
      <c r="J137" s="505">
        <f>H137*F137*E137+I137*G137*E137</f>
        <v>0</v>
      </c>
      <c r="K137" s="471"/>
      <c r="L137" s="6"/>
    </row>
    <row r="138" spans="1:12">
      <c r="A138" s="463"/>
      <c r="B138" s="512" t="s">
        <v>946</v>
      </c>
      <c r="C138" s="482"/>
      <c r="D138" s="482"/>
      <c r="E138" s="482"/>
      <c r="F138" s="482"/>
      <c r="G138" s="482"/>
      <c r="H138" s="482"/>
      <c r="I138" s="513" t="s">
        <v>175</v>
      </c>
      <c r="J138" s="514">
        <f>SUM(J133:J137)</f>
        <v>781.95277777777778</v>
      </c>
      <c r="K138" s="471"/>
      <c r="L138" s="6"/>
    </row>
    <row r="139" spans="1:12">
      <c r="A139" s="463"/>
      <c r="B139" s="515"/>
      <c r="C139" s="515"/>
      <c r="D139" s="515"/>
      <c r="E139" s="515"/>
      <c r="F139" s="515"/>
      <c r="G139" s="515"/>
      <c r="H139" s="515"/>
      <c r="I139" s="516"/>
      <c r="J139" s="517"/>
      <c r="K139" s="471"/>
    </row>
    <row r="140" spans="1:12" ht="20.399999999999999">
      <c r="A140" s="463"/>
      <c r="B140" s="1490" t="s">
        <v>947</v>
      </c>
      <c r="C140" s="1491"/>
      <c r="D140" s="1491"/>
      <c r="E140" s="1492"/>
      <c r="F140" s="725" t="s">
        <v>688</v>
      </c>
      <c r="G140" s="853"/>
      <c r="H140" s="520" t="s">
        <v>427</v>
      </c>
      <c r="I140" s="521" t="s">
        <v>948</v>
      </c>
      <c r="J140" s="522" t="s">
        <v>949</v>
      </c>
      <c r="K140" s="471"/>
    </row>
    <row r="141" spans="1:12">
      <c r="A141" s="463"/>
      <c r="B141" s="523" t="s">
        <v>950</v>
      </c>
      <c r="C141" s="524"/>
      <c r="D141" s="525"/>
      <c r="E141" s="526"/>
      <c r="F141" s="527"/>
      <c r="G141" s="528"/>
      <c r="H141" s="529">
        <f>E135</f>
        <v>3</v>
      </c>
      <c r="I141" s="534">
        <f>(VLOOKUP(B141,'MÃO DE OBRA'!$A:$E,5,FALSE)/220)</f>
        <v>26.714454545454547</v>
      </c>
      <c r="J141" s="505">
        <f>H141*I141</f>
        <v>80.143363636363645</v>
      </c>
      <c r="K141" s="471"/>
      <c r="L141" s="6">
        <f>J141/$E$147</f>
        <v>0.2283359804789302</v>
      </c>
    </row>
    <row r="142" spans="1:12">
      <c r="A142" s="463"/>
      <c r="B142" s="530" t="s">
        <v>976</v>
      </c>
      <c r="C142" s="531"/>
      <c r="D142" s="472"/>
      <c r="E142" s="500"/>
      <c r="F142" s="501"/>
      <c r="G142" s="532"/>
      <c r="H142" s="533">
        <f>E133</f>
        <v>1</v>
      </c>
      <c r="I142" s="534">
        <f>(VLOOKUP(B142,'MÃO DE OBRA'!$A:$E,5,FALSE)/220)</f>
        <v>35.711036363636367</v>
      </c>
      <c r="J142" s="505">
        <f>H142*I142</f>
        <v>35.711036363636367</v>
      </c>
      <c r="K142" s="471"/>
      <c r="L142" s="6">
        <f>J142/$E$147</f>
        <v>0.10174410122100058</v>
      </c>
    </row>
    <row r="143" spans="1:12">
      <c r="A143" s="463"/>
      <c r="B143" s="530" t="s">
        <v>472</v>
      </c>
      <c r="C143" s="531"/>
      <c r="D143" s="472"/>
      <c r="E143" s="500"/>
      <c r="F143" s="501"/>
      <c r="G143" s="532"/>
      <c r="H143" s="533">
        <v>3</v>
      </c>
      <c r="I143" s="534">
        <f>(VLOOKUP(B143,'MÃO DE OBRA'!$A:$E,5,FALSE)/220)</f>
        <v>18.377072727272729</v>
      </c>
      <c r="J143" s="505">
        <f>H143*I143</f>
        <v>55.131218181818184</v>
      </c>
      <c r="K143" s="471"/>
      <c r="L143" s="6">
        <f>J143/$E$147</f>
        <v>0.15707402568802956</v>
      </c>
    </row>
    <row r="144" spans="1:12">
      <c r="A144" s="463"/>
      <c r="B144" s="530" t="s">
        <v>951</v>
      </c>
      <c r="C144" s="531"/>
      <c r="D144" s="472"/>
      <c r="E144" s="500"/>
      <c r="F144" s="501"/>
      <c r="G144" s="532"/>
      <c r="H144" s="533">
        <f>E134</f>
        <v>1</v>
      </c>
      <c r="I144" s="534">
        <f>(VLOOKUP(B144,'MÃO DE OBRA'!$A:$E,5,FALSE)/220)</f>
        <v>26.270618181818183</v>
      </c>
      <c r="J144" s="505">
        <f>H144*I144</f>
        <v>26.270618181818183</v>
      </c>
      <c r="K144" s="471"/>
      <c r="L144" s="6">
        <f>J144/$E$147</f>
        <v>7.4847461950191208E-2</v>
      </c>
    </row>
    <row r="145" spans="1:13">
      <c r="A145" s="463"/>
      <c r="B145" s="512" t="s">
        <v>946</v>
      </c>
      <c r="C145" s="515"/>
      <c r="D145" s="515"/>
      <c r="E145" s="515"/>
      <c r="F145" s="515"/>
      <c r="G145" s="515"/>
      <c r="H145" s="515"/>
      <c r="I145" s="535" t="s">
        <v>175</v>
      </c>
      <c r="J145" s="514">
        <f>SUM(J141:J144)</f>
        <v>197.25623636363639</v>
      </c>
      <c r="K145" s="471"/>
    </row>
    <row r="146" spans="1:13">
      <c r="A146" s="463"/>
      <c r="B146" s="536"/>
      <c r="C146" s="536"/>
      <c r="D146" s="536"/>
      <c r="E146" s="536"/>
      <c r="F146" s="536"/>
      <c r="G146" s="536"/>
      <c r="H146" s="536"/>
      <c r="I146" s="537"/>
      <c r="J146" s="536"/>
      <c r="K146" s="471"/>
    </row>
    <row r="147" spans="1:13">
      <c r="A147" s="463"/>
      <c r="B147" s="538" t="s">
        <v>952</v>
      </c>
      <c r="C147" s="539"/>
      <c r="D147" s="536"/>
      <c r="E147" s="540">
        <v>350.98876431241598</v>
      </c>
      <c r="F147" s="541" t="s">
        <v>965</v>
      </c>
      <c r="G147" s="519"/>
      <c r="H147" s="519"/>
      <c r="I147" s="542" t="s">
        <v>953</v>
      </c>
      <c r="J147" s="514">
        <f>J138+J145</f>
        <v>979.20901414141417</v>
      </c>
      <c r="K147" s="471"/>
      <c r="M147" s="2"/>
    </row>
    <row r="148" spans="1:13">
      <c r="A148" s="463"/>
      <c r="B148" s="543"/>
      <c r="C148" s="536"/>
      <c r="D148" s="536"/>
      <c r="E148" s="544"/>
      <c r="F148" s="545"/>
      <c r="G148" s="545"/>
      <c r="H148" s="545"/>
      <c r="I148" s="537"/>
      <c r="J148" s="536"/>
      <c r="K148" s="471"/>
    </row>
    <row r="149" spans="1:13" ht="20.399999999999999">
      <c r="A149" s="463"/>
      <c r="B149" s="1493" t="s">
        <v>362</v>
      </c>
      <c r="C149" s="1494"/>
      <c r="D149" s="1494"/>
      <c r="E149" s="1495"/>
      <c r="F149" s="546" t="s">
        <v>688</v>
      </c>
      <c r="G149" s="547" t="s">
        <v>371</v>
      </c>
      <c r="H149" s="520" t="s">
        <v>942</v>
      </c>
      <c r="I149" s="548" t="s">
        <v>361</v>
      </c>
      <c r="J149" s="549" t="s">
        <v>363</v>
      </c>
      <c r="K149" s="471"/>
    </row>
    <row r="150" spans="1:13">
      <c r="A150" s="463"/>
      <c r="B150" s="550" t="str">
        <f>B133</f>
        <v>Trator de esteiras 20T</v>
      </c>
      <c r="C150" s="551"/>
      <c r="D150" s="551"/>
      <c r="E150" s="552"/>
      <c r="F150" s="553" t="str">
        <f>VLOOKUP(B150,EQUIPAMENTOS!$A:$N,12,FALSE)</f>
        <v>Diesel S10</v>
      </c>
      <c r="G150" s="554" t="s">
        <v>415</v>
      </c>
      <c r="H150" s="560">
        <f>VLOOKUP(B150,EQUIPAMENTOS!$A:$N,13,FALSE)</f>
        <v>0</v>
      </c>
      <c r="I150" s="556">
        <f>VLOOKUP(B150,EQUIPAMENTOS!$A:$N,14,FALSE)</f>
        <v>26</v>
      </c>
      <c r="J150" s="498">
        <f>H150*I150*E133*F133</f>
        <v>0</v>
      </c>
      <c r="K150" s="471"/>
      <c r="L150" s="6"/>
    </row>
    <row r="151" spans="1:13">
      <c r="A151" s="463"/>
      <c r="B151" s="557" t="str">
        <f>B134</f>
        <v>Pá Carregadeira</v>
      </c>
      <c r="C151" s="531"/>
      <c r="D151" s="531"/>
      <c r="E151" s="500"/>
      <c r="F151" s="553" t="str">
        <f>VLOOKUP(B151,EQUIPAMENTOS!$A:$N,12,FALSE)</f>
        <v>Diesel S10</v>
      </c>
      <c r="G151" s="554" t="s">
        <v>415</v>
      </c>
      <c r="H151" s="560">
        <f>VLOOKUP(B151,EQUIPAMENTOS!$A:$N,13,FALSE)</f>
        <v>0</v>
      </c>
      <c r="I151" s="556">
        <f>VLOOKUP(B151,EQUIPAMENTOS!$A:$N,14,FALSE)</f>
        <v>16</v>
      </c>
      <c r="J151" s="505">
        <f>H151*I151*E134*F134</f>
        <v>0</v>
      </c>
      <c r="K151" s="471"/>
      <c r="L151" s="6"/>
    </row>
    <row r="152" spans="1:13">
      <c r="A152" s="463"/>
      <c r="B152" s="557" t="str">
        <f>B135</f>
        <v>Caminhão basculante 14 m³</v>
      </c>
      <c r="C152" s="539"/>
      <c r="D152" s="539"/>
      <c r="E152" s="507"/>
      <c r="F152" s="553" t="str">
        <f>VLOOKUP(B152,EQUIPAMENTOS!$A:$N,12,FALSE)</f>
        <v>Diesel S10</v>
      </c>
      <c r="G152" s="736" t="s">
        <v>415</v>
      </c>
      <c r="H152" s="560">
        <f>VLOOKUP(B152,EQUIPAMENTOS!$A:$N,13,FALSE)</f>
        <v>0</v>
      </c>
      <c r="I152" s="556">
        <f>VLOOKUP(B152,EQUIPAMENTOS!$A:$N,14,FALSE)</f>
        <v>2.5</v>
      </c>
      <c r="J152" s="505">
        <f>H152*I152*E135*F135</f>
        <v>0</v>
      </c>
      <c r="K152" s="471"/>
      <c r="L152" s="6"/>
    </row>
    <row r="153" spans="1:13">
      <c r="A153" s="463"/>
      <c r="B153" s="563" t="s">
        <v>946</v>
      </c>
      <c r="C153" s="539"/>
      <c r="D153" s="539"/>
      <c r="E153" s="539"/>
      <c r="F153" s="536"/>
      <c r="G153" s="539"/>
      <c r="H153" s="564"/>
      <c r="I153" s="565" t="s">
        <v>175</v>
      </c>
      <c r="J153" s="514">
        <f>SUM(J150:J152)</f>
        <v>0</v>
      </c>
      <c r="K153" s="471"/>
      <c r="L153" s="6"/>
    </row>
    <row r="154" spans="1:13">
      <c r="A154" s="463"/>
      <c r="B154" s="566"/>
      <c r="C154" s="539"/>
      <c r="D154" s="539"/>
      <c r="E154" s="567"/>
      <c r="F154" s="568"/>
      <c r="G154" s="519"/>
      <c r="H154" s="519"/>
      <c r="I154" s="542"/>
      <c r="J154" s="567"/>
      <c r="K154" s="471"/>
    </row>
    <row r="155" spans="1:13" ht="20.399999999999999">
      <c r="A155" s="463"/>
      <c r="B155" s="1493" t="s">
        <v>955</v>
      </c>
      <c r="C155" s="1494"/>
      <c r="D155" s="1494"/>
      <c r="E155" s="1494"/>
      <c r="F155" s="1495"/>
      <c r="G155" s="569" t="s">
        <v>372</v>
      </c>
      <c r="H155" s="519" t="s">
        <v>956</v>
      </c>
      <c r="I155" s="570" t="s">
        <v>942</v>
      </c>
      <c r="J155" s="522" t="s">
        <v>363</v>
      </c>
      <c r="K155" s="471"/>
    </row>
    <row r="156" spans="1:13">
      <c r="A156" s="463"/>
      <c r="B156" s="571"/>
      <c r="C156" s="572"/>
      <c r="D156" s="573"/>
      <c r="E156" s="573"/>
      <c r="F156" s="574"/>
      <c r="G156" s="502"/>
      <c r="H156" s="502"/>
      <c r="I156" s="575"/>
      <c r="J156" s="505"/>
      <c r="K156" s="471"/>
    </row>
    <row r="157" spans="1:13">
      <c r="A157" s="463"/>
      <c r="B157" s="576"/>
      <c r="C157" s="577"/>
      <c r="D157" s="578"/>
      <c r="E157" s="578"/>
      <c r="F157" s="579"/>
      <c r="G157" s="502"/>
      <c r="H157" s="502"/>
      <c r="I157" s="575"/>
      <c r="J157" s="505"/>
      <c r="K157" s="471"/>
    </row>
    <row r="158" spans="1:13">
      <c r="A158" s="463"/>
      <c r="B158" s="1496" t="s">
        <v>175</v>
      </c>
      <c r="C158" s="1496"/>
      <c r="D158" s="1496"/>
      <c r="E158" s="1496"/>
      <c r="F158" s="1496"/>
      <c r="G158" s="1496"/>
      <c r="H158" s="1496"/>
      <c r="I158" s="1496"/>
      <c r="J158" s="514">
        <f>SUM(J156:J157)</f>
        <v>0</v>
      </c>
      <c r="K158" s="471"/>
    </row>
    <row r="159" spans="1:13">
      <c r="A159" s="463"/>
      <c r="B159" s="580"/>
      <c r="C159" s="524"/>
      <c r="D159" s="524"/>
      <c r="E159" s="581"/>
      <c r="F159" s="582"/>
      <c r="G159" s="583"/>
      <c r="H159" s="583"/>
      <c r="I159" s="584"/>
      <c r="J159" s="585"/>
      <c r="K159" s="471"/>
    </row>
    <row r="160" spans="1:13">
      <c r="A160" s="463"/>
      <c r="B160" s="586" t="s">
        <v>957</v>
      </c>
      <c r="C160" s="586"/>
      <c r="D160" s="563"/>
      <c r="E160" s="536"/>
      <c r="F160" s="536"/>
      <c r="G160" s="536"/>
      <c r="H160" s="587"/>
      <c r="I160" s="588"/>
      <c r="J160" s="514">
        <f>(J147+J153+J158)/E147</f>
        <v>2.7898585758426666</v>
      </c>
      <c r="K160" s="471"/>
      <c r="L160">
        <v>2.7898549022868688</v>
      </c>
    </row>
    <row r="161" spans="1:13">
      <c r="A161" s="463"/>
      <c r="B161" s="566"/>
      <c r="C161" s="539"/>
      <c r="D161" s="539"/>
      <c r="E161" s="567"/>
      <c r="F161" s="568"/>
      <c r="G161" s="519"/>
      <c r="H161" s="519"/>
      <c r="I161" s="542"/>
      <c r="J161" s="589"/>
      <c r="K161" s="471"/>
    </row>
    <row r="162" spans="1:13" ht="20.399999999999999">
      <c r="A162" s="463"/>
      <c r="B162" s="1493" t="s">
        <v>958</v>
      </c>
      <c r="C162" s="1494"/>
      <c r="D162" s="1494"/>
      <c r="E162" s="1494"/>
      <c r="F162" s="1495"/>
      <c r="G162" s="569" t="s">
        <v>372</v>
      </c>
      <c r="H162" s="519" t="s">
        <v>956</v>
      </c>
      <c r="I162" s="570" t="s">
        <v>942</v>
      </c>
      <c r="J162" s="522" t="s">
        <v>363</v>
      </c>
      <c r="K162" s="471"/>
      <c r="M162" s="6"/>
    </row>
    <row r="163" spans="1:13">
      <c r="A163" s="463"/>
      <c r="B163" s="571"/>
      <c r="C163" s="572"/>
      <c r="D163" s="573"/>
      <c r="E163" s="573"/>
      <c r="F163" s="574"/>
      <c r="G163" s="502"/>
      <c r="H163" s="502"/>
      <c r="I163" s="575"/>
      <c r="J163" s="505">
        <f>G163*I163</f>
        <v>0</v>
      </c>
      <c r="K163" s="471"/>
      <c r="M163" s="6"/>
    </row>
    <row r="164" spans="1:13">
      <c r="A164" s="463"/>
      <c r="B164" s="576"/>
      <c r="C164" s="577"/>
      <c r="D164" s="578"/>
      <c r="E164" s="578"/>
      <c r="F164" s="579"/>
      <c r="G164" s="502"/>
      <c r="H164" s="502"/>
      <c r="I164" s="575"/>
      <c r="J164" s="505">
        <f>G164*I164</f>
        <v>0</v>
      </c>
      <c r="K164" s="471"/>
    </row>
    <row r="165" spans="1:13">
      <c r="A165" s="463"/>
      <c r="B165" s="576"/>
      <c r="C165" s="577"/>
      <c r="D165" s="578"/>
      <c r="E165" s="578"/>
      <c r="F165" s="579"/>
      <c r="G165" s="502"/>
      <c r="H165" s="502"/>
      <c r="I165" s="575"/>
      <c r="J165" s="505">
        <f>G165*I165</f>
        <v>0</v>
      </c>
      <c r="K165" s="471"/>
    </row>
    <row r="166" spans="1:13">
      <c r="A166" s="463"/>
      <c r="B166" s="590"/>
      <c r="C166" s="591"/>
      <c r="D166" s="592"/>
      <c r="E166" s="592"/>
      <c r="F166" s="593"/>
      <c r="G166" s="502"/>
      <c r="H166" s="502"/>
      <c r="I166" s="575"/>
      <c r="J166" s="505">
        <f>G166*I166</f>
        <v>0</v>
      </c>
      <c r="K166" s="471"/>
    </row>
    <row r="167" spans="1:13">
      <c r="A167" s="463"/>
      <c r="B167" s="594"/>
      <c r="C167" s="536"/>
      <c r="D167" s="536"/>
      <c r="E167" s="595"/>
      <c r="F167" s="596"/>
      <c r="G167" s="545"/>
      <c r="H167" s="545"/>
      <c r="I167" s="537" t="s">
        <v>175</v>
      </c>
      <c r="J167" s="514">
        <f>SUM(J163:J166)</f>
        <v>0</v>
      </c>
      <c r="K167" s="471"/>
    </row>
    <row r="168" spans="1:13">
      <c r="A168" s="463"/>
      <c r="B168" s="597"/>
      <c r="C168" s="536"/>
      <c r="D168" s="536"/>
      <c r="E168" s="595"/>
      <c r="F168" s="596"/>
      <c r="G168" s="545"/>
      <c r="H168" s="545"/>
      <c r="I168" s="537"/>
      <c r="J168" s="595"/>
      <c r="K168" s="471"/>
    </row>
    <row r="169" spans="1:13" ht="20.399999999999999">
      <c r="A169" s="463"/>
      <c r="B169" s="598" t="s">
        <v>959</v>
      </c>
      <c r="C169" s="598"/>
      <c r="D169" s="598"/>
      <c r="E169" s="599"/>
      <c r="F169" s="600" t="s">
        <v>372</v>
      </c>
      <c r="G169" s="569" t="s">
        <v>960</v>
      </c>
      <c r="H169" s="519" t="s">
        <v>942</v>
      </c>
      <c r="I169" s="570" t="s">
        <v>361</v>
      </c>
      <c r="J169" s="522" t="s">
        <v>363</v>
      </c>
      <c r="K169" s="471"/>
    </row>
    <row r="170" spans="1:13">
      <c r="A170" s="463"/>
      <c r="B170" s="571"/>
      <c r="C170" s="572"/>
      <c r="D170" s="573"/>
      <c r="E170" s="574"/>
      <c r="F170" s="502"/>
      <c r="G170" s="502"/>
      <c r="H170" s="624"/>
      <c r="I170" s="575"/>
      <c r="J170" s="505"/>
      <c r="K170" s="471"/>
    </row>
    <row r="171" spans="1:13">
      <c r="A171" s="463"/>
      <c r="B171" s="590" t="s">
        <v>946</v>
      </c>
      <c r="C171" s="591"/>
      <c r="D171" s="592"/>
      <c r="E171" s="593" t="s">
        <v>946</v>
      </c>
      <c r="F171" s="509">
        <v>0</v>
      </c>
      <c r="G171" s="509">
        <v>0</v>
      </c>
      <c r="H171" s="509">
        <v>0</v>
      </c>
      <c r="I171" s="601">
        <v>0</v>
      </c>
      <c r="J171" s="505">
        <f>I171*H171*G171*F171</f>
        <v>0</v>
      </c>
      <c r="K171" s="471"/>
    </row>
    <row r="172" spans="1:13">
      <c r="A172" s="463"/>
      <c r="B172" s="594"/>
      <c r="C172" s="536"/>
      <c r="D172" s="536"/>
      <c r="E172" s="595"/>
      <c r="F172" s="596"/>
      <c r="G172" s="545"/>
      <c r="H172" s="545"/>
      <c r="I172" s="537" t="s">
        <v>175</v>
      </c>
      <c r="J172" s="514">
        <f>SUM(J170:J171)</f>
        <v>0</v>
      </c>
      <c r="K172" s="471"/>
    </row>
    <row r="173" spans="1:13">
      <c r="A173" s="463"/>
      <c r="B173" s="536"/>
      <c r="C173" s="536"/>
      <c r="D173" s="536"/>
      <c r="E173" s="536"/>
      <c r="F173" s="536"/>
      <c r="G173" s="536"/>
      <c r="H173" s="536"/>
      <c r="I173" s="537"/>
      <c r="J173" s="536"/>
      <c r="K173" s="471"/>
    </row>
    <row r="174" spans="1:13">
      <c r="A174" s="463"/>
      <c r="B174" s="1481" t="s">
        <v>961</v>
      </c>
      <c r="C174" s="1482"/>
      <c r="D174" s="1482"/>
      <c r="E174" s="1482"/>
      <c r="F174" s="1482"/>
      <c r="G174" s="1482"/>
      <c r="H174" s="1482"/>
      <c r="I174" s="1483"/>
      <c r="J174" s="586">
        <f>J172+J167+J160</f>
        <v>2.7898585758426666</v>
      </c>
      <c r="K174" s="471"/>
    </row>
    <row r="175" spans="1:13">
      <c r="A175" s="463"/>
      <c r="B175" s="536"/>
      <c r="C175" s="536"/>
      <c r="D175" s="536"/>
      <c r="E175" s="536"/>
      <c r="F175" s="536"/>
      <c r="G175" s="536"/>
      <c r="H175" s="536"/>
      <c r="I175" s="537"/>
      <c r="J175" s="536"/>
      <c r="K175" s="471"/>
    </row>
    <row r="176" spans="1:13">
      <c r="A176" s="463"/>
      <c r="B176" s="1481" t="s">
        <v>962</v>
      </c>
      <c r="C176" s="1482"/>
      <c r="D176" s="1482"/>
      <c r="E176" s="1482"/>
      <c r="F176" s="1482"/>
      <c r="G176" s="1482"/>
      <c r="H176" s="1482"/>
      <c r="I176" s="1483"/>
      <c r="J176" s="514">
        <f>J174*0</f>
        <v>0</v>
      </c>
      <c r="K176" s="471"/>
    </row>
    <row r="177" spans="1:11">
      <c r="A177" s="463"/>
      <c r="B177" s="536"/>
      <c r="C177" s="536"/>
      <c r="D177" s="536"/>
      <c r="E177" s="536"/>
      <c r="F177" s="536"/>
      <c r="G177" s="536"/>
      <c r="H177" s="536"/>
      <c r="I177" s="537"/>
      <c r="J177" s="536"/>
      <c r="K177" s="471"/>
    </row>
    <row r="178" spans="1:11">
      <c r="A178" s="463"/>
      <c r="B178" s="1481" t="s">
        <v>963</v>
      </c>
      <c r="C178" s="1482"/>
      <c r="D178" s="1482"/>
      <c r="E178" s="1482"/>
      <c r="F178" s="1482"/>
      <c r="G178" s="1482"/>
      <c r="H178" s="1482"/>
      <c r="I178" s="1483"/>
      <c r="J178" s="586">
        <f>J174+J176</f>
        <v>2.7898585758426666</v>
      </c>
      <c r="K178" s="471"/>
    </row>
    <row r="179" spans="1:11">
      <c r="A179" s="463"/>
      <c r="B179" s="524"/>
      <c r="C179" s="524"/>
      <c r="D179" s="524"/>
      <c r="E179" s="524"/>
      <c r="F179" s="524"/>
      <c r="G179" s="524"/>
      <c r="H179" s="524"/>
      <c r="I179" s="584"/>
      <c r="J179" s="524"/>
      <c r="K179" s="471"/>
    </row>
    <row r="180" spans="1:11">
      <c r="A180" s="463"/>
      <c r="B180" s="602"/>
      <c r="C180" s="572"/>
      <c r="D180" s="572"/>
      <c r="E180" s="572"/>
      <c r="F180" s="572"/>
      <c r="G180" s="572"/>
      <c r="H180" s="572"/>
      <c r="I180" s="572"/>
      <c r="J180" s="603"/>
      <c r="K180" s="471"/>
    </row>
    <row r="181" spans="1:11">
      <c r="A181" s="463"/>
      <c r="B181" s="604"/>
      <c r="C181" s="605"/>
      <c r="D181" s="606"/>
      <c r="E181" s="606"/>
      <c r="F181" s="607" t="s">
        <v>946</v>
      </c>
      <c r="G181" s="608" t="s">
        <v>946</v>
      </c>
      <c r="H181" s="605"/>
      <c r="I181" s="605"/>
      <c r="J181" s="609"/>
      <c r="K181" s="471"/>
    </row>
    <row r="182" spans="1:11">
      <c r="A182" s="463"/>
      <c r="B182" s="472"/>
      <c r="C182" s="472"/>
      <c r="D182" s="472"/>
      <c r="E182" s="472"/>
      <c r="F182" s="472"/>
      <c r="G182" s="472"/>
      <c r="H182" s="472"/>
      <c r="I182" s="472"/>
      <c r="J182" s="472"/>
      <c r="K182" s="471"/>
    </row>
    <row r="183" spans="1:11">
      <c r="A183" s="463"/>
      <c r="B183" s="610" t="str">
        <f>PLANEJAMENTO!F2</f>
        <v>OPERAÇÃO DE SUPRESSÃO E SUMP</v>
      </c>
      <c r="C183" s="611"/>
      <c r="D183" s="611"/>
      <c r="E183" s="611"/>
      <c r="F183" s="612"/>
      <c r="G183" s="613" t="s">
        <v>363</v>
      </c>
      <c r="H183" s="515"/>
      <c r="I183" s="515"/>
      <c r="J183" s="518"/>
      <c r="K183" s="471"/>
    </row>
    <row r="184" spans="1:11">
      <c r="A184" s="463"/>
      <c r="B184" s="614" t="str">
        <f>PLANEJAMENTO!F3</f>
        <v>MARA ROSA</v>
      </c>
      <c r="C184" s="615"/>
      <c r="D184" s="615"/>
      <c r="E184" s="615"/>
      <c r="F184" s="616"/>
      <c r="G184" s="1484" t="s">
        <v>964</v>
      </c>
      <c r="H184" s="1485"/>
      <c r="I184" s="1485"/>
      <c r="J184" s="1486"/>
      <c r="K184" s="471"/>
    </row>
    <row r="185" spans="1:11">
      <c r="A185" s="463"/>
      <c r="B185" s="617"/>
      <c r="C185" s="618"/>
      <c r="D185" s="618"/>
      <c r="E185" s="618"/>
      <c r="F185" s="619"/>
      <c r="G185" s="620"/>
      <c r="H185" s="1487"/>
      <c r="I185" s="1488"/>
      <c r="J185" s="1489"/>
      <c r="K185" s="471"/>
    </row>
    <row r="186" spans="1:11" ht="15" thickBot="1">
      <c r="A186" s="621"/>
      <c r="B186" s="622"/>
      <c r="C186" s="622"/>
      <c r="D186" s="622"/>
      <c r="E186" s="622"/>
      <c r="F186" s="622"/>
      <c r="G186" s="622"/>
      <c r="H186" s="622"/>
      <c r="I186" s="622"/>
      <c r="J186" s="622"/>
      <c r="K186" s="623"/>
    </row>
    <row r="187" spans="1:11">
      <c r="A187" s="460"/>
      <c r="B187" s="461"/>
      <c r="C187" s="461"/>
      <c r="D187" s="461"/>
      <c r="E187" s="461"/>
      <c r="F187" s="461"/>
      <c r="G187" s="461"/>
      <c r="H187" s="461"/>
      <c r="I187" s="461"/>
      <c r="J187" s="461"/>
      <c r="K187" s="462"/>
    </row>
    <row r="188" spans="1:11">
      <c r="A188" s="463"/>
      <c r="B188" s="464" t="s">
        <v>178</v>
      </c>
      <c r="C188" s="465"/>
      <c r="D188" s="466" t="s">
        <v>936</v>
      </c>
      <c r="E188" s="467"/>
      <c r="F188" s="468"/>
      <c r="G188" s="468"/>
      <c r="H188" s="469"/>
      <c r="I188" s="469"/>
      <c r="J188" s="470"/>
      <c r="K188" s="471"/>
    </row>
    <row r="189" spans="1:11">
      <c r="A189" s="463"/>
      <c r="B189" s="472"/>
      <c r="C189" s="472"/>
      <c r="D189" s="472"/>
      <c r="E189" s="472"/>
      <c r="F189" s="472"/>
      <c r="G189" s="472"/>
      <c r="H189" s="472"/>
      <c r="I189" s="472"/>
      <c r="J189" s="472"/>
      <c r="K189" s="471"/>
    </row>
    <row r="190" spans="1:11">
      <c r="A190" s="463"/>
      <c r="B190" s="473" t="s">
        <v>688</v>
      </c>
      <c r="C190" s="474" t="s">
        <v>937</v>
      </c>
      <c r="D190" s="1497" t="s">
        <v>250</v>
      </c>
      <c r="E190" s="1498"/>
      <c r="F190" s="1498"/>
      <c r="G190" s="1498"/>
      <c r="H190" s="1498"/>
      <c r="I190" s="1499"/>
      <c r="J190" s="475" t="s">
        <v>267</v>
      </c>
      <c r="K190" s="471"/>
    </row>
    <row r="191" spans="1:11" ht="15" customHeight="1">
      <c r="A191" s="463"/>
      <c r="B191" s="476" t="s">
        <v>3</v>
      </c>
      <c r="C191" s="477">
        <f ca="1">C129</f>
        <v>46140</v>
      </c>
      <c r="D191" s="681" t="s">
        <v>1474</v>
      </c>
      <c r="E191" s="479"/>
      <c r="F191" s="479"/>
      <c r="G191" s="479"/>
      <c r="H191" s="479"/>
      <c r="I191" s="480"/>
      <c r="J191" s="481" t="str">
        <f>F208</f>
        <v>m3</v>
      </c>
      <c r="K191" s="471"/>
    </row>
    <row r="192" spans="1:11">
      <c r="A192" s="463"/>
      <c r="B192" s="482"/>
      <c r="C192" s="482"/>
      <c r="D192" s="482"/>
      <c r="E192" s="482"/>
      <c r="F192" s="482"/>
      <c r="G192" s="482"/>
      <c r="H192" s="482"/>
      <c r="I192" s="483"/>
      <c r="J192" s="484"/>
      <c r="K192" s="471"/>
    </row>
    <row r="193" spans="1:14">
      <c r="A193" s="463"/>
      <c r="B193" s="1484" t="s">
        <v>938</v>
      </c>
      <c r="C193" s="1486"/>
      <c r="D193" s="1502" t="s">
        <v>688</v>
      </c>
      <c r="E193" s="1504" t="s">
        <v>939</v>
      </c>
      <c r="F193" s="485" t="s">
        <v>940</v>
      </c>
      <c r="G193" s="486"/>
      <c r="H193" s="485" t="s">
        <v>941</v>
      </c>
      <c r="I193" s="486"/>
      <c r="J193" s="487" t="s">
        <v>942</v>
      </c>
      <c r="K193" s="471"/>
    </row>
    <row r="194" spans="1:14">
      <c r="A194" s="463"/>
      <c r="B194" s="1500"/>
      <c r="C194" s="1501"/>
      <c r="D194" s="1503"/>
      <c r="E194" s="1505"/>
      <c r="F194" s="488" t="s">
        <v>943</v>
      </c>
      <c r="G194" s="488" t="s">
        <v>944</v>
      </c>
      <c r="H194" s="488" t="s">
        <v>943</v>
      </c>
      <c r="I194" s="489" t="s">
        <v>944</v>
      </c>
      <c r="J194" s="490" t="s">
        <v>945</v>
      </c>
      <c r="K194" s="471"/>
    </row>
    <row r="195" spans="1:14">
      <c r="A195" s="463"/>
      <c r="B195" s="499" t="s">
        <v>619</v>
      </c>
      <c r="C195" s="500"/>
      <c r="D195" s="501"/>
      <c r="E195" s="502">
        <v>1</v>
      </c>
      <c r="F195" s="502">
        <v>1</v>
      </c>
      <c r="G195" s="502">
        <f>1-F195</f>
        <v>0</v>
      </c>
      <c r="H195" s="503">
        <f>VLOOKUP(B195,EQUIPAMENTOS!$A:$J,10,FALSE)</f>
        <v>70</v>
      </c>
      <c r="I195" s="504">
        <f>H195</f>
        <v>70</v>
      </c>
      <c r="J195" s="505">
        <f>H195*F195*E195+I195*G195*E195</f>
        <v>70</v>
      </c>
      <c r="K195" s="471"/>
    </row>
    <row r="196" spans="1:14">
      <c r="A196" s="463"/>
      <c r="B196" s="499"/>
      <c r="C196" s="500"/>
      <c r="D196" s="501"/>
      <c r="E196" s="502"/>
      <c r="F196" s="502"/>
      <c r="G196" s="502"/>
      <c r="H196" s="503"/>
      <c r="I196" s="504"/>
      <c r="J196" s="505">
        <f>H196*F196*E196+I196*G196*E196</f>
        <v>0</v>
      </c>
      <c r="K196" s="471"/>
    </row>
    <row r="197" spans="1:14">
      <c r="A197" s="463"/>
      <c r="B197" s="499"/>
      <c r="C197" s="500"/>
      <c r="D197" s="501"/>
      <c r="E197" s="502"/>
      <c r="F197" s="502"/>
      <c r="G197" s="502"/>
      <c r="H197" s="503"/>
      <c r="I197" s="504"/>
      <c r="J197" s="505"/>
      <c r="K197" s="471"/>
    </row>
    <row r="198" spans="1:14">
      <c r="A198" s="463"/>
      <c r="B198" s="499"/>
      <c r="C198" s="500"/>
      <c r="D198" s="501"/>
      <c r="E198" s="502"/>
      <c r="F198" s="502"/>
      <c r="G198" s="502"/>
      <c r="H198" s="503"/>
      <c r="I198" s="504"/>
      <c r="J198" s="505"/>
      <c r="K198" s="471"/>
    </row>
    <row r="199" spans="1:14">
      <c r="A199" s="463"/>
      <c r="B199" s="506"/>
      <c r="C199" s="507"/>
      <c r="D199" s="508"/>
      <c r="E199" s="509"/>
      <c r="F199" s="509"/>
      <c r="G199" s="509"/>
      <c r="H199" s="510"/>
      <c r="I199" s="511"/>
      <c r="J199" s="505">
        <f>H199*F199*E199+I199*G199*E199</f>
        <v>0</v>
      </c>
      <c r="K199" s="471"/>
    </row>
    <row r="200" spans="1:14">
      <c r="A200" s="463"/>
      <c r="B200" s="512" t="s">
        <v>946</v>
      </c>
      <c r="C200" s="482"/>
      <c r="D200" s="482"/>
      <c r="E200" s="482"/>
      <c r="F200" s="482"/>
      <c r="G200" s="482"/>
      <c r="H200" s="482"/>
      <c r="I200" s="513" t="s">
        <v>175</v>
      </c>
      <c r="J200" s="514">
        <f>SUM(J195:J199)</f>
        <v>70</v>
      </c>
      <c r="K200" s="471"/>
      <c r="L200" s="6">
        <f>J200/E208</f>
        <v>5.1803062432576308</v>
      </c>
    </row>
    <row r="201" spans="1:14">
      <c r="A201" s="463"/>
      <c r="B201" s="515"/>
      <c r="C201" s="515"/>
      <c r="D201" s="515"/>
      <c r="E201" s="515"/>
      <c r="F201" s="515"/>
      <c r="G201" s="515"/>
      <c r="H201" s="515"/>
      <c r="I201" s="516"/>
      <c r="J201" s="517"/>
      <c r="K201" s="471"/>
    </row>
    <row r="202" spans="1:14" ht="20.399999999999999">
      <c r="A202" s="463"/>
      <c r="B202" s="1490" t="s">
        <v>947</v>
      </c>
      <c r="C202" s="1491"/>
      <c r="D202" s="1491"/>
      <c r="E202" s="1492"/>
      <c r="F202" s="725" t="s">
        <v>688</v>
      </c>
      <c r="G202" s="853"/>
      <c r="H202" s="520" t="s">
        <v>427</v>
      </c>
      <c r="I202" s="521" t="s">
        <v>948</v>
      </c>
      <c r="J202" s="522" t="s">
        <v>949</v>
      </c>
      <c r="K202" s="471"/>
    </row>
    <row r="203" spans="1:14">
      <c r="A203" s="463"/>
      <c r="B203" s="530" t="s">
        <v>1171</v>
      </c>
      <c r="C203" s="531"/>
      <c r="D203" s="472"/>
      <c r="E203" s="500"/>
      <c r="F203" s="501"/>
      <c r="G203" s="532"/>
      <c r="H203" s="533">
        <f>E195</f>
        <v>1</v>
      </c>
      <c r="I203" s="534">
        <f>(VLOOKUP(B203,'MÃO DE OBRA'!$A:$E,5,FALSE)/220)</f>
        <v>23.69</v>
      </c>
      <c r="J203" s="505">
        <f>H203*I203</f>
        <v>23.69</v>
      </c>
      <c r="K203" s="471"/>
    </row>
    <row r="204" spans="1:14">
      <c r="A204" s="463"/>
      <c r="B204" s="530" t="s">
        <v>472</v>
      </c>
      <c r="C204" s="531"/>
      <c r="D204" s="472"/>
      <c r="E204" s="500"/>
      <c r="F204" s="501"/>
      <c r="G204" s="532"/>
      <c r="H204" s="533">
        <v>2</v>
      </c>
      <c r="I204" s="534">
        <f>(VLOOKUP(B204,'MÃO DE OBRA'!$A:$E,5,FALSE)/220)</f>
        <v>18.377072727272729</v>
      </c>
      <c r="J204" s="505">
        <f>H204*I204</f>
        <v>36.754145454545458</v>
      </c>
      <c r="K204" s="471"/>
      <c r="N204" s="6">
        <f>J204/E208</f>
        <v>2.7199675594825843</v>
      </c>
    </row>
    <row r="205" spans="1:14" hidden="1">
      <c r="A205" s="463"/>
      <c r="B205" s="530" t="s">
        <v>950</v>
      </c>
      <c r="C205" s="531"/>
      <c r="D205" s="472"/>
      <c r="E205" s="500"/>
      <c r="F205" s="501"/>
      <c r="G205" s="532"/>
      <c r="H205" s="533">
        <f>E196</f>
        <v>0</v>
      </c>
      <c r="I205" s="534">
        <f>(VLOOKUP(B205,'MÃO DE OBRA'!$A:$E,5,FALSE)/220)</f>
        <v>26.714454545454547</v>
      </c>
      <c r="J205" s="505">
        <f>H205*I205</f>
        <v>0</v>
      </c>
      <c r="K205" s="471"/>
    </row>
    <row r="206" spans="1:14">
      <c r="A206" s="463"/>
      <c r="B206" s="512" t="s">
        <v>946</v>
      </c>
      <c r="C206" s="515"/>
      <c r="D206" s="515"/>
      <c r="E206" s="515"/>
      <c r="F206" s="515"/>
      <c r="G206" s="515"/>
      <c r="H206" s="515"/>
      <c r="I206" s="535" t="s">
        <v>175</v>
      </c>
      <c r="J206" s="514">
        <f>SUM(J203:J205)</f>
        <v>60.444145454545463</v>
      </c>
      <c r="K206" s="471"/>
    </row>
    <row r="207" spans="1:14">
      <c r="A207" s="463"/>
      <c r="B207" s="536"/>
      <c r="C207" s="536"/>
      <c r="D207" s="536"/>
      <c r="E207" s="536"/>
      <c r="F207" s="536"/>
      <c r="G207" s="536"/>
      <c r="H207" s="536"/>
      <c r="I207" s="537"/>
      <c r="J207" s="536"/>
      <c r="K207" s="471"/>
    </row>
    <row r="208" spans="1:14">
      <c r="A208" s="463"/>
      <c r="B208" s="538" t="s">
        <v>952</v>
      </c>
      <c r="C208" s="539"/>
      <c r="D208" s="536"/>
      <c r="E208" s="540">
        <v>13.512714637499997</v>
      </c>
      <c r="F208" s="541" t="s">
        <v>931</v>
      </c>
      <c r="G208" s="519"/>
      <c r="H208" s="519"/>
      <c r="I208" s="542" t="s">
        <v>953</v>
      </c>
      <c r="J208" s="514">
        <f>J200+J206</f>
        <v>130.44414545454546</v>
      </c>
      <c r="K208" s="471"/>
    </row>
    <row r="209" spans="1:13">
      <c r="A209" s="463"/>
      <c r="B209" s="543"/>
      <c r="C209" s="536"/>
      <c r="D209" s="536"/>
      <c r="E209" s="544"/>
      <c r="F209" s="545"/>
      <c r="G209" s="545"/>
      <c r="H209" s="545"/>
      <c r="I209" s="537"/>
      <c r="J209" s="536"/>
      <c r="K209" s="471"/>
    </row>
    <row r="210" spans="1:13" ht="20.399999999999999">
      <c r="A210" s="463"/>
      <c r="B210" s="1493" t="s">
        <v>362</v>
      </c>
      <c r="C210" s="1494"/>
      <c r="D210" s="1494"/>
      <c r="E210" s="1495"/>
      <c r="F210" s="546" t="s">
        <v>688</v>
      </c>
      <c r="G210" s="547" t="s">
        <v>371</v>
      </c>
      <c r="H210" s="520" t="s">
        <v>942</v>
      </c>
      <c r="I210" s="548" t="s">
        <v>361</v>
      </c>
      <c r="J210" s="549" t="s">
        <v>363</v>
      </c>
      <c r="K210" s="471"/>
    </row>
    <row r="211" spans="1:13">
      <c r="A211" s="463"/>
      <c r="B211" s="557" t="str">
        <f>B195</f>
        <v xml:space="preserve">Caminhão carroceria </v>
      </c>
      <c r="C211" s="531"/>
      <c r="D211" s="531"/>
      <c r="E211" s="500"/>
      <c r="F211" s="553" t="str">
        <f>VLOOKUP(B211,EQUIPAMENTOS!$A:$N,12,FALSE)</f>
        <v>Diesel S10</v>
      </c>
      <c r="G211" s="554" t="s">
        <v>415</v>
      </c>
      <c r="H211" s="560">
        <f>VLOOKUP(B211,EQUIPAMENTOS!$A:$N,13,FALSE)</f>
        <v>0</v>
      </c>
      <c r="I211" s="556">
        <f>VLOOKUP(B211,EQUIPAMENTOS!$A:$N,14,FALSE)</f>
        <v>5</v>
      </c>
      <c r="J211" s="505">
        <f>H211*I211*E195*F195</f>
        <v>0</v>
      </c>
      <c r="K211" s="471"/>
    </row>
    <row r="212" spans="1:13">
      <c r="A212" s="463"/>
      <c r="B212" s="557"/>
      <c r="C212" s="531"/>
      <c r="D212" s="531"/>
      <c r="E212" s="500"/>
      <c r="F212" s="553"/>
      <c r="G212" s="554"/>
      <c r="H212" s="560"/>
      <c r="I212" s="560"/>
      <c r="J212" s="505">
        <f>H212*I212*E196*F196</f>
        <v>0</v>
      </c>
      <c r="K212" s="471"/>
    </row>
    <row r="213" spans="1:13">
      <c r="A213" s="463"/>
      <c r="B213" s="557"/>
      <c r="C213" s="531"/>
      <c r="D213" s="531"/>
      <c r="E213" s="500"/>
      <c r="F213" s="553"/>
      <c r="G213" s="554"/>
      <c r="H213" s="560"/>
      <c r="I213" s="560"/>
      <c r="J213" s="505"/>
      <c r="K213" s="471"/>
    </row>
    <row r="214" spans="1:13">
      <c r="A214" s="463"/>
      <c r="B214" s="557"/>
      <c r="C214" s="531"/>
      <c r="D214" s="531"/>
      <c r="E214" s="500"/>
      <c r="F214" s="553"/>
      <c r="G214" s="554"/>
      <c r="H214" s="560"/>
      <c r="I214" s="560"/>
      <c r="J214" s="505"/>
      <c r="K214" s="471"/>
    </row>
    <row r="215" spans="1:13">
      <c r="A215" s="463"/>
      <c r="B215" s="557"/>
      <c r="C215" s="539"/>
      <c r="D215" s="539"/>
      <c r="E215" s="507"/>
      <c r="F215" s="553"/>
      <c r="G215" s="736"/>
      <c r="H215" s="560"/>
      <c r="I215" s="560"/>
      <c r="J215" s="505"/>
      <c r="K215" s="471"/>
    </row>
    <row r="216" spans="1:13">
      <c r="A216" s="463"/>
      <c r="B216" s="563" t="s">
        <v>946</v>
      </c>
      <c r="C216" s="536"/>
      <c r="D216" s="536"/>
      <c r="E216" s="536"/>
      <c r="F216" s="536"/>
      <c r="G216" s="536"/>
      <c r="H216" s="564"/>
      <c r="I216" s="565" t="s">
        <v>175</v>
      </c>
      <c r="J216" s="514">
        <f>SUM(J211:J215)</f>
        <v>0</v>
      </c>
      <c r="K216" s="471"/>
      <c r="L216" s="6">
        <f>J216/E208</f>
        <v>0</v>
      </c>
    </row>
    <row r="217" spans="1:13">
      <c r="A217" s="463"/>
      <c r="B217" s="566"/>
      <c r="C217" s="539"/>
      <c r="D217" s="539"/>
      <c r="E217" s="567"/>
      <c r="F217" s="568"/>
      <c r="G217" s="519"/>
      <c r="H217" s="519"/>
      <c r="I217" s="542"/>
      <c r="J217" s="567"/>
      <c r="K217" s="471"/>
    </row>
    <row r="218" spans="1:13" ht="20.399999999999999">
      <c r="A218" s="463"/>
      <c r="B218" s="1493" t="s">
        <v>955</v>
      </c>
      <c r="C218" s="1494"/>
      <c r="D218" s="1494"/>
      <c r="E218" s="1494"/>
      <c r="F218" s="1495"/>
      <c r="G218" s="569" t="s">
        <v>372</v>
      </c>
      <c r="H218" s="519" t="s">
        <v>956</v>
      </c>
      <c r="I218" s="570" t="s">
        <v>942</v>
      </c>
      <c r="J218" s="522" t="s">
        <v>363</v>
      </c>
      <c r="K218" s="471"/>
    </row>
    <row r="219" spans="1:13">
      <c r="A219" s="463"/>
      <c r="B219" s="571"/>
      <c r="C219" s="572"/>
      <c r="D219" s="573"/>
      <c r="E219" s="573"/>
      <c r="F219" s="574"/>
      <c r="G219" s="502"/>
      <c r="H219" s="502"/>
      <c r="I219" s="575"/>
      <c r="J219" s="505"/>
      <c r="K219" s="471"/>
    </row>
    <row r="220" spans="1:13">
      <c r="A220" s="463"/>
      <c r="B220" s="576"/>
      <c r="C220" s="577"/>
      <c r="D220" s="578"/>
      <c r="E220" s="578"/>
      <c r="F220" s="579"/>
      <c r="G220" s="502"/>
      <c r="H220" s="502"/>
      <c r="I220" s="575"/>
      <c r="J220" s="505"/>
      <c r="K220" s="471"/>
    </row>
    <row r="221" spans="1:13">
      <c r="A221" s="463"/>
      <c r="B221" s="1496" t="s">
        <v>175</v>
      </c>
      <c r="C221" s="1496"/>
      <c r="D221" s="1496"/>
      <c r="E221" s="1496"/>
      <c r="F221" s="1496"/>
      <c r="G221" s="1496"/>
      <c r="H221" s="1496"/>
      <c r="I221" s="1496"/>
      <c r="J221" s="514">
        <f>SUM(J219:J220)</f>
        <v>0</v>
      </c>
      <c r="K221" s="471"/>
    </row>
    <row r="222" spans="1:13">
      <c r="A222" s="463"/>
      <c r="B222" s="580"/>
      <c r="C222" s="524"/>
      <c r="D222" s="524"/>
      <c r="E222" s="581"/>
      <c r="F222" s="582"/>
      <c r="G222" s="583"/>
      <c r="H222" s="583"/>
      <c r="I222" s="584"/>
      <c r="J222" s="585"/>
      <c r="K222" s="471"/>
    </row>
    <row r="223" spans="1:13">
      <c r="A223" s="463"/>
      <c r="B223" s="586" t="s">
        <v>957</v>
      </c>
      <c r="C223" s="586"/>
      <c r="D223" s="563"/>
      <c r="E223" s="536"/>
      <c r="F223" s="536"/>
      <c r="G223" s="536"/>
      <c r="H223" s="587"/>
      <c r="I223" s="588"/>
      <c r="J223" s="514">
        <f>(J208+J216+J221)/E208</f>
        <v>9.6534374442084037</v>
      </c>
      <c r="K223" s="471"/>
      <c r="M223" s="6"/>
    </row>
    <row r="224" spans="1:13">
      <c r="A224" s="463"/>
      <c r="B224" s="566"/>
      <c r="C224" s="539"/>
      <c r="D224" s="539"/>
      <c r="E224" s="567"/>
      <c r="F224" s="568"/>
      <c r="G224" s="519"/>
      <c r="H224" s="519"/>
      <c r="I224" s="542"/>
      <c r="J224" s="589"/>
      <c r="K224" s="471"/>
    </row>
    <row r="225" spans="1:13" ht="20.399999999999999">
      <c r="A225" s="463"/>
      <c r="B225" s="1493" t="s">
        <v>958</v>
      </c>
      <c r="C225" s="1494"/>
      <c r="D225" s="1494"/>
      <c r="E225" s="1494"/>
      <c r="F225" s="1495"/>
      <c r="G225" s="569" t="s">
        <v>372</v>
      </c>
      <c r="H225" s="519" t="s">
        <v>956</v>
      </c>
      <c r="I225" s="570" t="s">
        <v>942</v>
      </c>
      <c r="J225" s="522" t="s">
        <v>363</v>
      </c>
      <c r="K225" s="471"/>
      <c r="M225" s="6"/>
    </row>
    <row r="226" spans="1:13">
      <c r="A226" s="463"/>
      <c r="B226" s="571"/>
      <c r="C226" s="572"/>
      <c r="D226" s="573"/>
      <c r="E226" s="573"/>
      <c r="F226" s="574"/>
      <c r="G226" s="502"/>
      <c r="H226" s="502"/>
      <c r="I226" s="575"/>
      <c r="J226" s="505">
        <f>G226*I226</f>
        <v>0</v>
      </c>
      <c r="K226" s="471"/>
      <c r="M226" s="6"/>
    </row>
    <row r="227" spans="1:13">
      <c r="A227" s="463"/>
      <c r="B227" s="590"/>
      <c r="C227" s="591"/>
      <c r="D227" s="592"/>
      <c r="E227" s="592"/>
      <c r="F227" s="593"/>
      <c r="G227" s="502"/>
      <c r="H227" s="502"/>
      <c r="I227" s="575"/>
      <c r="J227" s="505">
        <f>G227*I227</f>
        <v>0</v>
      </c>
      <c r="K227" s="471"/>
    </row>
    <row r="228" spans="1:13">
      <c r="A228" s="463"/>
      <c r="B228" s="594"/>
      <c r="C228" s="536"/>
      <c r="D228" s="536"/>
      <c r="E228" s="595"/>
      <c r="F228" s="596"/>
      <c r="G228" s="545"/>
      <c r="H228" s="545"/>
      <c r="I228" s="537" t="s">
        <v>175</v>
      </c>
      <c r="J228" s="514">
        <f>SUM(J226:J227)</f>
        <v>0</v>
      </c>
      <c r="K228" s="471"/>
    </row>
    <row r="229" spans="1:13">
      <c r="A229" s="463"/>
      <c r="B229" s="597"/>
      <c r="C229" s="536"/>
      <c r="D229" s="536"/>
      <c r="E229" s="595"/>
      <c r="F229" s="596"/>
      <c r="G229" s="545"/>
      <c r="H229" s="545"/>
      <c r="I229" s="537"/>
      <c r="J229" s="595"/>
      <c r="K229" s="471"/>
    </row>
    <row r="230" spans="1:13" ht="20.399999999999999">
      <c r="A230" s="463"/>
      <c r="B230" s="598" t="s">
        <v>959</v>
      </c>
      <c r="C230" s="598"/>
      <c r="D230" s="598"/>
      <c r="E230" s="599"/>
      <c r="F230" s="600" t="s">
        <v>372</v>
      </c>
      <c r="G230" s="569" t="s">
        <v>960</v>
      </c>
      <c r="H230" s="519" t="s">
        <v>942</v>
      </c>
      <c r="I230" s="570" t="s">
        <v>361</v>
      </c>
      <c r="J230" s="522" t="s">
        <v>363</v>
      </c>
      <c r="K230" s="471"/>
    </row>
    <row r="231" spans="1:13">
      <c r="A231" s="463"/>
      <c r="B231" s="576" t="s">
        <v>946</v>
      </c>
      <c r="C231" s="577"/>
      <c r="D231" s="578"/>
      <c r="E231" s="579" t="s">
        <v>946</v>
      </c>
      <c r="F231" s="502">
        <v>0</v>
      </c>
      <c r="G231" s="502">
        <v>0</v>
      </c>
      <c r="H231" s="502">
        <v>0</v>
      </c>
      <c r="I231" s="575">
        <v>0</v>
      </c>
      <c r="J231" s="505">
        <f>I231*H231*G231*F231</f>
        <v>0</v>
      </c>
      <c r="K231" s="471"/>
    </row>
    <row r="232" spans="1:13">
      <c r="A232" s="463"/>
      <c r="B232" s="590" t="s">
        <v>946</v>
      </c>
      <c r="C232" s="591"/>
      <c r="D232" s="592"/>
      <c r="E232" s="593" t="s">
        <v>946</v>
      </c>
      <c r="F232" s="509">
        <v>0</v>
      </c>
      <c r="G232" s="509">
        <v>0</v>
      </c>
      <c r="H232" s="509">
        <v>0</v>
      </c>
      <c r="I232" s="601">
        <v>0</v>
      </c>
      <c r="J232" s="505">
        <f>I232*H232*G232*F232</f>
        <v>0</v>
      </c>
      <c r="K232" s="471"/>
    </row>
    <row r="233" spans="1:13">
      <c r="A233" s="463"/>
      <c r="B233" s="594"/>
      <c r="C233" s="536"/>
      <c r="D233" s="536"/>
      <c r="E233" s="595"/>
      <c r="F233" s="596"/>
      <c r="G233" s="545"/>
      <c r="H233" s="545"/>
      <c r="I233" s="537" t="s">
        <v>175</v>
      </c>
      <c r="J233" s="514">
        <f>SUM(J231:J232)</f>
        <v>0</v>
      </c>
      <c r="K233" s="471"/>
    </row>
    <row r="234" spans="1:13">
      <c r="A234" s="463"/>
      <c r="B234" s="536"/>
      <c r="C234" s="536"/>
      <c r="D234" s="536"/>
      <c r="E234" s="536"/>
      <c r="F234" s="536"/>
      <c r="G234" s="536"/>
      <c r="H234" s="536"/>
      <c r="I234" s="537"/>
      <c r="J234" s="536"/>
      <c r="K234" s="471"/>
    </row>
    <row r="235" spans="1:13">
      <c r="A235" s="463"/>
      <c r="B235" s="1481" t="s">
        <v>961</v>
      </c>
      <c r="C235" s="1482"/>
      <c r="D235" s="1482"/>
      <c r="E235" s="1482"/>
      <c r="F235" s="1482"/>
      <c r="G235" s="1482"/>
      <c r="H235" s="1482"/>
      <c r="I235" s="1483"/>
      <c r="J235" s="586">
        <f>J233+J228+J223</f>
        <v>9.6534374442084037</v>
      </c>
      <c r="K235" s="471"/>
      <c r="L235">
        <v>9.6535189843636395</v>
      </c>
    </row>
    <row r="236" spans="1:13">
      <c r="A236" s="463"/>
      <c r="B236" s="536"/>
      <c r="C236" s="536"/>
      <c r="D236" s="536"/>
      <c r="E236" s="536"/>
      <c r="F236" s="536"/>
      <c r="G236" s="536"/>
      <c r="H236" s="536"/>
      <c r="I236" s="537"/>
      <c r="J236" s="536"/>
      <c r="K236" s="471"/>
    </row>
    <row r="237" spans="1:13">
      <c r="A237" s="463"/>
      <c r="B237" s="1481" t="s">
        <v>962</v>
      </c>
      <c r="C237" s="1482"/>
      <c r="D237" s="1482"/>
      <c r="E237" s="1482"/>
      <c r="F237" s="1482"/>
      <c r="G237" s="1482"/>
      <c r="H237" s="1482"/>
      <c r="I237" s="1483"/>
      <c r="J237" s="514">
        <f>J235*0</f>
        <v>0</v>
      </c>
      <c r="K237" s="471"/>
    </row>
    <row r="238" spans="1:13">
      <c r="A238" s="463"/>
      <c r="B238" s="536"/>
      <c r="C238" s="536"/>
      <c r="D238" s="536"/>
      <c r="E238" s="536"/>
      <c r="F238" s="536"/>
      <c r="G238" s="536"/>
      <c r="H238" s="536"/>
      <c r="I238" s="537"/>
      <c r="J238" s="536"/>
      <c r="K238" s="471"/>
    </row>
    <row r="239" spans="1:13">
      <c r="A239" s="463"/>
      <c r="B239" s="1481" t="s">
        <v>963</v>
      </c>
      <c r="C239" s="1482"/>
      <c r="D239" s="1482"/>
      <c r="E239" s="1482"/>
      <c r="F239" s="1482"/>
      <c r="G239" s="1482"/>
      <c r="H239" s="1482"/>
      <c r="I239" s="1483"/>
      <c r="J239" s="586">
        <f>J235+J237</f>
        <v>9.6534374442084037</v>
      </c>
      <c r="K239" s="471"/>
    </row>
    <row r="240" spans="1:13">
      <c r="A240" s="463"/>
      <c r="B240" s="524"/>
      <c r="C240" s="524"/>
      <c r="D240" s="524"/>
      <c r="E240" s="524"/>
      <c r="F240" s="524"/>
      <c r="G240" s="524"/>
      <c r="H240" s="524"/>
      <c r="I240" s="584"/>
      <c r="J240" s="524"/>
      <c r="K240" s="471"/>
    </row>
    <row r="241" spans="1:11">
      <c r="A241" s="463"/>
      <c r="B241" s="602"/>
      <c r="C241" s="572"/>
      <c r="D241" s="572"/>
      <c r="E241" s="572"/>
      <c r="F241" s="572"/>
      <c r="G241" s="572"/>
      <c r="H241" s="572"/>
      <c r="I241" s="572"/>
      <c r="J241" s="603"/>
      <c r="K241" s="471"/>
    </row>
    <row r="242" spans="1:11">
      <c r="A242" s="463"/>
      <c r="B242" s="604"/>
      <c r="C242" s="605"/>
      <c r="D242" s="606"/>
      <c r="E242" s="606"/>
      <c r="F242" s="607" t="s">
        <v>946</v>
      </c>
      <c r="G242" s="608" t="s">
        <v>946</v>
      </c>
      <c r="H242" s="605"/>
      <c r="I242" s="605"/>
      <c r="J242" s="609"/>
      <c r="K242" s="471"/>
    </row>
    <row r="243" spans="1:11">
      <c r="A243" s="463"/>
      <c r="B243" s="472"/>
      <c r="C243" s="472"/>
      <c r="D243" s="472"/>
      <c r="E243" s="472"/>
      <c r="F243" s="472"/>
      <c r="G243" s="472"/>
      <c r="H243" s="472"/>
      <c r="I243" s="472"/>
      <c r="J243" s="472"/>
      <c r="K243" s="471"/>
    </row>
    <row r="244" spans="1:11">
      <c r="A244" s="463"/>
      <c r="B244" s="610" t="str">
        <f>B183</f>
        <v>OPERAÇÃO DE SUPRESSÃO E SUMP</v>
      </c>
      <c r="C244" s="611"/>
      <c r="D244" s="611"/>
      <c r="E244" s="611"/>
      <c r="F244" s="612"/>
      <c r="G244" s="613" t="s">
        <v>363</v>
      </c>
      <c r="H244" s="515"/>
      <c r="I244" s="515"/>
      <c r="J244" s="518"/>
      <c r="K244" s="471"/>
    </row>
    <row r="245" spans="1:11">
      <c r="A245" s="463"/>
      <c r="B245" s="614" t="str">
        <f>B184</f>
        <v>MARA ROSA</v>
      </c>
      <c r="C245" s="615"/>
      <c r="D245" s="615"/>
      <c r="E245" s="615"/>
      <c r="F245" s="616"/>
      <c r="G245" s="1484" t="s">
        <v>964</v>
      </c>
      <c r="H245" s="1485"/>
      <c r="I245" s="1485"/>
      <c r="J245" s="1486"/>
      <c r="K245" s="471"/>
    </row>
    <row r="246" spans="1:11">
      <c r="A246" s="463"/>
      <c r="B246" s="617"/>
      <c r="C246" s="618"/>
      <c r="D246" s="618"/>
      <c r="E246" s="618"/>
      <c r="F246" s="619"/>
      <c r="G246" s="620"/>
      <c r="H246" s="1487"/>
      <c r="I246" s="1488"/>
      <c r="J246" s="1489"/>
      <c r="K246" s="471"/>
    </row>
    <row r="247" spans="1:11" ht="15" thickBot="1">
      <c r="A247" s="463"/>
      <c r="B247" s="1012"/>
      <c r="C247" s="472"/>
      <c r="D247" s="472"/>
      <c r="E247" s="472"/>
      <c r="F247" s="472"/>
      <c r="G247" s="472"/>
      <c r="H247" s="1013"/>
      <c r="I247" s="1013"/>
      <c r="J247" s="1013"/>
      <c r="K247" s="471"/>
    </row>
    <row r="248" spans="1:11">
      <c r="A248" s="460"/>
      <c r="B248" s="461"/>
      <c r="C248" s="461"/>
      <c r="D248" s="461"/>
      <c r="E248" s="461"/>
      <c r="F248" s="461"/>
      <c r="G248" s="461"/>
      <c r="H248" s="461"/>
      <c r="I248" s="461"/>
      <c r="J248" s="461"/>
      <c r="K248" s="462"/>
    </row>
    <row r="249" spans="1:11">
      <c r="A249" s="463"/>
      <c r="B249" s="464" t="s">
        <v>178</v>
      </c>
      <c r="C249" s="465"/>
      <c r="D249" s="466" t="s">
        <v>936</v>
      </c>
      <c r="E249" s="467"/>
      <c r="F249" s="468"/>
      <c r="G249" s="468"/>
      <c r="H249" s="469"/>
      <c r="I249" s="469"/>
      <c r="J249" s="470"/>
      <c r="K249" s="471"/>
    </row>
    <row r="250" spans="1:11">
      <c r="A250" s="463"/>
      <c r="B250" s="472"/>
      <c r="C250" s="472"/>
      <c r="D250" s="472"/>
      <c r="E250" s="472"/>
      <c r="F250" s="472"/>
      <c r="G250" s="472"/>
      <c r="H250" s="472"/>
      <c r="I250" s="472"/>
      <c r="J250" s="472"/>
      <c r="K250" s="471"/>
    </row>
    <row r="251" spans="1:11">
      <c r="A251" s="463"/>
      <c r="B251" s="473" t="s">
        <v>688</v>
      </c>
      <c r="C251" s="474" t="s">
        <v>937</v>
      </c>
      <c r="D251" s="1497" t="s">
        <v>250</v>
      </c>
      <c r="E251" s="1498"/>
      <c r="F251" s="1498"/>
      <c r="G251" s="1498"/>
      <c r="H251" s="1498"/>
      <c r="I251" s="1499"/>
      <c r="J251" s="475" t="s">
        <v>267</v>
      </c>
      <c r="K251" s="471"/>
    </row>
    <row r="252" spans="1:11" ht="14.4" customHeight="1">
      <c r="A252" s="463"/>
      <c r="B252" s="476" t="s">
        <v>3</v>
      </c>
      <c r="C252" s="477">
        <f ca="1">C191</f>
        <v>46140</v>
      </c>
      <c r="D252" s="681" t="s">
        <v>1475</v>
      </c>
      <c r="E252" s="479"/>
      <c r="F252" s="479"/>
      <c r="G252" s="479"/>
      <c r="H252" s="479"/>
      <c r="I252" s="480"/>
      <c r="J252" s="481" t="str">
        <f>F269</f>
        <v>m3</v>
      </c>
      <c r="K252" s="471"/>
    </row>
    <row r="253" spans="1:11">
      <c r="A253" s="463"/>
      <c r="B253" s="482"/>
      <c r="C253" s="482"/>
      <c r="D253" s="482"/>
      <c r="E253" s="482"/>
      <c r="F253" s="482"/>
      <c r="G253" s="482"/>
      <c r="H253" s="482"/>
      <c r="I253" s="483"/>
      <c r="J253" s="484"/>
      <c r="K253" s="471"/>
    </row>
    <row r="254" spans="1:11">
      <c r="A254" s="463"/>
      <c r="B254" s="1484" t="s">
        <v>938</v>
      </c>
      <c r="C254" s="1486"/>
      <c r="D254" s="1502" t="s">
        <v>688</v>
      </c>
      <c r="E254" s="1504" t="s">
        <v>939</v>
      </c>
      <c r="F254" s="485" t="s">
        <v>940</v>
      </c>
      <c r="G254" s="486"/>
      <c r="H254" s="485" t="s">
        <v>941</v>
      </c>
      <c r="I254" s="486"/>
      <c r="J254" s="487" t="s">
        <v>942</v>
      </c>
      <c r="K254" s="471"/>
    </row>
    <row r="255" spans="1:11">
      <c r="A255" s="463"/>
      <c r="B255" s="1500"/>
      <c r="C255" s="1501"/>
      <c r="D255" s="1503"/>
      <c r="E255" s="1505"/>
      <c r="F255" s="488" t="s">
        <v>943</v>
      </c>
      <c r="G255" s="488" t="s">
        <v>944</v>
      </c>
      <c r="H255" s="488" t="s">
        <v>943</v>
      </c>
      <c r="I255" s="489" t="s">
        <v>944</v>
      </c>
      <c r="J255" s="490" t="s">
        <v>945</v>
      </c>
      <c r="K255" s="471"/>
    </row>
    <row r="256" spans="1:11">
      <c r="A256" s="463"/>
      <c r="B256" s="499" t="s">
        <v>619</v>
      </c>
      <c r="C256" s="500"/>
      <c r="D256" s="501"/>
      <c r="E256" s="502">
        <v>1</v>
      </c>
      <c r="F256" s="502">
        <v>1</v>
      </c>
      <c r="G256" s="502">
        <f>1-F256</f>
        <v>0</v>
      </c>
      <c r="H256" s="503">
        <f>VLOOKUP(B256,EQUIPAMENTOS!$A:$J,10,FALSE)</f>
        <v>70</v>
      </c>
      <c r="I256" s="504">
        <f>H256</f>
        <v>70</v>
      </c>
      <c r="J256" s="505">
        <f>H256*F256*E256+I256*G256*E256</f>
        <v>70</v>
      </c>
      <c r="K256" s="471"/>
    </row>
    <row r="257" spans="1:13">
      <c r="A257" s="463"/>
      <c r="B257" s="499"/>
      <c r="C257" s="500"/>
      <c r="D257" s="501"/>
      <c r="E257" s="502"/>
      <c r="F257" s="502"/>
      <c r="G257" s="502"/>
      <c r="H257" s="503"/>
      <c r="I257" s="504"/>
      <c r="J257" s="505">
        <f>H257*F257*E257+I257*G257*E257</f>
        <v>0</v>
      </c>
      <c r="K257" s="471"/>
    </row>
    <row r="258" spans="1:13">
      <c r="A258" s="463"/>
      <c r="B258" s="499"/>
      <c r="C258" s="500"/>
      <c r="D258" s="501"/>
      <c r="E258" s="502"/>
      <c r="F258" s="502"/>
      <c r="G258" s="502"/>
      <c r="H258" s="503"/>
      <c r="I258" s="504"/>
      <c r="J258" s="505"/>
      <c r="K258" s="471"/>
      <c r="M258" s="6"/>
    </row>
    <row r="259" spans="1:13">
      <c r="A259" s="463"/>
      <c r="B259" s="499"/>
      <c r="C259" s="500"/>
      <c r="D259" s="501"/>
      <c r="E259" s="502"/>
      <c r="F259" s="502"/>
      <c r="G259" s="502"/>
      <c r="H259" s="503"/>
      <c r="I259" s="504"/>
      <c r="J259" s="505"/>
      <c r="K259" s="471"/>
    </row>
    <row r="260" spans="1:13">
      <c r="A260" s="463"/>
      <c r="B260" s="506"/>
      <c r="C260" s="507"/>
      <c r="D260" s="508"/>
      <c r="E260" s="509"/>
      <c r="F260" s="509"/>
      <c r="G260" s="509"/>
      <c r="H260" s="510"/>
      <c r="I260" s="511"/>
      <c r="J260" s="505">
        <f>H260*F260*E260+I260*G260*E260</f>
        <v>0</v>
      </c>
      <c r="K260" s="471"/>
    </row>
    <row r="261" spans="1:13">
      <c r="A261" s="463"/>
      <c r="B261" s="512" t="s">
        <v>946</v>
      </c>
      <c r="C261" s="482"/>
      <c r="D261" s="482"/>
      <c r="E261" s="482"/>
      <c r="F261" s="482"/>
      <c r="G261" s="482"/>
      <c r="H261" s="482"/>
      <c r="I261" s="513" t="s">
        <v>175</v>
      </c>
      <c r="J261" s="514">
        <f>SUM(J256:J260)</f>
        <v>70</v>
      </c>
      <c r="K261" s="471"/>
    </row>
    <row r="262" spans="1:13">
      <c r="A262" s="463"/>
      <c r="B262" s="515"/>
      <c r="C262" s="515"/>
      <c r="D262" s="515"/>
      <c r="E262" s="515"/>
      <c r="F262" s="515"/>
      <c r="G262" s="515"/>
      <c r="H262" s="515"/>
      <c r="I262" s="516"/>
      <c r="J262" s="517"/>
      <c r="K262" s="471"/>
      <c r="L262" s="6"/>
    </row>
    <row r="263" spans="1:13" ht="20.399999999999999" customHeight="1">
      <c r="A263" s="463"/>
      <c r="B263" s="1490" t="s">
        <v>947</v>
      </c>
      <c r="C263" s="1491"/>
      <c r="D263" s="1491"/>
      <c r="E263" s="1492"/>
      <c r="F263" s="725" t="s">
        <v>688</v>
      </c>
      <c r="G263" s="853"/>
      <c r="H263" s="520" t="s">
        <v>427</v>
      </c>
      <c r="I263" s="521" t="s">
        <v>948</v>
      </c>
      <c r="J263" s="522" t="s">
        <v>949</v>
      </c>
      <c r="K263" s="471"/>
    </row>
    <row r="264" spans="1:13" ht="20.399999999999999" customHeight="1">
      <c r="A264" s="463"/>
      <c r="B264" s="530" t="s">
        <v>1171</v>
      </c>
      <c r="C264" s="531"/>
      <c r="D264" s="472"/>
      <c r="E264" s="500"/>
      <c r="F264" s="501"/>
      <c r="G264" s="532"/>
      <c r="H264" s="533">
        <f>E256</f>
        <v>1</v>
      </c>
      <c r="I264" s="534">
        <f>(VLOOKUP(B264,'MÃO DE OBRA'!$A:$E,5,FALSE)/220)</f>
        <v>23.69</v>
      </c>
      <c r="J264" s="505">
        <f>H264*I264</f>
        <v>23.69</v>
      </c>
      <c r="K264" s="471"/>
    </row>
    <row r="265" spans="1:13">
      <c r="A265" s="463"/>
      <c r="B265" s="530" t="s">
        <v>472</v>
      </c>
      <c r="C265" s="531"/>
      <c r="D265" s="472"/>
      <c r="E265" s="500"/>
      <c r="F265" s="501"/>
      <c r="G265" s="532"/>
      <c r="H265" s="533">
        <v>2</v>
      </c>
      <c r="I265" s="534">
        <f>(VLOOKUP(B265,'MÃO DE OBRA'!$A:$E,5,FALSE)/220)</f>
        <v>18.377072727272729</v>
      </c>
      <c r="J265" s="505">
        <f>H265*I265</f>
        <v>36.754145454545458</v>
      </c>
      <c r="K265" s="471"/>
    </row>
    <row r="266" spans="1:13">
      <c r="A266" s="463"/>
      <c r="B266" s="530"/>
      <c r="C266" s="531"/>
      <c r="D266" s="472"/>
      <c r="E266" s="500"/>
      <c r="F266" s="501"/>
      <c r="G266" s="532"/>
      <c r="H266" s="533"/>
      <c r="I266" s="534"/>
      <c r="J266" s="505">
        <f>H266*I266</f>
        <v>0</v>
      </c>
      <c r="K266" s="471"/>
    </row>
    <row r="267" spans="1:13">
      <c r="A267" s="463"/>
      <c r="B267" s="512" t="s">
        <v>946</v>
      </c>
      <c r="C267" s="515"/>
      <c r="D267" s="515"/>
      <c r="E267" s="515"/>
      <c r="F267" s="515"/>
      <c r="G267" s="515"/>
      <c r="H267" s="515"/>
      <c r="I267" s="535" t="s">
        <v>175</v>
      </c>
      <c r="J267" s="514">
        <f>SUM(J264:J266)</f>
        <v>60.444145454545463</v>
      </c>
      <c r="K267" s="471"/>
    </row>
    <row r="268" spans="1:13">
      <c r="A268" s="463"/>
      <c r="B268" s="536"/>
      <c r="C268" s="536"/>
      <c r="D268" s="536"/>
      <c r="E268" s="536"/>
      <c r="F268" s="536"/>
      <c r="G268" s="536"/>
      <c r="H268" s="536"/>
      <c r="I268" s="537"/>
      <c r="J268" s="536"/>
      <c r="K268" s="471"/>
    </row>
    <row r="269" spans="1:13">
      <c r="A269" s="463"/>
      <c r="B269" s="538" t="s">
        <v>952</v>
      </c>
      <c r="C269" s="539"/>
      <c r="D269" s="536"/>
      <c r="E269" s="540">
        <v>10.363511692641044</v>
      </c>
      <c r="F269" s="541" t="s">
        <v>931</v>
      </c>
      <c r="G269" s="519"/>
      <c r="H269" s="519"/>
      <c r="I269" s="542" t="s">
        <v>953</v>
      </c>
      <c r="J269" s="514">
        <f>J261+J267</f>
        <v>130.44414545454546</v>
      </c>
      <c r="K269" s="471"/>
    </row>
    <row r="270" spans="1:13">
      <c r="A270" s="463"/>
      <c r="B270" s="543"/>
      <c r="C270" s="536"/>
      <c r="D270" s="536"/>
      <c r="E270" s="544"/>
      <c r="F270" s="545"/>
      <c r="G270" s="545"/>
      <c r="H270" s="545"/>
      <c r="I270" s="537"/>
      <c r="J270" s="536"/>
      <c r="K270" s="471"/>
    </row>
    <row r="271" spans="1:13" ht="20.399999999999999">
      <c r="A271" s="463"/>
      <c r="B271" s="1493" t="s">
        <v>362</v>
      </c>
      <c r="C271" s="1494"/>
      <c r="D271" s="1494"/>
      <c r="E271" s="1495"/>
      <c r="F271" s="546" t="s">
        <v>688</v>
      </c>
      <c r="G271" s="547" t="s">
        <v>371</v>
      </c>
      <c r="H271" s="520" t="s">
        <v>942</v>
      </c>
      <c r="I271" s="548" t="s">
        <v>361</v>
      </c>
      <c r="J271" s="549" t="s">
        <v>363</v>
      </c>
      <c r="K271" s="471"/>
    </row>
    <row r="272" spans="1:13">
      <c r="A272" s="463"/>
      <c r="B272" s="557" t="str">
        <f>B256</f>
        <v xml:space="preserve">Caminhão carroceria </v>
      </c>
      <c r="C272" s="531"/>
      <c r="D272" s="531"/>
      <c r="E272" s="500"/>
      <c r="F272" s="553" t="str">
        <f>VLOOKUP(B272,EQUIPAMENTOS!$A:$N,12,FALSE)</f>
        <v>Diesel S10</v>
      </c>
      <c r="G272" s="554" t="s">
        <v>415</v>
      </c>
      <c r="H272" s="560">
        <f>VLOOKUP(B272,EQUIPAMENTOS!$A:$N,13,FALSE)</f>
        <v>0</v>
      </c>
      <c r="I272" s="556">
        <f>VLOOKUP(B272,EQUIPAMENTOS!$A:$N,14,FALSE)</f>
        <v>5</v>
      </c>
      <c r="J272" s="505">
        <f>H272*I272*E256*F256</f>
        <v>0</v>
      </c>
      <c r="K272" s="471"/>
    </row>
    <row r="273" spans="1:12">
      <c r="A273" s="463"/>
      <c r="B273" s="557"/>
      <c r="C273" s="531"/>
      <c r="D273" s="531"/>
      <c r="E273" s="500"/>
      <c r="F273" s="553"/>
      <c r="G273" s="554"/>
      <c r="H273" s="560"/>
      <c r="I273" s="560"/>
      <c r="J273" s="505">
        <f>H273*I273*E257*F257</f>
        <v>0</v>
      </c>
      <c r="K273" s="471"/>
    </row>
    <row r="274" spans="1:12">
      <c r="A274" s="463"/>
      <c r="B274" s="557"/>
      <c r="C274" s="531"/>
      <c r="D274" s="531"/>
      <c r="E274" s="500"/>
      <c r="F274" s="553"/>
      <c r="G274" s="554"/>
      <c r="H274" s="560"/>
      <c r="I274" s="560"/>
      <c r="J274" s="505"/>
      <c r="K274" s="471"/>
    </row>
    <row r="275" spans="1:12">
      <c r="A275" s="463"/>
      <c r="B275" s="557"/>
      <c r="C275" s="531"/>
      <c r="D275" s="531"/>
      <c r="E275" s="500"/>
      <c r="F275" s="553"/>
      <c r="G275" s="554"/>
      <c r="H275" s="560"/>
      <c r="I275" s="560"/>
      <c r="J275" s="505"/>
      <c r="K275" s="471"/>
    </row>
    <row r="276" spans="1:12">
      <c r="A276" s="463"/>
      <c r="B276" s="557"/>
      <c r="C276" s="539"/>
      <c r="D276" s="539"/>
      <c r="E276" s="507"/>
      <c r="F276" s="553"/>
      <c r="G276" s="736"/>
      <c r="H276" s="560"/>
      <c r="I276" s="560"/>
      <c r="J276" s="505"/>
      <c r="K276" s="471"/>
    </row>
    <row r="277" spans="1:12">
      <c r="A277" s="463"/>
      <c r="B277" s="563" t="s">
        <v>946</v>
      </c>
      <c r="C277" s="536"/>
      <c r="D277" s="536"/>
      <c r="E277" s="536"/>
      <c r="F277" s="536"/>
      <c r="G277" s="536"/>
      <c r="H277" s="564"/>
      <c r="I277" s="565" t="s">
        <v>175</v>
      </c>
      <c r="J277" s="514">
        <f>SUM(J272:J276)</f>
        <v>0</v>
      </c>
      <c r="K277" s="471"/>
    </row>
    <row r="278" spans="1:12">
      <c r="A278" s="463"/>
      <c r="B278" s="566"/>
      <c r="C278" s="539"/>
      <c r="D278" s="539"/>
      <c r="E278" s="567"/>
      <c r="F278" s="568"/>
      <c r="G278" s="519"/>
      <c r="H278" s="519"/>
      <c r="I278" s="542"/>
      <c r="J278" s="567"/>
      <c r="K278" s="471"/>
    </row>
    <row r="279" spans="1:12" ht="20.399999999999999">
      <c r="A279" s="463"/>
      <c r="B279" s="1493" t="s">
        <v>955</v>
      </c>
      <c r="C279" s="1494"/>
      <c r="D279" s="1494"/>
      <c r="E279" s="1494"/>
      <c r="F279" s="1495"/>
      <c r="G279" s="569" t="s">
        <v>372</v>
      </c>
      <c r="H279" s="519" t="s">
        <v>956</v>
      </c>
      <c r="I279" s="570" t="s">
        <v>942</v>
      </c>
      <c r="J279" s="522" t="s">
        <v>363</v>
      </c>
      <c r="K279" s="471"/>
    </row>
    <row r="280" spans="1:12">
      <c r="A280" s="463"/>
      <c r="B280" s="571"/>
      <c r="C280" s="572"/>
      <c r="D280" s="573"/>
      <c r="E280" s="573"/>
      <c r="F280" s="574"/>
      <c r="G280" s="502"/>
      <c r="H280" s="502"/>
      <c r="I280" s="575"/>
      <c r="J280" s="505"/>
      <c r="K280" s="471"/>
    </row>
    <row r="281" spans="1:12">
      <c r="A281" s="463"/>
      <c r="B281" s="576"/>
      <c r="C281" s="577"/>
      <c r="D281" s="578"/>
      <c r="E281" s="578"/>
      <c r="F281" s="579"/>
      <c r="G281" s="502"/>
      <c r="H281" s="502"/>
      <c r="I281" s="575"/>
      <c r="J281" s="505"/>
      <c r="K281" s="471"/>
      <c r="L281" s="6"/>
    </row>
    <row r="282" spans="1:12">
      <c r="A282" s="463"/>
      <c r="B282" s="1496" t="s">
        <v>175</v>
      </c>
      <c r="C282" s="1496"/>
      <c r="D282" s="1496"/>
      <c r="E282" s="1496"/>
      <c r="F282" s="1496"/>
      <c r="G282" s="1496"/>
      <c r="H282" s="1496"/>
      <c r="I282" s="1496"/>
      <c r="J282" s="514">
        <f>SUM(J280:J281)</f>
        <v>0</v>
      </c>
      <c r="K282" s="471"/>
    </row>
    <row r="283" spans="1:12">
      <c r="A283" s="463"/>
      <c r="B283" s="580"/>
      <c r="C283" s="524"/>
      <c r="D283" s="524"/>
      <c r="E283" s="581"/>
      <c r="F283" s="582"/>
      <c r="G283" s="583"/>
      <c r="H283" s="583"/>
      <c r="I283" s="584"/>
      <c r="J283" s="585"/>
      <c r="K283" s="471"/>
    </row>
    <row r="284" spans="1:12">
      <c r="A284" s="463"/>
      <c r="B284" s="586" t="s">
        <v>957</v>
      </c>
      <c r="C284" s="586"/>
      <c r="D284" s="563"/>
      <c r="E284" s="536"/>
      <c r="F284" s="536"/>
      <c r="G284" s="536"/>
      <c r="H284" s="587"/>
      <c r="I284" s="588"/>
      <c r="J284" s="514">
        <f>(J269+J277+J282)/E269</f>
        <v>12.586867205174446</v>
      </c>
      <c r="K284" s="471"/>
      <c r="L284">
        <v>12.586873430337663</v>
      </c>
    </row>
    <row r="285" spans="1:12">
      <c r="A285" s="463"/>
      <c r="B285" s="566"/>
      <c r="C285" s="539"/>
      <c r="D285" s="539"/>
      <c r="E285" s="567"/>
      <c r="F285" s="568"/>
      <c r="G285" s="519"/>
      <c r="H285" s="519"/>
      <c r="I285" s="542"/>
      <c r="J285" s="589"/>
      <c r="K285" s="471"/>
    </row>
    <row r="286" spans="1:12" ht="20.399999999999999">
      <c r="A286" s="463"/>
      <c r="B286" s="1493" t="s">
        <v>958</v>
      </c>
      <c r="C286" s="1494"/>
      <c r="D286" s="1494"/>
      <c r="E286" s="1494"/>
      <c r="F286" s="1495"/>
      <c r="G286" s="569" t="s">
        <v>372</v>
      </c>
      <c r="H286" s="519" t="s">
        <v>956</v>
      </c>
      <c r="I286" s="570" t="s">
        <v>942</v>
      </c>
      <c r="J286" s="522" t="s">
        <v>363</v>
      </c>
      <c r="K286" s="471"/>
    </row>
    <row r="287" spans="1:12">
      <c r="A287" s="463"/>
      <c r="B287" s="571"/>
      <c r="C287" s="572"/>
      <c r="D287" s="573"/>
      <c r="E287" s="573"/>
      <c r="F287" s="574"/>
      <c r="G287" s="502"/>
      <c r="H287" s="502"/>
      <c r="I287" s="575"/>
      <c r="J287" s="505">
        <f>G287*I287</f>
        <v>0</v>
      </c>
      <c r="K287" s="471"/>
    </row>
    <row r="288" spans="1:12">
      <c r="A288" s="463"/>
      <c r="B288" s="590"/>
      <c r="C288" s="591"/>
      <c r="D288" s="592"/>
      <c r="E288" s="592"/>
      <c r="F288" s="593"/>
      <c r="G288" s="502"/>
      <c r="H288" s="502"/>
      <c r="I288" s="575"/>
      <c r="J288" s="505">
        <f>G288*I288</f>
        <v>0</v>
      </c>
      <c r="K288" s="471"/>
    </row>
    <row r="289" spans="1:11">
      <c r="A289" s="463"/>
      <c r="B289" s="594"/>
      <c r="C289" s="536"/>
      <c r="D289" s="536"/>
      <c r="E289" s="595"/>
      <c r="F289" s="596"/>
      <c r="G289" s="545"/>
      <c r="H289" s="545"/>
      <c r="I289" s="537" t="s">
        <v>175</v>
      </c>
      <c r="J289" s="514">
        <f>SUM(J287:J288)</f>
        <v>0</v>
      </c>
      <c r="K289" s="471"/>
    </row>
    <row r="290" spans="1:11">
      <c r="A290" s="463"/>
      <c r="B290" s="597"/>
      <c r="C290" s="536"/>
      <c r="D290" s="536"/>
      <c r="E290" s="595"/>
      <c r="F290" s="596"/>
      <c r="G290" s="545"/>
      <c r="H290" s="545"/>
      <c r="I290" s="537"/>
      <c r="J290" s="595"/>
      <c r="K290" s="471"/>
    </row>
    <row r="291" spans="1:11" ht="20.399999999999999">
      <c r="A291" s="463"/>
      <c r="B291" s="598" t="s">
        <v>959</v>
      </c>
      <c r="C291" s="598"/>
      <c r="D291" s="598"/>
      <c r="E291" s="599"/>
      <c r="F291" s="600" t="s">
        <v>372</v>
      </c>
      <c r="G291" s="569" t="s">
        <v>960</v>
      </c>
      <c r="H291" s="519" t="s">
        <v>942</v>
      </c>
      <c r="I291" s="570" t="s">
        <v>361</v>
      </c>
      <c r="J291" s="522" t="s">
        <v>363</v>
      </c>
      <c r="K291" s="471"/>
    </row>
    <row r="292" spans="1:11">
      <c r="A292" s="463"/>
      <c r="B292" s="576" t="s">
        <v>946</v>
      </c>
      <c r="C292" s="577"/>
      <c r="D292" s="578"/>
      <c r="E292" s="579" t="s">
        <v>946</v>
      </c>
      <c r="F292" s="502">
        <v>0</v>
      </c>
      <c r="G292" s="502">
        <v>0</v>
      </c>
      <c r="H292" s="502">
        <v>0</v>
      </c>
      <c r="I292" s="575">
        <v>0</v>
      </c>
      <c r="J292" s="505">
        <f>I292*H292*G292*F292</f>
        <v>0</v>
      </c>
      <c r="K292" s="471"/>
    </row>
    <row r="293" spans="1:11">
      <c r="A293" s="463"/>
      <c r="B293" s="590" t="s">
        <v>946</v>
      </c>
      <c r="C293" s="591"/>
      <c r="D293" s="592"/>
      <c r="E293" s="593" t="s">
        <v>946</v>
      </c>
      <c r="F293" s="509">
        <v>0</v>
      </c>
      <c r="G293" s="509">
        <v>0</v>
      </c>
      <c r="H293" s="509">
        <v>0</v>
      </c>
      <c r="I293" s="601">
        <v>0</v>
      </c>
      <c r="J293" s="505">
        <f>I293*H293*G293*F293</f>
        <v>0</v>
      </c>
      <c r="K293" s="471"/>
    </row>
    <row r="294" spans="1:11">
      <c r="A294" s="463"/>
      <c r="B294" s="594"/>
      <c r="C294" s="536"/>
      <c r="D294" s="536"/>
      <c r="E294" s="595"/>
      <c r="F294" s="596"/>
      <c r="G294" s="545"/>
      <c r="H294" s="545"/>
      <c r="I294" s="537" t="s">
        <v>175</v>
      </c>
      <c r="J294" s="514">
        <f>SUM(J292:J293)</f>
        <v>0</v>
      </c>
      <c r="K294" s="471"/>
    </row>
    <row r="295" spans="1:11">
      <c r="A295" s="463"/>
      <c r="B295" s="536"/>
      <c r="C295" s="536"/>
      <c r="D295" s="536"/>
      <c r="E295" s="536"/>
      <c r="F295" s="536"/>
      <c r="G295" s="536"/>
      <c r="H295" s="536"/>
      <c r="I295" s="537"/>
      <c r="J295" s="536"/>
      <c r="K295" s="471"/>
    </row>
    <row r="296" spans="1:11">
      <c r="A296" s="463"/>
      <c r="B296" s="1481" t="s">
        <v>961</v>
      </c>
      <c r="C296" s="1482"/>
      <c r="D296" s="1482"/>
      <c r="E296" s="1482"/>
      <c r="F296" s="1482"/>
      <c r="G296" s="1482"/>
      <c r="H296" s="1482"/>
      <c r="I296" s="1483"/>
      <c r="J296" s="586">
        <f>J294+J289+J284</f>
        <v>12.586867205174446</v>
      </c>
      <c r="K296" s="471"/>
    </row>
    <row r="297" spans="1:11">
      <c r="A297" s="463"/>
      <c r="B297" s="536"/>
      <c r="C297" s="536"/>
      <c r="D297" s="536"/>
      <c r="E297" s="536"/>
      <c r="F297" s="536"/>
      <c r="G297" s="536"/>
      <c r="H297" s="536"/>
      <c r="I297" s="537"/>
      <c r="J297" s="536"/>
      <c r="K297" s="471"/>
    </row>
    <row r="298" spans="1:11">
      <c r="A298" s="463"/>
      <c r="B298" s="1481" t="s">
        <v>962</v>
      </c>
      <c r="C298" s="1482"/>
      <c r="D298" s="1482"/>
      <c r="E298" s="1482"/>
      <c r="F298" s="1482"/>
      <c r="G298" s="1482"/>
      <c r="H298" s="1482"/>
      <c r="I298" s="1483"/>
      <c r="J298" s="514">
        <f>J296*0</f>
        <v>0</v>
      </c>
      <c r="K298" s="471"/>
    </row>
    <row r="299" spans="1:11">
      <c r="A299" s="463"/>
      <c r="B299" s="536"/>
      <c r="C299" s="536"/>
      <c r="D299" s="536"/>
      <c r="E299" s="536"/>
      <c r="F299" s="536"/>
      <c r="G299" s="536"/>
      <c r="H299" s="536"/>
      <c r="I299" s="537"/>
      <c r="J299" s="536"/>
      <c r="K299" s="471"/>
    </row>
    <row r="300" spans="1:11">
      <c r="A300" s="463"/>
      <c r="B300" s="1481" t="s">
        <v>963</v>
      </c>
      <c r="C300" s="1482"/>
      <c r="D300" s="1482"/>
      <c r="E300" s="1482"/>
      <c r="F300" s="1482"/>
      <c r="G300" s="1482"/>
      <c r="H300" s="1482"/>
      <c r="I300" s="1483"/>
      <c r="J300" s="586">
        <f>J296+J298</f>
        <v>12.586867205174446</v>
      </c>
      <c r="K300" s="471"/>
    </row>
    <row r="301" spans="1:11">
      <c r="A301" s="463"/>
      <c r="B301" s="524"/>
      <c r="C301" s="524"/>
      <c r="D301" s="524"/>
      <c r="E301" s="524"/>
      <c r="F301" s="524"/>
      <c r="G301" s="524"/>
      <c r="H301" s="524"/>
      <c r="I301" s="584"/>
      <c r="J301" s="524"/>
      <c r="K301" s="471"/>
    </row>
    <row r="302" spans="1:11">
      <c r="A302" s="463"/>
      <c r="B302" s="602"/>
      <c r="C302" s="572"/>
      <c r="D302" s="572"/>
      <c r="E302" s="572"/>
      <c r="F302" s="572"/>
      <c r="G302" s="572"/>
      <c r="H302" s="572"/>
      <c r="I302" s="572"/>
      <c r="J302" s="603"/>
      <c r="K302" s="471"/>
    </row>
    <row r="303" spans="1:11">
      <c r="A303" s="463"/>
      <c r="B303" s="604"/>
      <c r="C303" s="605"/>
      <c r="D303" s="606"/>
      <c r="E303" s="606"/>
      <c r="F303" s="607" t="s">
        <v>946</v>
      </c>
      <c r="G303" s="608" t="s">
        <v>946</v>
      </c>
      <c r="H303" s="605"/>
      <c r="I303" s="605"/>
      <c r="J303" s="609"/>
      <c r="K303" s="471"/>
    </row>
    <row r="304" spans="1:11">
      <c r="A304" s="463"/>
      <c r="B304" s="472"/>
      <c r="C304" s="472"/>
      <c r="D304" s="472"/>
      <c r="E304" s="472"/>
      <c r="F304" s="472"/>
      <c r="G304" s="472"/>
      <c r="H304" s="472"/>
      <c r="I304" s="472"/>
      <c r="J304" s="472"/>
      <c r="K304" s="471"/>
    </row>
    <row r="305" spans="1:11">
      <c r="A305" s="463"/>
      <c r="B305" s="610" t="str">
        <f>B244</f>
        <v>OPERAÇÃO DE SUPRESSÃO E SUMP</v>
      </c>
      <c r="C305" s="611"/>
      <c r="D305" s="611"/>
      <c r="E305" s="611"/>
      <c r="F305" s="612"/>
      <c r="G305" s="613" t="s">
        <v>363</v>
      </c>
      <c r="H305" s="515"/>
      <c r="I305" s="515"/>
      <c r="J305" s="518"/>
      <c r="K305" s="471"/>
    </row>
    <row r="306" spans="1:11">
      <c r="A306" s="463"/>
      <c r="B306" s="614" t="str">
        <f>B245</f>
        <v>MARA ROSA</v>
      </c>
      <c r="C306" s="615"/>
      <c r="D306" s="615"/>
      <c r="E306" s="615"/>
      <c r="F306" s="616"/>
      <c r="G306" s="1484" t="s">
        <v>964</v>
      </c>
      <c r="H306" s="1485"/>
      <c r="I306" s="1485"/>
      <c r="J306" s="1486"/>
      <c r="K306" s="471"/>
    </row>
    <row r="307" spans="1:11">
      <c r="A307" s="463"/>
      <c r="B307" s="617"/>
      <c r="C307" s="618"/>
      <c r="D307" s="618"/>
      <c r="E307" s="618"/>
      <c r="F307" s="619"/>
      <c r="G307" s="620"/>
      <c r="H307" s="1487"/>
      <c r="I307" s="1488"/>
      <c r="J307" s="1489"/>
      <c r="K307" s="471"/>
    </row>
    <row r="308" spans="1:11" ht="15" thickBot="1">
      <c r="A308" s="621"/>
      <c r="B308" s="622"/>
      <c r="C308" s="622"/>
      <c r="D308" s="622"/>
      <c r="E308" s="622"/>
      <c r="F308" s="622"/>
      <c r="G308" s="622"/>
      <c r="H308" s="622"/>
      <c r="I308" s="622"/>
      <c r="J308" s="622"/>
      <c r="K308" s="623"/>
    </row>
    <row r="309" spans="1:11">
      <c r="A309" s="460"/>
      <c r="B309" s="461"/>
      <c r="C309" s="461"/>
      <c r="D309" s="461"/>
      <c r="E309" s="461"/>
      <c r="F309" s="461"/>
      <c r="G309" s="461"/>
      <c r="H309" s="461"/>
      <c r="I309" s="461"/>
      <c r="J309" s="461"/>
      <c r="K309" s="462"/>
    </row>
    <row r="310" spans="1:11">
      <c r="A310" s="463"/>
      <c r="B310" s="464" t="s">
        <v>178</v>
      </c>
      <c r="C310" s="465"/>
      <c r="D310" s="466" t="s">
        <v>936</v>
      </c>
      <c r="E310" s="467"/>
      <c r="F310" s="468"/>
      <c r="G310" s="468"/>
      <c r="H310" s="469"/>
      <c r="I310" s="469"/>
      <c r="J310" s="470"/>
      <c r="K310" s="471"/>
    </row>
    <row r="311" spans="1:11">
      <c r="A311" s="463"/>
      <c r="B311" s="472"/>
      <c r="C311" s="472"/>
      <c r="D311" s="472"/>
      <c r="E311" s="472"/>
      <c r="F311" s="472"/>
      <c r="G311" s="472"/>
      <c r="H311" s="472"/>
      <c r="I311" s="472"/>
      <c r="J311" s="472"/>
      <c r="K311" s="471"/>
    </row>
    <row r="312" spans="1:11">
      <c r="A312" s="463"/>
      <c r="B312" s="473" t="s">
        <v>688</v>
      </c>
      <c r="C312" s="474" t="s">
        <v>937</v>
      </c>
      <c r="D312" s="1497" t="s">
        <v>250</v>
      </c>
      <c r="E312" s="1498"/>
      <c r="F312" s="1498"/>
      <c r="G312" s="1498"/>
      <c r="H312" s="1498"/>
      <c r="I312" s="1499"/>
      <c r="J312" s="475" t="s">
        <v>267</v>
      </c>
      <c r="K312" s="471"/>
    </row>
    <row r="313" spans="1:11" ht="24.6" customHeight="1">
      <c r="A313" s="463"/>
      <c r="B313" s="476" t="s">
        <v>3</v>
      </c>
      <c r="C313" s="477">
        <f ca="1">PLANEJAMENTO!F4</f>
        <v>46140</v>
      </c>
      <c r="D313" s="681" t="s">
        <v>1476</v>
      </c>
      <c r="E313" s="479"/>
      <c r="F313" s="479"/>
      <c r="G313" s="479"/>
      <c r="H313" s="479"/>
      <c r="I313" s="480"/>
      <c r="J313" s="481" t="s">
        <v>203</v>
      </c>
      <c r="K313" s="471"/>
    </row>
    <row r="314" spans="1:11">
      <c r="A314" s="463"/>
      <c r="B314" s="482"/>
      <c r="C314" s="482"/>
      <c r="D314" s="482"/>
      <c r="E314" s="482"/>
      <c r="F314" s="482"/>
      <c r="G314" s="482"/>
      <c r="H314" s="482"/>
      <c r="I314" s="483"/>
      <c r="J314" s="484"/>
      <c r="K314" s="471"/>
    </row>
    <row r="315" spans="1:11">
      <c r="A315" s="463"/>
      <c r="B315" s="1484" t="s">
        <v>938</v>
      </c>
      <c r="C315" s="1486"/>
      <c r="D315" s="1502" t="s">
        <v>688</v>
      </c>
      <c r="E315" s="1504" t="s">
        <v>939</v>
      </c>
      <c r="F315" s="485" t="s">
        <v>940</v>
      </c>
      <c r="G315" s="486"/>
      <c r="H315" s="485" t="s">
        <v>941</v>
      </c>
      <c r="I315" s="486"/>
      <c r="J315" s="487" t="s">
        <v>942</v>
      </c>
      <c r="K315" s="471"/>
    </row>
    <row r="316" spans="1:11">
      <c r="A316" s="463"/>
      <c r="B316" s="1500"/>
      <c r="C316" s="1501"/>
      <c r="D316" s="1503"/>
      <c r="E316" s="1505"/>
      <c r="F316" s="488" t="s">
        <v>943</v>
      </c>
      <c r="G316" s="488" t="s">
        <v>944</v>
      </c>
      <c r="H316" s="488" t="s">
        <v>943</v>
      </c>
      <c r="I316" s="489" t="s">
        <v>944</v>
      </c>
      <c r="J316" s="490" t="s">
        <v>945</v>
      </c>
      <c r="K316" s="471"/>
    </row>
    <row r="317" spans="1:11">
      <c r="A317" s="463"/>
      <c r="B317" s="491" t="s">
        <v>669</v>
      </c>
      <c r="C317" s="492"/>
      <c r="D317" s="493"/>
      <c r="E317" s="494">
        <v>1</v>
      </c>
      <c r="F317" s="494">
        <v>1</v>
      </c>
      <c r="G317" s="495">
        <f>1-F317</f>
        <v>0</v>
      </c>
      <c r="H317" s="496">
        <f>VLOOKUP(B317,EQUIPAMENTOS!$A:$J,10,FALSE)</f>
        <v>214.36944444444444</v>
      </c>
      <c r="I317" s="497">
        <f>H317</f>
        <v>214.36944444444444</v>
      </c>
      <c r="J317" s="498">
        <f>H317*F317*E317+I317*G317*E317</f>
        <v>214.36944444444444</v>
      </c>
      <c r="K317" s="471"/>
    </row>
    <row r="318" spans="1:11" ht="14.25" customHeight="1">
      <c r="A318" s="463"/>
      <c r="B318" s="499" t="s">
        <v>954</v>
      </c>
      <c r="C318" s="500"/>
      <c r="D318" s="501"/>
      <c r="E318" s="875">
        <v>1</v>
      </c>
      <c r="F318" s="502">
        <v>1</v>
      </c>
      <c r="G318" s="502">
        <f>1-F318</f>
        <v>0</v>
      </c>
      <c r="H318" s="503">
        <f>VLOOKUP(B318,EQUIPAMENTOS!$A:$J,10,FALSE)</f>
        <v>192.58333333333334</v>
      </c>
      <c r="I318" s="504">
        <f>H318</f>
        <v>192.58333333333334</v>
      </c>
      <c r="J318" s="505">
        <f>H318*F318*E318+I318*G318*E318</f>
        <v>192.58333333333334</v>
      </c>
      <c r="K318" s="471"/>
    </row>
    <row r="319" spans="1:11" ht="14.4" customHeight="1">
      <c r="A319" s="463"/>
      <c r="B319" s="499" t="s">
        <v>1157</v>
      </c>
      <c r="C319" s="500"/>
      <c r="D319" s="501"/>
      <c r="E319" s="502">
        <v>5</v>
      </c>
      <c r="F319" s="502">
        <v>1</v>
      </c>
      <c r="G319" s="502">
        <f>1-F319</f>
        <v>0</v>
      </c>
      <c r="H319" s="503">
        <f>VLOOKUP(B319,EQUIPAMENTOS!$A:$J,10,FALSE)</f>
        <v>125</v>
      </c>
      <c r="I319" s="504">
        <f>H319</f>
        <v>125</v>
      </c>
      <c r="J319" s="505">
        <f>H319*F319*E319+I319*G319*E319</f>
        <v>625</v>
      </c>
      <c r="K319" s="471"/>
    </row>
    <row r="320" spans="1:11">
      <c r="A320" s="463"/>
      <c r="B320" s="499"/>
      <c r="C320" s="507"/>
      <c r="D320" s="1017"/>
      <c r="E320" s="509"/>
      <c r="F320" s="509"/>
      <c r="G320" s="509"/>
      <c r="H320" s="510"/>
      <c r="I320" s="510"/>
      <c r="J320" s="505"/>
      <c r="K320" s="471"/>
    </row>
    <row r="321" spans="1:16">
      <c r="A321" s="463"/>
      <c r="B321" s="512" t="s">
        <v>946</v>
      </c>
      <c r="C321" s="482"/>
      <c r="D321" s="482"/>
      <c r="E321" s="482"/>
      <c r="F321" s="482"/>
      <c r="G321" s="482"/>
      <c r="H321" s="482"/>
      <c r="I321" s="513" t="s">
        <v>175</v>
      </c>
      <c r="J321" s="514">
        <f>SUM(J317:J320)</f>
        <v>1031.9527777777778</v>
      </c>
      <c r="K321" s="471"/>
    </row>
    <row r="322" spans="1:16" ht="20.399999999999999" customHeight="1">
      <c r="A322" s="463"/>
      <c r="B322" s="515"/>
      <c r="C322" s="515"/>
      <c r="D322" s="515"/>
      <c r="E322" s="515"/>
      <c r="F322" s="515"/>
      <c r="G322" s="515"/>
      <c r="H322" s="515"/>
      <c r="I322" s="516"/>
      <c r="J322" s="517"/>
      <c r="K322" s="471"/>
    </row>
    <row r="323" spans="1:16" ht="20.399999999999999">
      <c r="A323" s="463"/>
      <c r="B323" s="1490" t="s">
        <v>947</v>
      </c>
      <c r="C323" s="1491"/>
      <c r="D323" s="1491"/>
      <c r="E323" s="1492"/>
      <c r="F323" s="725" t="s">
        <v>688</v>
      </c>
      <c r="G323" s="853"/>
      <c r="H323" s="520" t="s">
        <v>427</v>
      </c>
      <c r="I323" s="521" t="s">
        <v>948</v>
      </c>
      <c r="J323" s="522" t="s">
        <v>949</v>
      </c>
      <c r="K323" s="471"/>
      <c r="N323" s="116"/>
      <c r="O323" s="58"/>
      <c r="P323" s="58"/>
    </row>
    <row r="324" spans="1:16">
      <c r="A324" s="463"/>
      <c r="B324" s="523" t="s">
        <v>950</v>
      </c>
      <c r="C324" s="524"/>
      <c r="D324" s="525"/>
      <c r="E324" s="526"/>
      <c r="F324" s="527"/>
      <c r="G324" s="528"/>
      <c r="H324" s="529">
        <f>E319</f>
        <v>5</v>
      </c>
      <c r="I324" s="534">
        <f>(VLOOKUP(B324,'MÃO DE OBRA'!$A:$E,5,FALSE)/220)</f>
        <v>26.714454545454547</v>
      </c>
      <c r="J324" s="505">
        <f>H324*I324</f>
        <v>133.57227272727275</v>
      </c>
      <c r="K324" s="471"/>
    </row>
    <row r="325" spans="1:16" ht="14.4" customHeight="1">
      <c r="A325" s="463"/>
      <c r="B325" s="530" t="s">
        <v>976</v>
      </c>
      <c r="C325" s="531"/>
      <c r="D325" s="472"/>
      <c r="E325" s="500"/>
      <c r="F325" s="501"/>
      <c r="G325" s="532"/>
      <c r="H325" s="533">
        <f>E317</f>
        <v>1</v>
      </c>
      <c r="I325" s="534">
        <f>(VLOOKUP(B325,'MÃO DE OBRA'!$A:$E,5,FALSE)/220)</f>
        <v>35.711036363636367</v>
      </c>
      <c r="J325" s="505">
        <f>H325*I325</f>
        <v>35.711036363636367</v>
      </c>
      <c r="K325" s="471"/>
    </row>
    <row r="326" spans="1:16">
      <c r="A326" s="463"/>
      <c r="B326" s="530" t="s">
        <v>472</v>
      </c>
      <c r="C326" s="531"/>
      <c r="D326" s="472"/>
      <c r="E326" s="500"/>
      <c r="F326" s="501"/>
      <c r="G326" s="532"/>
      <c r="H326" s="533">
        <v>3</v>
      </c>
      <c r="I326" s="534">
        <f>(VLOOKUP(B326,'MÃO DE OBRA'!$A:$E,5,FALSE)/220)</f>
        <v>18.377072727272729</v>
      </c>
      <c r="J326" s="505">
        <f>H326*I326</f>
        <v>55.131218181818184</v>
      </c>
      <c r="K326" s="471"/>
    </row>
    <row r="327" spans="1:16">
      <c r="A327" s="463"/>
      <c r="B327" s="530" t="s">
        <v>951</v>
      </c>
      <c r="C327" s="531"/>
      <c r="D327" s="472"/>
      <c r="E327" s="500"/>
      <c r="F327" s="501"/>
      <c r="G327" s="532"/>
      <c r="H327" s="533">
        <f>E318</f>
        <v>1</v>
      </c>
      <c r="I327" s="534">
        <f>(VLOOKUP(B327,'MÃO DE OBRA'!$A:$E,5,FALSE)/220)</f>
        <v>26.270618181818183</v>
      </c>
      <c r="J327" s="505">
        <f>H327*I327</f>
        <v>26.270618181818183</v>
      </c>
      <c r="K327" s="471"/>
    </row>
    <row r="328" spans="1:16">
      <c r="A328" s="463"/>
      <c r="B328" s="512" t="s">
        <v>946</v>
      </c>
      <c r="C328" s="515"/>
      <c r="D328" s="515"/>
      <c r="E328" s="515"/>
      <c r="F328" s="515"/>
      <c r="G328" s="515"/>
      <c r="H328" s="515"/>
      <c r="I328" s="535" t="s">
        <v>175</v>
      </c>
      <c r="J328" s="514">
        <f>SUM(J324:J327)</f>
        <v>250.68514545454548</v>
      </c>
      <c r="K328" s="471"/>
    </row>
    <row r="329" spans="1:16">
      <c r="A329" s="463"/>
      <c r="B329" s="536"/>
      <c r="C329" s="536"/>
      <c r="D329" s="536"/>
      <c r="E329" s="536"/>
      <c r="F329" s="536"/>
      <c r="G329" s="536"/>
      <c r="H329" s="536"/>
      <c r="I329" s="537"/>
      <c r="J329" s="536"/>
      <c r="K329" s="471"/>
    </row>
    <row r="330" spans="1:16">
      <c r="A330" s="463"/>
      <c r="B330" s="538" t="s">
        <v>952</v>
      </c>
      <c r="C330" s="539"/>
      <c r="D330" s="536"/>
      <c r="E330" s="540">
        <v>133.66592098881921</v>
      </c>
      <c r="F330" s="541" t="s">
        <v>931</v>
      </c>
      <c r="G330" s="519"/>
      <c r="H330" s="519"/>
      <c r="I330" s="542" t="s">
        <v>953</v>
      </c>
      <c r="J330" s="514">
        <f>J321+J328</f>
        <v>1282.6379232323234</v>
      </c>
      <c r="K330" s="471"/>
    </row>
    <row r="331" spans="1:16">
      <c r="A331" s="463"/>
      <c r="B331" s="543"/>
      <c r="C331" s="536"/>
      <c r="D331" s="536"/>
      <c r="E331" s="544"/>
      <c r="F331" s="545"/>
      <c r="G331" s="545"/>
      <c r="H331" s="545"/>
      <c r="I331" s="537"/>
      <c r="J331" s="536"/>
      <c r="K331" s="471"/>
    </row>
    <row r="332" spans="1:16" ht="20.399999999999999">
      <c r="A332" s="463"/>
      <c r="B332" s="1493" t="s">
        <v>362</v>
      </c>
      <c r="C332" s="1494"/>
      <c r="D332" s="1494"/>
      <c r="E332" s="1495"/>
      <c r="F332" s="546" t="s">
        <v>688</v>
      </c>
      <c r="G332" s="547" t="s">
        <v>371</v>
      </c>
      <c r="H332" s="520" t="s">
        <v>942</v>
      </c>
      <c r="I332" s="548" t="s">
        <v>361</v>
      </c>
      <c r="J332" s="549" t="s">
        <v>363</v>
      </c>
      <c r="K332" s="471"/>
    </row>
    <row r="333" spans="1:16" ht="14.4" hidden="1" customHeight="1">
      <c r="A333" s="463"/>
      <c r="B333" s="550" t="str">
        <f>B317</f>
        <v>Trator de esteiras 20T</v>
      </c>
      <c r="C333" s="551"/>
      <c r="D333" s="551"/>
      <c r="E333" s="552"/>
      <c r="F333" s="553" t="str">
        <f>VLOOKUP(B333,EQUIPAMENTOS!$A:$N,12,FALSE)</f>
        <v>Diesel S10</v>
      </c>
      <c r="G333" s="554" t="s">
        <v>415</v>
      </c>
      <c r="H333" s="560">
        <f>VLOOKUP(B333,EQUIPAMENTOS!$A:$N,13,FALSE)</f>
        <v>0</v>
      </c>
      <c r="I333" s="556">
        <f>VLOOKUP(B333,EQUIPAMENTOS!$A:$N,14,FALSE)</f>
        <v>26</v>
      </c>
      <c r="J333" s="498">
        <f>H333*I333*E317*F317</f>
        <v>0</v>
      </c>
      <c r="K333" s="471"/>
    </row>
    <row r="334" spans="1:16">
      <c r="A334" s="463"/>
      <c r="B334" s="557" t="str">
        <f>B317</f>
        <v>Trator de esteiras 20T</v>
      </c>
      <c r="C334" s="531"/>
      <c r="D334" s="531"/>
      <c r="E334" s="500"/>
      <c r="F334" s="553" t="str">
        <f>VLOOKUP(B334,EQUIPAMENTOS!$A:$N,12,FALSE)</f>
        <v>Diesel S10</v>
      </c>
      <c r="G334" s="554" t="s">
        <v>415</v>
      </c>
      <c r="H334" s="560">
        <f>VLOOKUP(B334,EQUIPAMENTOS!$A:$N,13,FALSE)</f>
        <v>0</v>
      </c>
      <c r="I334" s="556">
        <f>VLOOKUP(B334,EQUIPAMENTOS!$A:$N,14,FALSE)</f>
        <v>26</v>
      </c>
      <c r="J334" s="505">
        <f>H334*I334*E317*F317</f>
        <v>0</v>
      </c>
      <c r="K334" s="471"/>
      <c r="L334" s="6"/>
    </row>
    <row r="335" spans="1:16">
      <c r="A335" s="463"/>
      <c r="B335" s="557" t="str">
        <f t="shared" ref="B335:B336" si="0">B318</f>
        <v>Pá Carregadeira</v>
      </c>
      <c r="C335" s="531"/>
      <c r="D335" s="531"/>
      <c r="E335" s="500"/>
      <c r="F335" s="553" t="str">
        <f>VLOOKUP(B335,EQUIPAMENTOS!$A:$N,12,FALSE)</f>
        <v>Diesel S10</v>
      </c>
      <c r="G335" s="554" t="s">
        <v>415</v>
      </c>
      <c r="H335" s="560">
        <f>VLOOKUP(B335,EQUIPAMENTOS!$A:$N,13,FALSE)</f>
        <v>0</v>
      </c>
      <c r="I335" s="556">
        <f>VLOOKUP(B335,EQUIPAMENTOS!$A:$N,14,FALSE)</f>
        <v>16</v>
      </c>
      <c r="J335" s="505">
        <f>H335*I335*E318*F318</f>
        <v>0</v>
      </c>
      <c r="K335" s="471"/>
      <c r="L335" s="6"/>
    </row>
    <row r="336" spans="1:16">
      <c r="A336" s="463"/>
      <c r="B336" s="557" t="str">
        <f t="shared" si="0"/>
        <v>Caminhão basculante 14 m³</v>
      </c>
      <c r="C336" s="539"/>
      <c r="D336" s="539"/>
      <c r="E336" s="507"/>
      <c r="F336" s="553" t="str">
        <f>VLOOKUP(B336,EQUIPAMENTOS!$A:$N,12,FALSE)</f>
        <v>Diesel S10</v>
      </c>
      <c r="G336" s="736" t="s">
        <v>415</v>
      </c>
      <c r="H336" s="560">
        <f>VLOOKUP(B336,EQUIPAMENTOS!$A:$N,13,FALSE)</f>
        <v>0</v>
      </c>
      <c r="I336" s="556">
        <f>VLOOKUP(B336,EQUIPAMENTOS!$A:$N,14,FALSE)</f>
        <v>2.5</v>
      </c>
      <c r="J336" s="505">
        <f>H336*I336*E319*F319</f>
        <v>0</v>
      </c>
      <c r="K336" s="471"/>
    </row>
    <row r="337" spans="1:14">
      <c r="A337" s="463"/>
      <c r="B337" s="563" t="s">
        <v>946</v>
      </c>
      <c r="C337" s="539"/>
      <c r="D337" s="539"/>
      <c r="E337" s="539"/>
      <c r="F337" s="536"/>
      <c r="G337" s="539"/>
      <c r="H337" s="564"/>
      <c r="I337" s="565" t="s">
        <v>175</v>
      </c>
      <c r="J337" s="514">
        <f>SUM(J333:J336)</f>
        <v>0</v>
      </c>
      <c r="K337" s="471"/>
    </row>
    <row r="338" spans="1:14">
      <c r="A338" s="463"/>
      <c r="B338" s="566"/>
      <c r="C338" s="539"/>
      <c r="D338" s="539"/>
      <c r="E338" s="567"/>
      <c r="F338" s="568"/>
      <c r="G338" s="519"/>
      <c r="H338" s="519"/>
      <c r="I338" s="542"/>
      <c r="J338" s="567"/>
      <c r="K338" s="471"/>
    </row>
    <row r="339" spans="1:14" ht="20.399999999999999">
      <c r="A339" s="463"/>
      <c r="B339" s="1493" t="s">
        <v>955</v>
      </c>
      <c r="C339" s="1494"/>
      <c r="D339" s="1494"/>
      <c r="E339" s="1494"/>
      <c r="F339" s="1495"/>
      <c r="G339" s="569" t="s">
        <v>372</v>
      </c>
      <c r="H339" s="519" t="s">
        <v>956</v>
      </c>
      <c r="I339" s="570" t="s">
        <v>942</v>
      </c>
      <c r="J339" s="522" t="s">
        <v>363</v>
      </c>
      <c r="K339" s="471"/>
    </row>
    <row r="340" spans="1:14">
      <c r="A340" s="463"/>
      <c r="B340" s="571"/>
      <c r="C340" s="572"/>
      <c r="D340" s="573"/>
      <c r="E340" s="573"/>
      <c r="F340" s="574"/>
      <c r="G340" s="502"/>
      <c r="H340" s="502"/>
      <c r="I340" s="575"/>
      <c r="J340" s="505"/>
      <c r="K340" s="471"/>
    </row>
    <row r="341" spans="1:14">
      <c r="A341" s="463"/>
      <c r="B341" s="576"/>
      <c r="C341" s="577"/>
      <c r="D341" s="578"/>
      <c r="E341" s="578"/>
      <c r="F341" s="579"/>
      <c r="G341" s="502"/>
      <c r="H341" s="502"/>
      <c r="I341" s="575"/>
      <c r="J341" s="505"/>
      <c r="K341" s="471"/>
    </row>
    <row r="342" spans="1:14">
      <c r="A342" s="463"/>
      <c r="B342" s="1496" t="s">
        <v>175</v>
      </c>
      <c r="C342" s="1496"/>
      <c r="D342" s="1496"/>
      <c r="E342" s="1496"/>
      <c r="F342" s="1496"/>
      <c r="G342" s="1496"/>
      <c r="H342" s="1496"/>
      <c r="I342" s="1496"/>
      <c r="J342" s="514">
        <f>SUM(J340:J341)</f>
        <v>0</v>
      </c>
      <c r="K342" s="471"/>
    </row>
    <row r="343" spans="1:14">
      <c r="A343" s="463"/>
      <c r="B343" s="580"/>
      <c r="C343" s="524"/>
      <c r="D343" s="524"/>
      <c r="E343" s="581"/>
      <c r="F343" s="582"/>
      <c r="G343" s="583"/>
      <c r="H343" s="583"/>
      <c r="I343" s="584"/>
      <c r="J343" s="585"/>
      <c r="K343" s="471"/>
    </row>
    <row r="344" spans="1:14">
      <c r="A344" s="463"/>
      <c r="B344" s="586" t="s">
        <v>957</v>
      </c>
      <c r="C344" s="586"/>
      <c r="D344" s="563"/>
      <c r="E344" s="536"/>
      <c r="F344" s="536"/>
      <c r="G344" s="536"/>
      <c r="H344" s="587"/>
      <c r="I344" s="588"/>
      <c r="J344" s="514">
        <f>(J330+J337+J342)/E330</f>
        <v>9.5958484686580103</v>
      </c>
      <c r="K344" s="471"/>
      <c r="L344">
        <v>9.5960640247821818</v>
      </c>
    </row>
    <row r="345" spans="1:14">
      <c r="A345" s="463"/>
      <c r="B345" s="566"/>
      <c r="C345" s="539"/>
      <c r="D345" s="539"/>
      <c r="E345" s="567"/>
      <c r="F345" s="568"/>
      <c r="G345" s="519"/>
      <c r="H345" s="519"/>
      <c r="I345" s="542"/>
      <c r="J345" s="589"/>
      <c r="K345" s="471"/>
      <c r="N345" s="6"/>
    </row>
    <row r="346" spans="1:14" ht="20.399999999999999">
      <c r="A346" s="463"/>
      <c r="B346" s="1493" t="s">
        <v>958</v>
      </c>
      <c r="C346" s="1494"/>
      <c r="D346" s="1494"/>
      <c r="E346" s="1494"/>
      <c r="F346" s="1495"/>
      <c r="G346" s="569" t="s">
        <v>372</v>
      </c>
      <c r="H346" s="519" t="s">
        <v>956</v>
      </c>
      <c r="I346" s="570" t="s">
        <v>942</v>
      </c>
      <c r="J346" s="522" t="s">
        <v>363</v>
      </c>
      <c r="K346" s="471"/>
      <c r="N346" s="6"/>
    </row>
    <row r="347" spans="1:14">
      <c r="A347" s="463"/>
      <c r="B347" s="571"/>
      <c r="C347" s="572"/>
      <c r="D347" s="573"/>
      <c r="E347" s="573"/>
      <c r="F347" s="574"/>
      <c r="G347" s="502"/>
      <c r="H347" s="502"/>
      <c r="I347" s="575"/>
      <c r="J347" s="505">
        <f>G347*I347</f>
        <v>0</v>
      </c>
      <c r="K347" s="471"/>
    </row>
    <row r="348" spans="1:14">
      <c r="A348" s="463"/>
      <c r="B348" s="576"/>
      <c r="C348" s="577"/>
      <c r="D348" s="578"/>
      <c r="E348" s="578"/>
      <c r="F348" s="579"/>
      <c r="G348" s="502"/>
      <c r="H348" s="502"/>
      <c r="I348" s="575"/>
      <c r="J348" s="505">
        <f>G348*I348</f>
        <v>0</v>
      </c>
      <c r="K348" s="471"/>
    </row>
    <row r="349" spans="1:14">
      <c r="A349" s="463"/>
      <c r="B349" s="576"/>
      <c r="C349" s="577"/>
      <c r="D349" s="578"/>
      <c r="E349" s="578"/>
      <c r="F349" s="579"/>
      <c r="G349" s="502"/>
      <c r="H349" s="502"/>
      <c r="I349" s="575"/>
      <c r="J349" s="505">
        <f>G349*I349</f>
        <v>0</v>
      </c>
      <c r="K349" s="471"/>
    </row>
    <row r="350" spans="1:14">
      <c r="A350" s="463"/>
      <c r="B350" s="590"/>
      <c r="C350" s="591"/>
      <c r="D350" s="592"/>
      <c r="E350" s="592"/>
      <c r="F350" s="593"/>
      <c r="G350" s="502"/>
      <c r="H350" s="502"/>
      <c r="I350" s="575"/>
      <c r="J350" s="505">
        <f>G350*I350</f>
        <v>0</v>
      </c>
      <c r="K350" s="471"/>
    </row>
    <row r="351" spans="1:14">
      <c r="A351" s="463"/>
      <c r="B351" s="594"/>
      <c r="C351" s="536"/>
      <c r="D351" s="536"/>
      <c r="E351" s="595"/>
      <c r="F351" s="596"/>
      <c r="G351" s="545"/>
      <c r="H351" s="545"/>
      <c r="I351" s="537" t="s">
        <v>175</v>
      </c>
      <c r="J351" s="514">
        <f>SUM(J347:J350)</f>
        <v>0</v>
      </c>
      <c r="K351" s="471"/>
    </row>
    <row r="352" spans="1:14">
      <c r="A352" s="463"/>
      <c r="B352" s="597"/>
      <c r="C352" s="536"/>
      <c r="D352" s="536"/>
      <c r="E352" s="595"/>
      <c r="F352" s="596"/>
      <c r="G352" s="545"/>
      <c r="H352" s="545"/>
      <c r="I352" s="537"/>
      <c r="J352" s="595"/>
      <c r="K352" s="471"/>
    </row>
    <row r="353" spans="1:11" ht="20.399999999999999">
      <c r="A353" s="463"/>
      <c r="B353" s="598" t="s">
        <v>959</v>
      </c>
      <c r="C353" s="598"/>
      <c r="D353" s="598"/>
      <c r="E353" s="599"/>
      <c r="F353" s="600" t="s">
        <v>372</v>
      </c>
      <c r="G353" s="569" t="s">
        <v>960</v>
      </c>
      <c r="H353" s="519" t="s">
        <v>942</v>
      </c>
      <c r="I353" s="570" t="s">
        <v>361</v>
      </c>
      <c r="J353" s="522" t="s">
        <v>363</v>
      </c>
      <c r="K353" s="471"/>
    </row>
    <row r="354" spans="1:11">
      <c r="A354" s="463"/>
      <c r="B354" s="571"/>
      <c r="C354" s="572"/>
      <c r="D354" s="573"/>
      <c r="E354" s="574"/>
      <c r="F354" s="502"/>
      <c r="G354" s="502"/>
      <c r="H354" s="624"/>
      <c r="I354" s="575"/>
      <c r="J354" s="505"/>
      <c r="K354" s="471"/>
    </row>
    <row r="355" spans="1:11">
      <c r="A355" s="463"/>
      <c r="B355" s="590" t="s">
        <v>946</v>
      </c>
      <c r="C355" s="591"/>
      <c r="D355" s="592"/>
      <c r="E355" s="593" t="s">
        <v>946</v>
      </c>
      <c r="F355" s="509">
        <v>0</v>
      </c>
      <c r="G355" s="509">
        <v>0</v>
      </c>
      <c r="H355" s="509">
        <v>0</v>
      </c>
      <c r="I355" s="601">
        <v>0</v>
      </c>
      <c r="J355" s="505">
        <f>I355*H355*G355*F355</f>
        <v>0</v>
      </c>
      <c r="K355" s="471"/>
    </row>
    <row r="356" spans="1:11">
      <c r="A356" s="463"/>
      <c r="B356" s="594"/>
      <c r="C356" s="536"/>
      <c r="D356" s="536"/>
      <c r="E356" s="595"/>
      <c r="F356" s="596"/>
      <c r="G356" s="545"/>
      <c r="H356" s="545"/>
      <c r="I356" s="537" t="s">
        <v>175</v>
      </c>
      <c r="J356" s="514">
        <f>SUM(J354:J355)</f>
        <v>0</v>
      </c>
      <c r="K356" s="471"/>
    </row>
    <row r="357" spans="1:11">
      <c r="A357" s="463"/>
      <c r="B357" s="536"/>
      <c r="C357" s="536"/>
      <c r="D357" s="536"/>
      <c r="E357" s="536"/>
      <c r="F357" s="536"/>
      <c r="G357" s="536"/>
      <c r="H357" s="536"/>
      <c r="I357" s="537"/>
      <c r="J357" s="536"/>
      <c r="K357" s="471"/>
    </row>
    <row r="358" spans="1:11">
      <c r="A358" s="463"/>
      <c r="B358" s="1481" t="s">
        <v>961</v>
      </c>
      <c r="C358" s="1482"/>
      <c r="D358" s="1482"/>
      <c r="E358" s="1482"/>
      <c r="F358" s="1482"/>
      <c r="G358" s="1482"/>
      <c r="H358" s="1482"/>
      <c r="I358" s="1483"/>
      <c r="J358" s="586">
        <f>J356+J351+J344</f>
        <v>9.5958484686580103</v>
      </c>
      <c r="K358" s="471"/>
    </row>
    <row r="359" spans="1:11">
      <c r="A359" s="463"/>
      <c r="B359" s="536"/>
      <c r="C359" s="536"/>
      <c r="D359" s="536"/>
      <c r="E359" s="536"/>
      <c r="F359" s="536"/>
      <c r="G359" s="536"/>
      <c r="H359" s="536"/>
      <c r="I359" s="537"/>
      <c r="J359" s="536"/>
      <c r="K359" s="471"/>
    </row>
    <row r="360" spans="1:11">
      <c r="A360" s="463"/>
      <c r="B360" s="1481" t="s">
        <v>962</v>
      </c>
      <c r="C360" s="1482"/>
      <c r="D360" s="1482"/>
      <c r="E360" s="1482"/>
      <c r="F360" s="1482"/>
      <c r="G360" s="1482"/>
      <c r="H360" s="1482"/>
      <c r="I360" s="1483"/>
      <c r="J360" s="514">
        <f>J358*0</f>
        <v>0</v>
      </c>
      <c r="K360" s="471"/>
    </row>
    <row r="361" spans="1:11">
      <c r="A361" s="463"/>
      <c r="B361" s="536"/>
      <c r="C361" s="536"/>
      <c r="D361" s="536"/>
      <c r="E361" s="536"/>
      <c r="F361" s="536"/>
      <c r="G361" s="536"/>
      <c r="H361" s="536"/>
      <c r="I361" s="537"/>
      <c r="J361" s="536"/>
      <c r="K361" s="471"/>
    </row>
    <row r="362" spans="1:11">
      <c r="A362" s="463"/>
      <c r="B362" s="1481" t="s">
        <v>963</v>
      </c>
      <c r="C362" s="1482"/>
      <c r="D362" s="1482"/>
      <c r="E362" s="1482"/>
      <c r="F362" s="1482"/>
      <c r="G362" s="1482"/>
      <c r="H362" s="1482"/>
      <c r="I362" s="1483"/>
      <c r="J362" s="586">
        <f>J358+J360</f>
        <v>9.5958484686580103</v>
      </c>
      <c r="K362" s="471"/>
    </row>
    <row r="363" spans="1:11">
      <c r="A363" s="463"/>
      <c r="B363" s="524"/>
      <c r="C363" s="524"/>
      <c r="D363" s="524"/>
      <c r="E363" s="524"/>
      <c r="F363" s="524"/>
      <c r="G363" s="524"/>
      <c r="H363" s="524"/>
      <c r="I363" s="584"/>
      <c r="J363" s="524"/>
      <c r="K363" s="471"/>
    </row>
    <row r="364" spans="1:11">
      <c r="A364" s="463"/>
      <c r="B364" s="602"/>
      <c r="C364" s="572"/>
      <c r="D364" s="572"/>
      <c r="E364" s="572"/>
      <c r="F364" s="572"/>
      <c r="G364" s="572"/>
      <c r="H364" s="572"/>
      <c r="I364" s="572"/>
      <c r="J364" s="603"/>
      <c r="K364" s="471"/>
    </row>
    <row r="365" spans="1:11">
      <c r="A365" s="463"/>
      <c r="B365" s="604"/>
      <c r="C365" s="605"/>
      <c r="D365" s="606"/>
      <c r="E365" s="606"/>
      <c r="F365" s="607" t="s">
        <v>946</v>
      </c>
      <c r="G365" s="608" t="s">
        <v>946</v>
      </c>
      <c r="H365" s="605"/>
      <c r="I365" s="605"/>
      <c r="J365" s="609"/>
      <c r="K365" s="471"/>
    </row>
    <row r="366" spans="1:11">
      <c r="A366" s="463"/>
      <c r="B366" s="472"/>
      <c r="C366" s="472"/>
      <c r="D366" s="472"/>
      <c r="E366" s="472"/>
      <c r="F366" s="472"/>
      <c r="G366" s="472"/>
      <c r="H366" s="472"/>
      <c r="I366" s="472"/>
      <c r="J366" s="472"/>
      <c r="K366" s="471"/>
    </row>
    <row r="367" spans="1:11">
      <c r="A367" s="463"/>
      <c r="B367" s="610" t="str">
        <f>PLANEJAMENTO!F2</f>
        <v>OPERAÇÃO DE SUPRESSÃO E SUMP</v>
      </c>
      <c r="C367" s="611"/>
      <c r="D367" s="611"/>
      <c r="E367" s="611"/>
      <c r="F367" s="612"/>
      <c r="G367" s="613" t="s">
        <v>363</v>
      </c>
      <c r="H367" s="515"/>
      <c r="I367" s="515"/>
      <c r="J367" s="518"/>
      <c r="K367" s="471"/>
    </row>
    <row r="368" spans="1:11">
      <c r="A368" s="463"/>
      <c r="B368" s="956" t="str">
        <f>PLANEJAMENTO!F3</f>
        <v>MARA ROSA</v>
      </c>
      <c r="C368" s="957"/>
      <c r="D368" s="957"/>
      <c r="E368" s="957"/>
      <c r="F368" s="958"/>
      <c r="G368" s="1484" t="s">
        <v>964</v>
      </c>
      <c r="H368" s="1485"/>
      <c r="I368" s="1485"/>
      <c r="J368" s="1486"/>
      <c r="K368" s="471"/>
    </row>
    <row r="369" spans="1:11">
      <c r="A369" s="463"/>
      <c r="B369" s="1015"/>
      <c r="C369" s="587"/>
      <c r="D369" s="587"/>
      <c r="E369" s="587"/>
      <c r="F369" s="587"/>
      <c r="G369" s="1014"/>
      <c r="H369" s="1014"/>
      <c r="I369" s="1014"/>
      <c r="J369" s="1016"/>
      <c r="K369" s="471"/>
    </row>
    <row r="370" spans="1:11">
      <c r="A370" s="463"/>
      <c r="B370" s="524"/>
      <c r="C370" s="524"/>
      <c r="D370" s="524"/>
      <c r="E370" s="524"/>
      <c r="F370" s="524"/>
      <c r="G370" s="524"/>
      <c r="H370" s="524"/>
      <c r="I370" s="584"/>
      <c r="J370" s="524"/>
      <c r="K370" s="471"/>
    </row>
    <row r="371" spans="1:11">
      <c r="A371" s="463"/>
      <c r="B371" s="472"/>
      <c r="C371" s="472"/>
      <c r="D371" s="472"/>
      <c r="E371" s="472"/>
      <c r="F371" s="472"/>
      <c r="G371" s="472"/>
      <c r="H371" s="472"/>
      <c r="I371" s="472"/>
      <c r="J371" s="472"/>
      <c r="K371" s="471"/>
    </row>
    <row r="372" spans="1:11">
      <c r="A372" s="463"/>
      <c r="B372" s="464" t="s">
        <v>178</v>
      </c>
      <c r="C372" s="465"/>
      <c r="D372" s="466" t="s">
        <v>936</v>
      </c>
      <c r="E372" s="467"/>
      <c r="F372" s="468"/>
      <c r="G372" s="468"/>
      <c r="H372" s="469"/>
      <c r="I372" s="469"/>
      <c r="J372" s="470"/>
      <c r="K372" s="471"/>
    </row>
    <row r="373" spans="1:11">
      <c r="A373" s="463"/>
      <c r="B373" s="472"/>
      <c r="C373" s="472"/>
      <c r="D373" s="472"/>
      <c r="E373" s="472"/>
      <c r="F373" s="472"/>
      <c r="G373" s="472"/>
      <c r="H373" s="472"/>
      <c r="I373" s="472"/>
      <c r="J373" s="472"/>
      <c r="K373" s="471"/>
    </row>
    <row r="374" spans="1:11">
      <c r="A374" s="463"/>
      <c r="B374" s="473" t="s">
        <v>688</v>
      </c>
      <c r="C374" s="474" t="s">
        <v>937</v>
      </c>
      <c r="D374" s="1497" t="s">
        <v>250</v>
      </c>
      <c r="E374" s="1498"/>
      <c r="F374" s="1498"/>
      <c r="G374" s="1498"/>
      <c r="H374" s="1498"/>
      <c r="I374" s="1499"/>
      <c r="J374" s="475" t="s">
        <v>267</v>
      </c>
      <c r="K374" s="471"/>
    </row>
    <row r="375" spans="1:11" ht="22.2" customHeight="1">
      <c r="A375" s="463"/>
      <c r="B375" s="476" t="s">
        <v>3</v>
      </c>
      <c r="C375" s="477">
        <f ca="1">PLANEJAMENTO!F4</f>
        <v>46140</v>
      </c>
      <c r="D375" s="681" t="s">
        <v>1477</v>
      </c>
      <c r="E375" s="479"/>
      <c r="F375" s="479"/>
      <c r="G375" s="479"/>
      <c r="H375" s="479"/>
      <c r="I375" s="480"/>
      <c r="J375" s="481" t="s">
        <v>203</v>
      </c>
      <c r="K375" s="471"/>
    </row>
    <row r="376" spans="1:11">
      <c r="A376" s="463"/>
      <c r="B376" s="482"/>
      <c r="C376" s="482"/>
      <c r="D376" s="482"/>
      <c r="E376" s="482"/>
      <c r="F376" s="482"/>
      <c r="G376" s="482"/>
      <c r="H376" s="482"/>
      <c r="I376" s="483"/>
      <c r="J376" s="484"/>
      <c r="K376" s="471"/>
    </row>
    <row r="377" spans="1:11">
      <c r="A377" s="463"/>
      <c r="B377" s="1484" t="s">
        <v>938</v>
      </c>
      <c r="C377" s="1486"/>
      <c r="D377" s="1502" t="s">
        <v>688</v>
      </c>
      <c r="E377" s="1504" t="s">
        <v>939</v>
      </c>
      <c r="F377" s="485" t="s">
        <v>940</v>
      </c>
      <c r="G377" s="486"/>
      <c r="H377" s="485" t="s">
        <v>941</v>
      </c>
      <c r="I377" s="486"/>
      <c r="J377" s="487" t="s">
        <v>942</v>
      </c>
      <c r="K377" s="471"/>
    </row>
    <row r="378" spans="1:11">
      <c r="A378" s="463"/>
      <c r="B378" s="1500"/>
      <c r="C378" s="1501"/>
      <c r="D378" s="1503"/>
      <c r="E378" s="1505"/>
      <c r="F378" s="488" t="s">
        <v>943</v>
      </c>
      <c r="G378" s="488" t="s">
        <v>944</v>
      </c>
      <c r="H378" s="488" t="s">
        <v>943</v>
      </c>
      <c r="I378" s="489" t="s">
        <v>944</v>
      </c>
      <c r="J378" s="490" t="s">
        <v>945</v>
      </c>
      <c r="K378" s="471"/>
    </row>
    <row r="379" spans="1:11">
      <c r="A379" s="463"/>
      <c r="B379" s="491" t="s">
        <v>669</v>
      </c>
      <c r="C379" s="492"/>
      <c r="D379" s="493"/>
      <c r="E379" s="494">
        <v>1</v>
      </c>
      <c r="F379" s="494">
        <v>1</v>
      </c>
      <c r="G379" s="495">
        <f>1-F379</f>
        <v>0</v>
      </c>
      <c r="H379" s="496">
        <f>VLOOKUP(B379,EQUIPAMENTOS!$A:$J,10,FALSE)</f>
        <v>214.36944444444444</v>
      </c>
      <c r="I379" s="497">
        <f>H379</f>
        <v>214.36944444444444</v>
      </c>
      <c r="J379" s="498">
        <f>H379*F379*E379+I379*G379*E379</f>
        <v>214.36944444444444</v>
      </c>
      <c r="K379" s="471"/>
    </row>
    <row r="380" spans="1:11">
      <c r="A380" s="463"/>
      <c r="B380" s="499" t="s">
        <v>954</v>
      </c>
      <c r="C380" s="500"/>
      <c r="D380" s="501"/>
      <c r="E380" s="875">
        <v>1</v>
      </c>
      <c r="F380" s="502">
        <v>1</v>
      </c>
      <c r="G380" s="502">
        <f>1-F380</f>
        <v>0</v>
      </c>
      <c r="H380" s="503">
        <f>VLOOKUP(B380,EQUIPAMENTOS!$A:$J,10,FALSE)</f>
        <v>192.58333333333334</v>
      </c>
      <c r="I380" s="504">
        <f>H380</f>
        <v>192.58333333333334</v>
      </c>
      <c r="J380" s="505">
        <f>H380*F380*E380+I380*G380*E380</f>
        <v>192.58333333333334</v>
      </c>
      <c r="K380" s="471"/>
    </row>
    <row r="381" spans="1:11">
      <c r="A381" s="463"/>
      <c r="B381" s="499" t="s">
        <v>1157</v>
      </c>
      <c r="C381" s="500"/>
      <c r="D381" s="501"/>
      <c r="E381" s="502">
        <v>5</v>
      </c>
      <c r="F381" s="502">
        <v>1</v>
      </c>
      <c r="G381" s="502">
        <f>1-F381</f>
        <v>0</v>
      </c>
      <c r="H381" s="503">
        <f>VLOOKUP(B381,EQUIPAMENTOS!$A:$J,10,FALSE)</f>
        <v>125</v>
      </c>
      <c r="I381" s="504">
        <f>H381</f>
        <v>125</v>
      </c>
      <c r="J381" s="505">
        <f>H381*F381*E381+I381*G381*E381</f>
        <v>625</v>
      </c>
      <c r="K381" s="471"/>
    </row>
    <row r="382" spans="1:11">
      <c r="A382" s="463"/>
      <c r="B382" s="499"/>
      <c r="C382" s="500"/>
      <c r="D382" s="501"/>
      <c r="E382" s="502"/>
      <c r="F382" s="502"/>
      <c r="G382" s="502"/>
      <c r="H382" s="503"/>
      <c r="I382" s="504"/>
      <c r="J382" s="505"/>
      <c r="K382" s="471"/>
    </row>
    <row r="383" spans="1:11">
      <c r="A383" s="463"/>
      <c r="B383" s="506"/>
      <c r="C383" s="507"/>
      <c r="D383" s="508"/>
      <c r="E383" s="509"/>
      <c r="F383" s="509"/>
      <c r="G383" s="509"/>
      <c r="H383" s="510"/>
      <c r="I383" s="511"/>
      <c r="J383" s="505">
        <f>H383*F383*E383+I383*G383*E383</f>
        <v>0</v>
      </c>
      <c r="K383" s="471"/>
    </row>
    <row r="384" spans="1:11">
      <c r="A384" s="463"/>
      <c r="B384" s="512" t="s">
        <v>946</v>
      </c>
      <c r="C384" s="482"/>
      <c r="D384" s="482"/>
      <c r="E384" s="482"/>
      <c r="F384" s="482"/>
      <c r="G384" s="482"/>
      <c r="H384" s="482"/>
      <c r="I384" s="513" t="s">
        <v>175</v>
      </c>
      <c r="J384" s="514">
        <f>SUM(J379:J383)</f>
        <v>1031.9527777777778</v>
      </c>
      <c r="K384" s="471"/>
    </row>
    <row r="385" spans="1:11">
      <c r="A385" s="463"/>
      <c r="B385" s="515"/>
      <c r="C385" s="515"/>
      <c r="D385" s="515"/>
      <c r="E385" s="515"/>
      <c r="F385" s="515"/>
      <c r="G385" s="515"/>
      <c r="H385" s="515"/>
      <c r="I385" s="516"/>
      <c r="J385" s="517"/>
      <c r="K385" s="471"/>
    </row>
    <row r="386" spans="1:11" ht="25.2" customHeight="1">
      <c r="A386" s="463"/>
      <c r="B386" s="1490" t="s">
        <v>947</v>
      </c>
      <c r="C386" s="1491"/>
      <c r="D386" s="1491"/>
      <c r="E386" s="1492"/>
      <c r="F386" s="725" t="s">
        <v>688</v>
      </c>
      <c r="G386" s="853"/>
      <c r="H386" s="520" t="s">
        <v>427</v>
      </c>
      <c r="I386" s="521" t="s">
        <v>948</v>
      </c>
      <c r="J386" s="522" t="s">
        <v>949</v>
      </c>
      <c r="K386" s="471"/>
    </row>
    <row r="387" spans="1:11" ht="14.4" customHeight="1">
      <c r="A387" s="463"/>
      <c r="B387" s="523" t="s">
        <v>950</v>
      </c>
      <c r="C387" s="524"/>
      <c r="D387" s="525"/>
      <c r="E387" s="526"/>
      <c r="F387" s="527"/>
      <c r="G387" s="528"/>
      <c r="H387" s="529">
        <f>E381</f>
        <v>5</v>
      </c>
      <c r="I387" s="534">
        <f>(VLOOKUP(B387,'MÃO DE OBRA'!$A:$E,5,FALSE)/220)</f>
        <v>26.714454545454547</v>
      </c>
      <c r="J387" s="505">
        <f>H387*I387</f>
        <v>133.57227272727275</v>
      </c>
      <c r="K387" s="471"/>
    </row>
    <row r="388" spans="1:11">
      <c r="A388" s="463"/>
      <c r="B388" s="530" t="s">
        <v>976</v>
      </c>
      <c r="C388" s="531"/>
      <c r="D388" s="472"/>
      <c r="E388" s="500"/>
      <c r="F388" s="501"/>
      <c r="G388" s="532"/>
      <c r="H388" s="533">
        <f>E379</f>
        <v>1</v>
      </c>
      <c r="I388" s="534">
        <f>(VLOOKUP(B388,'MÃO DE OBRA'!$A:$E,5,FALSE)/220)</f>
        <v>35.711036363636367</v>
      </c>
      <c r="J388" s="505">
        <f>H388*I388</f>
        <v>35.711036363636367</v>
      </c>
      <c r="K388" s="471"/>
    </row>
    <row r="389" spans="1:11">
      <c r="A389" s="463"/>
      <c r="B389" s="530" t="s">
        <v>472</v>
      </c>
      <c r="C389" s="531"/>
      <c r="D389" s="472"/>
      <c r="E389" s="500"/>
      <c r="F389" s="501"/>
      <c r="G389" s="532"/>
      <c r="H389" s="533">
        <v>3</v>
      </c>
      <c r="I389" s="534">
        <f>(VLOOKUP(B389,'MÃO DE OBRA'!$A:$E,5,FALSE)/220)</f>
        <v>18.377072727272729</v>
      </c>
      <c r="J389" s="505">
        <f>H389*I389</f>
        <v>55.131218181818184</v>
      </c>
      <c r="K389" s="471"/>
    </row>
    <row r="390" spans="1:11">
      <c r="A390" s="463"/>
      <c r="B390" s="530" t="s">
        <v>951</v>
      </c>
      <c r="C390" s="531"/>
      <c r="D390" s="472"/>
      <c r="E390" s="500"/>
      <c r="F390" s="501"/>
      <c r="G390" s="532"/>
      <c r="H390" s="533">
        <f>E380</f>
        <v>1</v>
      </c>
      <c r="I390" s="534">
        <f>(VLOOKUP(B390,'MÃO DE OBRA'!$A:$E,5,FALSE)/220)</f>
        <v>26.270618181818183</v>
      </c>
      <c r="J390" s="505">
        <f>H390*I390</f>
        <v>26.270618181818183</v>
      </c>
      <c r="K390" s="471"/>
    </row>
    <row r="391" spans="1:11">
      <c r="A391" s="463"/>
      <c r="B391" s="512" t="s">
        <v>946</v>
      </c>
      <c r="C391" s="515"/>
      <c r="D391" s="515"/>
      <c r="E391" s="515"/>
      <c r="F391" s="515"/>
      <c r="G391" s="515"/>
      <c r="H391" s="515"/>
      <c r="I391" s="535" t="s">
        <v>175</v>
      </c>
      <c r="J391" s="514">
        <f>SUM(J387:J390)</f>
        <v>250.68514545454548</v>
      </c>
      <c r="K391" s="471"/>
    </row>
    <row r="392" spans="1:11">
      <c r="A392" s="463"/>
      <c r="B392" s="536"/>
      <c r="C392" s="536"/>
      <c r="D392" s="536"/>
      <c r="E392" s="536"/>
      <c r="F392" s="536"/>
      <c r="G392" s="536"/>
      <c r="H392" s="536"/>
      <c r="I392" s="537"/>
      <c r="J392" s="536"/>
      <c r="K392" s="471"/>
    </row>
    <row r="393" spans="1:11">
      <c r="A393" s="463"/>
      <c r="B393" s="538" t="s">
        <v>952</v>
      </c>
      <c r="C393" s="539"/>
      <c r="D393" s="536"/>
      <c r="E393" s="540">
        <v>108.1009925850901</v>
      </c>
      <c r="F393" s="541" t="s">
        <v>931</v>
      </c>
      <c r="G393" s="519"/>
      <c r="H393" s="519"/>
      <c r="I393" s="542" t="s">
        <v>953</v>
      </c>
      <c r="J393" s="514">
        <f>J384+J391</f>
        <v>1282.6379232323234</v>
      </c>
      <c r="K393" s="471"/>
    </row>
    <row r="394" spans="1:11">
      <c r="A394" s="463"/>
      <c r="B394" s="543"/>
      <c r="C394" s="536"/>
      <c r="D394" s="536"/>
      <c r="E394" s="544"/>
      <c r="F394" s="545"/>
      <c r="G394" s="545"/>
      <c r="H394" s="545"/>
      <c r="I394" s="537"/>
      <c r="J394" s="536"/>
      <c r="K394" s="471"/>
    </row>
    <row r="395" spans="1:11" ht="20.399999999999999">
      <c r="A395" s="463"/>
      <c r="B395" s="1493" t="s">
        <v>362</v>
      </c>
      <c r="C395" s="1494"/>
      <c r="D395" s="1494"/>
      <c r="E395" s="1495"/>
      <c r="F395" s="546" t="s">
        <v>688</v>
      </c>
      <c r="G395" s="547" t="s">
        <v>371</v>
      </c>
      <c r="H395" s="520" t="s">
        <v>942</v>
      </c>
      <c r="I395" s="548" t="s">
        <v>361</v>
      </c>
      <c r="J395" s="549" t="s">
        <v>363</v>
      </c>
      <c r="K395" s="471"/>
    </row>
    <row r="396" spans="1:11">
      <c r="A396" s="463"/>
      <c r="B396" s="550" t="str">
        <f>B379</f>
        <v>Trator de esteiras 20T</v>
      </c>
      <c r="C396" s="551"/>
      <c r="D396" s="551"/>
      <c r="E396" s="552"/>
      <c r="F396" s="553" t="str">
        <f>VLOOKUP(B396,EQUIPAMENTOS!$A:$N,12,FALSE)</f>
        <v>Diesel S10</v>
      </c>
      <c r="G396" s="554" t="s">
        <v>415</v>
      </c>
      <c r="H396" s="560">
        <f>VLOOKUP(B396,EQUIPAMENTOS!$A:$N,13,FALSE)</f>
        <v>0</v>
      </c>
      <c r="I396" s="556">
        <f>VLOOKUP(B396,EQUIPAMENTOS!$A:$N,14,FALSE)</f>
        <v>26</v>
      </c>
      <c r="J396" s="498">
        <f>H396*I396*E379*F379</f>
        <v>0</v>
      </c>
      <c r="K396" s="471"/>
    </row>
    <row r="397" spans="1:11">
      <c r="A397" s="463"/>
      <c r="B397" s="557" t="str">
        <f t="shared" ref="B397:B398" si="1">B380</f>
        <v>Pá Carregadeira</v>
      </c>
      <c r="C397" s="531"/>
      <c r="D397" s="531"/>
      <c r="E397" s="500"/>
      <c r="F397" s="553" t="str">
        <f>VLOOKUP(B397,EQUIPAMENTOS!$A:$N,12,FALSE)</f>
        <v>Diesel S10</v>
      </c>
      <c r="G397" s="554" t="s">
        <v>415</v>
      </c>
      <c r="H397" s="560">
        <f>VLOOKUP(B397,EQUIPAMENTOS!$A:$N,13,FALSE)</f>
        <v>0</v>
      </c>
      <c r="I397" s="556">
        <f>VLOOKUP(B397,EQUIPAMENTOS!$A:$N,14,FALSE)</f>
        <v>16</v>
      </c>
      <c r="J397" s="505">
        <f>H397*I397*E380*F380</f>
        <v>0</v>
      </c>
      <c r="K397" s="471"/>
    </row>
    <row r="398" spans="1:11">
      <c r="A398" s="463"/>
      <c r="B398" s="557" t="str">
        <f t="shared" si="1"/>
        <v>Caminhão basculante 14 m³</v>
      </c>
      <c r="C398" s="539"/>
      <c r="D398" s="539"/>
      <c r="E398" s="507"/>
      <c r="F398" s="553" t="str">
        <f>VLOOKUP(B398,EQUIPAMENTOS!$A:$N,12,FALSE)</f>
        <v>Diesel S10</v>
      </c>
      <c r="G398" s="736" t="s">
        <v>415</v>
      </c>
      <c r="H398" s="560">
        <f>VLOOKUP(B398,EQUIPAMENTOS!$A:$N,13,FALSE)</f>
        <v>0</v>
      </c>
      <c r="I398" s="556">
        <f>VLOOKUP(B398,EQUIPAMENTOS!$A:$N,14,FALSE)</f>
        <v>2.5</v>
      </c>
      <c r="J398" s="505">
        <f>H398*I398*E381*F381</f>
        <v>0</v>
      </c>
      <c r="K398" s="471"/>
    </row>
    <row r="399" spans="1:11" ht="14.25" customHeight="1">
      <c r="A399" s="463"/>
      <c r="B399" s="563" t="s">
        <v>946</v>
      </c>
      <c r="C399" s="539"/>
      <c r="D399" s="539"/>
      <c r="E399" s="539"/>
      <c r="F399" s="536"/>
      <c r="G399" s="539"/>
      <c r="H399" s="564"/>
      <c r="I399" s="565" t="s">
        <v>175</v>
      </c>
      <c r="J399" s="514">
        <f>SUM(J396:J398)</f>
        <v>0</v>
      </c>
      <c r="K399" s="471"/>
    </row>
    <row r="400" spans="1:11" ht="14.25" customHeight="1">
      <c r="A400" s="463"/>
      <c r="B400" s="566"/>
      <c r="C400" s="539"/>
      <c r="D400" s="539"/>
      <c r="E400" s="567"/>
      <c r="F400" s="568"/>
      <c r="G400" s="519"/>
      <c r="H400" s="519"/>
      <c r="I400" s="542"/>
      <c r="J400" s="567"/>
      <c r="K400" s="471"/>
    </row>
    <row r="401" spans="1:14" ht="25.95" customHeight="1">
      <c r="A401" s="463"/>
      <c r="B401" s="1493" t="s">
        <v>955</v>
      </c>
      <c r="C401" s="1494"/>
      <c r="D401" s="1494"/>
      <c r="E401" s="1494"/>
      <c r="F401" s="1495"/>
      <c r="G401" s="569" t="s">
        <v>372</v>
      </c>
      <c r="H401" s="519" t="s">
        <v>956</v>
      </c>
      <c r="I401" s="570" t="s">
        <v>942</v>
      </c>
      <c r="J401" s="522" t="s">
        <v>363</v>
      </c>
      <c r="K401" s="471"/>
    </row>
    <row r="402" spans="1:14" ht="14.25" customHeight="1">
      <c r="A402" s="463"/>
      <c r="B402" s="571"/>
      <c r="C402" s="572"/>
      <c r="D402" s="573"/>
      <c r="E402" s="573"/>
      <c r="F402" s="574"/>
      <c r="G402" s="502"/>
      <c r="H402" s="502"/>
      <c r="I402" s="575"/>
      <c r="J402" s="505"/>
      <c r="K402" s="471"/>
    </row>
    <row r="403" spans="1:14" ht="14.25" customHeight="1">
      <c r="A403" s="463"/>
      <c r="B403" s="576"/>
      <c r="C403" s="577"/>
      <c r="D403" s="578"/>
      <c r="E403" s="578"/>
      <c r="F403" s="579"/>
      <c r="G403" s="502"/>
      <c r="H403" s="502"/>
      <c r="I403" s="575"/>
      <c r="J403" s="505"/>
      <c r="K403" s="471"/>
    </row>
    <row r="404" spans="1:14">
      <c r="A404" s="463"/>
      <c r="B404" s="1496" t="s">
        <v>175</v>
      </c>
      <c r="C404" s="1496"/>
      <c r="D404" s="1496"/>
      <c r="E404" s="1496"/>
      <c r="F404" s="1496"/>
      <c r="G404" s="1496"/>
      <c r="H404" s="1496"/>
      <c r="I404" s="1496"/>
      <c r="J404" s="514">
        <f>SUM(J402:J403)</f>
        <v>0</v>
      </c>
      <c r="K404" s="471"/>
      <c r="L404" s="6"/>
    </row>
    <row r="405" spans="1:14">
      <c r="A405" s="463"/>
      <c r="B405" s="580"/>
      <c r="C405" s="524"/>
      <c r="D405" s="524"/>
      <c r="E405" s="581"/>
      <c r="F405" s="582"/>
      <c r="G405" s="583"/>
      <c r="H405" s="583"/>
      <c r="I405" s="584"/>
      <c r="J405" s="585"/>
      <c r="K405" s="471"/>
    </row>
    <row r="406" spans="1:14">
      <c r="A406" s="463"/>
      <c r="B406" s="586" t="s">
        <v>957</v>
      </c>
      <c r="C406" s="586"/>
      <c r="D406" s="563"/>
      <c r="E406" s="536"/>
      <c r="F406" s="536"/>
      <c r="G406" s="536"/>
      <c r="H406" s="587"/>
      <c r="I406" s="588"/>
      <c r="J406" s="514">
        <f>(J393+J399+J404)/E393</f>
        <v>11.865181739406452</v>
      </c>
      <c r="K406" s="471"/>
      <c r="L406">
        <v>11.865202438601012</v>
      </c>
    </row>
    <row r="407" spans="1:14">
      <c r="A407" s="463"/>
      <c r="B407" s="566"/>
      <c r="C407" s="539"/>
      <c r="D407" s="539"/>
      <c r="E407" s="567"/>
      <c r="F407" s="568"/>
      <c r="G407" s="519"/>
      <c r="H407" s="519"/>
      <c r="I407" s="542"/>
      <c r="J407" s="589"/>
      <c r="K407" s="471"/>
    </row>
    <row r="408" spans="1:14" ht="23.4" customHeight="1">
      <c r="A408" s="463"/>
      <c r="B408" s="1493" t="s">
        <v>958</v>
      </c>
      <c r="C408" s="1494"/>
      <c r="D408" s="1494"/>
      <c r="E408" s="1494"/>
      <c r="F408" s="1495"/>
      <c r="G408" s="569" t="s">
        <v>372</v>
      </c>
      <c r="H408" s="519" t="s">
        <v>956</v>
      </c>
      <c r="I408" s="570" t="s">
        <v>942</v>
      </c>
      <c r="J408" s="522" t="s">
        <v>363</v>
      </c>
      <c r="K408" s="471"/>
    </row>
    <row r="409" spans="1:14">
      <c r="A409" s="463"/>
      <c r="B409" s="571"/>
      <c r="C409" s="572"/>
      <c r="D409" s="573"/>
      <c r="E409" s="573"/>
      <c r="F409" s="574"/>
      <c r="G409" s="502"/>
      <c r="H409" s="502"/>
      <c r="I409" s="575"/>
      <c r="J409" s="505">
        <f>G409*I409</f>
        <v>0</v>
      </c>
      <c r="K409" s="471"/>
    </row>
    <row r="410" spans="1:14">
      <c r="A410" s="463"/>
      <c r="B410" s="576"/>
      <c r="C410" s="577"/>
      <c r="D410" s="578"/>
      <c r="E410" s="578"/>
      <c r="F410" s="579"/>
      <c r="G410" s="502"/>
      <c r="H410" s="502"/>
      <c r="I410" s="575"/>
      <c r="J410" s="505">
        <f>G410*I410</f>
        <v>0</v>
      </c>
      <c r="K410" s="471"/>
    </row>
    <row r="411" spans="1:14">
      <c r="A411" s="463"/>
      <c r="B411" s="576"/>
      <c r="C411" s="577"/>
      <c r="D411" s="578"/>
      <c r="E411" s="578"/>
      <c r="F411" s="579"/>
      <c r="G411" s="502"/>
      <c r="H411" s="502"/>
      <c r="I411" s="575"/>
      <c r="J411" s="505">
        <f>G411*I411</f>
        <v>0</v>
      </c>
      <c r="K411" s="471"/>
    </row>
    <row r="412" spans="1:14">
      <c r="A412" s="463"/>
      <c r="B412" s="590"/>
      <c r="C412" s="591"/>
      <c r="D412" s="592"/>
      <c r="E412" s="592"/>
      <c r="F412" s="593"/>
      <c r="G412" s="502"/>
      <c r="H412" s="502"/>
      <c r="I412" s="575"/>
      <c r="J412" s="505">
        <f>G412*I412</f>
        <v>0</v>
      </c>
      <c r="K412" s="471"/>
    </row>
    <row r="413" spans="1:14">
      <c r="A413" s="463"/>
      <c r="B413" s="594"/>
      <c r="C413" s="536"/>
      <c r="D413" s="536"/>
      <c r="E413" s="595"/>
      <c r="F413" s="596"/>
      <c r="G413" s="545"/>
      <c r="H413" s="545"/>
      <c r="I413" s="537" t="s">
        <v>175</v>
      </c>
      <c r="J413" s="514">
        <f>SUM(J409:J412)</f>
        <v>0</v>
      </c>
      <c r="K413" s="471"/>
    </row>
    <row r="414" spans="1:14">
      <c r="A414" s="463"/>
      <c r="B414" s="597"/>
      <c r="C414" s="536"/>
      <c r="D414" s="536"/>
      <c r="E414" s="595"/>
      <c r="F414" s="596"/>
      <c r="G414" s="545"/>
      <c r="H414" s="545"/>
      <c r="I414" s="537"/>
      <c r="J414" s="595"/>
      <c r="K414" s="471"/>
      <c r="L414" s="6"/>
      <c r="N414" s="6"/>
    </row>
    <row r="415" spans="1:14" ht="20.399999999999999">
      <c r="A415" s="463"/>
      <c r="B415" s="598" t="s">
        <v>959</v>
      </c>
      <c r="C415" s="598"/>
      <c r="D415" s="598"/>
      <c r="E415" s="599"/>
      <c r="F415" s="600" t="s">
        <v>372</v>
      </c>
      <c r="G415" s="569" t="s">
        <v>960</v>
      </c>
      <c r="H415" s="519" t="s">
        <v>942</v>
      </c>
      <c r="I415" s="570" t="s">
        <v>361</v>
      </c>
      <c r="J415" s="522" t="s">
        <v>363</v>
      </c>
      <c r="K415" s="471"/>
      <c r="N415" s="6"/>
    </row>
    <row r="416" spans="1:14">
      <c r="A416" s="463"/>
      <c r="B416" s="571"/>
      <c r="C416" s="572"/>
      <c r="D416" s="573"/>
      <c r="E416" s="574"/>
      <c r="F416" s="502"/>
      <c r="G416" s="502"/>
      <c r="H416" s="624"/>
      <c r="I416" s="575"/>
      <c r="J416" s="505"/>
      <c r="K416" s="471"/>
      <c r="N416" s="6"/>
    </row>
    <row r="417" spans="1:14">
      <c r="A417" s="463"/>
      <c r="B417" s="590" t="s">
        <v>946</v>
      </c>
      <c r="C417" s="591"/>
      <c r="D417" s="592"/>
      <c r="E417" s="593" t="s">
        <v>946</v>
      </c>
      <c r="F417" s="509">
        <v>0</v>
      </c>
      <c r="G417" s="509">
        <v>0</v>
      </c>
      <c r="H417" s="509">
        <v>0</v>
      </c>
      <c r="I417" s="601">
        <v>0</v>
      </c>
      <c r="J417" s="505">
        <f>I417*H417*G417*F417</f>
        <v>0</v>
      </c>
      <c r="K417" s="471"/>
      <c r="N417" s="6"/>
    </row>
    <row r="418" spans="1:14">
      <c r="A418" s="463"/>
      <c r="B418" s="594"/>
      <c r="C418" s="536"/>
      <c r="D418" s="536"/>
      <c r="E418" s="595"/>
      <c r="F418" s="596"/>
      <c r="G418" s="545"/>
      <c r="H418" s="545"/>
      <c r="I418" s="537" t="s">
        <v>175</v>
      </c>
      <c r="J418" s="514">
        <f>SUM(J416:J417)</f>
        <v>0</v>
      </c>
      <c r="K418" s="471"/>
      <c r="N418" s="6"/>
    </row>
    <row r="419" spans="1:14">
      <c r="A419" s="463"/>
      <c r="B419" s="536"/>
      <c r="C419" s="536"/>
      <c r="D419" s="536"/>
      <c r="E419" s="536"/>
      <c r="F419" s="536"/>
      <c r="G419" s="536"/>
      <c r="H419" s="536"/>
      <c r="I419" s="537"/>
      <c r="J419" s="536"/>
      <c r="K419" s="471"/>
    </row>
    <row r="420" spans="1:14">
      <c r="A420" s="463"/>
      <c r="B420" s="1481" t="s">
        <v>961</v>
      </c>
      <c r="C420" s="1482"/>
      <c r="D420" s="1482"/>
      <c r="E420" s="1482"/>
      <c r="F420" s="1482"/>
      <c r="G420" s="1482"/>
      <c r="H420" s="1482"/>
      <c r="I420" s="1483"/>
      <c r="J420" s="586">
        <f>J418+J413+J406</f>
        <v>11.865181739406452</v>
      </c>
      <c r="K420" s="471"/>
    </row>
    <row r="421" spans="1:14">
      <c r="A421" s="463"/>
      <c r="B421" s="536"/>
      <c r="C421" s="536"/>
      <c r="D421" s="536"/>
      <c r="E421" s="536"/>
      <c r="F421" s="536"/>
      <c r="G421" s="536"/>
      <c r="H421" s="536"/>
      <c r="I421" s="537"/>
      <c r="J421" s="536"/>
      <c r="K421" s="471"/>
    </row>
    <row r="422" spans="1:14">
      <c r="A422" s="463"/>
      <c r="B422" s="1481" t="s">
        <v>962</v>
      </c>
      <c r="C422" s="1482"/>
      <c r="D422" s="1482"/>
      <c r="E422" s="1482"/>
      <c r="F422" s="1482"/>
      <c r="G422" s="1482"/>
      <c r="H422" s="1482"/>
      <c r="I422" s="1483"/>
      <c r="J422" s="514">
        <f>J420*0</f>
        <v>0</v>
      </c>
      <c r="K422" s="471"/>
    </row>
    <row r="423" spans="1:14">
      <c r="A423" s="463"/>
      <c r="B423" s="536"/>
      <c r="C423" s="536"/>
      <c r="D423" s="536"/>
      <c r="E423" s="536"/>
      <c r="F423" s="536"/>
      <c r="G423" s="536"/>
      <c r="H423" s="536"/>
      <c r="I423" s="537"/>
      <c r="J423" s="536"/>
      <c r="K423" s="471"/>
    </row>
    <row r="424" spans="1:14">
      <c r="A424" s="463"/>
      <c r="B424" s="1481" t="s">
        <v>963</v>
      </c>
      <c r="C424" s="1482"/>
      <c r="D424" s="1482"/>
      <c r="E424" s="1482"/>
      <c r="F424" s="1482"/>
      <c r="G424" s="1482"/>
      <c r="H424" s="1482"/>
      <c r="I424" s="1483"/>
      <c r="J424" s="586">
        <f>J420+J422</f>
        <v>11.865181739406452</v>
      </c>
      <c r="K424" s="471"/>
    </row>
    <row r="425" spans="1:14">
      <c r="A425" s="463"/>
      <c r="B425" s="524"/>
      <c r="C425" s="524"/>
      <c r="D425" s="524"/>
      <c r="E425" s="524"/>
      <c r="F425" s="524"/>
      <c r="G425" s="524"/>
      <c r="H425" s="524"/>
      <c r="I425" s="584"/>
      <c r="J425" s="524"/>
      <c r="K425" s="471"/>
    </row>
    <row r="426" spans="1:14">
      <c r="A426" s="463"/>
      <c r="B426" s="602"/>
      <c r="C426" s="572"/>
      <c r="D426" s="572"/>
      <c r="E426" s="572"/>
      <c r="F426" s="572"/>
      <c r="G426" s="572"/>
      <c r="H426" s="572"/>
      <c r="I426" s="572"/>
      <c r="J426" s="603"/>
      <c r="K426" s="471"/>
    </row>
    <row r="427" spans="1:14">
      <c r="A427" s="463"/>
      <c r="B427" s="604"/>
      <c r="C427" s="605"/>
      <c r="D427" s="606"/>
      <c r="E427" s="606"/>
      <c r="F427" s="607" t="s">
        <v>946</v>
      </c>
      <c r="G427" s="608" t="s">
        <v>946</v>
      </c>
      <c r="H427" s="605"/>
      <c r="I427" s="605"/>
      <c r="J427" s="609"/>
      <c r="K427" s="471"/>
    </row>
    <row r="428" spans="1:14">
      <c r="A428" s="463"/>
      <c r="B428" s="472"/>
      <c r="C428" s="472"/>
      <c r="D428" s="472"/>
      <c r="E428" s="472"/>
      <c r="F428" s="472"/>
      <c r="G428" s="472"/>
      <c r="H428" s="472"/>
      <c r="I428" s="472"/>
      <c r="J428" s="472"/>
      <c r="K428" s="471"/>
    </row>
    <row r="429" spans="1:14">
      <c r="A429" s="463"/>
      <c r="B429" s="610" t="str">
        <f>PLANEJAMENTO!F2</f>
        <v>OPERAÇÃO DE SUPRESSÃO E SUMP</v>
      </c>
      <c r="C429" s="611"/>
      <c r="D429" s="611"/>
      <c r="E429" s="611"/>
      <c r="F429" s="612"/>
      <c r="G429" s="613" t="s">
        <v>363</v>
      </c>
      <c r="H429" s="515"/>
      <c r="I429" s="515"/>
      <c r="J429" s="518"/>
      <c r="K429" s="471"/>
    </row>
    <row r="430" spans="1:14">
      <c r="A430" s="463"/>
      <c r="B430" s="956" t="str">
        <f>PLANEJAMENTO!F3</f>
        <v>MARA ROSA</v>
      </c>
      <c r="C430" s="957"/>
      <c r="D430" s="957"/>
      <c r="E430" s="957"/>
      <c r="F430" s="958"/>
      <c r="G430" s="1484" t="s">
        <v>964</v>
      </c>
      <c r="H430" s="1485"/>
      <c r="I430" s="1485"/>
      <c r="J430" s="1486"/>
      <c r="K430" s="471"/>
    </row>
    <row r="431" spans="1:14">
      <c r="A431" s="463"/>
      <c r="B431" s="1015"/>
      <c r="C431" s="587"/>
      <c r="D431" s="587"/>
      <c r="E431" s="587"/>
      <c r="F431" s="587"/>
      <c r="G431" s="1014"/>
      <c r="H431" s="1014"/>
      <c r="I431" s="1014"/>
      <c r="J431" s="1016"/>
      <c r="K431" s="471"/>
    </row>
    <row r="432" spans="1:14" ht="15" thickBot="1">
      <c r="A432" s="463"/>
      <c r="B432" s="524"/>
      <c r="C432" s="524"/>
      <c r="D432" s="524"/>
      <c r="E432" s="524"/>
      <c r="F432" s="524"/>
      <c r="G432" s="524"/>
      <c r="H432" s="524"/>
      <c r="I432" s="584"/>
      <c r="J432" s="524"/>
      <c r="K432" s="471"/>
    </row>
    <row r="433" spans="1:11">
      <c r="A433" s="460"/>
      <c r="B433" s="461"/>
      <c r="C433" s="461"/>
      <c r="D433" s="461"/>
      <c r="E433" s="461"/>
      <c r="F433" s="461"/>
      <c r="G433" s="461"/>
      <c r="H433" s="461"/>
      <c r="I433" s="461"/>
      <c r="J433" s="461"/>
      <c r="K433" s="462"/>
    </row>
    <row r="434" spans="1:11">
      <c r="A434" s="463"/>
      <c r="B434" s="464" t="s">
        <v>178</v>
      </c>
      <c r="C434" s="465"/>
      <c r="D434" s="466" t="s">
        <v>936</v>
      </c>
      <c r="E434" s="467"/>
      <c r="F434" s="468"/>
      <c r="G434" s="468"/>
      <c r="H434" s="469"/>
      <c r="I434" s="469"/>
      <c r="J434" s="470"/>
      <c r="K434" s="471"/>
    </row>
    <row r="435" spans="1:11">
      <c r="A435" s="463"/>
      <c r="B435" s="472"/>
      <c r="C435" s="472"/>
      <c r="D435" s="472"/>
      <c r="E435" s="472"/>
      <c r="F435" s="472"/>
      <c r="G435" s="472"/>
      <c r="H435" s="472"/>
      <c r="I435" s="472"/>
      <c r="J435" s="472"/>
      <c r="K435" s="471"/>
    </row>
    <row r="436" spans="1:11">
      <c r="A436" s="463"/>
      <c r="B436" s="473" t="s">
        <v>688</v>
      </c>
      <c r="C436" s="474" t="s">
        <v>937</v>
      </c>
      <c r="D436" s="1497" t="s">
        <v>250</v>
      </c>
      <c r="E436" s="1498"/>
      <c r="F436" s="1498"/>
      <c r="G436" s="1498"/>
      <c r="H436" s="1498"/>
      <c r="I436" s="1499"/>
      <c r="J436" s="475" t="s">
        <v>267</v>
      </c>
      <c r="K436" s="471"/>
    </row>
    <row r="437" spans="1:11" ht="22.95" customHeight="1">
      <c r="A437" s="463"/>
      <c r="B437" s="476" t="s">
        <v>3</v>
      </c>
      <c r="C437" s="477">
        <f ca="1">PLANEJAMENTO!F4</f>
        <v>46140</v>
      </c>
      <c r="D437" s="681" t="s">
        <v>1478</v>
      </c>
      <c r="E437" s="479"/>
      <c r="F437" s="479"/>
      <c r="G437" s="479"/>
      <c r="H437" s="479"/>
      <c r="I437" s="480"/>
      <c r="J437" s="481" t="s">
        <v>203</v>
      </c>
      <c r="K437" s="471"/>
    </row>
    <row r="438" spans="1:11">
      <c r="A438" s="463"/>
      <c r="B438" s="482"/>
      <c r="C438" s="482"/>
      <c r="D438" s="482"/>
      <c r="E438" s="482"/>
      <c r="F438" s="482"/>
      <c r="G438" s="482"/>
      <c r="H438" s="482"/>
      <c r="I438" s="483"/>
      <c r="J438" s="484"/>
      <c r="K438" s="471"/>
    </row>
    <row r="439" spans="1:11">
      <c r="A439" s="463"/>
      <c r="B439" s="1484" t="s">
        <v>938</v>
      </c>
      <c r="C439" s="1486"/>
      <c r="D439" s="1502" t="s">
        <v>688</v>
      </c>
      <c r="E439" s="1504" t="s">
        <v>939</v>
      </c>
      <c r="F439" s="485" t="s">
        <v>940</v>
      </c>
      <c r="G439" s="486"/>
      <c r="H439" s="485" t="s">
        <v>941</v>
      </c>
      <c r="I439" s="486"/>
      <c r="J439" s="487" t="s">
        <v>942</v>
      </c>
      <c r="K439" s="471"/>
    </row>
    <row r="440" spans="1:11">
      <c r="A440" s="463"/>
      <c r="B440" s="1500"/>
      <c r="C440" s="1501"/>
      <c r="D440" s="1503"/>
      <c r="E440" s="1505"/>
      <c r="F440" s="488" t="s">
        <v>943</v>
      </c>
      <c r="G440" s="488" t="s">
        <v>944</v>
      </c>
      <c r="H440" s="488" t="s">
        <v>943</v>
      </c>
      <c r="I440" s="489" t="s">
        <v>944</v>
      </c>
      <c r="J440" s="490" t="s">
        <v>945</v>
      </c>
      <c r="K440" s="471"/>
    </row>
    <row r="441" spans="1:11">
      <c r="A441" s="463"/>
      <c r="B441" s="491" t="s">
        <v>669</v>
      </c>
      <c r="C441" s="492"/>
      <c r="D441" s="493"/>
      <c r="E441" s="494">
        <v>1</v>
      </c>
      <c r="F441" s="494">
        <v>1</v>
      </c>
      <c r="G441" s="495">
        <f>1-F441</f>
        <v>0</v>
      </c>
      <c r="H441" s="496">
        <f>VLOOKUP(B441,EQUIPAMENTOS!$A:$J,10,FALSE)</f>
        <v>214.36944444444444</v>
      </c>
      <c r="I441" s="497">
        <f>H441</f>
        <v>214.36944444444444</v>
      </c>
      <c r="J441" s="498">
        <f>H441*F441*E441+I441*G441*E441</f>
        <v>214.36944444444444</v>
      </c>
      <c r="K441" s="471"/>
    </row>
    <row r="442" spans="1:11">
      <c r="A442" s="463"/>
      <c r="B442" s="499" t="s">
        <v>631</v>
      </c>
      <c r="C442" s="500"/>
      <c r="D442" s="501"/>
      <c r="E442" s="875">
        <v>1</v>
      </c>
      <c r="F442" s="502">
        <v>1</v>
      </c>
      <c r="G442" s="502">
        <f>1-F442</f>
        <v>0</v>
      </c>
      <c r="H442" s="503">
        <f>VLOOKUP(B442,EQUIPAMENTOS!$A:$J,10,FALSE)</f>
        <v>175</v>
      </c>
      <c r="I442" s="504">
        <f>H442</f>
        <v>175</v>
      </c>
      <c r="J442" s="505">
        <f>H442*F442*E442+I442*G442*E442</f>
        <v>175</v>
      </c>
      <c r="K442" s="471"/>
    </row>
    <row r="443" spans="1:11">
      <c r="A443" s="463"/>
      <c r="B443" s="499" t="s">
        <v>1157</v>
      </c>
      <c r="C443" s="500"/>
      <c r="D443" s="501"/>
      <c r="E443" s="502">
        <v>5</v>
      </c>
      <c r="F443" s="502">
        <v>1</v>
      </c>
      <c r="G443" s="502">
        <f>1-F443</f>
        <v>0</v>
      </c>
      <c r="H443" s="503">
        <f>VLOOKUP(B443,EQUIPAMENTOS!$A:$J,10,FALSE)</f>
        <v>125</v>
      </c>
      <c r="I443" s="504">
        <f>H443</f>
        <v>125</v>
      </c>
      <c r="J443" s="505">
        <f>H443*F443*E443+I443*G443*E443</f>
        <v>625</v>
      </c>
      <c r="K443" s="471"/>
    </row>
    <row r="444" spans="1:11">
      <c r="A444" s="463"/>
      <c r="B444" s="499"/>
      <c r="C444" s="500"/>
      <c r="D444" s="501"/>
      <c r="E444" s="502"/>
      <c r="F444" s="502"/>
      <c r="G444" s="502"/>
      <c r="H444" s="503"/>
      <c r="I444" s="504"/>
      <c r="J444" s="505"/>
      <c r="K444" s="471"/>
    </row>
    <row r="445" spans="1:11">
      <c r="A445" s="463"/>
      <c r="B445" s="506"/>
      <c r="C445" s="507"/>
      <c r="D445" s="508"/>
      <c r="E445" s="509"/>
      <c r="F445" s="509"/>
      <c r="G445" s="509"/>
      <c r="H445" s="510"/>
      <c r="I445" s="511"/>
      <c r="J445" s="505">
        <f>H445*F445*E445+I445*G445*E445</f>
        <v>0</v>
      </c>
      <c r="K445" s="471"/>
    </row>
    <row r="446" spans="1:11">
      <c r="A446" s="463"/>
      <c r="B446" s="512" t="s">
        <v>946</v>
      </c>
      <c r="C446" s="482"/>
      <c r="D446" s="482"/>
      <c r="E446" s="482"/>
      <c r="F446" s="482"/>
      <c r="G446" s="482"/>
      <c r="H446" s="482"/>
      <c r="I446" s="513" t="s">
        <v>175</v>
      </c>
      <c r="J446" s="514">
        <f>SUM(J441:J445)</f>
        <v>1014.3694444444444</v>
      </c>
      <c r="K446" s="471"/>
    </row>
    <row r="447" spans="1:11">
      <c r="A447" s="463"/>
      <c r="B447" s="515"/>
      <c r="C447" s="515"/>
      <c r="D447" s="515"/>
      <c r="E447" s="515"/>
      <c r="F447" s="515"/>
      <c r="G447" s="515"/>
      <c r="H447" s="515"/>
      <c r="I447" s="516"/>
      <c r="J447" s="517"/>
      <c r="K447" s="471"/>
    </row>
    <row r="448" spans="1:11" ht="20.399999999999999" customHeight="1">
      <c r="A448" s="463"/>
      <c r="B448" s="1490" t="s">
        <v>947</v>
      </c>
      <c r="C448" s="1491"/>
      <c r="D448" s="1491"/>
      <c r="E448" s="1492"/>
      <c r="F448" s="725" t="s">
        <v>688</v>
      </c>
      <c r="G448" s="853"/>
      <c r="H448" s="520" t="s">
        <v>427</v>
      </c>
      <c r="I448" s="521" t="s">
        <v>948</v>
      </c>
      <c r="J448" s="522" t="s">
        <v>949</v>
      </c>
      <c r="K448" s="471"/>
    </row>
    <row r="449" spans="1:12">
      <c r="A449" s="463"/>
      <c r="B449" s="523" t="s">
        <v>950</v>
      </c>
      <c r="C449" s="524"/>
      <c r="D449" s="525"/>
      <c r="E449" s="526"/>
      <c r="F449" s="527"/>
      <c r="G449" s="528"/>
      <c r="H449" s="529">
        <f>E443</f>
        <v>5</v>
      </c>
      <c r="I449" s="534">
        <f>(VLOOKUP(B449,'MÃO DE OBRA'!$A:$E,5,FALSE)/220)</f>
        <v>26.714454545454547</v>
      </c>
      <c r="J449" s="505">
        <f>H449*I449</f>
        <v>133.57227272727275</v>
      </c>
      <c r="K449" s="471"/>
    </row>
    <row r="450" spans="1:12">
      <c r="A450" s="463"/>
      <c r="B450" s="530" t="s">
        <v>976</v>
      </c>
      <c r="C450" s="531"/>
      <c r="D450" s="472"/>
      <c r="E450" s="500"/>
      <c r="F450" s="501"/>
      <c r="G450" s="532"/>
      <c r="H450" s="533">
        <f>E441</f>
        <v>1</v>
      </c>
      <c r="I450" s="534">
        <f>(VLOOKUP(B450,'MÃO DE OBRA'!$A:$E,5,FALSE)/220)</f>
        <v>35.711036363636367</v>
      </c>
      <c r="J450" s="505">
        <f>H450*I450</f>
        <v>35.711036363636367</v>
      </c>
      <c r="K450" s="471"/>
    </row>
    <row r="451" spans="1:12">
      <c r="A451" s="463"/>
      <c r="B451" s="530" t="s">
        <v>472</v>
      </c>
      <c r="C451" s="531"/>
      <c r="D451" s="472"/>
      <c r="E451" s="500"/>
      <c r="F451" s="501"/>
      <c r="G451" s="532"/>
      <c r="H451" s="533">
        <v>1</v>
      </c>
      <c r="I451" s="534">
        <f>(VLOOKUP(B451,'MÃO DE OBRA'!$A:$E,5,FALSE)/220)</f>
        <v>18.377072727272729</v>
      </c>
      <c r="J451" s="505">
        <f>H451*I451</f>
        <v>18.377072727272729</v>
      </c>
      <c r="K451" s="471"/>
    </row>
    <row r="452" spans="1:12">
      <c r="A452" s="463"/>
      <c r="B452" s="530" t="s">
        <v>556</v>
      </c>
      <c r="C452" s="531"/>
      <c r="D452" s="472"/>
      <c r="E452" s="500"/>
      <c r="F452" s="501"/>
      <c r="G452" s="532"/>
      <c r="H452" s="533">
        <f>E442</f>
        <v>1</v>
      </c>
      <c r="I452" s="534">
        <f>(VLOOKUP(B452,'MÃO DE OBRA'!$A:$E,5,FALSE)/220)</f>
        <v>35.988199999999999</v>
      </c>
      <c r="J452" s="505">
        <f>H452*I452</f>
        <v>35.988199999999999</v>
      </c>
      <c r="K452" s="471"/>
    </row>
    <row r="453" spans="1:12">
      <c r="A453" s="463"/>
      <c r="B453" s="512" t="s">
        <v>946</v>
      </c>
      <c r="C453" s="515"/>
      <c r="D453" s="515"/>
      <c r="E453" s="515"/>
      <c r="F453" s="515"/>
      <c r="G453" s="515"/>
      <c r="H453" s="515"/>
      <c r="I453" s="535" t="s">
        <v>175</v>
      </c>
      <c r="J453" s="514">
        <f>SUM(J449:J452)</f>
        <v>223.64858181818184</v>
      </c>
      <c r="K453" s="471"/>
    </row>
    <row r="454" spans="1:12">
      <c r="A454" s="463"/>
      <c r="B454" s="536"/>
      <c r="C454" s="536"/>
      <c r="D454" s="536"/>
      <c r="E454" s="536"/>
      <c r="F454" s="536"/>
      <c r="G454" s="536"/>
      <c r="H454" s="536"/>
      <c r="I454" s="537"/>
      <c r="J454" s="536"/>
      <c r="K454" s="471"/>
    </row>
    <row r="455" spans="1:12">
      <c r="A455" s="463"/>
      <c r="B455" s="538" t="s">
        <v>952</v>
      </c>
      <c r="C455" s="539"/>
      <c r="D455" s="536"/>
      <c r="E455" s="540">
        <v>150.309510055472</v>
      </c>
      <c r="F455" s="541" t="s">
        <v>931</v>
      </c>
      <c r="G455" s="519"/>
      <c r="H455" s="519"/>
      <c r="I455" s="542" t="s">
        <v>953</v>
      </c>
      <c r="J455" s="514">
        <f>J446+J453</f>
        <v>1238.0180262626263</v>
      </c>
      <c r="K455" s="471"/>
    </row>
    <row r="456" spans="1:12">
      <c r="A456" s="463"/>
      <c r="B456" s="543"/>
      <c r="C456" s="536"/>
      <c r="D456" s="536"/>
      <c r="E456" s="544"/>
      <c r="F456" s="545"/>
      <c r="G456" s="545"/>
      <c r="H456" s="545"/>
      <c r="I456" s="537"/>
      <c r="J456" s="536"/>
      <c r="K456" s="471"/>
    </row>
    <row r="457" spans="1:12" ht="20.399999999999999">
      <c r="A457" s="463"/>
      <c r="B457" s="1493" t="s">
        <v>362</v>
      </c>
      <c r="C457" s="1494"/>
      <c r="D457" s="1494"/>
      <c r="E457" s="1495"/>
      <c r="F457" s="546" t="s">
        <v>688</v>
      </c>
      <c r="G457" s="547" t="s">
        <v>371</v>
      </c>
      <c r="H457" s="520" t="s">
        <v>942</v>
      </c>
      <c r="I457" s="548" t="s">
        <v>361</v>
      </c>
      <c r="J457" s="549" t="s">
        <v>363</v>
      </c>
      <c r="K457" s="471"/>
    </row>
    <row r="458" spans="1:12">
      <c r="A458" s="463"/>
      <c r="B458" s="550" t="str">
        <f>B441</f>
        <v>Trator de esteiras 20T</v>
      </c>
      <c r="C458" s="551"/>
      <c r="D458" s="551"/>
      <c r="E458" s="552"/>
      <c r="F458" s="553" t="str">
        <f>VLOOKUP(B458,EQUIPAMENTOS!$A:$N,12,FALSE)</f>
        <v>Diesel S10</v>
      </c>
      <c r="G458" s="554" t="s">
        <v>415</v>
      </c>
      <c r="H458" s="560">
        <f>VLOOKUP(B458,EQUIPAMENTOS!$A:$N,13,FALSE)</f>
        <v>0</v>
      </c>
      <c r="I458" s="556">
        <f>VLOOKUP(B458,EQUIPAMENTOS!$A:$N,14,FALSE)</f>
        <v>26</v>
      </c>
      <c r="J458" s="498">
        <f>H458*I458*E441*F441</f>
        <v>0</v>
      </c>
      <c r="K458" s="471"/>
    </row>
    <row r="459" spans="1:12">
      <c r="A459" s="463"/>
      <c r="B459" s="557" t="str">
        <f t="shared" ref="B459:B460" si="2">B442</f>
        <v>Escavadeira hidráulica sobre esteira 22T</v>
      </c>
      <c r="C459" s="531"/>
      <c r="D459" s="531"/>
      <c r="E459" s="500"/>
      <c r="F459" s="553" t="str">
        <f>VLOOKUP(B459,EQUIPAMENTOS!$A:$N,12,FALSE)</f>
        <v>Diesel S10</v>
      </c>
      <c r="G459" s="554" t="s">
        <v>415</v>
      </c>
      <c r="H459" s="560">
        <f>VLOOKUP(B459,EQUIPAMENTOS!$A:$N,13,FALSE)</f>
        <v>0</v>
      </c>
      <c r="I459" s="556">
        <f>VLOOKUP(B459,EQUIPAMENTOS!$A:$N,14,FALSE)</f>
        <v>22</v>
      </c>
      <c r="J459" s="505">
        <f>H459*I459*E442*F442</f>
        <v>0</v>
      </c>
      <c r="K459" s="471"/>
    </row>
    <row r="460" spans="1:12">
      <c r="A460" s="463"/>
      <c r="B460" s="557" t="str">
        <f t="shared" si="2"/>
        <v>Caminhão basculante 14 m³</v>
      </c>
      <c r="C460" s="539"/>
      <c r="D460" s="539"/>
      <c r="E460" s="507"/>
      <c r="F460" s="553" t="str">
        <f>VLOOKUP(B460,EQUIPAMENTOS!$A:$N,12,FALSE)</f>
        <v>Diesel S10</v>
      </c>
      <c r="G460" s="736" t="s">
        <v>415</v>
      </c>
      <c r="H460" s="560">
        <f>VLOOKUP(B460,EQUIPAMENTOS!$A:$N,13,FALSE)</f>
        <v>0</v>
      </c>
      <c r="I460" s="556">
        <f>VLOOKUP(B460,EQUIPAMENTOS!$A:$N,14,FALSE)</f>
        <v>2.5</v>
      </c>
      <c r="J460" s="505">
        <f>H460*I460*E443*F443</f>
        <v>0</v>
      </c>
      <c r="K460" s="471"/>
    </row>
    <row r="461" spans="1:12">
      <c r="A461" s="463"/>
      <c r="B461" s="563" t="s">
        <v>946</v>
      </c>
      <c r="C461" s="539"/>
      <c r="D461" s="539"/>
      <c r="E461" s="539"/>
      <c r="F461" s="536"/>
      <c r="G461" s="539"/>
      <c r="H461" s="564"/>
      <c r="I461" s="565" t="s">
        <v>175</v>
      </c>
      <c r="J461" s="514">
        <f>SUM(J458:J460)</f>
        <v>0</v>
      </c>
      <c r="K461" s="471"/>
    </row>
    <row r="462" spans="1:12">
      <c r="A462" s="463"/>
      <c r="B462" s="566"/>
      <c r="C462" s="539"/>
      <c r="D462" s="539"/>
      <c r="E462" s="567"/>
      <c r="F462" s="568"/>
      <c r="G462" s="519"/>
      <c r="H462" s="519"/>
      <c r="I462" s="542"/>
      <c r="J462" s="567"/>
      <c r="K462" s="471"/>
    </row>
    <row r="463" spans="1:12" ht="20.399999999999999">
      <c r="A463" s="463"/>
      <c r="B463" s="1493" t="s">
        <v>955</v>
      </c>
      <c r="C463" s="1494"/>
      <c r="D463" s="1494"/>
      <c r="E463" s="1494"/>
      <c r="F463" s="1495"/>
      <c r="G463" s="569" t="s">
        <v>372</v>
      </c>
      <c r="H463" s="519" t="s">
        <v>956</v>
      </c>
      <c r="I463" s="570" t="s">
        <v>942</v>
      </c>
      <c r="J463" s="522" t="s">
        <v>363</v>
      </c>
      <c r="K463" s="471"/>
      <c r="L463" s="6" t="e">
        <f>J463/E456</f>
        <v>#VALUE!</v>
      </c>
    </row>
    <row r="464" spans="1:12">
      <c r="A464" s="463"/>
      <c r="B464" s="571"/>
      <c r="C464" s="572"/>
      <c r="D464" s="573"/>
      <c r="E464" s="573"/>
      <c r="F464" s="574"/>
      <c r="G464" s="502"/>
      <c r="H464" s="502"/>
      <c r="I464" s="575"/>
      <c r="J464" s="505"/>
      <c r="K464" s="471"/>
    </row>
    <row r="465" spans="1:12">
      <c r="A465" s="463"/>
      <c r="B465" s="576"/>
      <c r="C465" s="577"/>
      <c r="D465" s="578"/>
      <c r="E465" s="578"/>
      <c r="F465" s="579"/>
      <c r="G465" s="502"/>
      <c r="H465" s="502"/>
      <c r="I465" s="575"/>
      <c r="J465" s="505"/>
      <c r="K465" s="471"/>
    </row>
    <row r="466" spans="1:12">
      <c r="A466" s="463"/>
      <c r="B466" s="1496" t="s">
        <v>175</v>
      </c>
      <c r="C466" s="1496"/>
      <c r="D466" s="1496"/>
      <c r="E466" s="1496"/>
      <c r="F466" s="1496"/>
      <c r="G466" s="1496"/>
      <c r="H466" s="1496"/>
      <c r="I466" s="1496"/>
      <c r="J466" s="514">
        <f>SUM(J464:J465)</f>
        <v>0</v>
      </c>
      <c r="K466" s="471"/>
    </row>
    <row r="467" spans="1:12">
      <c r="A467" s="463"/>
      <c r="B467" s="580"/>
      <c r="C467" s="524"/>
      <c r="D467" s="524"/>
      <c r="E467" s="581"/>
      <c r="F467" s="582"/>
      <c r="G467" s="583"/>
      <c r="H467" s="583"/>
      <c r="I467" s="584"/>
      <c r="J467" s="585"/>
      <c r="K467" s="471"/>
    </row>
    <row r="468" spans="1:12">
      <c r="A468" s="463"/>
      <c r="B468" s="586" t="s">
        <v>957</v>
      </c>
      <c r="C468" s="586"/>
      <c r="D468" s="563"/>
      <c r="E468" s="536"/>
      <c r="F468" s="536"/>
      <c r="G468" s="536"/>
      <c r="H468" s="587"/>
      <c r="I468" s="588"/>
      <c r="J468" s="514">
        <f>(J455+J461+J466)/E455</f>
        <v>8.2364583971149496</v>
      </c>
      <c r="K468" s="471"/>
      <c r="L468">
        <v>8.2364532751669692</v>
      </c>
    </row>
    <row r="469" spans="1:12">
      <c r="A469" s="463"/>
      <c r="B469" s="566"/>
      <c r="C469" s="539"/>
      <c r="D469" s="539"/>
      <c r="E469" s="567"/>
      <c r="F469" s="568"/>
      <c r="G469" s="519"/>
      <c r="H469" s="519"/>
      <c r="I469" s="542"/>
      <c r="J469" s="589"/>
      <c r="K469" s="471"/>
      <c r="L469">
        <v>8.2363189191169077</v>
      </c>
    </row>
    <row r="470" spans="1:12" ht="20.399999999999999">
      <c r="A470" s="463"/>
      <c r="B470" s="1493" t="s">
        <v>958</v>
      </c>
      <c r="C470" s="1494"/>
      <c r="D470" s="1494"/>
      <c r="E470" s="1494"/>
      <c r="F470" s="1495"/>
      <c r="G470" s="569" t="s">
        <v>372</v>
      </c>
      <c r="H470" s="519" t="s">
        <v>956</v>
      </c>
      <c r="I470" s="570" t="s">
        <v>942</v>
      </c>
      <c r="J470" s="522" t="s">
        <v>363</v>
      </c>
      <c r="K470" s="471"/>
    </row>
    <row r="471" spans="1:12">
      <c r="A471" s="463"/>
      <c r="B471" s="571"/>
      <c r="C471" s="572"/>
      <c r="D471" s="573"/>
      <c r="E471" s="573"/>
      <c r="F471" s="574"/>
      <c r="G471" s="502"/>
      <c r="H471" s="502"/>
      <c r="I471" s="575"/>
      <c r="J471" s="505">
        <f>G471*I471</f>
        <v>0</v>
      </c>
      <c r="K471" s="471"/>
    </row>
    <row r="472" spans="1:12">
      <c r="A472" s="463"/>
      <c r="B472" s="576"/>
      <c r="C472" s="577"/>
      <c r="D472" s="578"/>
      <c r="E472" s="578"/>
      <c r="F472" s="579"/>
      <c r="G472" s="502"/>
      <c r="H472" s="502"/>
      <c r="I472" s="575"/>
      <c r="J472" s="505">
        <f>G472*I472</f>
        <v>0</v>
      </c>
      <c r="K472" s="471"/>
    </row>
    <row r="473" spans="1:12">
      <c r="A473" s="463"/>
      <c r="B473" s="576"/>
      <c r="C473" s="577"/>
      <c r="D473" s="578"/>
      <c r="E473" s="578"/>
      <c r="F473" s="579"/>
      <c r="G473" s="502"/>
      <c r="H473" s="502"/>
      <c r="I473" s="575"/>
      <c r="J473" s="505">
        <f>G473*I473</f>
        <v>0</v>
      </c>
      <c r="K473" s="471"/>
    </row>
    <row r="474" spans="1:12">
      <c r="A474" s="463"/>
      <c r="B474" s="590"/>
      <c r="C474" s="591"/>
      <c r="D474" s="592"/>
      <c r="E474" s="592"/>
      <c r="F474" s="593"/>
      <c r="G474" s="502"/>
      <c r="H474" s="502"/>
      <c r="I474" s="575"/>
      <c r="J474" s="505">
        <f>G474*I474</f>
        <v>0</v>
      </c>
      <c r="K474" s="471"/>
    </row>
    <row r="475" spans="1:12">
      <c r="A475" s="463"/>
      <c r="B475" s="594"/>
      <c r="C475" s="536"/>
      <c r="D475" s="536"/>
      <c r="E475" s="595"/>
      <c r="F475" s="596"/>
      <c r="G475" s="545"/>
      <c r="H475" s="545"/>
      <c r="I475" s="537" t="s">
        <v>175</v>
      </c>
      <c r="J475" s="514">
        <f>SUM(J471:J474)</f>
        <v>0</v>
      </c>
      <c r="K475" s="471"/>
    </row>
    <row r="476" spans="1:12">
      <c r="A476" s="463"/>
      <c r="B476" s="597"/>
      <c r="C476" s="536"/>
      <c r="D476" s="536"/>
      <c r="E476" s="595"/>
      <c r="F476" s="596"/>
      <c r="G476" s="545"/>
      <c r="H476" s="545"/>
      <c r="I476" s="537"/>
      <c r="J476" s="595"/>
      <c r="K476" s="471"/>
    </row>
    <row r="477" spans="1:12" ht="20.399999999999999">
      <c r="A477" s="463"/>
      <c r="B477" s="598" t="s">
        <v>959</v>
      </c>
      <c r="C477" s="598"/>
      <c r="D477" s="598"/>
      <c r="E477" s="599"/>
      <c r="F477" s="600" t="s">
        <v>372</v>
      </c>
      <c r="G477" s="569" t="s">
        <v>960</v>
      </c>
      <c r="H477" s="519" t="s">
        <v>942</v>
      </c>
      <c r="I477" s="570" t="s">
        <v>361</v>
      </c>
      <c r="J477" s="522" t="s">
        <v>363</v>
      </c>
      <c r="K477" s="471"/>
    </row>
    <row r="478" spans="1:12">
      <c r="A478" s="463"/>
      <c r="B478" s="571"/>
      <c r="C478" s="572"/>
      <c r="D478" s="573"/>
      <c r="E478" s="574"/>
      <c r="F478" s="502"/>
      <c r="G478" s="502"/>
      <c r="H478" s="624"/>
      <c r="I478" s="575"/>
      <c r="J478" s="505"/>
      <c r="K478" s="471"/>
    </row>
    <row r="479" spans="1:12">
      <c r="A479" s="463"/>
      <c r="B479" s="590" t="s">
        <v>946</v>
      </c>
      <c r="C479" s="591"/>
      <c r="D479" s="592"/>
      <c r="E479" s="593" t="s">
        <v>946</v>
      </c>
      <c r="F479" s="509">
        <v>0</v>
      </c>
      <c r="G479" s="509">
        <v>0</v>
      </c>
      <c r="H479" s="509">
        <v>0</v>
      </c>
      <c r="I479" s="601">
        <v>0</v>
      </c>
      <c r="J479" s="505">
        <f>I479*H479*G479*F479</f>
        <v>0</v>
      </c>
      <c r="K479" s="471"/>
    </row>
    <row r="480" spans="1:12">
      <c r="A480" s="463"/>
      <c r="B480" s="594"/>
      <c r="C480" s="536"/>
      <c r="D480" s="536"/>
      <c r="E480" s="595"/>
      <c r="F480" s="596"/>
      <c r="G480" s="545"/>
      <c r="H480" s="545"/>
      <c r="I480" s="537" t="s">
        <v>175</v>
      </c>
      <c r="J480" s="514">
        <f>SUM(J478:J479)</f>
        <v>0</v>
      </c>
      <c r="K480" s="471"/>
    </row>
    <row r="481" spans="1:11">
      <c r="A481" s="463"/>
      <c r="B481" s="536"/>
      <c r="C481" s="536"/>
      <c r="D481" s="536"/>
      <c r="E481" s="536"/>
      <c r="F481" s="536"/>
      <c r="G481" s="536"/>
      <c r="H481" s="536"/>
      <c r="I481" s="537"/>
      <c r="J481" s="536"/>
      <c r="K481" s="471"/>
    </row>
    <row r="482" spans="1:11">
      <c r="A482" s="463"/>
      <c r="B482" s="1481" t="s">
        <v>961</v>
      </c>
      <c r="C482" s="1482"/>
      <c r="D482" s="1482"/>
      <c r="E482" s="1482"/>
      <c r="F482" s="1482"/>
      <c r="G482" s="1482"/>
      <c r="H482" s="1482"/>
      <c r="I482" s="1483"/>
      <c r="J482" s="586">
        <f>J480+J475+J468</f>
        <v>8.2364583971149496</v>
      </c>
      <c r="K482" s="471"/>
    </row>
    <row r="483" spans="1:11">
      <c r="A483" s="463"/>
      <c r="B483" s="536"/>
      <c r="C483" s="536"/>
      <c r="D483" s="536"/>
      <c r="E483" s="536"/>
      <c r="F483" s="536"/>
      <c r="G483" s="536"/>
      <c r="H483" s="536"/>
      <c r="I483" s="537"/>
      <c r="J483" s="536"/>
      <c r="K483" s="471"/>
    </row>
    <row r="484" spans="1:11">
      <c r="A484" s="463"/>
      <c r="B484" s="1481" t="s">
        <v>962</v>
      </c>
      <c r="C484" s="1482"/>
      <c r="D484" s="1482"/>
      <c r="E484" s="1482"/>
      <c r="F484" s="1482"/>
      <c r="G484" s="1482"/>
      <c r="H484" s="1482"/>
      <c r="I484" s="1483"/>
      <c r="J484" s="514">
        <f>J482*0</f>
        <v>0</v>
      </c>
      <c r="K484" s="471"/>
    </row>
    <row r="485" spans="1:11">
      <c r="A485" s="463"/>
      <c r="B485" s="536"/>
      <c r="C485" s="536"/>
      <c r="D485" s="536"/>
      <c r="E485" s="536"/>
      <c r="F485" s="536"/>
      <c r="G485" s="536"/>
      <c r="H485" s="536"/>
      <c r="I485" s="537"/>
      <c r="J485" s="536"/>
      <c r="K485" s="471"/>
    </row>
    <row r="486" spans="1:11">
      <c r="A486" s="463"/>
      <c r="B486" s="1481" t="s">
        <v>963</v>
      </c>
      <c r="C486" s="1482"/>
      <c r="D486" s="1482"/>
      <c r="E486" s="1482"/>
      <c r="F486" s="1482"/>
      <c r="G486" s="1482"/>
      <c r="H486" s="1482"/>
      <c r="I486" s="1483"/>
      <c r="J486" s="586">
        <f>J482+J484</f>
        <v>8.2364583971149496</v>
      </c>
      <c r="K486" s="471"/>
    </row>
    <row r="487" spans="1:11">
      <c r="A487" s="463"/>
      <c r="B487" s="524"/>
      <c r="C487" s="524"/>
      <c r="D487" s="524"/>
      <c r="E487" s="524"/>
      <c r="F487" s="524"/>
      <c r="G487" s="524"/>
      <c r="H487" s="524"/>
      <c r="I487" s="584"/>
      <c r="J487" s="524"/>
      <c r="K487" s="471"/>
    </row>
    <row r="488" spans="1:11">
      <c r="A488" s="463"/>
      <c r="B488" s="602"/>
      <c r="C488" s="572"/>
      <c r="D488" s="572"/>
      <c r="E488" s="572"/>
      <c r="F488" s="572"/>
      <c r="G488" s="572"/>
      <c r="H488" s="572"/>
      <c r="I488" s="572"/>
      <c r="J488" s="603"/>
      <c r="K488" s="471"/>
    </row>
    <row r="489" spans="1:11">
      <c r="A489" s="463"/>
      <c r="B489" s="604"/>
      <c r="C489" s="605"/>
      <c r="D489" s="606"/>
      <c r="E489" s="606"/>
      <c r="F489" s="607" t="s">
        <v>946</v>
      </c>
      <c r="G489" s="608" t="s">
        <v>946</v>
      </c>
      <c r="H489" s="605"/>
      <c r="I489" s="605"/>
      <c r="J489" s="609"/>
      <c r="K489" s="471"/>
    </row>
    <row r="490" spans="1:11">
      <c r="A490" s="463"/>
      <c r="B490" s="472"/>
      <c r="C490" s="472"/>
      <c r="D490" s="472"/>
      <c r="E490" s="472"/>
      <c r="F490" s="472"/>
      <c r="G490" s="472"/>
      <c r="H490" s="472"/>
      <c r="I490" s="472"/>
      <c r="J490" s="472"/>
      <c r="K490" s="471"/>
    </row>
    <row r="491" spans="1:11">
      <c r="A491" s="463"/>
      <c r="B491" s="610" t="str">
        <f>PLANEJAMENTO!F2</f>
        <v>OPERAÇÃO DE SUPRESSÃO E SUMP</v>
      </c>
      <c r="C491" s="611"/>
      <c r="D491" s="611"/>
      <c r="E491" s="611"/>
      <c r="F491" s="612"/>
      <c r="G491" s="613" t="s">
        <v>363</v>
      </c>
      <c r="H491" s="515"/>
      <c r="I491" s="515"/>
      <c r="J491" s="518"/>
      <c r="K491" s="471"/>
    </row>
    <row r="492" spans="1:11">
      <c r="A492" s="463"/>
      <c r="B492" s="956" t="str">
        <f>PLANEJAMENTO!F3</f>
        <v>MARA ROSA</v>
      </c>
      <c r="C492" s="957"/>
      <c r="D492" s="957"/>
      <c r="E492" s="957"/>
      <c r="F492" s="958"/>
      <c r="G492" s="1484" t="s">
        <v>964</v>
      </c>
      <c r="H492" s="1485"/>
      <c r="I492" s="1485"/>
      <c r="J492" s="1486"/>
      <c r="K492" s="471"/>
    </row>
    <row r="493" spans="1:11">
      <c r="A493" s="463"/>
      <c r="B493" s="1015"/>
      <c r="C493" s="587"/>
      <c r="D493" s="587"/>
      <c r="E493" s="587"/>
      <c r="F493" s="587"/>
      <c r="G493" s="1014"/>
      <c r="H493" s="1014"/>
      <c r="I493" s="1014"/>
      <c r="J493" s="1016"/>
      <c r="K493" s="471"/>
    </row>
    <row r="494" spans="1:11" ht="15" thickBot="1">
      <c r="A494" s="621"/>
      <c r="B494" s="622"/>
      <c r="C494" s="622"/>
      <c r="D494" s="622"/>
      <c r="E494" s="622"/>
      <c r="F494" s="622"/>
      <c r="G494" s="622"/>
      <c r="H494" s="622"/>
      <c r="I494" s="622"/>
      <c r="J494" s="622"/>
      <c r="K494" s="623"/>
    </row>
    <row r="495" spans="1:11">
      <c r="A495" s="460"/>
      <c r="B495" s="461"/>
      <c r="C495" s="461"/>
      <c r="D495" s="461"/>
      <c r="E495" s="461"/>
      <c r="F495" s="461"/>
      <c r="G495" s="461"/>
      <c r="H495" s="461"/>
      <c r="I495" s="461"/>
      <c r="J495" s="461"/>
      <c r="K495" s="462"/>
    </row>
    <row r="496" spans="1:11">
      <c r="A496" s="463"/>
      <c r="B496" s="464" t="s">
        <v>178</v>
      </c>
      <c r="C496" s="465"/>
      <c r="D496" s="466" t="s">
        <v>936</v>
      </c>
      <c r="E496" s="467"/>
      <c r="F496" s="468"/>
      <c r="G496" s="468"/>
      <c r="H496" s="469"/>
      <c r="I496" s="469"/>
      <c r="J496" s="470"/>
      <c r="K496" s="471"/>
    </row>
    <row r="497" spans="1:11">
      <c r="A497" s="463"/>
      <c r="B497" s="472"/>
      <c r="C497" s="472"/>
      <c r="D497" s="472"/>
      <c r="E497" s="472"/>
      <c r="F497" s="472"/>
      <c r="G497" s="472"/>
      <c r="H497" s="472"/>
      <c r="I497" s="472"/>
      <c r="J497" s="472"/>
      <c r="K497" s="471"/>
    </row>
    <row r="498" spans="1:11">
      <c r="A498" s="463"/>
      <c r="B498" s="473" t="s">
        <v>688</v>
      </c>
      <c r="C498" s="474" t="s">
        <v>937</v>
      </c>
      <c r="D498" s="1497" t="s">
        <v>250</v>
      </c>
      <c r="E498" s="1498"/>
      <c r="F498" s="1498"/>
      <c r="G498" s="1498"/>
      <c r="H498" s="1498"/>
      <c r="I498" s="1499"/>
      <c r="J498" s="475" t="s">
        <v>267</v>
      </c>
      <c r="K498" s="471"/>
    </row>
    <row r="499" spans="1:11" ht="20.399999999999999">
      <c r="A499" s="463"/>
      <c r="B499" s="476" t="s">
        <v>3</v>
      </c>
      <c r="C499" s="477">
        <f ca="1">PLANEJAMENTO!F4</f>
        <v>46140</v>
      </c>
      <c r="D499" s="681" t="s">
        <v>1479</v>
      </c>
      <c r="E499" s="479"/>
      <c r="F499" s="479"/>
      <c r="G499" s="479"/>
      <c r="H499" s="479"/>
      <c r="I499" s="480"/>
      <c r="J499" s="481" t="s">
        <v>203</v>
      </c>
      <c r="K499" s="471"/>
    </row>
    <row r="500" spans="1:11">
      <c r="A500" s="463"/>
      <c r="B500" s="482"/>
      <c r="C500" s="482"/>
      <c r="D500" s="482"/>
      <c r="E500" s="482"/>
      <c r="F500" s="482"/>
      <c r="G500" s="482"/>
      <c r="H500" s="482"/>
      <c r="I500" s="483"/>
      <c r="J500" s="484"/>
      <c r="K500" s="471"/>
    </row>
    <row r="501" spans="1:11">
      <c r="A501" s="463"/>
      <c r="B501" s="1484" t="s">
        <v>938</v>
      </c>
      <c r="C501" s="1486"/>
      <c r="D501" s="1502" t="s">
        <v>688</v>
      </c>
      <c r="E501" s="1504" t="s">
        <v>939</v>
      </c>
      <c r="F501" s="485" t="s">
        <v>940</v>
      </c>
      <c r="G501" s="486"/>
      <c r="H501" s="485" t="s">
        <v>941</v>
      </c>
      <c r="I501" s="486"/>
      <c r="J501" s="487" t="s">
        <v>942</v>
      </c>
      <c r="K501" s="471"/>
    </row>
    <row r="502" spans="1:11">
      <c r="A502" s="463"/>
      <c r="B502" s="1500"/>
      <c r="C502" s="1501"/>
      <c r="D502" s="1503"/>
      <c r="E502" s="1505"/>
      <c r="F502" s="488" t="s">
        <v>943</v>
      </c>
      <c r="G502" s="488" t="s">
        <v>944</v>
      </c>
      <c r="H502" s="488" t="s">
        <v>943</v>
      </c>
      <c r="I502" s="489" t="s">
        <v>944</v>
      </c>
      <c r="J502" s="490" t="s">
        <v>945</v>
      </c>
      <c r="K502" s="471"/>
    </row>
    <row r="503" spans="1:11">
      <c r="A503" s="463"/>
      <c r="B503" s="491" t="s">
        <v>669</v>
      </c>
      <c r="C503" s="492"/>
      <c r="D503" s="493"/>
      <c r="E503" s="494">
        <v>1</v>
      </c>
      <c r="F503" s="494">
        <v>1</v>
      </c>
      <c r="G503" s="495">
        <f>1-F503</f>
        <v>0</v>
      </c>
      <c r="H503" s="496">
        <f>VLOOKUP(B503,EQUIPAMENTOS!$A:$J,10,FALSE)</f>
        <v>214.36944444444444</v>
      </c>
      <c r="I503" s="497">
        <f>H503</f>
        <v>214.36944444444444</v>
      </c>
      <c r="J503" s="498">
        <f>H503*F503*E503+I503*G503*E503</f>
        <v>214.36944444444444</v>
      </c>
      <c r="K503" s="471"/>
    </row>
    <row r="504" spans="1:11">
      <c r="A504" s="463"/>
      <c r="B504" s="499" t="s">
        <v>631</v>
      </c>
      <c r="C504" s="500"/>
      <c r="D504" s="501"/>
      <c r="E504" s="875">
        <v>1</v>
      </c>
      <c r="F504" s="502">
        <v>1</v>
      </c>
      <c r="G504" s="502">
        <f>1-F504</f>
        <v>0</v>
      </c>
      <c r="H504" s="503">
        <f>VLOOKUP(B504,EQUIPAMENTOS!$A:$J,10,FALSE)</f>
        <v>175</v>
      </c>
      <c r="I504" s="504">
        <f>H504</f>
        <v>175</v>
      </c>
      <c r="J504" s="505">
        <f>H504*F504*E504+I504*G504*E504</f>
        <v>175</v>
      </c>
      <c r="K504" s="471"/>
    </row>
    <row r="505" spans="1:11">
      <c r="A505" s="463"/>
      <c r="B505" s="499" t="s">
        <v>1157</v>
      </c>
      <c r="C505" s="500"/>
      <c r="D505" s="501"/>
      <c r="E505" s="502">
        <v>5</v>
      </c>
      <c r="F505" s="502">
        <v>1</v>
      </c>
      <c r="G505" s="502">
        <f>1-F505</f>
        <v>0</v>
      </c>
      <c r="H505" s="503">
        <f>VLOOKUP(B505,EQUIPAMENTOS!$A:$J,10,FALSE)</f>
        <v>125</v>
      </c>
      <c r="I505" s="504">
        <f>H505</f>
        <v>125</v>
      </c>
      <c r="J505" s="505">
        <f>H505*F505*E505+I505*G505*E505</f>
        <v>625</v>
      </c>
      <c r="K505" s="471"/>
    </row>
    <row r="506" spans="1:11">
      <c r="A506" s="463"/>
      <c r="B506" s="499"/>
      <c r="C506" s="500"/>
      <c r="D506" s="501"/>
      <c r="E506" s="502"/>
      <c r="F506" s="502"/>
      <c r="G506" s="502"/>
      <c r="H506" s="503"/>
      <c r="I506" s="504"/>
      <c r="J506" s="505"/>
      <c r="K506" s="471"/>
    </row>
    <row r="507" spans="1:11">
      <c r="A507" s="463"/>
      <c r="B507" s="506"/>
      <c r="C507" s="507"/>
      <c r="D507" s="508"/>
      <c r="E507" s="509"/>
      <c r="F507" s="509"/>
      <c r="G507" s="509"/>
      <c r="H507" s="510"/>
      <c r="I507" s="511"/>
      <c r="J507" s="505">
        <f>H507*F507*E507+I507*G507*E507</f>
        <v>0</v>
      </c>
      <c r="K507" s="471"/>
    </row>
    <row r="508" spans="1:11">
      <c r="A508" s="463"/>
      <c r="B508" s="512" t="s">
        <v>946</v>
      </c>
      <c r="C508" s="482"/>
      <c r="D508" s="482"/>
      <c r="E508" s="482"/>
      <c r="F508" s="482"/>
      <c r="G508" s="482"/>
      <c r="H508" s="482"/>
      <c r="I508" s="513" t="s">
        <v>175</v>
      </c>
      <c r="J508" s="514">
        <f>SUM(J503:J507)</f>
        <v>1014.3694444444444</v>
      </c>
      <c r="K508" s="471"/>
    </row>
    <row r="509" spans="1:11">
      <c r="A509" s="463"/>
      <c r="B509" s="515"/>
      <c r="C509" s="515"/>
      <c r="D509" s="515"/>
      <c r="E509" s="515"/>
      <c r="F509" s="515"/>
      <c r="G509" s="515"/>
      <c r="H509" s="515"/>
      <c r="I509" s="516"/>
      <c r="J509" s="517"/>
      <c r="K509" s="471"/>
    </row>
    <row r="510" spans="1:11" ht="20.399999999999999" customHeight="1">
      <c r="A510" s="463"/>
      <c r="B510" s="1490" t="s">
        <v>947</v>
      </c>
      <c r="C510" s="1491"/>
      <c r="D510" s="1491"/>
      <c r="E510" s="1492"/>
      <c r="F510" s="725" t="s">
        <v>688</v>
      </c>
      <c r="G510" s="853"/>
      <c r="H510" s="520" t="s">
        <v>427</v>
      </c>
      <c r="I510" s="521" t="s">
        <v>948</v>
      </c>
      <c r="J510" s="522" t="s">
        <v>949</v>
      </c>
      <c r="K510" s="471"/>
    </row>
    <row r="511" spans="1:11">
      <c r="A511" s="463"/>
      <c r="B511" s="523" t="s">
        <v>950</v>
      </c>
      <c r="C511" s="524"/>
      <c r="D511" s="525"/>
      <c r="E511" s="526"/>
      <c r="F511" s="527"/>
      <c r="G511" s="528"/>
      <c r="H511" s="529">
        <f>E505</f>
        <v>5</v>
      </c>
      <c r="I511" s="534">
        <f>(VLOOKUP(B511,'MÃO DE OBRA'!$A:$E,5,FALSE)/220)</f>
        <v>26.714454545454547</v>
      </c>
      <c r="J511" s="505">
        <f>H511*I511</f>
        <v>133.57227272727275</v>
      </c>
      <c r="K511" s="471"/>
    </row>
    <row r="512" spans="1:11">
      <c r="A512" s="463"/>
      <c r="B512" s="530" t="s">
        <v>976</v>
      </c>
      <c r="C512" s="531"/>
      <c r="D512" s="472"/>
      <c r="E512" s="500"/>
      <c r="F512" s="501"/>
      <c r="G512" s="532"/>
      <c r="H512" s="533">
        <f>E503</f>
        <v>1</v>
      </c>
      <c r="I512" s="534">
        <f>(VLOOKUP(B512,'MÃO DE OBRA'!$A:$E,5,FALSE)/220)</f>
        <v>35.711036363636367</v>
      </c>
      <c r="J512" s="505">
        <f>H512*I512</f>
        <v>35.711036363636367</v>
      </c>
      <c r="K512" s="471"/>
    </row>
    <row r="513" spans="1:12">
      <c r="A513" s="463"/>
      <c r="B513" s="530" t="s">
        <v>472</v>
      </c>
      <c r="C513" s="531"/>
      <c r="D513" s="472"/>
      <c r="E513" s="500"/>
      <c r="F513" s="501"/>
      <c r="G513" s="532"/>
      <c r="H513" s="533">
        <v>1</v>
      </c>
      <c r="I513" s="534">
        <f>(VLOOKUP(B513,'MÃO DE OBRA'!$A:$E,5,FALSE)/220)</f>
        <v>18.377072727272729</v>
      </c>
      <c r="J513" s="505">
        <f>H513*I513</f>
        <v>18.377072727272729</v>
      </c>
      <c r="K513" s="471"/>
    </row>
    <row r="514" spans="1:12">
      <c r="A514" s="463"/>
      <c r="B514" s="530" t="s">
        <v>556</v>
      </c>
      <c r="C514" s="531"/>
      <c r="D514" s="472"/>
      <c r="E514" s="500"/>
      <c r="F514" s="501"/>
      <c r="G514" s="532"/>
      <c r="H514" s="533">
        <f>E504</f>
        <v>1</v>
      </c>
      <c r="I514" s="534">
        <f>(VLOOKUP(B514,'MÃO DE OBRA'!$A:$E,5,FALSE)/220)</f>
        <v>35.988199999999999</v>
      </c>
      <c r="J514" s="505">
        <f>H514*I514</f>
        <v>35.988199999999999</v>
      </c>
      <c r="K514" s="471"/>
    </row>
    <row r="515" spans="1:12">
      <c r="A515" s="463"/>
      <c r="B515" s="512" t="s">
        <v>946</v>
      </c>
      <c r="C515" s="515"/>
      <c r="D515" s="515"/>
      <c r="E515" s="515"/>
      <c r="F515" s="515"/>
      <c r="G515" s="515"/>
      <c r="H515" s="515"/>
      <c r="I515" s="535" t="s">
        <v>175</v>
      </c>
      <c r="J515" s="514">
        <f>SUM(J511:J514)</f>
        <v>223.64858181818184</v>
      </c>
      <c r="K515" s="471"/>
    </row>
    <row r="516" spans="1:12">
      <c r="A516" s="463"/>
      <c r="B516" s="536"/>
      <c r="C516" s="536"/>
      <c r="D516" s="536"/>
      <c r="E516" s="536"/>
      <c r="F516" s="536"/>
      <c r="G516" s="536"/>
      <c r="H516" s="536"/>
      <c r="I516" s="537"/>
      <c r="J516" s="536"/>
      <c r="K516" s="471"/>
    </row>
    <row r="517" spans="1:12">
      <c r="A517" s="463"/>
      <c r="B517" s="538" t="s">
        <v>952</v>
      </c>
      <c r="C517" s="539"/>
      <c r="D517" s="536"/>
      <c r="E517" s="540">
        <v>144.89106215979999</v>
      </c>
      <c r="F517" s="541" t="s">
        <v>931</v>
      </c>
      <c r="G517" s="519"/>
      <c r="H517" s="519"/>
      <c r="I517" s="542" t="s">
        <v>953</v>
      </c>
      <c r="J517" s="514">
        <f>J508+J515</f>
        <v>1238.0180262626263</v>
      </c>
      <c r="K517" s="471"/>
    </row>
    <row r="518" spans="1:12">
      <c r="A518" s="463"/>
      <c r="B518" s="543"/>
      <c r="C518" s="536"/>
      <c r="D518" s="536"/>
      <c r="E518" s="544"/>
      <c r="F518" s="545"/>
      <c r="G518" s="545"/>
      <c r="H518" s="545"/>
      <c r="I518" s="537"/>
      <c r="J518" s="536"/>
      <c r="K518" s="471"/>
    </row>
    <row r="519" spans="1:12" ht="20.399999999999999">
      <c r="A519" s="463"/>
      <c r="B519" s="1493" t="s">
        <v>362</v>
      </c>
      <c r="C519" s="1494"/>
      <c r="D519" s="1494"/>
      <c r="E519" s="1495"/>
      <c r="F519" s="546" t="s">
        <v>688</v>
      </c>
      <c r="G519" s="547" t="s">
        <v>371</v>
      </c>
      <c r="H519" s="520" t="s">
        <v>942</v>
      </c>
      <c r="I519" s="548" t="s">
        <v>361</v>
      </c>
      <c r="J519" s="549" t="s">
        <v>363</v>
      </c>
      <c r="K519" s="471"/>
    </row>
    <row r="520" spans="1:12">
      <c r="A520" s="463"/>
      <c r="B520" s="550" t="str">
        <f>B503</f>
        <v>Trator de esteiras 20T</v>
      </c>
      <c r="C520" s="551"/>
      <c r="D520" s="551"/>
      <c r="E520" s="552"/>
      <c r="F520" s="553" t="str">
        <f>VLOOKUP(B520,EQUIPAMENTOS!$A:$N,12,FALSE)</f>
        <v>Diesel S10</v>
      </c>
      <c r="G520" s="554" t="s">
        <v>415</v>
      </c>
      <c r="H520" s="560">
        <f>VLOOKUP(B520,EQUIPAMENTOS!$A:$N,13,FALSE)</f>
        <v>0</v>
      </c>
      <c r="I520" s="556">
        <f>VLOOKUP(B520,EQUIPAMENTOS!$A:$N,14,FALSE)</f>
        <v>26</v>
      </c>
      <c r="J520" s="498">
        <f>H520*I520*E503*F503</f>
        <v>0</v>
      </c>
      <c r="K520" s="471"/>
    </row>
    <row r="521" spans="1:12">
      <c r="A521" s="463"/>
      <c r="B521" s="557" t="str">
        <f t="shared" ref="B521:B522" si="3">B504</f>
        <v>Escavadeira hidráulica sobre esteira 22T</v>
      </c>
      <c r="C521" s="531"/>
      <c r="D521" s="531"/>
      <c r="E521" s="500"/>
      <c r="F521" s="553" t="str">
        <f>VLOOKUP(B521,EQUIPAMENTOS!$A:$N,12,FALSE)</f>
        <v>Diesel S10</v>
      </c>
      <c r="G521" s="554" t="s">
        <v>415</v>
      </c>
      <c r="H521" s="560">
        <f>VLOOKUP(B521,EQUIPAMENTOS!$A:$N,13,FALSE)</f>
        <v>0</v>
      </c>
      <c r="I521" s="556">
        <f>VLOOKUP(B521,EQUIPAMENTOS!$A:$N,14,FALSE)</f>
        <v>22</v>
      </c>
      <c r="J521" s="505">
        <f>H521*I521*E504*F504</f>
        <v>0</v>
      </c>
      <c r="K521" s="471"/>
    </row>
    <row r="522" spans="1:12">
      <c r="A522" s="463"/>
      <c r="B522" s="557" t="str">
        <f t="shared" si="3"/>
        <v>Caminhão basculante 14 m³</v>
      </c>
      <c r="C522" s="539"/>
      <c r="D522" s="539"/>
      <c r="E522" s="507"/>
      <c r="F522" s="553" t="str">
        <f>VLOOKUP(B522,EQUIPAMENTOS!$A:$N,12,FALSE)</f>
        <v>Diesel S10</v>
      </c>
      <c r="G522" s="736" t="s">
        <v>415</v>
      </c>
      <c r="H522" s="560">
        <f>VLOOKUP(B522,EQUIPAMENTOS!$A:$N,13,FALSE)</f>
        <v>0</v>
      </c>
      <c r="I522" s="556">
        <f>VLOOKUP(B522,EQUIPAMENTOS!$A:$N,14,FALSE)</f>
        <v>2.5</v>
      </c>
      <c r="J522" s="505">
        <f>H522*I522*E505*F505</f>
        <v>0</v>
      </c>
      <c r="K522" s="471"/>
    </row>
    <row r="523" spans="1:12">
      <c r="A523" s="463"/>
      <c r="B523" s="563" t="s">
        <v>946</v>
      </c>
      <c r="C523" s="539"/>
      <c r="D523" s="539"/>
      <c r="E523" s="539"/>
      <c r="F523" s="536"/>
      <c r="G523" s="539"/>
      <c r="H523" s="564"/>
      <c r="I523" s="565" t="s">
        <v>175</v>
      </c>
      <c r="J523" s="514">
        <f>SUM(J520:J522)</f>
        <v>0</v>
      </c>
      <c r="K523" s="471"/>
    </row>
    <row r="524" spans="1:12">
      <c r="A524" s="463"/>
      <c r="B524" s="566"/>
      <c r="C524" s="539"/>
      <c r="D524" s="539"/>
      <c r="E524" s="567"/>
      <c r="F524" s="568"/>
      <c r="G524" s="519"/>
      <c r="H524" s="519"/>
      <c r="I524" s="542"/>
      <c r="J524" s="567"/>
      <c r="K524" s="471"/>
      <c r="L524" s="6" t="e">
        <f>J524/E518</f>
        <v>#DIV/0!</v>
      </c>
    </row>
    <row r="525" spans="1:12" ht="20.399999999999999">
      <c r="A525" s="463"/>
      <c r="B525" s="1493" t="s">
        <v>955</v>
      </c>
      <c r="C525" s="1494"/>
      <c r="D525" s="1494"/>
      <c r="E525" s="1494"/>
      <c r="F525" s="1495"/>
      <c r="G525" s="569" t="s">
        <v>372</v>
      </c>
      <c r="H525" s="519" t="s">
        <v>956</v>
      </c>
      <c r="I525" s="570" t="s">
        <v>942</v>
      </c>
      <c r="J525" s="522" t="s">
        <v>363</v>
      </c>
      <c r="K525" s="471"/>
    </row>
    <row r="526" spans="1:12">
      <c r="A526" s="463"/>
      <c r="B526" s="571"/>
      <c r="C526" s="572"/>
      <c r="D526" s="573"/>
      <c r="E526" s="573"/>
      <c r="F526" s="574"/>
      <c r="G526" s="502"/>
      <c r="H526" s="502"/>
      <c r="I526" s="575"/>
      <c r="J526" s="505"/>
      <c r="K526" s="471"/>
    </row>
    <row r="527" spans="1:12">
      <c r="A527" s="463"/>
      <c r="B527" s="576"/>
      <c r="C527" s="577"/>
      <c r="D527" s="578"/>
      <c r="E527" s="578"/>
      <c r="F527" s="579"/>
      <c r="G527" s="502"/>
      <c r="H527" s="502"/>
      <c r="I527" s="575"/>
      <c r="J527" s="505"/>
      <c r="K527" s="471"/>
    </row>
    <row r="528" spans="1:12">
      <c r="A528" s="463"/>
      <c r="B528" s="1496" t="s">
        <v>175</v>
      </c>
      <c r="C528" s="1496"/>
      <c r="D528" s="1496"/>
      <c r="E528" s="1496"/>
      <c r="F528" s="1496"/>
      <c r="G528" s="1496"/>
      <c r="H528" s="1496"/>
      <c r="I528" s="1496"/>
      <c r="J528" s="514">
        <f>SUM(J526:J527)</f>
        <v>0</v>
      </c>
      <c r="K528" s="471"/>
    </row>
    <row r="529" spans="1:13">
      <c r="A529" s="463"/>
      <c r="B529" s="580"/>
      <c r="C529" s="524"/>
      <c r="D529" s="524"/>
      <c r="E529" s="581"/>
      <c r="F529" s="582"/>
      <c r="G529" s="583"/>
      <c r="H529" s="583"/>
      <c r="I529" s="584"/>
      <c r="J529" s="585"/>
      <c r="K529" s="471"/>
    </row>
    <row r="530" spans="1:13">
      <c r="A530" s="463"/>
      <c r="B530" s="586" t="s">
        <v>957</v>
      </c>
      <c r="C530" s="586"/>
      <c r="D530" s="563"/>
      <c r="E530" s="536"/>
      <c r="F530" s="536"/>
      <c r="G530" s="536"/>
      <c r="H530" s="587"/>
      <c r="I530" s="588"/>
      <c r="J530" s="514">
        <f>(J517+J523+J528)/E517</f>
        <v>8.544474778556177</v>
      </c>
      <c r="K530" s="471"/>
      <c r="L530">
        <v>8.5444854744481447</v>
      </c>
    </row>
    <row r="531" spans="1:13">
      <c r="A531" s="463"/>
      <c r="B531" s="566"/>
      <c r="C531" s="539"/>
      <c r="D531" s="539"/>
      <c r="E531" s="567"/>
      <c r="F531" s="568"/>
      <c r="G531" s="519"/>
      <c r="H531" s="519"/>
      <c r="I531" s="542"/>
      <c r="J531" s="589"/>
      <c r="K531" s="471"/>
      <c r="L531">
        <v>8.5444259230204391</v>
      </c>
    </row>
    <row r="532" spans="1:13" ht="20.399999999999999">
      <c r="A532" s="463"/>
      <c r="B532" s="1493" t="s">
        <v>958</v>
      </c>
      <c r="C532" s="1494"/>
      <c r="D532" s="1494"/>
      <c r="E532" s="1494"/>
      <c r="F532" s="1495"/>
      <c r="G532" s="569" t="s">
        <v>372</v>
      </c>
      <c r="H532" s="519" t="s">
        <v>956</v>
      </c>
      <c r="I532" s="570" t="s">
        <v>942</v>
      </c>
      <c r="J532" s="522" t="s">
        <v>363</v>
      </c>
      <c r="K532" s="471"/>
    </row>
    <row r="533" spans="1:13">
      <c r="A533" s="463"/>
      <c r="B533" s="571"/>
      <c r="C533" s="572"/>
      <c r="D533" s="573"/>
      <c r="E533" s="573"/>
      <c r="F533" s="574"/>
      <c r="G533" s="502"/>
      <c r="H533" s="502"/>
      <c r="I533" s="575"/>
      <c r="J533" s="505">
        <f>G533*I533</f>
        <v>0</v>
      </c>
      <c r="K533" s="471"/>
    </row>
    <row r="534" spans="1:13" ht="14.4" hidden="1" customHeight="1">
      <c r="A534" s="463"/>
      <c r="B534" s="576"/>
      <c r="C534" s="577"/>
      <c r="D534" s="578"/>
      <c r="E534" s="578"/>
      <c r="F534" s="579"/>
      <c r="G534" s="502"/>
      <c r="H534" s="502"/>
      <c r="I534" s="575"/>
      <c r="J534" s="505">
        <f>G534*I534</f>
        <v>0</v>
      </c>
      <c r="K534" s="471"/>
      <c r="M534" s="6"/>
    </row>
    <row r="535" spans="1:13">
      <c r="A535" s="463"/>
      <c r="B535" s="576"/>
      <c r="C535" s="577"/>
      <c r="D535" s="578"/>
      <c r="E535" s="578"/>
      <c r="F535" s="579"/>
      <c r="G535" s="502"/>
      <c r="H535" s="502"/>
      <c r="I535" s="575"/>
      <c r="J535" s="505">
        <f>G535*I535</f>
        <v>0</v>
      </c>
      <c r="K535" s="471"/>
    </row>
    <row r="536" spans="1:13">
      <c r="A536" s="463"/>
      <c r="B536" s="590"/>
      <c r="C536" s="591"/>
      <c r="D536" s="592"/>
      <c r="E536" s="592"/>
      <c r="F536" s="593"/>
      <c r="G536" s="502"/>
      <c r="H536" s="502"/>
      <c r="I536" s="575"/>
      <c r="J536" s="505">
        <f>G536*I536</f>
        <v>0</v>
      </c>
      <c r="K536" s="471"/>
    </row>
    <row r="537" spans="1:13">
      <c r="A537" s="463"/>
      <c r="B537" s="594"/>
      <c r="C537" s="536"/>
      <c r="D537" s="536"/>
      <c r="E537" s="595"/>
      <c r="F537" s="596"/>
      <c r="G537" s="545"/>
      <c r="H537" s="545"/>
      <c r="I537" s="537" t="s">
        <v>175</v>
      </c>
      <c r="J537" s="514">
        <f>SUM(J533:J536)</f>
        <v>0</v>
      </c>
      <c r="K537" s="471"/>
    </row>
    <row r="538" spans="1:13">
      <c r="A538" s="463"/>
      <c r="B538" s="597"/>
      <c r="C538" s="536"/>
      <c r="D538" s="536"/>
      <c r="E538" s="595"/>
      <c r="F538" s="596"/>
      <c r="G538" s="545"/>
      <c r="H538" s="545"/>
      <c r="I538" s="537"/>
      <c r="J538" s="595"/>
      <c r="K538" s="471"/>
    </row>
    <row r="539" spans="1:13" ht="20.399999999999999">
      <c r="A539" s="463"/>
      <c r="B539" s="598" t="s">
        <v>959</v>
      </c>
      <c r="C539" s="598"/>
      <c r="D539" s="598"/>
      <c r="E539" s="599"/>
      <c r="F539" s="600" t="s">
        <v>372</v>
      </c>
      <c r="G539" s="569" t="s">
        <v>960</v>
      </c>
      <c r="H539" s="519" t="s">
        <v>942</v>
      </c>
      <c r="I539" s="570" t="s">
        <v>361</v>
      </c>
      <c r="J539" s="522" t="s">
        <v>363</v>
      </c>
      <c r="K539" s="471"/>
    </row>
    <row r="540" spans="1:13">
      <c r="A540" s="463"/>
      <c r="B540" s="571"/>
      <c r="C540" s="572"/>
      <c r="D540" s="573"/>
      <c r="E540" s="574"/>
      <c r="F540" s="502"/>
      <c r="G540" s="502"/>
      <c r="H540" s="624"/>
      <c r="I540" s="575"/>
      <c r="J540" s="505"/>
      <c r="K540" s="471"/>
    </row>
    <row r="541" spans="1:13">
      <c r="A541" s="463"/>
      <c r="B541" s="590" t="s">
        <v>946</v>
      </c>
      <c r="C541" s="591"/>
      <c r="D541" s="592"/>
      <c r="E541" s="593" t="s">
        <v>946</v>
      </c>
      <c r="F541" s="509">
        <v>0</v>
      </c>
      <c r="G541" s="509">
        <v>0</v>
      </c>
      <c r="H541" s="509">
        <v>0</v>
      </c>
      <c r="I541" s="601">
        <v>0</v>
      </c>
      <c r="J541" s="505">
        <f>I541*H541*G541*F541</f>
        <v>0</v>
      </c>
      <c r="K541" s="471"/>
    </row>
    <row r="542" spans="1:13">
      <c r="A542" s="463"/>
      <c r="B542" s="594"/>
      <c r="C542" s="536"/>
      <c r="D542" s="536"/>
      <c r="E542" s="595"/>
      <c r="F542" s="596"/>
      <c r="G542" s="545"/>
      <c r="H542" s="545"/>
      <c r="I542" s="537" t="s">
        <v>175</v>
      </c>
      <c r="J542" s="514">
        <f>SUM(J540:J541)</f>
        <v>0</v>
      </c>
      <c r="K542" s="471"/>
    </row>
    <row r="543" spans="1:13">
      <c r="A543" s="463"/>
      <c r="B543" s="536"/>
      <c r="C543" s="536"/>
      <c r="D543" s="536"/>
      <c r="E543" s="536"/>
      <c r="F543" s="536"/>
      <c r="G543" s="536"/>
      <c r="H543" s="536"/>
      <c r="I543" s="537"/>
      <c r="J543" s="536"/>
      <c r="K543" s="471"/>
    </row>
    <row r="544" spans="1:13">
      <c r="A544" s="463"/>
      <c r="B544" s="1481" t="s">
        <v>961</v>
      </c>
      <c r="C544" s="1482"/>
      <c r="D544" s="1482"/>
      <c r="E544" s="1482"/>
      <c r="F544" s="1482"/>
      <c r="G544" s="1482"/>
      <c r="H544" s="1482"/>
      <c r="I544" s="1483"/>
      <c r="J544" s="586">
        <f>J542+J537+J530</f>
        <v>8.544474778556177</v>
      </c>
      <c r="K544" s="471"/>
    </row>
    <row r="545" spans="1:11">
      <c r="A545" s="463"/>
      <c r="B545" s="536"/>
      <c r="C545" s="536"/>
      <c r="D545" s="536"/>
      <c r="E545" s="536"/>
      <c r="F545" s="536"/>
      <c r="G545" s="536"/>
      <c r="H545" s="536"/>
      <c r="I545" s="537"/>
      <c r="J545" s="536"/>
      <c r="K545" s="471"/>
    </row>
    <row r="546" spans="1:11">
      <c r="A546" s="463"/>
      <c r="B546" s="1481" t="s">
        <v>962</v>
      </c>
      <c r="C546" s="1482"/>
      <c r="D546" s="1482"/>
      <c r="E546" s="1482"/>
      <c r="F546" s="1482"/>
      <c r="G546" s="1482"/>
      <c r="H546" s="1482"/>
      <c r="I546" s="1483"/>
      <c r="J546" s="514">
        <f>J544*0</f>
        <v>0</v>
      </c>
      <c r="K546" s="471"/>
    </row>
    <row r="547" spans="1:11">
      <c r="A547" s="463"/>
      <c r="B547" s="536"/>
      <c r="C547" s="536"/>
      <c r="D547" s="536"/>
      <c r="E547" s="536"/>
      <c r="F547" s="536"/>
      <c r="G547" s="536"/>
      <c r="H547" s="536"/>
      <c r="I547" s="537"/>
      <c r="J547" s="536"/>
      <c r="K547" s="471"/>
    </row>
    <row r="548" spans="1:11">
      <c r="A548" s="463"/>
      <c r="B548" s="1481" t="s">
        <v>963</v>
      </c>
      <c r="C548" s="1482"/>
      <c r="D548" s="1482"/>
      <c r="E548" s="1482"/>
      <c r="F548" s="1482"/>
      <c r="G548" s="1482"/>
      <c r="H548" s="1482"/>
      <c r="I548" s="1483"/>
      <c r="J548" s="586">
        <f>J544+J546</f>
        <v>8.544474778556177</v>
      </c>
      <c r="K548" s="471"/>
    </row>
    <row r="549" spans="1:11">
      <c r="A549" s="463"/>
      <c r="B549" s="524"/>
      <c r="C549" s="524"/>
      <c r="D549" s="524"/>
      <c r="E549" s="524"/>
      <c r="F549" s="524"/>
      <c r="G549" s="524"/>
      <c r="H549" s="524"/>
      <c r="I549" s="584"/>
      <c r="J549" s="524"/>
      <c r="K549" s="471"/>
    </row>
    <row r="550" spans="1:11">
      <c r="A550" s="463"/>
      <c r="B550" s="602"/>
      <c r="C550" s="572"/>
      <c r="D550" s="572"/>
      <c r="E550" s="572"/>
      <c r="F550" s="572"/>
      <c r="G550" s="572"/>
      <c r="H550" s="572"/>
      <c r="I550" s="572"/>
      <c r="J550" s="603"/>
      <c r="K550" s="471"/>
    </row>
    <row r="551" spans="1:11">
      <c r="A551" s="463"/>
      <c r="B551" s="604"/>
      <c r="C551" s="605"/>
      <c r="D551" s="606"/>
      <c r="E551" s="606"/>
      <c r="F551" s="607" t="s">
        <v>946</v>
      </c>
      <c r="G551" s="608" t="s">
        <v>946</v>
      </c>
      <c r="H551" s="605"/>
      <c r="I551" s="605"/>
      <c r="J551" s="609"/>
      <c r="K551" s="471"/>
    </row>
    <row r="552" spans="1:11">
      <c r="A552" s="463"/>
      <c r="B552" s="472"/>
      <c r="C552" s="472"/>
      <c r="D552" s="472"/>
      <c r="E552" s="472"/>
      <c r="F552" s="472"/>
      <c r="G552" s="472"/>
      <c r="H552" s="472"/>
      <c r="I552" s="472"/>
      <c r="J552" s="472"/>
      <c r="K552" s="471"/>
    </row>
    <row r="553" spans="1:11">
      <c r="A553" s="463"/>
      <c r="B553" s="610" t="str">
        <f>PLANEJAMENTO!F2</f>
        <v>OPERAÇÃO DE SUPRESSÃO E SUMP</v>
      </c>
      <c r="C553" s="611"/>
      <c r="D553" s="611"/>
      <c r="E553" s="611"/>
      <c r="F553" s="612"/>
      <c r="G553" s="613" t="s">
        <v>363</v>
      </c>
      <c r="H553" s="515"/>
      <c r="I553" s="515"/>
      <c r="J553" s="518"/>
      <c r="K553" s="471"/>
    </row>
    <row r="554" spans="1:11">
      <c r="A554" s="463"/>
      <c r="B554" s="956" t="str">
        <f>PLANEJAMENTO!F3</f>
        <v>MARA ROSA</v>
      </c>
      <c r="C554" s="957"/>
      <c r="D554" s="957"/>
      <c r="E554" s="957"/>
      <c r="F554" s="958"/>
      <c r="G554" s="1484" t="s">
        <v>964</v>
      </c>
      <c r="H554" s="1485"/>
      <c r="I554" s="1485"/>
      <c r="J554" s="1486"/>
      <c r="K554" s="471"/>
    </row>
    <row r="555" spans="1:11">
      <c r="A555" s="463"/>
      <c r="B555" s="1015"/>
      <c r="C555" s="587"/>
      <c r="D555" s="587"/>
      <c r="E555" s="587"/>
      <c r="F555" s="587"/>
      <c r="G555" s="1014"/>
      <c r="H555" s="1014"/>
      <c r="I555" s="1014"/>
      <c r="J555" s="1016"/>
      <c r="K555" s="471"/>
    </row>
    <row r="556" spans="1:11" ht="15" thickBot="1">
      <c r="A556" s="621"/>
      <c r="B556" s="622"/>
      <c r="C556" s="622"/>
      <c r="D556" s="622"/>
      <c r="E556" s="622"/>
      <c r="F556" s="622"/>
      <c r="G556" s="622"/>
      <c r="H556" s="622"/>
      <c r="I556" s="622"/>
      <c r="J556" s="622"/>
      <c r="K556" s="623"/>
    </row>
    <row r="557" spans="1:11">
      <c r="A557" s="460"/>
      <c r="B557" s="461"/>
      <c r="C557" s="461"/>
      <c r="D557" s="461"/>
      <c r="E557" s="461"/>
      <c r="F557" s="461"/>
      <c r="G557" s="461"/>
      <c r="H557" s="461"/>
      <c r="I557" s="461"/>
      <c r="J557" s="461"/>
      <c r="K557" s="462"/>
    </row>
    <row r="558" spans="1:11">
      <c r="A558" s="463"/>
      <c r="B558" s="464" t="s">
        <v>178</v>
      </c>
      <c r="C558" s="465"/>
      <c r="D558" s="466" t="s">
        <v>936</v>
      </c>
      <c r="E558" s="467"/>
      <c r="F558" s="468"/>
      <c r="G558" s="468"/>
      <c r="H558" s="469"/>
      <c r="I558" s="469"/>
      <c r="J558" s="470"/>
      <c r="K558" s="471"/>
    </row>
    <row r="559" spans="1:11">
      <c r="A559" s="463"/>
      <c r="B559" s="472"/>
      <c r="C559" s="472"/>
      <c r="D559" s="472"/>
      <c r="E559" s="472"/>
      <c r="F559" s="472"/>
      <c r="G559" s="472"/>
      <c r="H559" s="472"/>
      <c r="I559" s="472"/>
      <c r="J559" s="472"/>
      <c r="K559" s="471"/>
    </row>
    <row r="560" spans="1:11">
      <c r="A560" s="463"/>
      <c r="B560" s="473" t="s">
        <v>688</v>
      </c>
      <c r="C560" s="474" t="s">
        <v>937</v>
      </c>
      <c r="D560" s="1497" t="s">
        <v>250</v>
      </c>
      <c r="E560" s="1498"/>
      <c r="F560" s="1498"/>
      <c r="G560" s="1498"/>
      <c r="H560" s="1498"/>
      <c r="I560" s="1499"/>
      <c r="J560" s="475" t="s">
        <v>267</v>
      </c>
      <c r="K560" s="471"/>
    </row>
    <row r="561" spans="1:11" ht="20.399999999999999">
      <c r="A561" s="463"/>
      <c r="B561" s="476" t="s">
        <v>3</v>
      </c>
      <c r="C561" s="477">
        <f ca="1">PLANEJAMENTO!F4</f>
        <v>46140</v>
      </c>
      <c r="D561" s="681" t="s">
        <v>1480</v>
      </c>
      <c r="E561" s="479"/>
      <c r="F561" s="479"/>
      <c r="G561" s="479"/>
      <c r="H561" s="479"/>
      <c r="I561" s="480"/>
      <c r="J561" s="481" t="s">
        <v>203</v>
      </c>
      <c r="K561" s="471"/>
    </row>
    <row r="562" spans="1:11">
      <c r="A562" s="463"/>
      <c r="B562" s="482"/>
      <c r="C562" s="482"/>
      <c r="D562" s="482"/>
      <c r="E562" s="482"/>
      <c r="F562" s="482"/>
      <c r="G562" s="482"/>
      <c r="H562" s="482"/>
      <c r="I562" s="483"/>
      <c r="J562" s="484"/>
      <c r="K562" s="471"/>
    </row>
    <row r="563" spans="1:11">
      <c r="A563" s="463"/>
      <c r="B563" s="1484" t="s">
        <v>938</v>
      </c>
      <c r="C563" s="1486"/>
      <c r="D563" s="1502" t="s">
        <v>688</v>
      </c>
      <c r="E563" s="1504" t="s">
        <v>939</v>
      </c>
      <c r="F563" s="485" t="s">
        <v>940</v>
      </c>
      <c r="G563" s="486"/>
      <c r="H563" s="485" t="s">
        <v>941</v>
      </c>
      <c r="I563" s="486"/>
      <c r="J563" s="487" t="s">
        <v>942</v>
      </c>
      <c r="K563" s="471"/>
    </row>
    <row r="564" spans="1:11">
      <c r="A564" s="463"/>
      <c r="B564" s="1500"/>
      <c r="C564" s="1501"/>
      <c r="D564" s="1503"/>
      <c r="E564" s="1505"/>
      <c r="F564" s="488" t="s">
        <v>943</v>
      </c>
      <c r="G564" s="488" t="s">
        <v>944</v>
      </c>
      <c r="H564" s="488" t="s">
        <v>943</v>
      </c>
      <c r="I564" s="489" t="s">
        <v>944</v>
      </c>
      <c r="J564" s="490" t="s">
        <v>945</v>
      </c>
      <c r="K564" s="471"/>
    </row>
    <row r="565" spans="1:11">
      <c r="A565" s="463"/>
      <c r="B565" s="491" t="s">
        <v>669</v>
      </c>
      <c r="C565" s="492"/>
      <c r="D565" s="493"/>
      <c r="E565" s="494">
        <v>1</v>
      </c>
      <c r="F565" s="494">
        <v>1</v>
      </c>
      <c r="G565" s="495">
        <f>1-F565</f>
        <v>0</v>
      </c>
      <c r="H565" s="496">
        <f>VLOOKUP(B565,EQUIPAMENTOS!$A:$J,10,FALSE)</f>
        <v>214.36944444444444</v>
      </c>
      <c r="I565" s="497">
        <f>H565</f>
        <v>214.36944444444444</v>
      </c>
      <c r="J565" s="498">
        <f>H565*F565*E565+I565*G565*E565</f>
        <v>214.36944444444444</v>
      </c>
      <c r="K565" s="471"/>
    </row>
    <row r="566" spans="1:11">
      <c r="A566" s="463"/>
      <c r="B566" s="499" t="s">
        <v>631</v>
      </c>
      <c r="C566" s="500"/>
      <c r="D566" s="501"/>
      <c r="E566" s="875">
        <v>1</v>
      </c>
      <c r="F566" s="502">
        <v>1</v>
      </c>
      <c r="G566" s="502">
        <f>1-F566</f>
        <v>0</v>
      </c>
      <c r="H566" s="503">
        <f>VLOOKUP(B566,EQUIPAMENTOS!$A:$J,10,FALSE)</f>
        <v>175</v>
      </c>
      <c r="I566" s="504">
        <f>H566</f>
        <v>175</v>
      </c>
      <c r="J566" s="505">
        <f>H566*F566*E566+I566*G566*E566</f>
        <v>175</v>
      </c>
      <c r="K566" s="471"/>
    </row>
    <row r="567" spans="1:11">
      <c r="A567" s="463"/>
      <c r="B567" s="499" t="s">
        <v>1157</v>
      </c>
      <c r="C567" s="500"/>
      <c r="D567" s="501"/>
      <c r="E567" s="502">
        <v>5</v>
      </c>
      <c r="F567" s="502">
        <v>1</v>
      </c>
      <c r="G567" s="502">
        <f>1-F567</f>
        <v>0</v>
      </c>
      <c r="H567" s="503">
        <f>VLOOKUP(B567,EQUIPAMENTOS!$A:$J,10,FALSE)</f>
        <v>125</v>
      </c>
      <c r="I567" s="504">
        <f>H567</f>
        <v>125</v>
      </c>
      <c r="J567" s="505">
        <f>H567*F567*E567+I567*G567*E567</f>
        <v>625</v>
      </c>
      <c r="K567" s="471"/>
    </row>
    <row r="568" spans="1:11">
      <c r="A568" s="463"/>
      <c r="B568" s="499"/>
      <c r="C568" s="500"/>
      <c r="D568" s="501"/>
      <c r="E568" s="502"/>
      <c r="F568" s="502"/>
      <c r="G568" s="502"/>
      <c r="H568" s="503"/>
      <c r="I568" s="504"/>
      <c r="J568" s="505"/>
      <c r="K568" s="471"/>
    </row>
    <row r="569" spans="1:11">
      <c r="A569" s="463"/>
      <c r="B569" s="506"/>
      <c r="C569" s="507"/>
      <c r="D569" s="508"/>
      <c r="E569" s="509"/>
      <c r="F569" s="509"/>
      <c r="G569" s="509"/>
      <c r="H569" s="510"/>
      <c r="I569" s="511"/>
      <c r="J569" s="505">
        <f>H569*F569*E569+I569*G569*E569</f>
        <v>0</v>
      </c>
      <c r="K569" s="471"/>
    </row>
    <row r="570" spans="1:11">
      <c r="A570" s="463"/>
      <c r="B570" s="512" t="s">
        <v>946</v>
      </c>
      <c r="C570" s="482"/>
      <c r="D570" s="482"/>
      <c r="E570" s="482"/>
      <c r="F570" s="482"/>
      <c r="G570" s="482"/>
      <c r="H570" s="482"/>
      <c r="I570" s="513" t="s">
        <v>175</v>
      </c>
      <c r="J570" s="514">
        <f>SUM(J565:J569)</f>
        <v>1014.3694444444444</v>
      </c>
      <c r="K570" s="471"/>
    </row>
    <row r="571" spans="1:11" ht="20.399999999999999" customHeight="1">
      <c r="A571" s="463"/>
      <c r="B571" s="515"/>
      <c r="C571" s="515"/>
      <c r="D571" s="515"/>
      <c r="E571" s="515"/>
      <c r="F571" s="515"/>
      <c r="G571" s="515"/>
      <c r="H571" s="515"/>
      <c r="I571" s="516"/>
      <c r="J571" s="517"/>
      <c r="K571" s="471"/>
    </row>
    <row r="572" spans="1:11" ht="20.399999999999999">
      <c r="A572" s="463"/>
      <c r="B572" s="1490" t="s">
        <v>947</v>
      </c>
      <c r="C572" s="1491"/>
      <c r="D572" s="1491"/>
      <c r="E572" s="1492"/>
      <c r="F572" s="725" t="s">
        <v>688</v>
      </c>
      <c r="G572" s="853"/>
      <c r="H572" s="520" t="s">
        <v>427</v>
      </c>
      <c r="I572" s="521" t="s">
        <v>948</v>
      </c>
      <c r="J572" s="522" t="s">
        <v>949</v>
      </c>
      <c r="K572" s="471"/>
    </row>
    <row r="573" spans="1:11">
      <c r="A573" s="463"/>
      <c r="B573" s="523" t="s">
        <v>950</v>
      </c>
      <c r="C573" s="524"/>
      <c r="D573" s="525"/>
      <c r="E573" s="526"/>
      <c r="F573" s="527"/>
      <c r="G573" s="528"/>
      <c r="H573" s="529">
        <f>E567</f>
        <v>5</v>
      </c>
      <c r="I573" s="534">
        <f>(VLOOKUP(B573,'MÃO DE OBRA'!$A:$E,5,FALSE)/220)</f>
        <v>26.714454545454547</v>
      </c>
      <c r="J573" s="505">
        <f>H573*I573</f>
        <v>133.57227272727275</v>
      </c>
      <c r="K573" s="471"/>
    </row>
    <row r="574" spans="1:11">
      <c r="A574" s="463"/>
      <c r="B574" s="530" t="s">
        <v>976</v>
      </c>
      <c r="C574" s="531"/>
      <c r="D574" s="472"/>
      <c r="E574" s="500"/>
      <c r="F574" s="501"/>
      <c r="G574" s="532"/>
      <c r="H574" s="533">
        <f>E565</f>
        <v>1</v>
      </c>
      <c r="I574" s="534">
        <f>(VLOOKUP(B574,'MÃO DE OBRA'!$A:$E,5,FALSE)/220)</f>
        <v>35.711036363636367</v>
      </c>
      <c r="J574" s="505">
        <f>H574*I574</f>
        <v>35.711036363636367</v>
      </c>
      <c r="K574" s="471"/>
    </row>
    <row r="575" spans="1:11">
      <c r="A575" s="463"/>
      <c r="B575" s="530" t="s">
        <v>472</v>
      </c>
      <c r="C575" s="531"/>
      <c r="D575" s="472"/>
      <c r="E575" s="500"/>
      <c r="F575" s="501"/>
      <c r="G575" s="532"/>
      <c r="H575" s="533">
        <v>2</v>
      </c>
      <c r="I575" s="534">
        <f>(VLOOKUP(B575,'MÃO DE OBRA'!$A:$E,5,FALSE)/220)</f>
        <v>18.377072727272729</v>
      </c>
      <c r="J575" s="505">
        <f>H575*I575</f>
        <v>36.754145454545458</v>
      </c>
      <c r="K575" s="471"/>
    </row>
    <row r="576" spans="1:11">
      <c r="A576" s="463"/>
      <c r="B576" s="530" t="s">
        <v>556</v>
      </c>
      <c r="C576" s="531"/>
      <c r="D576" s="472"/>
      <c r="E576" s="500"/>
      <c r="F576" s="501"/>
      <c r="G576" s="532"/>
      <c r="H576" s="533">
        <f>E566</f>
        <v>1</v>
      </c>
      <c r="I576" s="534">
        <f>(VLOOKUP(B576,'MÃO DE OBRA'!$A:$E,5,FALSE)/220)</f>
        <v>35.988199999999999</v>
      </c>
      <c r="J576" s="505">
        <f>H576*I576</f>
        <v>35.988199999999999</v>
      </c>
      <c r="K576" s="471"/>
    </row>
    <row r="577" spans="1:12">
      <c r="A577" s="463"/>
      <c r="B577" s="512" t="s">
        <v>946</v>
      </c>
      <c r="C577" s="515"/>
      <c r="D577" s="515"/>
      <c r="E577" s="515"/>
      <c r="F577" s="515"/>
      <c r="G577" s="515"/>
      <c r="H577" s="515"/>
      <c r="I577" s="535" t="s">
        <v>175</v>
      </c>
      <c r="J577" s="514">
        <f>SUM(J573:J576)</f>
        <v>242.02565454545459</v>
      </c>
      <c r="K577" s="471"/>
    </row>
    <row r="578" spans="1:12">
      <c r="A578" s="463"/>
      <c r="B578" s="536"/>
      <c r="C578" s="536"/>
      <c r="D578" s="536"/>
      <c r="E578" s="536"/>
      <c r="F578" s="536"/>
      <c r="G578" s="536"/>
      <c r="H578" s="536"/>
      <c r="I578" s="537"/>
      <c r="J578" s="536"/>
      <c r="K578" s="471"/>
    </row>
    <row r="579" spans="1:12">
      <c r="A579" s="463"/>
      <c r="B579" s="538" t="s">
        <v>952</v>
      </c>
      <c r="C579" s="539"/>
      <c r="D579" s="536"/>
      <c r="E579" s="540">
        <v>140.82860896840299</v>
      </c>
      <c r="F579" s="541" t="s">
        <v>931</v>
      </c>
      <c r="G579" s="519"/>
      <c r="H579" s="519"/>
      <c r="I579" s="542" t="s">
        <v>953</v>
      </c>
      <c r="J579" s="514">
        <f>J570+J577</f>
        <v>1256.395098989899</v>
      </c>
      <c r="K579" s="471"/>
    </row>
    <row r="580" spans="1:12">
      <c r="A580" s="463"/>
      <c r="B580" s="543"/>
      <c r="C580" s="536"/>
      <c r="D580" s="536"/>
      <c r="E580" s="544"/>
      <c r="F580" s="545"/>
      <c r="G580" s="545"/>
      <c r="H580" s="545"/>
      <c r="I580" s="537"/>
      <c r="J580" s="536"/>
      <c r="K580" s="471"/>
    </row>
    <row r="581" spans="1:12" ht="20.399999999999999">
      <c r="A581" s="463"/>
      <c r="B581" s="1493" t="s">
        <v>362</v>
      </c>
      <c r="C581" s="1494"/>
      <c r="D581" s="1494"/>
      <c r="E581" s="1495"/>
      <c r="F581" s="546" t="s">
        <v>688</v>
      </c>
      <c r="G581" s="547" t="s">
        <v>371</v>
      </c>
      <c r="H581" s="520" t="s">
        <v>942</v>
      </c>
      <c r="I581" s="548" t="s">
        <v>361</v>
      </c>
      <c r="J581" s="549" t="s">
        <v>363</v>
      </c>
      <c r="K581" s="471"/>
    </row>
    <row r="582" spans="1:12">
      <c r="A582" s="463"/>
      <c r="B582" s="550" t="str">
        <f>B565</f>
        <v>Trator de esteiras 20T</v>
      </c>
      <c r="C582" s="551"/>
      <c r="D582" s="551"/>
      <c r="E582" s="552"/>
      <c r="F582" s="553" t="str">
        <f>VLOOKUP(B582,EQUIPAMENTOS!$A:$N,12,FALSE)</f>
        <v>Diesel S10</v>
      </c>
      <c r="G582" s="554" t="s">
        <v>415</v>
      </c>
      <c r="H582" s="560">
        <f>VLOOKUP(B582,EQUIPAMENTOS!$A:$N,13,FALSE)</f>
        <v>0</v>
      </c>
      <c r="I582" s="556">
        <f>VLOOKUP(B582,EQUIPAMENTOS!$A:$N,14,FALSE)</f>
        <v>26</v>
      </c>
      <c r="J582" s="498">
        <f>H582*I582*E565*F565</f>
        <v>0</v>
      </c>
      <c r="K582" s="471"/>
    </row>
    <row r="583" spans="1:12">
      <c r="A583" s="463"/>
      <c r="B583" s="557" t="str">
        <f t="shared" ref="B583:B584" si="4">B566</f>
        <v>Escavadeira hidráulica sobre esteira 22T</v>
      </c>
      <c r="C583" s="531"/>
      <c r="D583" s="531"/>
      <c r="E583" s="500"/>
      <c r="F583" s="553" t="str">
        <f>VLOOKUP(B583,EQUIPAMENTOS!$A:$N,12,FALSE)</f>
        <v>Diesel S10</v>
      </c>
      <c r="G583" s="554" t="s">
        <v>415</v>
      </c>
      <c r="H583" s="560">
        <f>VLOOKUP(B583,EQUIPAMENTOS!$A:$N,13,FALSE)</f>
        <v>0</v>
      </c>
      <c r="I583" s="556">
        <f>VLOOKUP(B583,EQUIPAMENTOS!$A:$N,14,FALSE)</f>
        <v>22</v>
      </c>
      <c r="J583" s="505">
        <f>H583*I583*E566*F566</f>
        <v>0</v>
      </c>
      <c r="K583" s="471"/>
    </row>
    <row r="584" spans="1:12">
      <c r="A584" s="463"/>
      <c r="B584" s="557" t="str">
        <f t="shared" si="4"/>
        <v>Caminhão basculante 14 m³</v>
      </c>
      <c r="C584" s="539"/>
      <c r="D584" s="539"/>
      <c r="E584" s="507"/>
      <c r="F584" s="553" t="str">
        <f>VLOOKUP(B584,EQUIPAMENTOS!$A:$N,12,FALSE)</f>
        <v>Diesel S10</v>
      </c>
      <c r="G584" s="736" t="s">
        <v>415</v>
      </c>
      <c r="H584" s="560">
        <f>VLOOKUP(B584,EQUIPAMENTOS!$A:$N,13,FALSE)</f>
        <v>0</v>
      </c>
      <c r="I584" s="556">
        <f>VLOOKUP(B584,EQUIPAMENTOS!$A:$N,14,FALSE)</f>
        <v>2.5</v>
      </c>
      <c r="J584" s="505">
        <f>H584*I584*E567*F567</f>
        <v>0</v>
      </c>
      <c r="K584" s="471"/>
    </row>
    <row r="585" spans="1:12">
      <c r="A585" s="463"/>
      <c r="B585" s="563" t="s">
        <v>946</v>
      </c>
      <c r="C585" s="539"/>
      <c r="D585" s="539"/>
      <c r="E585" s="539"/>
      <c r="F585" s="536"/>
      <c r="G585" s="539"/>
      <c r="H585" s="564"/>
      <c r="I585" s="565" t="s">
        <v>175</v>
      </c>
      <c r="J585" s="514">
        <f>SUM(J582:J584)</f>
        <v>0</v>
      </c>
      <c r="K585" s="471"/>
    </row>
    <row r="586" spans="1:12">
      <c r="A586" s="463"/>
      <c r="B586" s="566"/>
      <c r="C586" s="539"/>
      <c r="D586" s="539"/>
      <c r="E586" s="567"/>
      <c r="F586" s="568"/>
      <c r="G586" s="519"/>
      <c r="H586" s="519"/>
      <c r="I586" s="542"/>
      <c r="J586" s="567"/>
      <c r="K586" s="471"/>
      <c r="L586" s="6">
        <f>J586/E579</f>
        <v>0</v>
      </c>
    </row>
    <row r="587" spans="1:12" ht="20.399999999999999">
      <c r="A587" s="463"/>
      <c r="B587" s="1493" t="s">
        <v>955</v>
      </c>
      <c r="C587" s="1494"/>
      <c r="D587" s="1494"/>
      <c r="E587" s="1494"/>
      <c r="F587" s="1495"/>
      <c r="G587" s="569" t="s">
        <v>372</v>
      </c>
      <c r="H587" s="519" t="s">
        <v>956</v>
      </c>
      <c r="I587" s="570" t="s">
        <v>942</v>
      </c>
      <c r="J587" s="522" t="s">
        <v>363</v>
      </c>
      <c r="K587" s="471"/>
    </row>
    <row r="588" spans="1:12">
      <c r="A588" s="463"/>
      <c r="B588" s="571"/>
      <c r="C588" s="572"/>
      <c r="D588" s="573"/>
      <c r="E588" s="573"/>
      <c r="F588" s="574"/>
      <c r="G588" s="502"/>
      <c r="H588" s="502"/>
      <c r="I588" s="575"/>
      <c r="J588" s="505"/>
      <c r="K588" s="471"/>
    </row>
    <row r="589" spans="1:12">
      <c r="A589" s="463"/>
      <c r="B589" s="576"/>
      <c r="C589" s="577"/>
      <c r="D589" s="578"/>
      <c r="E589" s="578"/>
      <c r="F589" s="579"/>
      <c r="G589" s="502"/>
      <c r="H589" s="502"/>
      <c r="I589" s="575"/>
      <c r="J589" s="505"/>
      <c r="K589" s="471"/>
    </row>
    <row r="590" spans="1:12">
      <c r="A590" s="463"/>
      <c r="B590" s="1496" t="s">
        <v>175</v>
      </c>
      <c r="C590" s="1496"/>
      <c r="D590" s="1496"/>
      <c r="E590" s="1496"/>
      <c r="F590" s="1496"/>
      <c r="G590" s="1496"/>
      <c r="H590" s="1496"/>
      <c r="I590" s="1496"/>
      <c r="J590" s="514">
        <f>SUM(J588:J589)</f>
        <v>0</v>
      </c>
      <c r="K590" s="471"/>
    </row>
    <row r="591" spans="1:12">
      <c r="A591" s="463"/>
      <c r="B591" s="580"/>
      <c r="C591" s="524"/>
      <c r="D591" s="524"/>
      <c r="E591" s="581"/>
      <c r="F591" s="582"/>
      <c r="G591" s="583"/>
      <c r="H591" s="583"/>
      <c r="I591" s="584"/>
      <c r="J591" s="585"/>
      <c r="K591" s="471"/>
    </row>
    <row r="592" spans="1:12">
      <c r="A592" s="463"/>
      <c r="B592" s="586" t="s">
        <v>957</v>
      </c>
      <c r="C592" s="586"/>
      <c r="D592" s="563"/>
      <c r="E592" s="536"/>
      <c r="F592" s="536"/>
      <c r="G592" s="536"/>
      <c r="H592" s="587"/>
      <c r="I592" s="588"/>
      <c r="J592" s="514">
        <f>(J579+J585+J590)/E579</f>
        <v>8.9214479088676519</v>
      </c>
      <c r="K592" s="471"/>
      <c r="L592" s="1035">
        <v>8.9214480689090916</v>
      </c>
    </row>
    <row r="593" spans="1:16">
      <c r="A593" s="463"/>
      <c r="B593" s="566"/>
      <c r="C593" s="539"/>
      <c r="D593" s="539"/>
      <c r="E593" s="567"/>
      <c r="F593" s="568"/>
      <c r="G593" s="519"/>
      <c r="H593" s="519"/>
      <c r="I593" s="542"/>
      <c r="J593" s="589"/>
      <c r="K593" s="471"/>
      <c r="L593">
        <v>8.9212350947727579</v>
      </c>
    </row>
    <row r="594" spans="1:16" ht="20.399999999999999">
      <c r="A594" s="463"/>
      <c r="B594" s="1493" t="s">
        <v>958</v>
      </c>
      <c r="C594" s="1494"/>
      <c r="D594" s="1494"/>
      <c r="E594" s="1494"/>
      <c r="F594" s="1495"/>
      <c r="G594" s="569" t="s">
        <v>372</v>
      </c>
      <c r="H594" s="519" t="s">
        <v>956</v>
      </c>
      <c r="I594" s="570" t="s">
        <v>942</v>
      </c>
      <c r="J594" s="522" t="s">
        <v>363</v>
      </c>
      <c r="K594" s="471"/>
    </row>
    <row r="595" spans="1:16">
      <c r="A595" s="463"/>
      <c r="B595" s="571"/>
      <c r="C595" s="572"/>
      <c r="D595" s="573"/>
      <c r="E595" s="573"/>
      <c r="F595" s="574"/>
      <c r="G595" s="502"/>
      <c r="H595" s="502"/>
      <c r="I595" s="575"/>
      <c r="J595" s="505">
        <f>G595*I595</f>
        <v>0</v>
      </c>
      <c r="K595" s="471"/>
    </row>
    <row r="596" spans="1:16">
      <c r="A596" s="463"/>
      <c r="B596" s="576"/>
      <c r="C596" s="577"/>
      <c r="D596" s="578"/>
      <c r="E596" s="578"/>
      <c r="F596" s="579"/>
      <c r="G596" s="502"/>
      <c r="H596" s="502"/>
      <c r="I596" s="575"/>
      <c r="J596" s="505">
        <f>G596*I596</f>
        <v>0</v>
      </c>
      <c r="K596" s="471"/>
      <c r="L596" s="6"/>
      <c r="M596" s="6"/>
      <c r="O596" t="s">
        <v>1262</v>
      </c>
      <c r="P596" t="s">
        <v>1261</v>
      </c>
    </row>
    <row r="597" spans="1:16">
      <c r="A597" s="463"/>
      <c r="B597" s="576"/>
      <c r="C597" s="577"/>
      <c r="D597" s="578"/>
      <c r="E597" s="578"/>
      <c r="F597" s="579"/>
      <c r="G597" s="502"/>
      <c r="H597" s="502"/>
      <c r="I597" s="575"/>
      <c r="J597" s="505">
        <f>G597*I597</f>
        <v>0</v>
      </c>
      <c r="K597" s="471"/>
      <c r="M597" s="6"/>
    </row>
    <row r="598" spans="1:16">
      <c r="A598" s="463"/>
      <c r="B598" s="590"/>
      <c r="C598" s="591"/>
      <c r="D598" s="592"/>
      <c r="E598" s="592"/>
      <c r="F598" s="593"/>
      <c r="G598" s="502"/>
      <c r="H598" s="502"/>
      <c r="I598" s="575"/>
      <c r="J598" s="505">
        <f>G598*I598</f>
        <v>0</v>
      </c>
      <c r="K598" s="471"/>
    </row>
    <row r="599" spans="1:16">
      <c r="A599" s="463"/>
      <c r="B599" s="594"/>
      <c r="C599" s="536"/>
      <c r="D599" s="536"/>
      <c r="E599" s="595"/>
      <c r="F599" s="596"/>
      <c r="G599" s="545"/>
      <c r="H599" s="545"/>
      <c r="I599" s="537" t="s">
        <v>175</v>
      </c>
      <c r="J599" s="514">
        <f>SUM(J595:J598)</f>
        <v>0</v>
      </c>
      <c r="K599" s="471"/>
    </row>
    <row r="600" spans="1:16">
      <c r="A600" s="463"/>
      <c r="B600" s="597"/>
      <c r="C600" s="536"/>
      <c r="D600" s="536"/>
      <c r="E600" s="595"/>
      <c r="F600" s="596"/>
      <c r="G600" s="545"/>
      <c r="H600" s="545"/>
      <c r="I600" s="537"/>
      <c r="J600" s="595"/>
      <c r="K600" s="471"/>
    </row>
    <row r="601" spans="1:16" ht="20.399999999999999">
      <c r="A601" s="463"/>
      <c r="B601" s="598" t="s">
        <v>959</v>
      </c>
      <c r="C601" s="598"/>
      <c r="D601" s="598"/>
      <c r="E601" s="599"/>
      <c r="F601" s="600" t="s">
        <v>372</v>
      </c>
      <c r="G601" s="569" t="s">
        <v>960</v>
      </c>
      <c r="H601" s="519" t="s">
        <v>942</v>
      </c>
      <c r="I601" s="570" t="s">
        <v>361</v>
      </c>
      <c r="J601" s="522" t="s">
        <v>363</v>
      </c>
      <c r="K601" s="471"/>
    </row>
    <row r="602" spans="1:16">
      <c r="A602" s="463"/>
      <c r="B602" s="571"/>
      <c r="C602" s="572"/>
      <c r="D602" s="573"/>
      <c r="E602" s="574"/>
      <c r="F602" s="502"/>
      <c r="G602" s="502"/>
      <c r="H602" s="624"/>
      <c r="I602" s="575"/>
      <c r="J602" s="505"/>
      <c r="K602" s="471"/>
    </row>
    <row r="603" spans="1:16">
      <c r="A603" s="463"/>
      <c r="B603" s="590" t="s">
        <v>946</v>
      </c>
      <c r="C603" s="591"/>
      <c r="D603" s="592"/>
      <c r="E603" s="593" t="s">
        <v>946</v>
      </c>
      <c r="F603" s="509">
        <v>0</v>
      </c>
      <c r="G603" s="509">
        <v>0</v>
      </c>
      <c r="H603" s="509">
        <v>0</v>
      </c>
      <c r="I603" s="601">
        <v>0</v>
      </c>
      <c r="J603" s="505">
        <f>I603*H603*G603*F603</f>
        <v>0</v>
      </c>
      <c r="K603" s="471"/>
    </row>
    <row r="604" spans="1:16">
      <c r="A604" s="463"/>
      <c r="B604" s="594"/>
      <c r="C604" s="536"/>
      <c r="D604" s="536"/>
      <c r="E604" s="595"/>
      <c r="F604" s="596"/>
      <c r="G604" s="545"/>
      <c r="H604" s="545"/>
      <c r="I604" s="537" t="s">
        <v>175</v>
      </c>
      <c r="J604" s="514">
        <f>SUM(J602:J603)</f>
        <v>0</v>
      </c>
      <c r="K604" s="471"/>
    </row>
    <row r="605" spans="1:16">
      <c r="A605" s="463"/>
      <c r="B605" s="536"/>
      <c r="C605" s="536"/>
      <c r="D605" s="536"/>
      <c r="E605" s="536"/>
      <c r="F605" s="536"/>
      <c r="G605" s="536"/>
      <c r="H605" s="536"/>
      <c r="I605" s="537"/>
      <c r="J605" s="536"/>
      <c r="K605" s="471"/>
    </row>
    <row r="606" spans="1:16">
      <c r="A606" s="463"/>
      <c r="B606" s="1481" t="s">
        <v>961</v>
      </c>
      <c r="C606" s="1482"/>
      <c r="D606" s="1482"/>
      <c r="E606" s="1482"/>
      <c r="F606" s="1482"/>
      <c r="G606" s="1482"/>
      <c r="H606" s="1482"/>
      <c r="I606" s="1483"/>
      <c r="J606" s="586">
        <f>J604+J599+J592</f>
        <v>8.9214479088676519</v>
      </c>
      <c r="K606" s="471"/>
    </row>
    <row r="607" spans="1:16">
      <c r="A607" s="463"/>
      <c r="B607" s="536"/>
      <c r="C607" s="536"/>
      <c r="D607" s="536"/>
      <c r="E607" s="536"/>
      <c r="F607" s="536"/>
      <c r="G607" s="536"/>
      <c r="H607" s="536"/>
      <c r="I607" s="537"/>
      <c r="J607" s="536"/>
      <c r="K607" s="471"/>
    </row>
    <row r="608" spans="1:16">
      <c r="A608" s="463"/>
      <c r="B608" s="1481" t="s">
        <v>962</v>
      </c>
      <c r="C608" s="1482"/>
      <c r="D608" s="1482"/>
      <c r="E608" s="1482"/>
      <c r="F608" s="1482"/>
      <c r="G608" s="1482"/>
      <c r="H608" s="1482"/>
      <c r="I608" s="1483"/>
      <c r="J608" s="514">
        <f>J606*0</f>
        <v>0</v>
      </c>
      <c r="K608" s="471"/>
    </row>
    <row r="609" spans="1:11">
      <c r="A609" s="463"/>
      <c r="B609" s="536"/>
      <c r="C609" s="536"/>
      <c r="D609" s="536"/>
      <c r="E609" s="536"/>
      <c r="F609" s="536"/>
      <c r="G609" s="536"/>
      <c r="H609" s="536"/>
      <c r="I609" s="537"/>
      <c r="J609" s="536"/>
      <c r="K609" s="471"/>
    </row>
    <row r="610" spans="1:11">
      <c r="A610" s="463"/>
      <c r="B610" s="1481" t="s">
        <v>963</v>
      </c>
      <c r="C610" s="1482"/>
      <c r="D610" s="1482"/>
      <c r="E610" s="1482"/>
      <c r="F610" s="1482"/>
      <c r="G610" s="1482"/>
      <c r="H610" s="1482"/>
      <c r="I610" s="1483"/>
      <c r="J610" s="586">
        <f>J606+J608</f>
        <v>8.9214479088676519</v>
      </c>
      <c r="K610" s="471"/>
    </row>
    <row r="611" spans="1:11">
      <c r="A611" s="463"/>
      <c r="B611" s="524"/>
      <c r="C611" s="524"/>
      <c r="D611" s="524"/>
      <c r="E611" s="524"/>
      <c r="F611" s="524"/>
      <c r="G611" s="524"/>
      <c r="H611" s="524"/>
      <c r="I611" s="584"/>
      <c r="J611" s="524"/>
      <c r="K611" s="471"/>
    </row>
    <row r="612" spans="1:11">
      <c r="A612" s="463"/>
      <c r="B612" s="602"/>
      <c r="C612" s="572"/>
      <c r="D612" s="572"/>
      <c r="E612" s="572"/>
      <c r="F612" s="572"/>
      <c r="G612" s="572"/>
      <c r="H612" s="572"/>
      <c r="I612" s="572"/>
      <c r="J612" s="603"/>
      <c r="K612" s="471"/>
    </row>
    <row r="613" spans="1:11">
      <c r="A613" s="463"/>
      <c r="B613" s="604"/>
      <c r="C613" s="605"/>
      <c r="D613" s="606"/>
      <c r="E613" s="606"/>
      <c r="F613" s="607" t="s">
        <v>946</v>
      </c>
      <c r="G613" s="608" t="s">
        <v>946</v>
      </c>
      <c r="H613" s="605"/>
      <c r="I613" s="605"/>
      <c r="J613" s="609"/>
      <c r="K613" s="471"/>
    </row>
    <row r="614" spans="1:11">
      <c r="A614" s="463"/>
      <c r="B614" s="472"/>
      <c r="C614" s="472"/>
      <c r="D614" s="472"/>
      <c r="E614" s="472"/>
      <c r="F614" s="472"/>
      <c r="G614" s="472"/>
      <c r="H614" s="472"/>
      <c r="I614" s="472"/>
      <c r="J614" s="472"/>
      <c r="K614" s="471"/>
    </row>
    <row r="615" spans="1:11">
      <c r="A615" s="463"/>
      <c r="B615" s="610" t="str">
        <f>PLANEJAMENTO!F2</f>
        <v>OPERAÇÃO DE SUPRESSÃO E SUMP</v>
      </c>
      <c r="C615" s="611"/>
      <c r="D615" s="611"/>
      <c r="E615" s="611"/>
      <c r="F615" s="612"/>
      <c r="G615" s="613" t="s">
        <v>363</v>
      </c>
      <c r="H615" s="515"/>
      <c r="I615" s="515"/>
      <c r="J615" s="518"/>
      <c r="K615" s="471"/>
    </row>
    <row r="616" spans="1:11">
      <c r="A616" s="463"/>
      <c r="B616" s="956" t="str">
        <f>PLANEJAMENTO!F3</f>
        <v>MARA ROSA</v>
      </c>
      <c r="C616" s="957"/>
      <c r="D616" s="957"/>
      <c r="E616" s="957"/>
      <c r="F616" s="958"/>
      <c r="G616" s="1484" t="s">
        <v>964</v>
      </c>
      <c r="H616" s="1485"/>
      <c r="I616" s="1485"/>
      <c r="J616" s="1486"/>
      <c r="K616" s="471"/>
    </row>
    <row r="617" spans="1:11">
      <c r="A617" s="463"/>
      <c r="B617" s="1015"/>
      <c r="C617" s="587"/>
      <c r="D617" s="587"/>
      <c r="E617" s="587"/>
      <c r="F617" s="587"/>
      <c r="G617" s="1014"/>
      <c r="H617" s="1014"/>
      <c r="I617" s="1014"/>
      <c r="J617" s="1016"/>
      <c r="K617" s="471"/>
    </row>
    <row r="618" spans="1:11" ht="15" thickBot="1">
      <c r="A618" s="621"/>
      <c r="B618" s="622"/>
      <c r="C618" s="622"/>
      <c r="D618" s="622"/>
      <c r="E618" s="622"/>
      <c r="F618" s="622"/>
      <c r="G618" s="622"/>
      <c r="H618" s="622"/>
      <c r="I618" s="622"/>
      <c r="J618" s="622"/>
      <c r="K618" s="623"/>
    </row>
    <row r="619" spans="1:11">
      <c r="A619" s="460"/>
      <c r="B619" s="461"/>
      <c r="C619" s="461"/>
      <c r="D619" s="461"/>
      <c r="E619" s="461"/>
      <c r="F619" s="461"/>
      <c r="G619" s="461"/>
      <c r="H619" s="461"/>
      <c r="I619" s="461"/>
      <c r="J619" s="461"/>
      <c r="K619" s="462"/>
    </row>
    <row r="620" spans="1:11">
      <c r="A620" s="463"/>
      <c r="B620" s="464" t="s">
        <v>178</v>
      </c>
      <c r="C620" s="465"/>
      <c r="D620" s="466" t="s">
        <v>936</v>
      </c>
      <c r="E620" s="467"/>
      <c r="F620" s="468"/>
      <c r="G620" s="468"/>
      <c r="H620" s="469"/>
      <c r="I620" s="469"/>
      <c r="J620" s="470"/>
      <c r="K620" s="471"/>
    </row>
    <row r="621" spans="1:11">
      <c r="A621" s="463"/>
      <c r="B621" s="472"/>
      <c r="C621" s="472"/>
      <c r="D621" s="472"/>
      <c r="E621" s="472"/>
      <c r="F621" s="472"/>
      <c r="G621" s="472"/>
      <c r="H621" s="472"/>
      <c r="I621" s="472"/>
      <c r="J621" s="472"/>
      <c r="K621" s="471"/>
    </row>
    <row r="622" spans="1:11">
      <c r="A622" s="463"/>
      <c r="B622" s="473" t="s">
        <v>688</v>
      </c>
      <c r="C622" s="474" t="s">
        <v>937</v>
      </c>
      <c r="D622" s="1497" t="s">
        <v>250</v>
      </c>
      <c r="E622" s="1498"/>
      <c r="F622" s="1498"/>
      <c r="G622" s="1498"/>
      <c r="H622" s="1498"/>
      <c r="I622" s="1499"/>
      <c r="J622" s="475" t="s">
        <v>267</v>
      </c>
      <c r="K622" s="471"/>
    </row>
    <row r="623" spans="1:11" ht="20.399999999999999">
      <c r="A623" s="463"/>
      <c r="B623" s="476" t="s">
        <v>3</v>
      </c>
      <c r="C623" s="477">
        <f ca="1">PLANEJAMENTO!F4</f>
        <v>46140</v>
      </c>
      <c r="D623" s="681" t="s">
        <v>1481</v>
      </c>
      <c r="E623" s="479"/>
      <c r="F623" s="479"/>
      <c r="G623" s="479"/>
      <c r="H623" s="479"/>
      <c r="I623" s="480"/>
      <c r="J623" s="481" t="s">
        <v>203</v>
      </c>
      <c r="K623" s="471"/>
    </row>
    <row r="624" spans="1:11">
      <c r="A624" s="463"/>
      <c r="B624" s="482"/>
      <c r="C624" s="482"/>
      <c r="D624" s="482"/>
      <c r="E624" s="482"/>
      <c r="F624" s="482"/>
      <c r="G624" s="482"/>
      <c r="H624" s="482"/>
      <c r="I624" s="483"/>
      <c r="J624" s="484"/>
      <c r="K624" s="471"/>
    </row>
    <row r="625" spans="1:11">
      <c r="A625" s="463"/>
      <c r="B625" s="1484" t="s">
        <v>938</v>
      </c>
      <c r="C625" s="1486"/>
      <c r="D625" s="1502" t="s">
        <v>688</v>
      </c>
      <c r="E625" s="1504" t="s">
        <v>939</v>
      </c>
      <c r="F625" s="485" t="s">
        <v>940</v>
      </c>
      <c r="G625" s="486"/>
      <c r="H625" s="485" t="s">
        <v>941</v>
      </c>
      <c r="I625" s="486"/>
      <c r="J625" s="487" t="s">
        <v>942</v>
      </c>
      <c r="K625" s="471"/>
    </row>
    <row r="626" spans="1:11">
      <c r="A626" s="463"/>
      <c r="B626" s="1500"/>
      <c r="C626" s="1501"/>
      <c r="D626" s="1503"/>
      <c r="E626" s="1505"/>
      <c r="F626" s="488" t="s">
        <v>943</v>
      </c>
      <c r="G626" s="488" t="s">
        <v>944</v>
      </c>
      <c r="H626" s="488" t="s">
        <v>943</v>
      </c>
      <c r="I626" s="489" t="s">
        <v>944</v>
      </c>
      <c r="J626" s="490" t="s">
        <v>945</v>
      </c>
      <c r="K626" s="471"/>
    </row>
    <row r="627" spans="1:11">
      <c r="A627" s="463"/>
      <c r="B627" s="491" t="s">
        <v>669</v>
      </c>
      <c r="C627" s="492"/>
      <c r="D627" s="493"/>
      <c r="E627" s="494">
        <v>1</v>
      </c>
      <c r="F627" s="494">
        <v>1</v>
      </c>
      <c r="G627" s="495">
        <f>1-F627</f>
        <v>0</v>
      </c>
      <c r="H627" s="496">
        <f>VLOOKUP(B627,EQUIPAMENTOS!$A:$J,10,FALSE)</f>
        <v>214.36944444444444</v>
      </c>
      <c r="I627" s="497">
        <f>H627</f>
        <v>214.36944444444444</v>
      </c>
      <c r="J627" s="498">
        <f>H627*F627*E627+I627*G627*E627</f>
        <v>214.36944444444444</v>
      </c>
      <c r="K627" s="471"/>
    </row>
    <row r="628" spans="1:11">
      <c r="A628" s="463"/>
      <c r="B628" s="499" t="s">
        <v>631</v>
      </c>
      <c r="C628" s="500"/>
      <c r="D628" s="501"/>
      <c r="E628" s="875">
        <v>1</v>
      </c>
      <c r="F628" s="502">
        <v>1</v>
      </c>
      <c r="G628" s="502">
        <f>1-F628</f>
        <v>0</v>
      </c>
      <c r="H628" s="503">
        <f>VLOOKUP(B628,EQUIPAMENTOS!$A:$J,10,FALSE)</f>
        <v>175</v>
      </c>
      <c r="I628" s="504">
        <f>H628</f>
        <v>175</v>
      </c>
      <c r="J628" s="505">
        <f>H628*F628*E628+I628*G628*E628</f>
        <v>175</v>
      </c>
      <c r="K628" s="471"/>
    </row>
    <row r="629" spans="1:11">
      <c r="A629" s="463"/>
      <c r="B629" s="499" t="s">
        <v>1157</v>
      </c>
      <c r="C629" s="500"/>
      <c r="D629" s="501"/>
      <c r="E629" s="502">
        <v>5</v>
      </c>
      <c r="F629" s="502">
        <v>1</v>
      </c>
      <c r="G629" s="502">
        <f>1-F629</f>
        <v>0</v>
      </c>
      <c r="H629" s="503">
        <f>VLOOKUP(B629,EQUIPAMENTOS!$A:$J,10,FALSE)</f>
        <v>125</v>
      </c>
      <c r="I629" s="504">
        <f>H629</f>
        <v>125</v>
      </c>
      <c r="J629" s="505">
        <f>H629*F629*E629+I629*G629*E629</f>
        <v>625</v>
      </c>
      <c r="K629" s="471"/>
    </row>
    <row r="630" spans="1:11">
      <c r="A630" s="463"/>
      <c r="B630" s="499"/>
      <c r="C630" s="500"/>
      <c r="D630" s="501"/>
      <c r="E630" s="502"/>
      <c r="F630" s="502"/>
      <c r="G630" s="502"/>
      <c r="H630" s="503"/>
      <c r="I630" s="504"/>
      <c r="J630" s="505"/>
      <c r="K630" s="471"/>
    </row>
    <row r="631" spans="1:11">
      <c r="A631" s="463"/>
      <c r="B631" s="506"/>
      <c r="C631" s="507"/>
      <c r="D631" s="508"/>
      <c r="E631" s="509"/>
      <c r="F631" s="509"/>
      <c r="G631" s="509"/>
      <c r="H631" s="510"/>
      <c r="I631" s="511"/>
      <c r="J631" s="505">
        <f>H631*F631*E631+I631*G631*E631</f>
        <v>0</v>
      </c>
      <c r="K631" s="471"/>
    </row>
    <row r="632" spans="1:11">
      <c r="A632" s="463"/>
      <c r="B632" s="512" t="s">
        <v>946</v>
      </c>
      <c r="C632" s="482"/>
      <c r="D632" s="482"/>
      <c r="E632" s="482"/>
      <c r="F632" s="482"/>
      <c r="G632" s="482"/>
      <c r="H632" s="482"/>
      <c r="I632" s="513" t="s">
        <v>175</v>
      </c>
      <c r="J632" s="514">
        <f>SUM(J627:J631)</f>
        <v>1014.3694444444444</v>
      </c>
      <c r="K632" s="471"/>
    </row>
    <row r="633" spans="1:11">
      <c r="A633" s="463"/>
      <c r="B633" s="515"/>
      <c r="C633" s="515"/>
      <c r="D633" s="515"/>
      <c r="E633" s="515"/>
      <c r="F633" s="515"/>
      <c r="G633" s="515"/>
      <c r="H633" s="515"/>
      <c r="I633" s="516"/>
      <c r="J633" s="517"/>
      <c r="K633" s="471"/>
    </row>
    <row r="634" spans="1:11" ht="20.399999999999999" customHeight="1">
      <c r="A634" s="463"/>
      <c r="B634" s="1490" t="s">
        <v>947</v>
      </c>
      <c r="C634" s="1491"/>
      <c r="D634" s="1491"/>
      <c r="E634" s="1492"/>
      <c r="F634" s="725" t="s">
        <v>688</v>
      </c>
      <c r="G634" s="853"/>
      <c r="H634" s="520" t="s">
        <v>427</v>
      </c>
      <c r="I634" s="521" t="s">
        <v>948</v>
      </c>
      <c r="J634" s="522" t="s">
        <v>949</v>
      </c>
      <c r="K634" s="471"/>
    </row>
    <row r="635" spans="1:11">
      <c r="A635" s="463"/>
      <c r="B635" s="523" t="s">
        <v>950</v>
      </c>
      <c r="C635" s="524"/>
      <c r="D635" s="525"/>
      <c r="E635" s="526"/>
      <c r="F635" s="527"/>
      <c r="G635" s="528"/>
      <c r="H635" s="529">
        <f>E629</f>
        <v>5</v>
      </c>
      <c r="I635" s="534">
        <f>(VLOOKUP(B635,'MÃO DE OBRA'!$A:$E,5,FALSE)/220)</f>
        <v>26.714454545454547</v>
      </c>
      <c r="J635" s="505">
        <f>H635*I635</f>
        <v>133.57227272727275</v>
      </c>
      <c r="K635" s="471"/>
    </row>
    <row r="636" spans="1:11">
      <c r="A636" s="463"/>
      <c r="B636" s="530" t="s">
        <v>976</v>
      </c>
      <c r="C636" s="531"/>
      <c r="D636" s="472"/>
      <c r="E636" s="500"/>
      <c r="F636" s="501"/>
      <c r="G636" s="532"/>
      <c r="H636" s="533">
        <f>E627</f>
        <v>1</v>
      </c>
      <c r="I636" s="534">
        <f>(VLOOKUP(B636,'MÃO DE OBRA'!$A:$E,5,FALSE)/220)</f>
        <v>35.711036363636367</v>
      </c>
      <c r="J636" s="505">
        <f>H636*I636</f>
        <v>35.711036363636367</v>
      </c>
      <c r="K636" s="471"/>
    </row>
    <row r="637" spans="1:11">
      <c r="A637" s="463"/>
      <c r="B637" s="530" t="s">
        <v>472</v>
      </c>
      <c r="C637" s="531"/>
      <c r="D637" s="472"/>
      <c r="E637" s="500"/>
      <c r="F637" s="501"/>
      <c r="G637" s="532"/>
      <c r="H637" s="533">
        <v>2</v>
      </c>
      <c r="I637" s="534">
        <f>(VLOOKUP(B637,'MÃO DE OBRA'!$A:$E,5,FALSE)/220)</f>
        <v>18.377072727272729</v>
      </c>
      <c r="J637" s="505">
        <f>H637*I637</f>
        <v>36.754145454545458</v>
      </c>
      <c r="K637" s="471"/>
    </row>
    <row r="638" spans="1:11">
      <c r="A638" s="463"/>
      <c r="B638" s="530" t="s">
        <v>556</v>
      </c>
      <c r="C638" s="531"/>
      <c r="D638" s="472"/>
      <c r="E638" s="500"/>
      <c r="F638" s="501"/>
      <c r="G638" s="532"/>
      <c r="H638" s="533">
        <f>E628</f>
        <v>1</v>
      </c>
      <c r="I638" s="534">
        <f>(VLOOKUP(B638,'MÃO DE OBRA'!$A:$E,5,FALSE)/220)</f>
        <v>35.988199999999999</v>
      </c>
      <c r="J638" s="505">
        <f>H638*I638</f>
        <v>35.988199999999999</v>
      </c>
      <c r="K638" s="471"/>
    </row>
    <row r="639" spans="1:11">
      <c r="A639" s="463"/>
      <c r="B639" s="512" t="s">
        <v>946</v>
      </c>
      <c r="C639" s="515"/>
      <c r="D639" s="515"/>
      <c r="E639" s="515"/>
      <c r="F639" s="515"/>
      <c r="G639" s="515"/>
      <c r="H639" s="515"/>
      <c r="I639" s="535" t="s">
        <v>175</v>
      </c>
      <c r="J639" s="514">
        <f>SUM(J635:J638)</f>
        <v>242.02565454545459</v>
      </c>
      <c r="K639" s="471"/>
    </row>
    <row r="640" spans="1:11">
      <c r="A640" s="463"/>
      <c r="B640" s="536"/>
      <c r="C640" s="536"/>
      <c r="D640" s="536"/>
      <c r="E640" s="536"/>
      <c r="F640" s="536"/>
      <c r="G640" s="536"/>
      <c r="H640" s="536"/>
      <c r="I640" s="537"/>
      <c r="J640" s="536"/>
      <c r="K640" s="471"/>
    </row>
    <row r="641" spans="1:19">
      <c r="A641" s="463"/>
      <c r="B641" s="538" t="s">
        <v>952</v>
      </c>
      <c r="C641" s="539"/>
      <c r="D641" s="536"/>
      <c r="E641" s="540">
        <v>135.29410490688301</v>
      </c>
      <c r="F641" s="541" t="s">
        <v>931</v>
      </c>
      <c r="G641" s="519"/>
      <c r="H641" s="519"/>
      <c r="I641" s="542" t="s">
        <v>953</v>
      </c>
      <c r="J641" s="514">
        <f>J632+J639</f>
        <v>1256.395098989899</v>
      </c>
      <c r="K641" s="471"/>
    </row>
    <row r="642" spans="1:19">
      <c r="A642" s="463"/>
      <c r="B642" s="543"/>
      <c r="C642" s="536"/>
      <c r="D642" s="536"/>
      <c r="E642" s="544"/>
      <c r="F642" s="545"/>
      <c r="G642" s="545"/>
      <c r="H642" s="545"/>
      <c r="I642" s="537"/>
      <c r="J642" s="536"/>
      <c r="K642" s="471"/>
    </row>
    <row r="643" spans="1:19" ht="20.399999999999999">
      <c r="A643" s="463"/>
      <c r="B643" s="1493" t="s">
        <v>362</v>
      </c>
      <c r="C643" s="1494"/>
      <c r="D643" s="1494"/>
      <c r="E643" s="1495"/>
      <c r="F643" s="546" t="s">
        <v>688</v>
      </c>
      <c r="G643" s="547" t="s">
        <v>371</v>
      </c>
      <c r="H643" s="520" t="s">
        <v>942</v>
      </c>
      <c r="I643" s="548" t="s">
        <v>361</v>
      </c>
      <c r="J643" s="549" t="s">
        <v>363</v>
      </c>
      <c r="K643" s="471"/>
    </row>
    <row r="644" spans="1:19">
      <c r="A644" s="463"/>
      <c r="B644" s="550" t="str">
        <f>B627</f>
        <v>Trator de esteiras 20T</v>
      </c>
      <c r="C644" s="551"/>
      <c r="D644" s="551"/>
      <c r="E644" s="552"/>
      <c r="F644" s="553" t="str">
        <f>VLOOKUP(B644,EQUIPAMENTOS!$A:$N,12,FALSE)</f>
        <v>Diesel S10</v>
      </c>
      <c r="G644" s="554" t="s">
        <v>415</v>
      </c>
      <c r="H644" s="560">
        <f>VLOOKUP(B644,EQUIPAMENTOS!$A:$N,13,FALSE)</f>
        <v>0</v>
      </c>
      <c r="I644" s="556">
        <f>VLOOKUP(B644,EQUIPAMENTOS!$A:$N,14,FALSE)</f>
        <v>26</v>
      </c>
      <c r="J644" s="498">
        <f>H644*I644*E627*F627</f>
        <v>0</v>
      </c>
      <c r="K644" s="471"/>
    </row>
    <row r="645" spans="1:19">
      <c r="A645" s="463"/>
      <c r="B645" s="557" t="str">
        <f t="shared" ref="B645:B646" si="5">B628</f>
        <v>Escavadeira hidráulica sobre esteira 22T</v>
      </c>
      <c r="C645" s="531"/>
      <c r="D645" s="531"/>
      <c r="E645" s="500"/>
      <c r="F645" s="553" t="str">
        <f>VLOOKUP(B645,EQUIPAMENTOS!$A:$N,12,FALSE)</f>
        <v>Diesel S10</v>
      </c>
      <c r="G645" s="554" t="s">
        <v>415</v>
      </c>
      <c r="H645" s="560">
        <f>VLOOKUP(B645,EQUIPAMENTOS!$A:$N,13,FALSE)</f>
        <v>0</v>
      </c>
      <c r="I645" s="556">
        <f>VLOOKUP(B645,EQUIPAMENTOS!$A:$N,14,FALSE)</f>
        <v>22</v>
      </c>
      <c r="J645" s="505">
        <f>H645*I645*E628*F628</f>
        <v>0</v>
      </c>
      <c r="K645" s="471"/>
    </row>
    <row r="646" spans="1:19">
      <c r="A646" s="463"/>
      <c r="B646" s="557" t="str">
        <f t="shared" si="5"/>
        <v>Caminhão basculante 14 m³</v>
      </c>
      <c r="C646" s="539"/>
      <c r="D646" s="539"/>
      <c r="E646" s="507"/>
      <c r="F646" s="553" t="str">
        <f>VLOOKUP(B646,EQUIPAMENTOS!$A:$N,12,FALSE)</f>
        <v>Diesel S10</v>
      </c>
      <c r="G646" s="736" t="s">
        <v>415</v>
      </c>
      <c r="H646" s="560">
        <f>VLOOKUP(B646,EQUIPAMENTOS!$A:$N,13,FALSE)</f>
        <v>0</v>
      </c>
      <c r="I646" s="556">
        <f>VLOOKUP(B646,EQUIPAMENTOS!$A:$N,14,FALSE)</f>
        <v>2.5</v>
      </c>
      <c r="J646" s="505">
        <f>H646*I646*E629*F629</f>
        <v>0</v>
      </c>
      <c r="K646" s="471"/>
    </row>
    <row r="647" spans="1:19">
      <c r="A647" s="463"/>
      <c r="B647" s="563" t="s">
        <v>946</v>
      </c>
      <c r="C647" s="539"/>
      <c r="D647" s="539"/>
      <c r="E647" s="539"/>
      <c r="F647" s="536"/>
      <c r="G647" s="539"/>
      <c r="H647" s="564"/>
      <c r="I647" s="565" t="s">
        <v>175</v>
      </c>
      <c r="J647" s="514">
        <f>SUM(J644:J646)</f>
        <v>0</v>
      </c>
      <c r="K647" s="471"/>
    </row>
    <row r="648" spans="1:19">
      <c r="A648" s="463"/>
      <c r="B648" s="566"/>
      <c r="C648" s="539"/>
      <c r="D648" s="539"/>
      <c r="E648" s="567"/>
      <c r="F648" s="568"/>
      <c r="G648" s="519"/>
      <c r="H648" s="519"/>
      <c r="I648" s="542"/>
      <c r="J648" s="567"/>
      <c r="K648" s="471"/>
    </row>
    <row r="649" spans="1:19" ht="20.399999999999999">
      <c r="A649" s="463"/>
      <c r="B649" s="1493" t="s">
        <v>955</v>
      </c>
      <c r="C649" s="1494"/>
      <c r="D649" s="1494"/>
      <c r="E649" s="1494"/>
      <c r="F649" s="1495"/>
      <c r="G649" s="569" t="s">
        <v>372</v>
      </c>
      <c r="H649" s="519" t="s">
        <v>956</v>
      </c>
      <c r="I649" s="570" t="s">
        <v>942</v>
      </c>
      <c r="J649" s="522" t="s">
        <v>363</v>
      </c>
      <c r="K649" s="471"/>
      <c r="L649" s="6"/>
    </row>
    <row r="650" spans="1:19">
      <c r="A650" s="463"/>
      <c r="B650" s="571"/>
      <c r="C650" s="572"/>
      <c r="D650" s="573"/>
      <c r="E650" s="573"/>
      <c r="F650" s="574"/>
      <c r="G650" s="502"/>
      <c r="H650" s="502"/>
      <c r="I650" s="575"/>
      <c r="J650" s="505"/>
      <c r="K650" s="471"/>
    </row>
    <row r="651" spans="1:19">
      <c r="A651" s="463"/>
      <c r="B651" s="576"/>
      <c r="C651" s="577"/>
      <c r="D651" s="578"/>
      <c r="E651" s="578"/>
      <c r="F651" s="579"/>
      <c r="G651" s="502"/>
      <c r="H651" s="502"/>
      <c r="I651" s="575"/>
      <c r="J651" s="505"/>
      <c r="K651" s="471"/>
    </row>
    <row r="652" spans="1:19">
      <c r="A652" s="463"/>
      <c r="B652" s="1496" t="s">
        <v>175</v>
      </c>
      <c r="C652" s="1496"/>
      <c r="D652" s="1496"/>
      <c r="E652" s="1496"/>
      <c r="F652" s="1496"/>
      <c r="G652" s="1496"/>
      <c r="H652" s="1496"/>
      <c r="I652" s="1496"/>
      <c r="J652" s="514">
        <f>SUM(J650:J651)</f>
        <v>0</v>
      </c>
      <c r="K652" s="471"/>
    </row>
    <row r="653" spans="1:19">
      <c r="A653" s="463"/>
      <c r="B653" s="580"/>
      <c r="C653" s="524"/>
      <c r="D653" s="524"/>
      <c r="E653" s="581"/>
      <c r="F653" s="582"/>
      <c r="G653" s="583"/>
      <c r="H653" s="583"/>
      <c r="I653" s="584"/>
      <c r="J653" s="585"/>
      <c r="K653" s="471"/>
    </row>
    <row r="654" spans="1:19">
      <c r="A654" s="463"/>
      <c r="B654" s="586" t="s">
        <v>957</v>
      </c>
      <c r="C654" s="586"/>
      <c r="D654" s="563"/>
      <c r="E654" s="536"/>
      <c r="F654" s="536"/>
      <c r="G654" s="536"/>
      <c r="H654" s="587"/>
      <c r="I654" s="588"/>
      <c r="J654" s="514">
        <f>(J641+J647+J652)/E641</f>
        <v>9.2863994322193157</v>
      </c>
      <c r="K654" s="471"/>
      <c r="L654">
        <v>9.2863932580654538</v>
      </c>
    </row>
    <row r="655" spans="1:19">
      <c r="A655" s="463"/>
      <c r="B655" s="566"/>
      <c r="C655" s="539"/>
      <c r="D655" s="539"/>
      <c r="E655" s="567"/>
      <c r="F655" s="568"/>
      <c r="G655" s="519"/>
      <c r="H655" s="519"/>
      <c r="I655" s="542"/>
      <c r="J655" s="589"/>
      <c r="K655" s="471"/>
      <c r="L655">
        <v>9.286235678380546</v>
      </c>
    </row>
    <row r="656" spans="1:19" ht="20.399999999999999">
      <c r="A656" s="463"/>
      <c r="B656" s="1493" t="s">
        <v>958</v>
      </c>
      <c r="C656" s="1494"/>
      <c r="D656" s="1494"/>
      <c r="E656" s="1494"/>
      <c r="F656" s="1495"/>
      <c r="G656" s="569" t="s">
        <v>372</v>
      </c>
      <c r="H656" s="519" t="s">
        <v>956</v>
      </c>
      <c r="I656" s="570" t="s">
        <v>942</v>
      </c>
      <c r="J656" s="522" t="s">
        <v>363</v>
      </c>
      <c r="K656" s="471"/>
      <c r="S656" s="15"/>
    </row>
    <row r="657" spans="1:19">
      <c r="A657" s="463"/>
      <c r="B657" s="571"/>
      <c r="C657" s="572"/>
      <c r="D657" s="573"/>
      <c r="E657" s="573"/>
      <c r="F657" s="574"/>
      <c r="G657" s="502"/>
      <c r="H657" s="502"/>
      <c r="I657" s="575"/>
      <c r="J657" s="505">
        <f>G657*I657</f>
        <v>0</v>
      </c>
      <c r="K657" s="471"/>
      <c r="S657" s="15"/>
    </row>
    <row r="658" spans="1:19">
      <c r="A658" s="463"/>
      <c r="B658" s="576"/>
      <c r="C658" s="577"/>
      <c r="D658" s="578"/>
      <c r="E658" s="578"/>
      <c r="F658" s="579"/>
      <c r="G658" s="502"/>
      <c r="H658" s="502"/>
      <c r="I658" s="575"/>
      <c r="J658" s="505">
        <f>G658*I658</f>
        <v>0</v>
      </c>
      <c r="K658" s="471"/>
      <c r="S658" s="15"/>
    </row>
    <row r="659" spans="1:19">
      <c r="A659" s="463"/>
      <c r="B659" s="576"/>
      <c r="C659" s="577"/>
      <c r="D659" s="578"/>
      <c r="E659" s="578"/>
      <c r="F659" s="579"/>
      <c r="G659" s="502"/>
      <c r="H659" s="502"/>
      <c r="I659" s="575"/>
      <c r="J659" s="505">
        <f>G659*I659</f>
        <v>0</v>
      </c>
      <c r="K659" s="471"/>
    </row>
    <row r="660" spans="1:19">
      <c r="A660" s="463"/>
      <c r="B660" s="590"/>
      <c r="C660" s="591"/>
      <c r="D660" s="592"/>
      <c r="E660" s="592"/>
      <c r="F660" s="593"/>
      <c r="G660" s="502"/>
      <c r="H660" s="502"/>
      <c r="I660" s="575"/>
      <c r="J660" s="505">
        <f>G660*I660</f>
        <v>0</v>
      </c>
      <c r="K660" s="471"/>
    </row>
    <row r="661" spans="1:19">
      <c r="A661" s="463"/>
      <c r="B661" s="594"/>
      <c r="C661" s="536"/>
      <c r="D661" s="536"/>
      <c r="E661" s="595"/>
      <c r="F661" s="596"/>
      <c r="G661" s="545"/>
      <c r="H661" s="545"/>
      <c r="I661" s="537" t="s">
        <v>175</v>
      </c>
      <c r="J661" s="514">
        <f>SUM(J657:J660)</f>
        <v>0</v>
      </c>
      <c r="K661" s="471"/>
    </row>
    <row r="662" spans="1:19">
      <c r="A662" s="463"/>
      <c r="B662" s="597"/>
      <c r="C662" s="536"/>
      <c r="D662" s="536"/>
      <c r="E662" s="595"/>
      <c r="F662" s="596"/>
      <c r="G662" s="545"/>
      <c r="H662" s="545"/>
      <c r="I662" s="537"/>
      <c r="J662" s="595"/>
      <c r="K662" s="471"/>
    </row>
    <row r="663" spans="1:19" ht="20.399999999999999">
      <c r="A663" s="463"/>
      <c r="B663" s="598" t="s">
        <v>959</v>
      </c>
      <c r="C663" s="598"/>
      <c r="D663" s="598"/>
      <c r="E663" s="599"/>
      <c r="F663" s="600" t="s">
        <v>372</v>
      </c>
      <c r="G663" s="569" t="s">
        <v>960</v>
      </c>
      <c r="H663" s="519" t="s">
        <v>942</v>
      </c>
      <c r="I663" s="570" t="s">
        <v>361</v>
      </c>
      <c r="J663" s="522" t="s">
        <v>363</v>
      </c>
      <c r="K663" s="471"/>
    </row>
    <row r="664" spans="1:19">
      <c r="A664" s="463"/>
      <c r="B664" s="571"/>
      <c r="C664" s="572"/>
      <c r="D664" s="573"/>
      <c r="E664" s="574"/>
      <c r="F664" s="502"/>
      <c r="G664" s="502"/>
      <c r="H664" s="624"/>
      <c r="I664" s="575"/>
      <c r="J664" s="505"/>
      <c r="K664" s="471"/>
    </row>
    <row r="665" spans="1:19">
      <c r="A665" s="463"/>
      <c r="B665" s="590" t="s">
        <v>946</v>
      </c>
      <c r="C665" s="591"/>
      <c r="D665" s="592"/>
      <c r="E665" s="593" t="s">
        <v>946</v>
      </c>
      <c r="F665" s="509">
        <v>0</v>
      </c>
      <c r="G665" s="509">
        <v>0</v>
      </c>
      <c r="H665" s="509">
        <v>0</v>
      </c>
      <c r="I665" s="601">
        <v>0</v>
      </c>
      <c r="J665" s="505">
        <f>I665*H665*G665*F665</f>
        <v>0</v>
      </c>
      <c r="K665" s="471"/>
    </row>
    <row r="666" spans="1:19">
      <c r="A666" s="463"/>
      <c r="B666" s="594"/>
      <c r="C666" s="536"/>
      <c r="D666" s="536"/>
      <c r="E666" s="595"/>
      <c r="F666" s="596"/>
      <c r="G666" s="545"/>
      <c r="H666" s="545"/>
      <c r="I666" s="537" t="s">
        <v>175</v>
      </c>
      <c r="J666" s="514">
        <f>SUM(J664:J665)</f>
        <v>0</v>
      </c>
      <c r="K666" s="471"/>
    </row>
    <row r="667" spans="1:19">
      <c r="A667" s="463"/>
      <c r="B667" s="536"/>
      <c r="C667" s="536"/>
      <c r="D667" s="536"/>
      <c r="E667" s="536"/>
      <c r="F667" s="536"/>
      <c r="G667" s="536"/>
      <c r="H667" s="536"/>
      <c r="I667" s="537"/>
      <c r="J667" s="536"/>
      <c r="K667" s="471"/>
    </row>
    <row r="668" spans="1:19">
      <c r="A668" s="463"/>
      <c r="B668" s="1481" t="s">
        <v>961</v>
      </c>
      <c r="C668" s="1482"/>
      <c r="D668" s="1482"/>
      <c r="E668" s="1482"/>
      <c r="F668" s="1482"/>
      <c r="G668" s="1482"/>
      <c r="H668" s="1482"/>
      <c r="I668" s="1483"/>
      <c r="J668" s="586">
        <f>J666+J661+J654</f>
        <v>9.2863994322193157</v>
      </c>
      <c r="K668" s="471"/>
    </row>
    <row r="669" spans="1:19">
      <c r="A669" s="463"/>
      <c r="B669" s="536"/>
      <c r="C669" s="536"/>
      <c r="D669" s="536"/>
      <c r="E669" s="536"/>
      <c r="F669" s="536"/>
      <c r="G669" s="536"/>
      <c r="H669" s="536"/>
      <c r="I669" s="537"/>
      <c r="J669" s="536"/>
      <c r="K669" s="471"/>
    </row>
    <row r="670" spans="1:19">
      <c r="A670" s="463"/>
      <c r="B670" s="1481" t="s">
        <v>962</v>
      </c>
      <c r="C670" s="1482"/>
      <c r="D670" s="1482"/>
      <c r="E670" s="1482"/>
      <c r="F670" s="1482"/>
      <c r="G670" s="1482"/>
      <c r="H670" s="1482"/>
      <c r="I670" s="1483"/>
      <c r="J670" s="514">
        <f>J668*0</f>
        <v>0</v>
      </c>
      <c r="K670" s="471"/>
    </row>
    <row r="671" spans="1:19">
      <c r="A671" s="463"/>
      <c r="B671" s="536"/>
      <c r="C671" s="536"/>
      <c r="D671" s="536"/>
      <c r="E671" s="536"/>
      <c r="F671" s="536"/>
      <c r="G671" s="536"/>
      <c r="H671" s="536"/>
      <c r="I671" s="537"/>
      <c r="J671" s="536"/>
      <c r="K671" s="471"/>
    </row>
    <row r="672" spans="1:19">
      <c r="A672" s="463"/>
      <c r="B672" s="1481" t="s">
        <v>963</v>
      </c>
      <c r="C672" s="1482"/>
      <c r="D672" s="1482"/>
      <c r="E672" s="1482"/>
      <c r="F672" s="1482"/>
      <c r="G672" s="1482"/>
      <c r="H672" s="1482"/>
      <c r="I672" s="1483"/>
      <c r="J672" s="586">
        <f>J668+J670</f>
        <v>9.2863994322193157</v>
      </c>
      <c r="K672" s="471"/>
    </row>
    <row r="673" spans="1:11">
      <c r="A673" s="463"/>
      <c r="B673" s="524"/>
      <c r="C673" s="524"/>
      <c r="D673" s="524"/>
      <c r="E673" s="524"/>
      <c r="F673" s="524"/>
      <c r="G673" s="524"/>
      <c r="H673" s="524"/>
      <c r="I673" s="584"/>
      <c r="J673" s="524"/>
      <c r="K673" s="471"/>
    </row>
    <row r="674" spans="1:11">
      <c r="A674" s="463"/>
      <c r="B674" s="602"/>
      <c r="C674" s="572"/>
      <c r="D674" s="572"/>
      <c r="E674" s="572"/>
      <c r="F674" s="572"/>
      <c r="G674" s="572"/>
      <c r="H674" s="572"/>
      <c r="I674" s="572"/>
      <c r="J674" s="603"/>
      <c r="K674" s="471"/>
    </row>
    <row r="675" spans="1:11">
      <c r="A675" s="463"/>
      <c r="B675" s="604"/>
      <c r="C675" s="605"/>
      <c r="D675" s="606"/>
      <c r="E675" s="606"/>
      <c r="F675" s="607" t="s">
        <v>946</v>
      </c>
      <c r="G675" s="608" t="s">
        <v>946</v>
      </c>
      <c r="H675" s="605"/>
      <c r="I675" s="605"/>
      <c r="J675" s="609"/>
      <c r="K675" s="471"/>
    </row>
    <row r="676" spans="1:11">
      <c r="A676" s="463"/>
      <c r="B676" s="472"/>
      <c r="C676" s="472"/>
      <c r="D676" s="472"/>
      <c r="E676" s="472"/>
      <c r="F676" s="472"/>
      <c r="G676" s="472"/>
      <c r="H676" s="472"/>
      <c r="I676" s="472"/>
      <c r="J676" s="472"/>
      <c r="K676" s="471"/>
    </row>
    <row r="677" spans="1:11">
      <c r="A677" s="463"/>
      <c r="B677" s="610" t="str">
        <f>PLANEJAMENTO!F2</f>
        <v>OPERAÇÃO DE SUPRESSÃO E SUMP</v>
      </c>
      <c r="C677" s="611"/>
      <c r="D677" s="611"/>
      <c r="E677" s="611"/>
      <c r="F677" s="612"/>
      <c r="G677" s="613" t="s">
        <v>363</v>
      </c>
      <c r="H677" s="515"/>
      <c r="I677" s="515"/>
      <c r="J677" s="518"/>
      <c r="K677" s="471"/>
    </row>
    <row r="678" spans="1:11">
      <c r="A678" s="463"/>
      <c r="B678" s="956" t="str">
        <f>PLANEJAMENTO!F3</f>
        <v>MARA ROSA</v>
      </c>
      <c r="C678" s="957"/>
      <c r="D678" s="957"/>
      <c r="E678" s="957"/>
      <c r="F678" s="958"/>
      <c r="G678" s="1484" t="s">
        <v>964</v>
      </c>
      <c r="H678" s="1485"/>
      <c r="I678" s="1485"/>
      <c r="J678" s="1486"/>
      <c r="K678" s="471"/>
    </row>
    <row r="679" spans="1:11">
      <c r="A679" s="463"/>
      <c r="B679" s="1015"/>
      <c r="C679" s="587"/>
      <c r="D679" s="587"/>
      <c r="E679" s="587"/>
      <c r="F679" s="587"/>
      <c r="G679" s="1014"/>
      <c r="H679" s="1014"/>
      <c r="I679" s="1014"/>
      <c r="J679" s="1016"/>
      <c r="K679" s="471"/>
    </row>
    <row r="680" spans="1:11" ht="15" thickBot="1">
      <c r="A680" s="621"/>
      <c r="B680" s="622"/>
      <c r="C680" s="622"/>
      <c r="D680" s="622"/>
      <c r="E680" s="622"/>
      <c r="F680" s="622"/>
      <c r="G680" s="622"/>
      <c r="H680" s="622"/>
      <c r="I680" s="622"/>
      <c r="J680" s="622"/>
      <c r="K680" s="623"/>
    </row>
    <row r="681" spans="1:11">
      <c r="A681" s="460"/>
      <c r="B681" s="461"/>
      <c r="C681" s="461"/>
      <c r="D681" s="461"/>
      <c r="E681" s="461"/>
      <c r="F681" s="461"/>
      <c r="G681" s="461"/>
      <c r="H681" s="461"/>
      <c r="I681" s="461"/>
      <c r="J681" s="461"/>
      <c r="K681" s="462"/>
    </row>
    <row r="682" spans="1:11">
      <c r="A682" s="463"/>
      <c r="B682" s="464" t="s">
        <v>178</v>
      </c>
      <c r="C682" s="465"/>
      <c r="D682" s="466" t="s">
        <v>936</v>
      </c>
      <c r="E682" s="467"/>
      <c r="F682" s="468"/>
      <c r="G682" s="468"/>
      <c r="H682" s="469"/>
      <c r="I682" s="469"/>
      <c r="J682" s="470"/>
      <c r="K682" s="471"/>
    </row>
    <row r="683" spans="1:11">
      <c r="A683" s="463"/>
      <c r="B683" s="472"/>
      <c r="C683" s="472"/>
      <c r="D683" s="472"/>
      <c r="E683" s="472"/>
      <c r="F683" s="472"/>
      <c r="G683" s="472"/>
      <c r="H683" s="472"/>
      <c r="I683" s="472"/>
      <c r="J683" s="472"/>
      <c r="K683" s="471"/>
    </row>
    <row r="684" spans="1:11">
      <c r="A684" s="463"/>
      <c r="B684" s="473" t="s">
        <v>688</v>
      </c>
      <c r="C684" s="474" t="s">
        <v>937</v>
      </c>
      <c r="D684" s="1497" t="s">
        <v>250</v>
      </c>
      <c r="E684" s="1498"/>
      <c r="F684" s="1498"/>
      <c r="G684" s="1498"/>
      <c r="H684" s="1498"/>
      <c r="I684" s="1499"/>
      <c r="J684" s="475" t="s">
        <v>267</v>
      </c>
      <c r="K684" s="471"/>
    </row>
    <row r="685" spans="1:11" ht="22.95" customHeight="1">
      <c r="A685" s="463"/>
      <c r="B685" s="476" t="s">
        <v>3</v>
      </c>
      <c r="C685" s="477">
        <f ca="1">PLANEJAMENTO!F4</f>
        <v>46140</v>
      </c>
      <c r="D685" s="681" t="s">
        <v>1482</v>
      </c>
      <c r="E685" s="479"/>
      <c r="F685" s="479"/>
      <c r="G685" s="479"/>
      <c r="H685" s="479"/>
      <c r="I685" s="480"/>
      <c r="J685" s="481" t="s">
        <v>203</v>
      </c>
      <c r="K685" s="471"/>
    </row>
    <row r="686" spans="1:11">
      <c r="A686" s="463"/>
      <c r="B686" s="482"/>
      <c r="C686" s="482"/>
      <c r="D686" s="482"/>
      <c r="E686" s="482"/>
      <c r="F686" s="482"/>
      <c r="G686" s="482"/>
      <c r="H686" s="482"/>
      <c r="I686" s="483"/>
      <c r="J686" s="484"/>
      <c r="K686" s="471"/>
    </row>
    <row r="687" spans="1:11">
      <c r="A687" s="463"/>
      <c r="B687" s="1484" t="s">
        <v>938</v>
      </c>
      <c r="C687" s="1486"/>
      <c r="D687" s="1502" t="s">
        <v>688</v>
      </c>
      <c r="E687" s="1504" t="s">
        <v>939</v>
      </c>
      <c r="F687" s="485" t="s">
        <v>940</v>
      </c>
      <c r="G687" s="486"/>
      <c r="H687" s="485" t="s">
        <v>941</v>
      </c>
      <c r="I687" s="486"/>
      <c r="J687" s="487" t="s">
        <v>942</v>
      </c>
      <c r="K687" s="471"/>
    </row>
    <row r="688" spans="1:11" ht="16.5" customHeight="1">
      <c r="A688" s="463"/>
      <c r="B688" s="1500"/>
      <c r="C688" s="1501"/>
      <c r="D688" s="1503"/>
      <c r="E688" s="1505"/>
      <c r="F688" s="488" t="s">
        <v>943</v>
      </c>
      <c r="G688" s="488" t="s">
        <v>944</v>
      </c>
      <c r="H688" s="488" t="s">
        <v>943</v>
      </c>
      <c r="I688" s="489" t="s">
        <v>944</v>
      </c>
      <c r="J688" s="490" t="s">
        <v>945</v>
      </c>
      <c r="K688" s="471"/>
    </row>
    <row r="689" spans="1:11">
      <c r="A689" s="463"/>
      <c r="B689" s="491" t="s">
        <v>669</v>
      </c>
      <c r="C689" s="492"/>
      <c r="D689" s="493"/>
      <c r="E689" s="494">
        <v>1</v>
      </c>
      <c r="F689" s="494">
        <v>1</v>
      </c>
      <c r="G689" s="495">
        <f>1-F689</f>
        <v>0</v>
      </c>
      <c r="H689" s="496">
        <f>VLOOKUP(B689,EQUIPAMENTOS!$A:$J,10,FALSE)</f>
        <v>214.36944444444444</v>
      </c>
      <c r="I689" s="497">
        <f>H689</f>
        <v>214.36944444444444</v>
      </c>
      <c r="J689" s="498">
        <f>H689*F689*E689+I689*G689*E689</f>
        <v>214.36944444444444</v>
      </c>
      <c r="K689" s="471"/>
    </row>
    <row r="690" spans="1:11">
      <c r="A690" s="463"/>
      <c r="B690" s="499" t="s">
        <v>631</v>
      </c>
      <c r="C690" s="500"/>
      <c r="D690" s="501"/>
      <c r="E690" s="875">
        <v>1</v>
      </c>
      <c r="F690" s="502">
        <v>1</v>
      </c>
      <c r="G690" s="502">
        <f>1-F690</f>
        <v>0</v>
      </c>
      <c r="H690" s="503">
        <f>VLOOKUP(B690,EQUIPAMENTOS!$A:$J,10,FALSE)</f>
        <v>175</v>
      </c>
      <c r="I690" s="504">
        <f>H690</f>
        <v>175</v>
      </c>
      <c r="J690" s="505">
        <f>H690*F690*E690+I690*G690*E690</f>
        <v>175</v>
      </c>
      <c r="K690" s="471"/>
    </row>
    <row r="691" spans="1:11">
      <c r="A691" s="463"/>
      <c r="B691" s="499" t="s">
        <v>1157</v>
      </c>
      <c r="C691" s="500"/>
      <c r="D691" s="501"/>
      <c r="E691" s="502">
        <v>5</v>
      </c>
      <c r="F691" s="502">
        <v>1</v>
      </c>
      <c r="G691" s="502">
        <f>1-F691</f>
        <v>0</v>
      </c>
      <c r="H691" s="503">
        <f>VLOOKUP(B691,EQUIPAMENTOS!$A:$J,10,FALSE)</f>
        <v>125</v>
      </c>
      <c r="I691" s="504">
        <f>H691</f>
        <v>125</v>
      </c>
      <c r="J691" s="505">
        <f>H691*F691*E691+I691*G691*E691</f>
        <v>625</v>
      </c>
      <c r="K691" s="471"/>
    </row>
    <row r="692" spans="1:11">
      <c r="A692" s="463"/>
      <c r="B692" s="499"/>
      <c r="C692" s="500"/>
      <c r="D692" s="501"/>
      <c r="E692" s="502"/>
      <c r="F692" s="502"/>
      <c r="G692" s="502"/>
      <c r="H692" s="503"/>
      <c r="I692" s="504"/>
      <c r="J692" s="505"/>
      <c r="K692" s="471"/>
    </row>
    <row r="693" spans="1:11">
      <c r="A693" s="463"/>
      <c r="B693" s="506"/>
      <c r="C693" s="507"/>
      <c r="D693" s="508"/>
      <c r="E693" s="509"/>
      <c r="F693" s="509"/>
      <c r="G693" s="509"/>
      <c r="H693" s="510"/>
      <c r="I693" s="511"/>
      <c r="J693" s="505">
        <f>H693*F693*E693+I693*G693*E693</f>
        <v>0</v>
      </c>
      <c r="K693" s="471"/>
    </row>
    <row r="694" spans="1:11">
      <c r="A694" s="463"/>
      <c r="B694" s="512" t="s">
        <v>946</v>
      </c>
      <c r="C694" s="482"/>
      <c r="D694" s="482"/>
      <c r="E694" s="482"/>
      <c r="F694" s="482"/>
      <c r="G694" s="482"/>
      <c r="H694" s="482"/>
      <c r="I694" s="513" t="s">
        <v>175</v>
      </c>
      <c r="J694" s="514">
        <f>SUM(J689:J693)</f>
        <v>1014.3694444444444</v>
      </c>
      <c r="K694" s="471"/>
    </row>
    <row r="695" spans="1:11">
      <c r="A695" s="463"/>
      <c r="B695" s="515"/>
      <c r="C695" s="515"/>
      <c r="D695" s="515"/>
      <c r="E695" s="515"/>
      <c r="F695" s="515"/>
      <c r="G695" s="515"/>
      <c r="H695" s="515"/>
      <c r="I695" s="516"/>
      <c r="J695" s="517"/>
      <c r="K695" s="471"/>
    </row>
    <row r="696" spans="1:11" ht="20.399999999999999" customHeight="1">
      <c r="A696" s="463"/>
      <c r="B696" s="1490" t="s">
        <v>947</v>
      </c>
      <c r="C696" s="1491"/>
      <c r="D696" s="1491"/>
      <c r="E696" s="1492"/>
      <c r="F696" s="725" t="s">
        <v>688</v>
      </c>
      <c r="G696" s="853"/>
      <c r="H696" s="520" t="s">
        <v>427</v>
      </c>
      <c r="I696" s="521" t="s">
        <v>948</v>
      </c>
      <c r="J696" s="522" t="s">
        <v>949</v>
      </c>
      <c r="K696" s="471"/>
    </row>
    <row r="697" spans="1:11">
      <c r="A697" s="463"/>
      <c r="B697" s="523" t="s">
        <v>950</v>
      </c>
      <c r="C697" s="524"/>
      <c r="D697" s="525"/>
      <c r="E697" s="526"/>
      <c r="F697" s="527"/>
      <c r="G697" s="528"/>
      <c r="H697" s="529">
        <f>E691</f>
        <v>5</v>
      </c>
      <c r="I697" s="534">
        <f>(VLOOKUP(B697,'MÃO DE OBRA'!$A:$E,5,FALSE)/220)</f>
        <v>26.714454545454547</v>
      </c>
      <c r="J697" s="505">
        <f>H697*I697</f>
        <v>133.57227272727275</v>
      </c>
      <c r="K697" s="471"/>
    </row>
    <row r="698" spans="1:11">
      <c r="A698" s="463"/>
      <c r="B698" s="530" t="s">
        <v>976</v>
      </c>
      <c r="C698" s="531"/>
      <c r="D698" s="472"/>
      <c r="E698" s="500"/>
      <c r="F698" s="501"/>
      <c r="G698" s="532"/>
      <c r="H698" s="533">
        <f>E689</f>
        <v>1</v>
      </c>
      <c r="I698" s="534">
        <f>(VLOOKUP(B698,'MÃO DE OBRA'!$A:$E,5,FALSE)/220)</f>
        <v>35.711036363636367</v>
      </c>
      <c r="J698" s="505">
        <f>H698*I698</f>
        <v>35.711036363636367</v>
      </c>
      <c r="K698" s="471"/>
    </row>
    <row r="699" spans="1:11">
      <c r="A699" s="463"/>
      <c r="B699" s="530" t="s">
        <v>472</v>
      </c>
      <c r="C699" s="531"/>
      <c r="D699" s="472"/>
      <c r="E699" s="500"/>
      <c r="F699" s="501"/>
      <c r="G699" s="532"/>
      <c r="H699" s="533">
        <v>2</v>
      </c>
      <c r="I699" s="534">
        <f>(VLOOKUP(B699,'MÃO DE OBRA'!$A:$E,5,FALSE)/220)</f>
        <v>18.377072727272729</v>
      </c>
      <c r="J699" s="505">
        <f>H699*I699</f>
        <v>36.754145454545458</v>
      </c>
      <c r="K699" s="471"/>
    </row>
    <row r="700" spans="1:11">
      <c r="A700" s="463"/>
      <c r="B700" s="530" t="s">
        <v>556</v>
      </c>
      <c r="C700" s="531"/>
      <c r="D700" s="472"/>
      <c r="E700" s="500"/>
      <c r="F700" s="501"/>
      <c r="G700" s="532"/>
      <c r="H700" s="533">
        <f>E690</f>
        <v>1</v>
      </c>
      <c r="I700" s="534">
        <f>(VLOOKUP(B700,'MÃO DE OBRA'!$A:$E,5,FALSE)/220)</f>
        <v>35.988199999999999</v>
      </c>
      <c r="J700" s="505">
        <f>H700*I700</f>
        <v>35.988199999999999</v>
      </c>
      <c r="K700" s="471"/>
    </row>
    <row r="701" spans="1:11">
      <c r="A701" s="463"/>
      <c r="B701" s="512" t="s">
        <v>946</v>
      </c>
      <c r="C701" s="515"/>
      <c r="D701" s="515"/>
      <c r="E701" s="515"/>
      <c r="F701" s="515"/>
      <c r="G701" s="515"/>
      <c r="H701" s="515"/>
      <c r="I701" s="535" t="s">
        <v>175</v>
      </c>
      <c r="J701" s="514">
        <f>SUM(J697:J700)</f>
        <v>242.02565454545459</v>
      </c>
      <c r="K701" s="471"/>
    </row>
    <row r="702" spans="1:11">
      <c r="A702" s="463"/>
      <c r="B702" s="536"/>
      <c r="C702" s="536"/>
      <c r="D702" s="536"/>
      <c r="E702" s="536"/>
      <c r="F702" s="536"/>
      <c r="G702" s="536"/>
      <c r="H702" s="536"/>
      <c r="I702" s="537"/>
      <c r="J702" s="536"/>
      <c r="K702" s="471"/>
    </row>
    <row r="703" spans="1:11">
      <c r="A703" s="463"/>
      <c r="B703" s="538" t="s">
        <v>952</v>
      </c>
      <c r="C703" s="539"/>
      <c r="D703" s="536"/>
      <c r="E703" s="540">
        <v>129.426345183949</v>
      </c>
      <c r="F703" s="541" t="s">
        <v>931</v>
      </c>
      <c r="G703" s="519"/>
      <c r="H703" s="519"/>
      <c r="I703" s="542" t="s">
        <v>953</v>
      </c>
      <c r="J703" s="514">
        <f>J694+J701</f>
        <v>1256.395098989899</v>
      </c>
      <c r="K703" s="471"/>
    </row>
    <row r="704" spans="1:11">
      <c r="A704" s="463"/>
      <c r="B704" s="543"/>
      <c r="C704" s="536"/>
      <c r="D704" s="536"/>
      <c r="E704" s="544"/>
      <c r="F704" s="545"/>
      <c r="G704" s="545"/>
      <c r="H704" s="545"/>
      <c r="I704" s="537"/>
      <c r="J704" s="536"/>
      <c r="K704" s="471"/>
    </row>
    <row r="705" spans="1:13" ht="20.399999999999999">
      <c r="A705" s="463"/>
      <c r="B705" s="1493" t="s">
        <v>362</v>
      </c>
      <c r="C705" s="1494"/>
      <c r="D705" s="1494"/>
      <c r="E705" s="1495"/>
      <c r="F705" s="546" t="s">
        <v>688</v>
      </c>
      <c r="G705" s="547" t="s">
        <v>371</v>
      </c>
      <c r="H705" s="520" t="s">
        <v>942</v>
      </c>
      <c r="I705" s="548" t="s">
        <v>361</v>
      </c>
      <c r="J705" s="549" t="s">
        <v>363</v>
      </c>
      <c r="K705" s="471"/>
    </row>
    <row r="706" spans="1:13">
      <c r="A706" s="463"/>
      <c r="B706" s="550" t="str">
        <f>B689</f>
        <v>Trator de esteiras 20T</v>
      </c>
      <c r="C706" s="551"/>
      <c r="D706" s="551"/>
      <c r="E706" s="552"/>
      <c r="F706" s="553" t="str">
        <f>VLOOKUP(B706,EQUIPAMENTOS!$A:$N,12,FALSE)</f>
        <v>Diesel S10</v>
      </c>
      <c r="G706" s="554" t="s">
        <v>415</v>
      </c>
      <c r="H706" s="560">
        <f>VLOOKUP(B706,EQUIPAMENTOS!$A:$N,13,FALSE)</f>
        <v>0</v>
      </c>
      <c r="I706" s="556">
        <f>VLOOKUP(B706,EQUIPAMENTOS!$A:$N,14,FALSE)</f>
        <v>26</v>
      </c>
      <c r="J706" s="498">
        <f>H706*I706*E689*F689</f>
        <v>0</v>
      </c>
      <c r="K706" s="471"/>
    </row>
    <row r="707" spans="1:13">
      <c r="A707" s="463"/>
      <c r="B707" s="557" t="str">
        <f t="shared" ref="B707:B708" si="6">B690</f>
        <v>Escavadeira hidráulica sobre esteira 22T</v>
      </c>
      <c r="C707" s="531"/>
      <c r="D707" s="531"/>
      <c r="E707" s="500"/>
      <c r="F707" s="553" t="str">
        <f>VLOOKUP(B707,EQUIPAMENTOS!$A:$N,12,FALSE)</f>
        <v>Diesel S10</v>
      </c>
      <c r="G707" s="554" t="s">
        <v>415</v>
      </c>
      <c r="H707" s="560">
        <f>VLOOKUP(B707,EQUIPAMENTOS!$A:$N,13,FALSE)</f>
        <v>0</v>
      </c>
      <c r="I707" s="556">
        <f>VLOOKUP(B707,EQUIPAMENTOS!$A:$N,14,FALSE)</f>
        <v>22</v>
      </c>
      <c r="J707" s="505">
        <f>H707*I707*E690*F690</f>
        <v>0</v>
      </c>
      <c r="K707" s="471"/>
    </row>
    <row r="708" spans="1:13">
      <c r="A708" s="463"/>
      <c r="B708" s="557" t="str">
        <f t="shared" si="6"/>
        <v>Caminhão basculante 14 m³</v>
      </c>
      <c r="C708" s="539"/>
      <c r="D708" s="539"/>
      <c r="E708" s="507"/>
      <c r="F708" s="553" t="str">
        <f>VLOOKUP(B708,EQUIPAMENTOS!$A:$N,12,FALSE)</f>
        <v>Diesel S10</v>
      </c>
      <c r="G708" s="736" t="s">
        <v>415</v>
      </c>
      <c r="H708" s="560">
        <f>VLOOKUP(B708,EQUIPAMENTOS!$A:$N,13,FALSE)</f>
        <v>0</v>
      </c>
      <c r="I708" s="556">
        <f>VLOOKUP(B708,EQUIPAMENTOS!$A:$N,14,FALSE)</f>
        <v>2.5</v>
      </c>
      <c r="J708" s="505">
        <f>H708*I708*E691*F691</f>
        <v>0</v>
      </c>
      <c r="K708" s="471"/>
    </row>
    <row r="709" spans="1:13">
      <c r="A709" s="463"/>
      <c r="B709" s="563" t="s">
        <v>946</v>
      </c>
      <c r="C709" s="539"/>
      <c r="D709" s="539"/>
      <c r="E709" s="539"/>
      <c r="F709" s="536"/>
      <c r="G709" s="539"/>
      <c r="H709" s="564"/>
      <c r="I709" s="565" t="s">
        <v>175</v>
      </c>
      <c r="J709" s="514">
        <f>SUM(J706:J708)</f>
        <v>0</v>
      </c>
      <c r="K709" s="471"/>
    </row>
    <row r="710" spans="1:13">
      <c r="A710" s="463"/>
      <c r="B710" s="566"/>
      <c r="C710" s="539"/>
      <c r="D710" s="539"/>
      <c r="E710" s="567"/>
      <c r="F710" s="568"/>
      <c r="G710" s="519"/>
      <c r="H710" s="519"/>
      <c r="I710" s="542"/>
      <c r="J710" s="567"/>
      <c r="K710" s="471"/>
      <c r="L710" s="6">
        <f>J710/E703</f>
        <v>0</v>
      </c>
      <c r="M710" s="6"/>
    </row>
    <row r="711" spans="1:13" ht="20.399999999999999">
      <c r="A711" s="463"/>
      <c r="B711" s="1493" t="s">
        <v>955</v>
      </c>
      <c r="C711" s="1494"/>
      <c r="D711" s="1494"/>
      <c r="E711" s="1494"/>
      <c r="F711" s="1495"/>
      <c r="G711" s="569" t="s">
        <v>372</v>
      </c>
      <c r="H711" s="519" t="s">
        <v>956</v>
      </c>
      <c r="I711" s="570" t="s">
        <v>942</v>
      </c>
      <c r="J711" s="522" t="s">
        <v>363</v>
      </c>
      <c r="K711" s="471"/>
    </row>
    <row r="712" spans="1:13">
      <c r="A712" s="463"/>
      <c r="B712" s="571"/>
      <c r="C712" s="572"/>
      <c r="D712" s="573"/>
      <c r="E712" s="573"/>
      <c r="F712" s="574"/>
      <c r="G712" s="502"/>
      <c r="H712" s="502"/>
      <c r="I712" s="575"/>
      <c r="J712" s="505"/>
      <c r="K712" s="471"/>
    </row>
    <row r="713" spans="1:13">
      <c r="A713" s="463"/>
      <c r="B713" s="576"/>
      <c r="C713" s="577"/>
      <c r="D713" s="578"/>
      <c r="E713" s="578"/>
      <c r="F713" s="579"/>
      <c r="G713" s="502"/>
      <c r="H713" s="502"/>
      <c r="I713" s="575"/>
      <c r="J713" s="505"/>
      <c r="K713" s="471"/>
    </row>
    <row r="714" spans="1:13">
      <c r="A714" s="463"/>
      <c r="B714" s="1496" t="s">
        <v>175</v>
      </c>
      <c r="C714" s="1496"/>
      <c r="D714" s="1496"/>
      <c r="E714" s="1496"/>
      <c r="F714" s="1496"/>
      <c r="G714" s="1496"/>
      <c r="H714" s="1496"/>
      <c r="I714" s="1496"/>
      <c r="J714" s="514">
        <f>SUM(J712:J713)</f>
        <v>0</v>
      </c>
      <c r="K714" s="471"/>
    </row>
    <row r="715" spans="1:13">
      <c r="A715" s="463"/>
      <c r="B715" s="580"/>
      <c r="C715" s="524"/>
      <c r="D715" s="524"/>
      <c r="E715" s="581"/>
      <c r="F715" s="582"/>
      <c r="G715" s="583"/>
      <c r="H715" s="583"/>
      <c r="I715" s="584"/>
      <c r="J715" s="585"/>
      <c r="K715" s="471"/>
    </row>
    <row r="716" spans="1:13">
      <c r="A716" s="463"/>
      <c r="B716" s="586" t="s">
        <v>957</v>
      </c>
      <c r="C716" s="586"/>
      <c r="D716" s="563"/>
      <c r="E716" s="536"/>
      <c r="F716" s="536"/>
      <c r="G716" s="536"/>
      <c r="H716" s="587"/>
      <c r="I716" s="588"/>
      <c r="J716" s="514">
        <f>(J703+J709+J714)/E703</f>
        <v>9.7074138746962984</v>
      </c>
      <c r="K716" s="471"/>
      <c r="L716">
        <v>9.70741382745679</v>
      </c>
    </row>
    <row r="717" spans="1:13">
      <c r="A717" s="463"/>
      <c r="B717" s="566"/>
      <c r="C717" s="539"/>
      <c r="D717" s="539"/>
      <c r="E717" s="567"/>
      <c r="F717" s="568"/>
      <c r="G717" s="519"/>
      <c r="H717" s="519"/>
      <c r="I717" s="542"/>
      <c r="J717" s="589"/>
      <c r="K717" s="471"/>
      <c r="L717">
        <v>9.7071723698080365</v>
      </c>
    </row>
    <row r="718" spans="1:13" ht="20.399999999999999">
      <c r="A718" s="463"/>
      <c r="B718" s="1493" t="s">
        <v>958</v>
      </c>
      <c r="C718" s="1494"/>
      <c r="D718" s="1494"/>
      <c r="E718" s="1494"/>
      <c r="F718" s="1495"/>
      <c r="G718" s="569" t="s">
        <v>372</v>
      </c>
      <c r="H718" s="519" t="s">
        <v>956</v>
      </c>
      <c r="I718" s="570" t="s">
        <v>942</v>
      </c>
      <c r="J718" s="522" t="s">
        <v>363</v>
      </c>
      <c r="K718" s="471"/>
    </row>
    <row r="719" spans="1:13">
      <c r="A719" s="463"/>
      <c r="B719" s="571"/>
      <c r="C719" s="572"/>
      <c r="D719" s="573"/>
      <c r="E719" s="573"/>
      <c r="F719" s="574"/>
      <c r="G719" s="502"/>
      <c r="H719" s="502"/>
      <c r="I719" s="575"/>
      <c r="J719" s="505">
        <f>G719*I719</f>
        <v>0</v>
      </c>
      <c r="K719" s="471"/>
    </row>
    <row r="720" spans="1:13">
      <c r="A720" s="463"/>
      <c r="B720" s="576"/>
      <c r="C720" s="577"/>
      <c r="D720" s="578"/>
      <c r="E720" s="578"/>
      <c r="F720" s="579"/>
      <c r="G720" s="502"/>
      <c r="H720" s="502"/>
      <c r="I720" s="575"/>
      <c r="J720" s="505">
        <f>G720*I720</f>
        <v>0</v>
      </c>
      <c r="K720" s="471"/>
    </row>
    <row r="721" spans="1:11">
      <c r="A721" s="463"/>
      <c r="B721" s="576"/>
      <c r="C721" s="577"/>
      <c r="D721" s="578"/>
      <c r="E721" s="578"/>
      <c r="F721" s="579"/>
      <c r="G721" s="502"/>
      <c r="H721" s="502"/>
      <c r="I721" s="575"/>
      <c r="J721" s="505">
        <f>G721*I721</f>
        <v>0</v>
      </c>
      <c r="K721" s="471"/>
    </row>
    <row r="722" spans="1:11">
      <c r="A722" s="463"/>
      <c r="B722" s="590"/>
      <c r="C722" s="591"/>
      <c r="D722" s="592"/>
      <c r="E722" s="592"/>
      <c r="F722" s="593"/>
      <c r="G722" s="502"/>
      <c r="H722" s="502"/>
      <c r="I722" s="575"/>
      <c r="J722" s="505">
        <f>G722*I722</f>
        <v>0</v>
      </c>
      <c r="K722" s="471"/>
    </row>
    <row r="723" spans="1:11">
      <c r="A723" s="463"/>
      <c r="B723" s="594"/>
      <c r="C723" s="536"/>
      <c r="D723" s="536"/>
      <c r="E723" s="595"/>
      <c r="F723" s="596"/>
      <c r="G723" s="545"/>
      <c r="H723" s="545"/>
      <c r="I723" s="537" t="s">
        <v>175</v>
      </c>
      <c r="J723" s="514">
        <f>SUM(J719:J722)</f>
        <v>0</v>
      </c>
      <c r="K723" s="471"/>
    </row>
    <row r="724" spans="1:11">
      <c r="A724" s="463"/>
      <c r="B724" s="597"/>
      <c r="C724" s="536"/>
      <c r="D724" s="536"/>
      <c r="E724" s="595"/>
      <c r="F724" s="596"/>
      <c r="G724" s="545"/>
      <c r="H724" s="545"/>
      <c r="I724" s="537"/>
      <c r="J724" s="595"/>
      <c r="K724" s="471"/>
    </row>
    <row r="725" spans="1:11" ht="20.399999999999999">
      <c r="A725" s="463"/>
      <c r="B725" s="598" t="s">
        <v>959</v>
      </c>
      <c r="C725" s="598"/>
      <c r="D725" s="598"/>
      <c r="E725" s="599"/>
      <c r="F725" s="600" t="s">
        <v>372</v>
      </c>
      <c r="G725" s="569" t="s">
        <v>960</v>
      </c>
      <c r="H725" s="519" t="s">
        <v>942</v>
      </c>
      <c r="I725" s="570" t="s">
        <v>361</v>
      </c>
      <c r="J725" s="522" t="s">
        <v>363</v>
      </c>
      <c r="K725" s="471"/>
    </row>
    <row r="726" spans="1:11">
      <c r="A726" s="463"/>
      <c r="B726" s="571"/>
      <c r="C726" s="572"/>
      <c r="D726" s="573"/>
      <c r="E726" s="574"/>
      <c r="F726" s="502"/>
      <c r="G726" s="502"/>
      <c r="H726" s="624"/>
      <c r="I726" s="575"/>
      <c r="J726" s="505"/>
      <c r="K726" s="471"/>
    </row>
    <row r="727" spans="1:11">
      <c r="A727" s="463"/>
      <c r="B727" s="590" t="s">
        <v>946</v>
      </c>
      <c r="C727" s="591"/>
      <c r="D727" s="592"/>
      <c r="E727" s="593" t="s">
        <v>946</v>
      </c>
      <c r="F727" s="509">
        <v>0</v>
      </c>
      <c r="G727" s="509">
        <v>0</v>
      </c>
      <c r="H727" s="509">
        <v>0</v>
      </c>
      <c r="I727" s="601">
        <v>0</v>
      </c>
      <c r="J727" s="505">
        <f>I727*H727*G727*F727</f>
        <v>0</v>
      </c>
      <c r="K727" s="471"/>
    </row>
    <row r="728" spans="1:11">
      <c r="A728" s="463"/>
      <c r="B728" s="594"/>
      <c r="C728" s="536"/>
      <c r="D728" s="536"/>
      <c r="E728" s="595"/>
      <c r="F728" s="596"/>
      <c r="G728" s="545"/>
      <c r="H728" s="545"/>
      <c r="I728" s="537" t="s">
        <v>175</v>
      </c>
      <c r="J728" s="514">
        <f>SUM(J726:J727)</f>
        <v>0</v>
      </c>
      <c r="K728" s="471"/>
    </row>
    <row r="729" spans="1:11">
      <c r="A729" s="463"/>
      <c r="B729" s="536"/>
      <c r="C729" s="536"/>
      <c r="D729" s="536"/>
      <c r="E729" s="536"/>
      <c r="F729" s="536"/>
      <c r="G729" s="536"/>
      <c r="H729" s="536"/>
      <c r="I729" s="537"/>
      <c r="J729" s="536"/>
      <c r="K729" s="471"/>
    </row>
    <row r="730" spans="1:11">
      <c r="A730" s="463"/>
      <c r="B730" s="1481" t="s">
        <v>961</v>
      </c>
      <c r="C730" s="1482"/>
      <c r="D730" s="1482"/>
      <c r="E730" s="1482"/>
      <c r="F730" s="1482"/>
      <c r="G730" s="1482"/>
      <c r="H730" s="1482"/>
      <c r="I730" s="1483"/>
      <c r="J730" s="586">
        <f>J728+J723+J716</f>
        <v>9.7074138746962984</v>
      </c>
      <c r="K730" s="471"/>
    </row>
    <row r="731" spans="1:11">
      <c r="A731" s="463"/>
      <c r="B731" s="536"/>
      <c r="C731" s="536"/>
      <c r="D731" s="536"/>
      <c r="E731" s="536"/>
      <c r="F731" s="536"/>
      <c r="G731" s="536"/>
      <c r="H731" s="536"/>
      <c r="I731" s="537"/>
      <c r="J731" s="536"/>
      <c r="K731" s="471"/>
    </row>
    <row r="732" spans="1:11">
      <c r="A732" s="463"/>
      <c r="B732" s="1481" t="s">
        <v>962</v>
      </c>
      <c r="C732" s="1482"/>
      <c r="D732" s="1482"/>
      <c r="E732" s="1482"/>
      <c r="F732" s="1482"/>
      <c r="G732" s="1482"/>
      <c r="H732" s="1482"/>
      <c r="I732" s="1483"/>
      <c r="J732" s="514">
        <f>J730*0</f>
        <v>0</v>
      </c>
      <c r="K732" s="471"/>
    </row>
    <row r="733" spans="1:11">
      <c r="A733" s="463"/>
      <c r="B733" s="536"/>
      <c r="C733" s="536"/>
      <c r="D733" s="536"/>
      <c r="E733" s="536"/>
      <c r="F733" s="536"/>
      <c r="G733" s="536"/>
      <c r="H733" s="536"/>
      <c r="I733" s="537"/>
      <c r="J733" s="536"/>
      <c r="K733" s="471"/>
    </row>
    <row r="734" spans="1:11">
      <c r="A734" s="463"/>
      <c r="B734" s="1481" t="s">
        <v>963</v>
      </c>
      <c r="C734" s="1482"/>
      <c r="D734" s="1482"/>
      <c r="E734" s="1482"/>
      <c r="F734" s="1482"/>
      <c r="G734" s="1482"/>
      <c r="H734" s="1482"/>
      <c r="I734" s="1483"/>
      <c r="J734" s="586">
        <f>J730+J732</f>
        <v>9.7074138746962984</v>
      </c>
      <c r="K734" s="471"/>
    </row>
    <row r="735" spans="1:11">
      <c r="A735" s="463"/>
      <c r="B735" s="524"/>
      <c r="C735" s="524"/>
      <c r="D735" s="524"/>
      <c r="E735" s="524"/>
      <c r="F735" s="524"/>
      <c r="G735" s="524"/>
      <c r="H735" s="524"/>
      <c r="I735" s="584"/>
      <c r="J735" s="524"/>
      <c r="K735" s="471"/>
    </row>
    <row r="736" spans="1:11">
      <c r="A736" s="463"/>
      <c r="B736" s="602"/>
      <c r="C736" s="572"/>
      <c r="D736" s="572"/>
      <c r="E736" s="572"/>
      <c r="F736" s="572"/>
      <c r="G736" s="572"/>
      <c r="H736" s="572"/>
      <c r="I736" s="572"/>
      <c r="J736" s="603"/>
      <c r="K736" s="471"/>
    </row>
    <row r="737" spans="1:11">
      <c r="A737" s="463"/>
      <c r="B737" s="604"/>
      <c r="C737" s="605"/>
      <c r="D737" s="606"/>
      <c r="E737" s="606"/>
      <c r="F737" s="607" t="s">
        <v>946</v>
      </c>
      <c r="G737" s="608" t="s">
        <v>946</v>
      </c>
      <c r="H737" s="605"/>
      <c r="I737" s="605"/>
      <c r="J737" s="609"/>
      <c r="K737" s="471"/>
    </row>
    <row r="738" spans="1:11">
      <c r="A738" s="463"/>
      <c r="B738" s="472"/>
      <c r="C738" s="472"/>
      <c r="D738" s="472"/>
      <c r="E738" s="472"/>
      <c r="F738" s="472"/>
      <c r="G738" s="472"/>
      <c r="H738" s="472"/>
      <c r="I738" s="472"/>
      <c r="J738" s="472"/>
      <c r="K738" s="471"/>
    </row>
    <row r="739" spans="1:11">
      <c r="A739" s="463"/>
      <c r="B739" s="610" t="str">
        <f>PLANEJAMENTO!F2</f>
        <v>OPERAÇÃO DE SUPRESSÃO E SUMP</v>
      </c>
      <c r="C739" s="611"/>
      <c r="D739" s="611"/>
      <c r="E739" s="611"/>
      <c r="F739" s="612"/>
      <c r="G739" s="613" t="s">
        <v>363</v>
      </c>
      <c r="H739" s="515"/>
      <c r="I739" s="515"/>
      <c r="J739" s="518"/>
      <c r="K739" s="471"/>
    </row>
    <row r="740" spans="1:11">
      <c r="A740" s="463"/>
      <c r="B740" s="956" t="str">
        <f>PLANEJAMENTO!F3</f>
        <v>MARA ROSA</v>
      </c>
      <c r="C740" s="957"/>
      <c r="D740" s="957"/>
      <c r="E740" s="957"/>
      <c r="F740" s="958"/>
      <c r="G740" s="1484" t="s">
        <v>964</v>
      </c>
      <c r="H740" s="1485"/>
      <c r="I740" s="1485"/>
      <c r="J740" s="1486"/>
      <c r="K740" s="471"/>
    </row>
    <row r="741" spans="1:11">
      <c r="A741" s="463"/>
      <c r="B741" s="1015"/>
      <c r="C741" s="587"/>
      <c r="D741" s="587"/>
      <c r="E741" s="587"/>
      <c r="F741" s="587"/>
      <c r="G741" s="1014"/>
      <c r="H741" s="1014"/>
      <c r="I741" s="1014"/>
      <c r="J741" s="1016"/>
      <c r="K741" s="471"/>
    </row>
    <row r="742" spans="1:11" ht="15" thickBot="1">
      <c r="A742" s="621"/>
      <c r="B742" s="622"/>
      <c r="C742" s="622"/>
      <c r="D742" s="622"/>
      <c r="E742" s="622"/>
      <c r="F742" s="622"/>
      <c r="G742" s="622"/>
      <c r="H742" s="622"/>
      <c r="I742" s="622"/>
      <c r="J742" s="622"/>
      <c r="K742" s="623"/>
    </row>
    <row r="743" spans="1:11">
      <c r="A743" s="460"/>
      <c r="B743" s="461"/>
      <c r="C743" s="461"/>
      <c r="D743" s="461"/>
      <c r="E743" s="461"/>
      <c r="F743" s="461"/>
      <c r="G743" s="461"/>
      <c r="H743" s="461"/>
      <c r="I743" s="461"/>
      <c r="J743" s="461"/>
      <c r="K743" s="462"/>
    </row>
    <row r="744" spans="1:11" hidden="1">
      <c r="A744" s="463"/>
      <c r="B744" s="464" t="s">
        <v>178</v>
      </c>
      <c r="C744" s="465"/>
      <c r="D744" s="466" t="s">
        <v>936</v>
      </c>
      <c r="E744" s="467"/>
      <c r="F744" s="468"/>
      <c r="G744" s="468"/>
      <c r="H744" s="469"/>
      <c r="I744" s="469"/>
      <c r="J744" s="470"/>
      <c r="K744" s="471"/>
    </row>
    <row r="745" spans="1:11" hidden="1">
      <c r="A745" s="463"/>
      <c r="B745" s="472"/>
      <c r="C745" s="472"/>
      <c r="D745" s="472"/>
      <c r="E745" s="472"/>
      <c r="F745" s="472"/>
      <c r="G745" s="472"/>
      <c r="H745" s="472"/>
      <c r="I745" s="472"/>
      <c r="J745" s="472"/>
      <c r="K745" s="471"/>
    </row>
    <row r="746" spans="1:11" hidden="1">
      <c r="A746" s="463"/>
      <c r="B746" s="473" t="s">
        <v>688</v>
      </c>
      <c r="C746" s="474" t="s">
        <v>937</v>
      </c>
      <c r="D746" s="1497" t="s">
        <v>250</v>
      </c>
      <c r="E746" s="1498"/>
      <c r="F746" s="1498"/>
      <c r="G746" s="1498"/>
      <c r="H746" s="1498"/>
      <c r="I746" s="1499"/>
      <c r="J746" s="475" t="s">
        <v>267</v>
      </c>
      <c r="K746" s="471"/>
    </row>
    <row r="747" spans="1:11" hidden="1">
      <c r="A747" s="463"/>
      <c r="B747" s="476" t="s">
        <v>3</v>
      </c>
      <c r="C747" s="477">
        <f ca="1">TODAY()</f>
        <v>46140</v>
      </c>
      <c r="D747" s="681" t="s">
        <v>1221</v>
      </c>
      <c r="E747" s="479"/>
      <c r="F747" s="479"/>
      <c r="G747" s="479"/>
      <c r="H747" s="479"/>
      <c r="I747" s="480"/>
      <c r="J747" s="481" t="str">
        <f>F765</f>
        <v>und</v>
      </c>
      <c r="K747" s="471"/>
    </row>
    <row r="748" spans="1:11" hidden="1">
      <c r="A748" s="463"/>
      <c r="B748" s="482"/>
      <c r="C748" s="482"/>
      <c r="D748" s="482"/>
      <c r="E748" s="482"/>
      <c r="F748" s="482"/>
      <c r="G748" s="482"/>
      <c r="H748" s="482"/>
      <c r="I748" s="483"/>
      <c r="J748" s="484"/>
      <c r="K748" s="471"/>
    </row>
    <row r="749" spans="1:11" hidden="1">
      <c r="A749" s="463"/>
      <c r="B749" s="1484" t="s">
        <v>938</v>
      </c>
      <c r="C749" s="1486"/>
      <c r="D749" s="1502" t="s">
        <v>688</v>
      </c>
      <c r="E749" s="1504" t="s">
        <v>939</v>
      </c>
      <c r="F749" s="485" t="s">
        <v>940</v>
      </c>
      <c r="G749" s="486"/>
      <c r="H749" s="485" t="s">
        <v>941</v>
      </c>
      <c r="I749" s="486"/>
      <c r="J749" s="487" t="s">
        <v>942</v>
      </c>
      <c r="K749" s="471"/>
    </row>
    <row r="750" spans="1:11" hidden="1">
      <c r="A750" s="463"/>
      <c r="B750" s="1500"/>
      <c r="C750" s="1501"/>
      <c r="D750" s="1503"/>
      <c r="E750" s="1505"/>
      <c r="F750" s="488" t="s">
        <v>943</v>
      </c>
      <c r="G750" s="488" t="s">
        <v>944</v>
      </c>
      <c r="H750" s="488" t="s">
        <v>943</v>
      </c>
      <c r="I750" s="489" t="s">
        <v>944</v>
      </c>
      <c r="J750" s="490" t="s">
        <v>945</v>
      </c>
      <c r="K750" s="471"/>
    </row>
    <row r="751" spans="1:11" hidden="1">
      <c r="A751" s="463"/>
      <c r="B751" s="491"/>
      <c r="C751" s="492"/>
      <c r="D751" s="872"/>
      <c r="E751" s="494"/>
      <c r="F751" s="494"/>
      <c r="G751" s="495"/>
      <c r="H751" s="496"/>
      <c r="I751" s="497"/>
      <c r="J751" s="498"/>
      <c r="K751" s="471"/>
    </row>
    <row r="752" spans="1:11" hidden="1">
      <c r="A752" s="463"/>
      <c r="B752" s="499"/>
      <c r="C752" s="500"/>
      <c r="D752" s="501"/>
      <c r="E752" s="502"/>
      <c r="F752" s="502"/>
      <c r="G752" s="502"/>
      <c r="H752" s="503"/>
      <c r="I752" s="504"/>
      <c r="J752" s="505"/>
      <c r="K752" s="471"/>
    </row>
    <row r="753" spans="1:14" hidden="1">
      <c r="A753" s="463"/>
      <c r="B753" s="499"/>
      <c r="C753" s="500"/>
      <c r="D753" s="501"/>
      <c r="E753" s="502"/>
      <c r="F753" s="502"/>
      <c r="G753" s="502"/>
      <c r="H753" s="503"/>
      <c r="I753" s="504"/>
      <c r="J753" s="505">
        <f>H753*F753*E753+I753*G753*E753</f>
        <v>0</v>
      </c>
      <c r="K753" s="471"/>
    </row>
    <row r="754" spans="1:14" hidden="1">
      <c r="A754" s="463"/>
      <c r="B754" s="499"/>
      <c r="C754" s="500"/>
      <c r="D754" s="501"/>
      <c r="E754" s="502"/>
      <c r="F754" s="502"/>
      <c r="G754" s="502"/>
      <c r="H754" s="503"/>
      <c r="I754" s="504"/>
      <c r="J754" s="505">
        <f>H754*F754*E754+I754*G754*E754</f>
        <v>0</v>
      </c>
      <c r="K754" s="471"/>
    </row>
    <row r="755" spans="1:14" hidden="1">
      <c r="A755" s="463"/>
      <c r="B755" s="506"/>
      <c r="C755" s="507"/>
      <c r="D755" s="508"/>
      <c r="E755" s="509"/>
      <c r="F755" s="509"/>
      <c r="G755" s="509"/>
      <c r="H755" s="510"/>
      <c r="I755" s="511"/>
      <c r="J755" s="505">
        <f>H755*F755*E755+I755*G755*E755</f>
        <v>0</v>
      </c>
      <c r="K755" s="471"/>
    </row>
    <row r="756" spans="1:14" hidden="1">
      <c r="A756" s="463"/>
      <c r="B756" s="512" t="s">
        <v>946</v>
      </c>
      <c r="C756" s="482"/>
      <c r="D756" s="482"/>
      <c r="E756" s="482"/>
      <c r="F756" s="482"/>
      <c r="G756" s="482"/>
      <c r="H756" s="482"/>
      <c r="I756" s="513" t="s">
        <v>175</v>
      </c>
      <c r="J756" s="514">
        <f>SUM(J751:J755)</f>
        <v>0</v>
      </c>
      <c r="K756" s="471"/>
    </row>
    <row r="757" spans="1:14" hidden="1">
      <c r="A757" s="463"/>
      <c r="B757" s="515"/>
      <c r="C757" s="515"/>
      <c r="D757" s="515"/>
      <c r="E757" s="515"/>
      <c r="F757" s="515"/>
      <c r="G757" s="515"/>
      <c r="H757" s="515"/>
      <c r="I757" s="516"/>
      <c r="J757" s="517"/>
      <c r="K757" s="471"/>
    </row>
    <row r="758" spans="1:14" ht="22.5" hidden="1" customHeight="1">
      <c r="A758" s="463"/>
      <c r="B758" s="1490" t="s">
        <v>947</v>
      </c>
      <c r="C758" s="1491"/>
      <c r="D758" s="1491"/>
      <c r="E758" s="1492"/>
      <c r="F758" s="725" t="s">
        <v>688</v>
      </c>
      <c r="G758" s="853"/>
      <c r="H758" s="520" t="s">
        <v>427</v>
      </c>
      <c r="I758" s="521" t="s">
        <v>948</v>
      </c>
      <c r="J758" s="522" t="s">
        <v>949</v>
      </c>
      <c r="K758" s="471"/>
    </row>
    <row r="759" spans="1:14" hidden="1">
      <c r="A759" s="463"/>
      <c r="B759" s="523" t="s">
        <v>988</v>
      </c>
      <c r="C759" s="524"/>
      <c r="D759" s="525"/>
      <c r="E759" s="526"/>
      <c r="F759" s="527"/>
      <c r="G759" s="528"/>
      <c r="H759" s="529">
        <v>1</v>
      </c>
      <c r="I759" s="534">
        <f>(VLOOKUP(B759,'MÃO DE OBRA'!$A:$E,5,FALSE)/220)</f>
        <v>21.588799999999999</v>
      </c>
      <c r="J759" s="505">
        <f>H759*I759</f>
        <v>21.588799999999999</v>
      </c>
      <c r="K759" s="471"/>
    </row>
    <row r="760" spans="1:14" hidden="1">
      <c r="A760" s="463"/>
      <c r="B760" s="530" t="s">
        <v>472</v>
      </c>
      <c r="C760" s="531"/>
      <c r="D760" s="472"/>
      <c r="E760" s="500"/>
      <c r="F760" s="501"/>
      <c r="G760" s="532"/>
      <c r="H760" s="533">
        <v>4</v>
      </c>
      <c r="I760" s="534">
        <f>(VLOOKUP(B760,'MÃO DE OBRA'!$A:$E,5,FALSE)/220)</f>
        <v>18.377072727272729</v>
      </c>
      <c r="J760" s="505">
        <f>H760*I760</f>
        <v>73.508290909090917</v>
      </c>
      <c r="K760" s="471"/>
    </row>
    <row r="761" spans="1:14" hidden="1">
      <c r="A761" s="463"/>
      <c r="B761" s="530" t="s">
        <v>507</v>
      </c>
      <c r="C761" s="531"/>
      <c r="D761" s="472"/>
      <c r="E761" s="500"/>
      <c r="F761" s="501"/>
      <c r="G761" s="532"/>
      <c r="H761" s="533">
        <v>1</v>
      </c>
      <c r="I761" s="534">
        <f>(VLOOKUP(B761,'MÃO DE OBRA'!$A:$E,5,FALSE)/220)</f>
        <v>21.588799999999999</v>
      </c>
      <c r="J761" s="505">
        <f>H761*I761</f>
        <v>21.588799999999999</v>
      </c>
      <c r="K761" s="471"/>
    </row>
    <row r="762" spans="1:14" hidden="1">
      <c r="A762" s="463"/>
      <c r="B762" s="530" t="s">
        <v>481</v>
      </c>
      <c r="C762" s="531"/>
      <c r="D762" s="472"/>
      <c r="E762" s="500"/>
      <c r="F762" s="501"/>
      <c r="G762" s="532"/>
      <c r="H762" s="533">
        <v>1</v>
      </c>
      <c r="I762" s="534">
        <f>(VLOOKUP(B762,'MÃO DE OBRA'!$A:$E,5,FALSE)/220)</f>
        <v>21.588799999999999</v>
      </c>
      <c r="J762" s="505">
        <f>H762*I762</f>
        <v>21.588799999999999</v>
      </c>
      <c r="K762" s="471"/>
    </row>
    <row r="763" spans="1:14" hidden="1">
      <c r="A763" s="463"/>
      <c r="B763" s="512" t="s">
        <v>946</v>
      </c>
      <c r="C763" s="515"/>
      <c r="D763" s="515"/>
      <c r="E763" s="515"/>
      <c r="F763" s="515"/>
      <c r="G763" s="515"/>
      <c r="H763" s="515"/>
      <c r="I763" s="535" t="s">
        <v>175</v>
      </c>
      <c r="J763" s="514">
        <f>SUM(J759:J762)</f>
        <v>138.27469090909091</v>
      </c>
      <c r="K763" s="471"/>
    </row>
    <row r="764" spans="1:14" hidden="1">
      <c r="A764" s="463"/>
      <c r="B764" s="536"/>
      <c r="C764" s="536"/>
      <c r="D764" s="536"/>
      <c r="E764" s="536"/>
      <c r="F764" s="536"/>
      <c r="G764" s="536"/>
      <c r="H764" s="536"/>
      <c r="I764" s="537"/>
      <c r="J764" s="536"/>
      <c r="K764" s="471"/>
    </row>
    <row r="765" spans="1:14" hidden="1">
      <c r="A765" s="463"/>
      <c r="B765" s="538" t="s">
        <v>952</v>
      </c>
      <c r="C765" s="539"/>
      <c r="D765" s="536"/>
      <c r="E765" s="540">
        <f>0.5/8</f>
        <v>6.25E-2</v>
      </c>
      <c r="F765" s="541" t="s">
        <v>901</v>
      </c>
      <c r="G765" s="519"/>
      <c r="H765" s="519"/>
      <c r="I765" s="542" t="s">
        <v>953</v>
      </c>
      <c r="J765" s="514">
        <f>J756+J763</f>
        <v>138.27469090909091</v>
      </c>
      <c r="K765" s="471"/>
      <c r="M765" s="6"/>
      <c r="N765" s="6"/>
    </row>
    <row r="766" spans="1:14" hidden="1">
      <c r="A766" s="463"/>
      <c r="B766" s="543"/>
      <c r="C766" s="536"/>
      <c r="D766" s="536"/>
      <c r="E766" s="544"/>
      <c r="F766" s="545"/>
      <c r="G766" s="545"/>
      <c r="H766" s="545"/>
      <c r="I766" s="537"/>
      <c r="J766" s="536"/>
      <c r="K766" s="471"/>
    </row>
    <row r="767" spans="1:14" ht="20.399999999999999" hidden="1">
      <c r="A767" s="463"/>
      <c r="B767" s="1493" t="s">
        <v>362</v>
      </c>
      <c r="C767" s="1494"/>
      <c r="D767" s="1494"/>
      <c r="E767" s="1495"/>
      <c r="F767" s="546" t="s">
        <v>688</v>
      </c>
      <c r="G767" s="547" t="s">
        <v>371</v>
      </c>
      <c r="H767" s="520" t="s">
        <v>942</v>
      </c>
      <c r="I767" s="548" t="s">
        <v>361</v>
      </c>
      <c r="J767" s="549" t="s">
        <v>363</v>
      </c>
      <c r="K767" s="471"/>
    </row>
    <row r="768" spans="1:14" ht="14.25" hidden="1" customHeight="1">
      <c r="A768" s="463"/>
      <c r="B768" s="550"/>
      <c r="C768" s="551"/>
      <c r="D768" s="551"/>
      <c r="E768" s="552"/>
      <c r="F768" s="553"/>
      <c r="G768" s="554"/>
      <c r="H768" s="560"/>
      <c r="I768" s="556"/>
      <c r="J768" s="498"/>
      <c r="K768" s="471"/>
    </row>
    <row r="769" spans="1:12" hidden="1">
      <c r="A769" s="463"/>
      <c r="B769" s="550"/>
      <c r="C769" s="531"/>
      <c r="D769" s="531"/>
      <c r="E769" s="500"/>
      <c r="F769" s="553"/>
      <c r="G769" s="554"/>
      <c r="H769" s="560"/>
      <c r="I769" s="556"/>
      <c r="J769" s="505"/>
      <c r="K769" s="471"/>
    </row>
    <row r="770" spans="1:12" hidden="1">
      <c r="A770" s="463"/>
      <c r="B770" s="550"/>
      <c r="C770" s="531"/>
      <c r="D770" s="531"/>
      <c r="E770" s="500"/>
      <c r="F770" s="553"/>
      <c r="G770" s="554"/>
      <c r="H770" s="560"/>
      <c r="I770" s="560"/>
      <c r="J770" s="505"/>
      <c r="K770" s="471"/>
    </row>
    <row r="771" spans="1:12" hidden="1">
      <c r="A771" s="463"/>
      <c r="B771" s="530"/>
      <c r="C771" s="539"/>
      <c r="D771" s="539"/>
      <c r="E771" s="507"/>
      <c r="F771" s="501"/>
      <c r="G771" s="481"/>
      <c r="H771" s="560"/>
      <c r="I771" s="561"/>
      <c r="J771" s="562">
        <f>H771*I771*E754</f>
        <v>0</v>
      </c>
      <c r="K771" s="471"/>
    </row>
    <row r="772" spans="1:12" hidden="1">
      <c r="A772" s="463"/>
      <c r="B772" s="563" t="s">
        <v>946</v>
      </c>
      <c r="C772" s="539"/>
      <c r="D772" s="539"/>
      <c r="E772" s="539"/>
      <c r="F772" s="536"/>
      <c r="G772" s="539"/>
      <c r="H772" s="564"/>
      <c r="I772" s="565" t="s">
        <v>175</v>
      </c>
      <c r="J772" s="514">
        <f>SUM(J768:J771)</f>
        <v>0</v>
      </c>
      <c r="K772" s="471"/>
      <c r="L772" s="6"/>
    </row>
    <row r="773" spans="1:12" hidden="1">
      <c r="A773" s="463"/>
      <c r="B773" s="566"/>
      <c r="C773" s="539"/>
      <c r="D773" s="539"/>
      <c r="E773" s="567"/>
      <c r="F773" s="568"/>
      <c r="G773" s="519"/>
      <c r="H773" s="519"/>
      <c r="I773" s="542"/>
      <c r="J773" s="567"/>
      <c r="K773" s="471"/>
    </row>
    <row r="774" spans="1:12" ht="20.399999999999999" hidden="1">
      <c r="A774" s="463"/>
      <c r="B774" s="1493" t="s">
        <v>955</v>
      </c>
      <c r="C774" s="1494"/>
      <c r="D774" s="1494"/>
      <c r="E774" s="1494"/>
      <c r="F774" s="1495"/>
      <c r="G774" s="569" t="s">
        <v>372</v>
      </c>
      <c r="H774" s="519" t="s">
        <v>956</v>
      </c>
      <c r="I774" s="570" t="s">
        <v>942</v>
      </c>
      <c r="J774" s="522" t="s">
        <v>363</v>
      </c>
      <c r="K774" s="471"/>
    </row>
    <row r="775" spans="1:12" hidden="1">
      <c r="A775" s="463"/>
      <c r="B775" s="571"/>
      <c r="C775" s="572"/>
      <c r="D775" s="573"/>
      <c r="E775" s="573"/>
      <c r="F775" s="574"/>
      <c r="G775" s="502"/>
      <c r="H775" s="502"/>
      <c r="I775" s="575"/>
      <c r="J775" s="505"/>
      <c r="K775" s="471"/>
    </row>
    <row r="776" spans="1:12" hidden="1">
      <c r="A776" s="463"/>
      <c r="B776" s="576"/>
      <c r="C776" s="577"/>
      <c r="D776" s="578"/>
      <c r="E776" s="578"/>
      <c r="F776" s="579"/>
      <c r="G776" s="502"/>
      <c r="H776" s="502"/>
      <c r="I776" s="575"/>
      <c r="J776" s="505"/>
      <c r="K776" s="471"/>
    </row>
    <row r="777" spans="1:12" hidden="1">
      <c r="A777" s="463"/>
      <c r="B777" s="1496" t="s">
        <v>175</v>
      </c>
      <c r="C777" s="1496"/>
      <c r="D777" s="1496"/>
      <c r="E777" s="1496"/>
      <c r="F777" s="1496"/>
      <c r="G777" s="1496"/>
      <c r="H777" s="1496"/>
      <c r="I777" s="1496"/>
      <c r="J777" s="514">
        <f>SUM(J775:J776)</f>
        <v>0</v>
      </c>
      <c r="K777" s="471"/>
    </row>
    <row r="778" spans="1:12" hidden="1">
      <c r="A778" s="463"/>
      <c r="B778" s="580"/>
      <c r="C778" s="524"/>
      <c r="D778" s="524"/>
      <c r="E778" s="581"/>
      <c r="F778" s="582"/>
      <c r="G778" s="583"/>
      <c r="H778" s="583"/>
      <c r="I778" s="584"/>
      <c r="J778" s="585"/>
      <c r="K778" s="471"/>
    </row>
    <row r="779" spans="1:12" hidden="1">
      <c r="A779" s="463"/>
      <c r="B779" s="586" t="s">
        <v>957</v>
      </c>
      <c r="C779" s="586"/>
      <c r="D779" s="563"/>
      <c r="E779" s="536"/>
      <c r="F779" s="536"/>
      <c r="G779" s="536"/>
      <c r="H779" s="587"/>
      <c r="I779" s="588"/>
      <c r="J779" s="514">
        <f>(J765+J772+J777)/E765</f>
        <v>2212.3950545454545</v>
      </c>
      <c r="K779" s="471"/>
    </row>
    <row r="780" spans="1:12" hidden="1">
      <c r="A780" s="463"/>
      <c r="B780" s="566"/>
      <c r="C780" s="539"/>
      <c r="D780" s="539"/>
      <c r="E780" s="567"/>
      <c r="F780" s="568"/>
      <c r="G780" s="519"/>
      <c r="H780" s="519"/>
      <c r="I780" s="542"/>
      <c r="J780" s="589"/>
      <c r="K780" s="471"/>
    </row>
    <row r="781" spans="1:12" ht="20.399999999999999" hidden="1">
      <c r="A781" s="463"/>
      <c r="B781" s="1493" t="s">
        <v>958</v>
      </c>
      <c r="C781" s="1494"/>
      <c r="D781" s="1494"/>
      <c r="E781" s="1494"/>
      <c r="F781" s="1495"/>
      <c r="G781" s="569" t="s">
        <v>372</v>
      </c>
      <c r="H781" s="519" t="s">
        <v>956</v>
      </c>
      <c r="I781" s="570" t="s">
        <v>942</v>
      </c>
      <c r="J781" s="522" t="s">
        <v>363</v>
      </c>
      <c r="K781" s="471"/>
    </row>
    <row r="782" spans="1:12" hidden="1">
      <c r="A782" s="463"/>
      <c r="B782" s="571" t="s">
        <v>1228</v>
      </c>
      <c r="C782" s="572"/>
      <c r="D782" s="573"/>
      <c r="E782" s="573"/>
      <c r="F782" s="574"/>
      <c r="G782" s="502">
        <v>11.22</v>
      </c>
      <c r="H782" s="502" t="s">
        <v>973</v>
      </c>
      <c r="I782" s="575">
        <v>550</v>
      </c>
      <c r="J782" s="505">
        <f>G782*I782</f>
        <v>6171</v>
      </c>
      <c r="K782" s="471"/>
    </row>
    <row r="783" spans="1:12" hidden="1">
      <c r="A783" s="463"/>
      <c r="B783" s="576" t="s">
        <v>1229</v>
      </c>
      <c r="C783" s="577"/>
      <c r="D783" s="578"/>
      <c r="E783" s="578"/>
      <c r="F783" s="579"/>
      <c r="G783" s="502">
        <v>2.1</v>
      </c>
      <c r="H783" s="502" t="s">
        <v>973</v>
      </c>
      <c r="I783" s="575">
        <v>500</v>
      </c>
      <c r="J783" s="505">
        <f>G783*I783</f>
        <v>1050</v>
      </c>
      <c r="K783" s="471"/>
    </row>
    <row r="784" spans="1:12" hidden="1">
      <c r="A784" s="463"/>
      <c r="B784" s="576" t="s">
        <v>1230</v>
      </c>
      <c r="C784" s="577"/>
      <c r="D784" s="578"/>
      <c r="E784" s="578"/>
      <c r="F784" s="579"/>
      <c r="G784" s="502">
        <v>93.76</v>
      </c>
      <c r="H784" s="502" t="s">
        <v>904</v>
      </c>
      <c r="I784" s="575">
        <v>70</v>
      </c>
      <c r="J784" s="505">
        <f>G784*I784</f>
        <v>6563.2000000000007</v>
      </c>
      <c r="K784" s="471"/>
    </row>
    <row r="785" spans="1:11" hidden="1">
      <c r="A785" s="463"/>
      <c r="B785" s="590" t="s">
        <v>1231</v>
      </c>
      <c r="C785" s="591"/>
      <c r="D785" s="592"/>
      <c r="E785" s="592"/>
      <c r="F785" s="593"/>
      <c r="G785" s="502">
        <v>1.1200000000000001</v>
      </c>
      <c r="H785" s="502" t="s">
        <v>854</v>
      </c>
      <c r="I785" s="575">
        <f>1000*7.8</f>
        <v>7800</v>
      </c>
      <c r="J785" s="505">
        <f>G785*I785</f>
        <v>8736</v>
      </c>
      <c r="K785" s="471"/>
    </row>
    <row r="786" spans="1:11" hidden="1">
      <c r="A786" s="463"/>
      <c r="B786" s="594"/>
      <c r="C786" s="536"/>
      <c r="D786" s="536"/>
      <c r="E786" s="595"/>
      <c r="F786" s="596"/>
      <c r="G786" s="545"/>
      <c r="H786" s="545"/>
      <c r="I786" s="537" t="s">
        <v>175</v>
      </c>
      <c r="J786" s="514">
        <f>SUM(J782:J785)</f>
        <v>22520.2</v>
      </c>
      <c r="K786" s="471"/>
    </row>
    <row r="787" spans="1:11" hidden="1">
      <c r="A787" s="463"/>
      <c r="B787" s="597"/>
      <c r="C787" s="536"/>
      <c r="D787" s="536"/>
      <c r="E787" s="595"/>
      <c r="F787" s="596"/>
      <c r="G787" s="545"/>
      <c r="H787" s="545"/>
      <c r="I787" s="537"/>
      <c r="J787" s="595"/>
      <c r="K787" s="471"/>
    </row>
    <row r="788" spans="1:11" ht="20.399999999999999" hidden="1">
      <c r="A788" s="463"/>
      <c r="B788" s="598" t="s">
        <v>959</v>
      </c>
      <c r="C788" s="598"/>
      <c r="D788" s="598"/>
      <c r="E788" s="599"/>
      <c r="F788" s="600" t="s">
        <v>372</v>
      </c>
      <c r="G788" s="569" t="s">
        <v>960</v>
      </c>
      <c r="H788" s="519" t="s">
        <v>942</v>
      </c>
      <c r="I788" s="570" t="s">
        <v>361</v>
      </c>
      <c r="J788" s="522" t="s">
        <v>363</v>
      </c>
      <c r="K788" s="471"/>
    </row>
    <row r="789" spans="1:11" hidden="1">
      <c r="A789" s="463"/>
      <c r="B789" s="571"/>
      <c r="C789" s="572"/>
      <c r="D789" s="573"/>
      <c r="E789" s="574"/>
      <c r="F789" s="502"/>
      <c r="G789" s="502"/>
      <c r="H789" s="624"/>
      <c r="I789" s="575"/>
      <c r="J789" s="505"/>
      <c r="K789" s="471"/>
    </row>
    <row r="790" spans="1:11" hidden="1">
      <c r="A790" s="463"/>
      <c r="B790" s="576"/>
      <c r="C790" s="577"/>
      <c r="D790" s="578"/>
      <c r="E790" s="579" t="s">
        <v>946</v>
      </c>
      <c r="F790" s="502">
        <v>0</v>
      </c>
      <c r="G790" s="502">
        <v>0</v>
      </c>
      <c r="H790" s="502"/>
      <c r="I790" s="575">
        <v>0</v>
      </c>
      <c r="J790" s="505">
        <f>I790*H790*G790*F790</f>
        <v>0</v>
      </c>
      <c r="K790" s="471"/>
    </row>
    <row r="791" spans="1:11" hidden="1">
      <c r="A791" s="463"/>
      <c r="B791" s="576"/>
      <c r="C791" s="577"/>
      <c r="D791" s="578"/>
      <c r="E791" s="579" t="s">
        <v>946</v>
      </c>
      <c r="F791" s="502">
        <v>0</v>
      </c>
      <c r="G791" s="502">
        <v>0</v>
      </c>
      <c r="H791" s="502">
        <v>0</v>
      </c>
      <c r="I791" s="575">
        <v>0</v>
      </c>
      <c r="J791" s="505">
        <f>I791*H791*G791*F791</f>
        <v>0</v>
      </c>
      <c r="K791" s="471"/>
    </row>
    <row r="792" spans="1:11" hidden="1">
      <c r="A792" s="463"/>
      <c r="B792" s="576" t="s">
        <v>946</v>
      </c>
      <c r="C792" s="577"/>
      <c r="D792" s="578"/>
      <c r="E792" s="579" t="s">
        <v>946</v>
      </c>
      <c r="F792" s="502">
        <v>0</v>
      </c>
      <c r="G792" s="502">
        <v>0</v>
      </c>
      <c r="H792" s="502">
        <v>0</v>
      </c>
      <c r="I792" s="575">
        <v>0</v>
      </c>
      <c r="J792" s="505">
        <f>I792*H792*G792*F792</f>
        <v>0</v>
      </c>
      <c r="K792" s="471"/>
    </row>
    <row r="793" spans="1:11" hidden="1">
      <c r="A793" s="463"/>
      <c r="B793" s="590" t="s">
        <v>946</v>
      </c>
      <c r="C793" s="591"/>
      <c r="D793" s="592"/>
      <c r="E793" s="593" t="s">
        <v>946</v>
      </c>
      <c r="F793" s="509">
        <v>0</v>
      </c>
      <c r="G793" s="509">
        <v>0</v>
      </c>
      <c r="H793" s="509">
        <v>0</v>
      </c>
      <c r="I793" s="601">
        <v>0</v>
      </c>
      <c r="J793" s="505">
        <f>I793*H793*G793*F793</f>
        <v>0</v>
      </c>
      <c r="K793" s="471"/>
    </row>
    <row r="794" spans="1:11" hidden="1">
      <c r="A794" s="463"/>
      <c r="B794" s="594"/>
      <c r="C794" s="536"/>
      <c r="D794" s="536"/>
      <c r="E794" s="595"/>
      <c r="F794" s="596"/>
      <c r="G794" s="545"/>
      <c r="H794" s="545"/>
      <c r="I794" s="537" t="s">
        <v>175</v>
      </c>
      <c r="J794" s="514">
        <f>SUM(J789:J793)</f>
        <v>0</v>
      </c>
      <c r="K794" s="471"/>
    </row>
    <row r="795" spans="1:11" hidden="1">
      <c r="A795" s="463"/>
      <c r="B795" s="536"/>
      <c r="C795" s="536"/>
      <c r="D795" s="536"/>
      <c r="E795" s="536"/>
      <c r="F795" s="536"/>
      <c r="G795" s="536"/>
      <c r="H795" s="536"/>
      <c r="I795" s="537"/>
      <c r="J795" s="536"/>
      <c r="K795" s="471"/>
    </row>
    <row r="796" spans="1:11" hidden="1">
      <c r="A796" s="463"/>
      <c r="B796" s="1481" t="s">
        <v>961</v>
      </c>
      <c r="C796" s="1482"/>
      <c r="D796" s="1482"/>
      <c r="E796" s="1482"/>
      <c r="F796" s="1482"/>
      <c r="G796" s="1482"/>
      <c r="H796" s="1482"/>
      <c r="I796" s="1483"/>
      <c r="J796" s="586">
        <f>J794+J786+J779</f>
        <v>24732.595054545454</v>
      </c>
      <c r="K796" s="471"/>
    </row>
    <row r="797" spans="1:11" hidden="1">
      <c r="A797" s="463"/>
      <c r="B797" s="536"/>
      <c r="C797" s="536"/>
      <c r="D797" s="536"/>
      <c r="E797" s="536"/>
      <c r="F797" s="536"/>
      <c r="G797" s="536"/>
      <c r="H797" s="536"/>
      <c r="I797" s="537"/>
      <c r="J797" s="536"/>
      <c r="K797" s="471"/>
    </row>
    <row r="798" spans="1:11" hidden="1">
      <c r="A798" s="463"/>
      <c r="B798" s="1481" t="s">
        <v>962</v>
      </c>
      <c r="C798" s="1482"/>
      <c r="D798" s="1482"/>
      <c r="E798" s="1482"/>
      <c r="F798" s="1482"/>
      <c r="G798" s="1482"/>
      <c r="H798" s="1482"/>
      <c r="I798" s="1483"/>
      <c r="J798" s="514">
        <f>J796*0</f>
        <v>0</v>
      </c>
      <c r="K798" s="471"/>
    </row>
    <row r="799" spans="1:11" hidden="1">
      <c r="A799" s="463"/>
      <c r="B799" s="536"/>
      <c r="C799" s="536"/>
      <c r="D799" s="536"/>
      <c r="E799" s="536"/>
      <c r="F799" s="536"/>
      <c r="G799" s="536"/>
      <c r="H799" s="536"/>
      <c r="I799" s="537"/>
      <c r="J799" s="536"/>
      <c r="K799" s="471"/>
    </row>
    <row r="800" spans="1:11" hidden="1">
      <c r="A800" s="463"/>
      <c r="B800" s="1481" t="s">
        <v>963</v>
      </c>
      <c r="C800" s="1482"/>
      <c r="D800" s="1482"/>
      <c r="E800" s="1482"/>
      <c r="F800" s="1482"/>
      <c r="G800" s="1482"/>
      <c r="H800" s="1482"/>
      <c r="I800" s="1483"/>
      <c r="J800" s="586">
        <f>J796+J798</f>
        <v>24732.595054545454</v>
      </c>
      <c r="K800" s="471"/>
    </row>
    <row r="801" spans="1:11" hidden="1">
      <c r="A801" s="463"/>
      <c r="B801" s="524"/>
      <c r="C801" s="524"/>
      <c r="D801" s="524"/>
      <c r="E801" s="524"/>
      <c r="F801" s="524"/>
      <c r="G801" s="524"/>
      <c r="H801" s="524"/>
      <c r="I801" s="584"/>
      <c r="J801" s="524"/>
      <c r="K801" s="471"/>
    </row>
    <row r="802" spans="1:11" hidden="1">
      <c r="A802" s="463"/>
      <c r="B802" s="602"/>
      <c r="C802" s="572"/>
      <c r="D802" s="572"/>
      <c r="E802" s="572"/>
      <c r="F802" s="572"/>
      <c r="G802" s="572"/>
      <c r="H802" s="572"/>
      <c r="I802" s="572"/>
      <c r="J802" s="603"/>
      <c r="K802" s="471"/>
    </row>
    <row r="803" spans="1:11" hidden="1">
      <c r="A803" s="463"/>
      <c r="B803" s="604"/>
      <c r="C803" s="605"/>
      <c r="D803" s="606"/>
      <c r="E803" s="606"/>
      <c r="F803" s="607" t="s">
        <v>946</v>
      </c>
      <c r="G803" s="608" t="s">
        <v>946</v>
      </c>
      <c r="H803" s="605"/>
      <c r="I803" s="605"/>
      <c r="J803" s="609"/>
      <c r="K803" s="471"/>
    </row>
    <row r="804" spans="1:11" hidden="1">
      <c r="A804" s="463"/>
      <c r="B804" s="472"/>
      <c r="C804" s="472"/>
      <c r="D804" s="472"/>
      <c r="E804" s="472"/>
      <c r="F804" s="472"/>
      <c r="G804" s="472"/>
      <c r="H804" s="472"/>
      <c r="I804" s="472"/>
      <c r="J804" s="472"/>
      <c r="K804" s="471"/>
    </row>
    <row r="805" spans="1:11" hidden="1">
      <c r="A805" s="463"/>
      <c r="B805" s="610">
        <f>PLANEJAMENTO!E604</f>
        <v>0</v>
      </c>
      <c r="C805" s="611"/>
      <c r="D805" s="611"/>
      <c r="E805" s="611"/>
      <c r="F805" s="612"/>
      <c r="G805" s="613" t="s">
        <v>363</v>
      </c>
      <c r="H805" s="515"/>
      <c r="I805" s="515"/>
      <c r="J805" s="518"/>
      <c r="K805" s="471"/>
    </row>
    <row r="806" spans="1:11" hidden="1">
      <c r="A806" s="463"/>
      <c r="B806" s="614">
        <f>PLANEJAMENTO!E605</f>
        <v>0</v>
      </c>
      <c r="C806" s="615"/>
      <c r="D806" s="615"/>
      <c r="E806" s="615"/>
      <c r="F806" s="616"/>
      <c r="G806" s="1484" t="s">
        <v>964</v>
      </c>
      <c r="H806" s="1485"/>
      <c r="I806" s="1485"/>
      <c r="J806" s="1486"/>
      <c r="K806" s="471"/>
    </row>
    <row r="807" spans="1:11" hidden="1">
      <c r="A807" s="463"/>
      <c r="B807" s="617"/>
      <c r="C807" s="618"/>
      <c r="D807" s="618"/>
      <c r="E807" s="618"/>
      <c r="F807" s="619"/>
      <c r="G807" s="620"/>
      <c r="H807" s="1487"/>
      <c r="I807" s="1488"/>
      <c r="J807" s="1489"/>
      <c r="K807" s="471"/>
    </row>
    <row r="808" spans="1:11" ht="15" hidden="1" thickBot="1">
      <c r="A808" s="621"/>
      <c r="B808" s="622"/>
      <c r="C808" s="622"/>
      <c r="D808" s="622"/>
      <c r="E808" s="622"/>
      <c r="F808" s="622"/>
      <c r="G808" s="622"/>
      <c r="H808" s="622"/>
      <c r="I808" s="622"/>
      <c r="J808" s="622"/>
      <c r="K808" s="623"/>
    </row>
    <row r="809" spans="1:11" hidden="1">
      <c r="A809" s="460"/>
      <c r="B809" s="461"/>
      <c r="C809" s="461"/>
      <c r="D809" s="461"/>
      <c r="E809" s="461"/>
      <c r="F809" s="461"/>
      <c r="G809" s="461"/>
      <c r="H809" s="461"/>
      <c r="I809" s="461"/>
      <c r="J809" s="461"/>
      <c r="K809" s="462"/>
    </row>
    <row r="810" spans="1:11" hidden="1">
      <c r="A810" s="463"/>
      <c r="B810" s="464" t="s">
        <v>178</v>
      </c>
      <c r="C810" s="465"/>
      <c r="D810" s="466" t="s">
        <v>936</v>
      </c>
      <c r="E810" s="467"/>
      <c r="F810" s="468"/>
      <c r="G810" s="468"/>
      <c r="H810" s="469"/>
      <c r="I810" s="469"/>
      <c r="J810" s="470"/>
      <c r="K810" s="471"/>
    </row>
    <row r="811" spans="1:11" hidden="1">
      <c r="A811" s="463"/>
      <c r="B811" s="472"/>
      <c r="C811" s="472"/>
      <c r="D811" s="472"/>
      <c r="E811" s="472"/>
      <c r="F811" s="472"/>
      <c r="G811" s="472"/>
      <c r="H811" s="472"/>
      <c r="I811" s="472"/>
      <c r="J811" s="472"/>
      <c r="K811" s="471"/>
    </row>
    <row r="812" spans="1:11" hidden="1">
      <c r="A812" s="463"/>
      <c r="B812" s="473" t="s">
        <v>688</v>
      </c>
      <c r="C812" s="474" t="s">
        <v>937</v>
      </c>
      <c r="D812" s="1497" t="s">
        <v>250</v>
      </c>
      <c r="E812" s="1498"/>
      <c r="F812" s="1498"/>
      <c r="G812" s="1498"/>
      <c r="H812" s="1498"/>
      <c r="I812" s="1499"/>
      <c r="J812" s="475" t="s">
        <v>267</v>
      </c>
      <c r="K812" s="471"/>
    </row>
    <row r="813" spans="1:11" hidden="1">
      <c r="A813" s="463"/>
      <c r="B813" s="476" t="s">
        <v>3</v>
      </c>
      <c r="C813" s="477">
        <f ca="1">TODAY()</f>
        <v>46140</v>
      </c>
      <c r="D813" s="681" t="s">
        <v>1232</v>
      </c>
      <c r="E813" s="479"/>
      <c r="F813" s="479"/>
      <c r="G813" s="479"/>
      <c r="H813" s="479"/>
      <c r="I813" s="480"/>
      <c r="J813" s="481" t="str">
        <f>F831</f>
        <v>und</v>
      </c>
      <c r="K813" s="471"/>
    </row>
    <row r="814" spans="1:11" hidden="1">
      <c r="A814" s="463"/>
      <c r="B814" s="482"/>
      <c r="C814" s="482"/>
      <c r="D814" s="482"/>
      <c r="E814" s="482"/>
      <c r="F814" s="482"/>
      <c r="G814" s="482"/>
      <c r="H814" s="482"/>
      <c r="I814" s="483"/>
      <c r="J814" s="484"/>
      <c r="K814" s="471"/>
    </row>
    <row r="815" spans="1:11" hidden="1">
      <c r="A815" s="463"/>
      <c r="B815" s="1484" t="s">
        <v>938</v>
      </c>
      <c r="C815" s="1486"/>
      <c r="D815" s="1502" t="s">
        <v>688</v>
      </c>
      <c r="E815" s="1504" t="s">
        <v>939</v>
      </c>
      <c r="F815" s="485" t="s">
        <v>940</v>
      </c>
      <c r="G815" s="486"/>
      <c r="H815" s="485" t="s">
        <v>941</v>
      </c>
      <c r="I815" s="486"/>
      <c r="J815" s="487" t="s">
        <v>942</v>
      </c>
      <c r="K815" s="471"/>
    </row>
    <row r="816" spans="1:11" hidden="1">
      <c r="A816" s="463"/>
      <c r="B816" s="1500"/>
      <c r="C816" s="1501"/>
      <c r="D816" s="1503"/>
      <c r="E816" s="1505"/>
      <c r="F816" s="488" t="s">
        <v>943</v>
      </c>
      <c r="G816" s="488" t="s">
        <v>944</v>
      </c>
      <c r="H816" s="488" t="s">
        <v>943</v>
      </c>
      <c r="I816" s="489" t="s">
        <v>944</v>
      </c>
      <c r="J816" s="490" t="s">
        <v>945</v>
      </c>
      <c r="K816" s="471"/>
    </row>
    <row r="817" spans="1:11" hidden="1">
      <c r="A817" s="463"/>
      <c r="B817" s="491"/>
      <c r="C817" s="492"/>
      <c r="D817" s="872"/>
      <c r="E817" s="494"/>
      <c r="F817" s="494"/>
      <c r="G817" s="495"/>
      <c r="H817" s="496"/>
      <c r="I817" s="497"/>
      <c r="J817" s="498"/>
      <c r="K817" s="471"/>
    </row>
    <row r="818" spans="1:11" hidden="1">
      <c r="A818" s="463"/>
      <c r="B818" s="499"/>
      <c r="C818" s="500"/>
      <c r="D818" s="501"/>
      <c r="E818" s="502"/>
      <c r="F818" s="502"/>
      <c r="G818" s="502"/>
      <c r="H818" s="503"/>
      <c r="I818" s="504"/>
      <c r="J818" s="505"/>
      <c r="K818" s="471"/>
    </row>
    <row r="819" spans="1:11" hidden="1">
      <c r="A819" s="463"/>
      <c r="B819" s="499"/>
      <c r="C819" s="500"/>
      <c r="D819" s="501"/>
      <c r="E819" s="502"/>
      <c r="F819" s="502"/>
      <c r="G819" s="502"/>
      <c r="H819" s="503"/>
      <c r="I819" s="504"/>
      <c r="J819" s="505">
        <f>H819*F819*E819+I819*G819*E819</f>
        <v>0</v>
      </c>
      <c r="K819" s="471"/>
    </row>
    <row r="820" spans="1:11" hidden="1">
      <c r="A820" s="463"/>
      <c r="B820" s="499"/>
      <c r="C820" s="500"/>
      <c r="D820" s="501"/>
      <c r="E820" s="502"/>
      <c r="F820" s="502"/>
      <c r="G820" s="502"/>
      <c r="H820" s="503"/>
      <c r="I820" s="504"/>
      <c r="J820" s="505">
        <f>H820*F820*E820+I820*G820*E820</f>
        <v>0</v>
      </c>
      <c r="K820" s="471"/>
    </row>
    <row r="821" spans="1:11" hidden="1">
      <c r="A821" s="463"/>
      <c r="B821" s="506"/>
      <c r="C821" s="507"/>
      <c r="D821" s="508"/>
      <c r="E821" s="509"/>
      <c r="F821" s="509"/>
      <c r="G821" s="509"/>
      <c r="H821" s="510"/>
      <c r="I821" s="511"/>
      <c r="J821" s="505">
        <f>H821*F821*E821+I821*G821*E821</f>
        <v>0</v>
      </c>
      <c r="K821" s="471"/>
    </row>
    <row r="822" spans="1:11" hidden="1">
      <c r="A822" s="463"/>
      <c r="B822" s="512" t="s">
        <v>946</v>
      </c>
      <c r="C822" s="482"/>
      <c r="D822" s="482"/>
      <c r="E822" s="482"/>
      <c r="F822" s="482"/>
      <c r="G822" s="482"/>
      <c r="H822" s="482"/>
      <c r="I822" s="513" t="s">
        <v>175</v>
      </c>
      <c r="J822" s="514">
        <f>SUM(J817:J821)</f>
        <v>0</v>
      </c>
      <c r="K822" s="471"/>
    </row>
    <row r="823" spans="1:11" hidden="1">
      <c r="A823" s="463"/>
      <c r="B823" s="515"/>
      <c r="C823" s="515"/>
      <c r="D823" s="515"/>
      <c r="E823" s="515"/>
      <c r="F823" s="515"/>
      <c r="G823" s="515"/>
      <c r="H823" s="515"/>
      <c r="I823" s="516"/>
      <c r="J823" s="517"/>
      <c r="K823" s="471"/>
    </row>
    <row r="824" spans="1:11" ht="20.399999999999999" hidden="1">
      <c r="A824" s="463"/>
      <c r="B824" s="1490" t="s">
        <v>947</v>
      </c>
      <c r="C824" s="1491"/>
      <c r="D824" s="1491"/>
      <c r="E824" s="1492"/>
      <c r="F824" s="725" t="s">
        <v>688</v>
      </c>
      <c r="G824" s="853"/>
      <c r="H824" s="520" t="s">
        <v>427</v>
      </c>
      <c r="I824" s="521" t="s">
        <v>948</v>
      </c>
      <c r="J824" s="522" t="s">
        <v>949</v>
      </c>
      <c r="K824" s="471"/>
    </row>
    <row r="825" spans="1:11" hidden="1">
      <c r="A825" s="463"/>
      <c r="B825" s="523" t="s">
        <v>988</v>
      </c>
      <c r="C825" s="524"/>
      <c r="D825" s="525"/>
      <c r="E825" s="526"/>
      <c r="F825" s="527"/>
      <c r="G825" s="528"/>
      <c r="H825" s="529">
        <v>1</v>
      </c>
      <c r="I825" s="534">
        <f>(VLOOKUP(B825,'MÃO DE OBRA'!$A:$E,5,FALSE)/220)</f>
        <v>21.588799999999999</v>
      </c>
      <c r="J825" s="505">
        <f>H825*I825</f>
        <v>21.588799999999999</v>
      </c>
      <c r="K825" s="471"/>
    </row>
    <row r="826" spans="1:11" hidden="1">
      <c r="A826" s="463"/>
      <c r="B826" s="530" t="s">
        <v>472</v>
      </c>
      <c r="C826" s="531"/>
      <c r="D826" s="472"/>
      <c r="E826" s="500"/>
      <c r="F826" s="501"/>
      <c r="G826" s="532"/>
      <c r="H826" s="533">
        <v>4</v>
      </c>
      <c r="I826" s="534">
        <f>(VLOOKUP(B826,'MÃO DE OBRA'!$A:$E,5,FALSE)/220)</f>
        <v>18.377072727272729</v>
      </c>
      <c r="J826" s="505">
        <f>H826*I826</f>
        <v>73.508290909090917</v>
      </c>
      <c r="K826" s="471"/>
    </row>
    <row r="827" spans="1:11" hidden="1">
      <c r="A827" s="463"/>
      <c r="B827" s="530" t="s">
        <v>507</v>
      </c>
      <c r="C827" s="531"/>
      <c r="D827" s="472"/>
      <c r="E827" s="500"/>
      <c r="F827" s="501"/>
      <c r="G827" s="532"/>
      <c r="H827" s="533">
        <v>1</v>
      </c>
      <c r="I827" s="534">
        <f>(VLOOKUP(B827,'MÃO DE OBRA'!$A:$E,5,FALSE)/220)</f>
        <v>21.588799999999999</v>
      </c>
      <c r="J827" s="505">
        <f>H827*I827</f>
        <v>21.588799999999999</v>
      </c>
      <c r="K827" s="471"/>
    </row>
    <row r="828" spans="1:11" hidden="1">
      <c r="A828" s="463"/>
      <c r="B828" s="530" t="s">
        <v>481</v>
      </c>
      <c r="C828" s="531"/>
      <c r="D828" s="472"/>
      <c r="E828" s="500"/>
      <c r="F828" s="501"/>
      <c r="G828" s="532"/>
      <c r="H828" s="533">
        <v>1</v>
      </c>
      <c r="I828" s="534">
        <f>(VLOOKUP(B828,'MÃO DE OBRA'!$A:$E,5,FALSE)/220)</f>
        <v>21.588799999999999</v>
      </c>
      <c r="J828" s="505">
        <f>H828*I828</f>
        <v>21.588799999999999</v>
      </c>
      <c r="K828" s="471"/>
    </row>
    <row r="829" spans="1:11" hidden="1">
      <c r="A829" s="463"/>
      <c r="B829" s="512" t="s">
        <v>946</v>
      </c>
      <c r="C829" s="515"/>
      <c r="D829" s="515"/>
      <c r="E829" s="515"/>
      <c r="F829" s="515"/>
      <c r="G829" s="515"/>
      <c r="H829" s="515"/>
      <c r="I829" s="535" t="s">
        <v>175</v>
      </c>
      <c r="J829" s="514">
        <f>SUM(J825:J828)</f>
        <v>138.27469090909091</v>
      </c>
      <c r="K829" s="471"/>
    </row>
    <row r="830" spans="1:11" hidden="1">
      <c r="A830" s="463"/>
      <c r="B830" s="536"/>
      <c r="C830" s="536"/>
      <c r="D830" s="536"/>
      <c r="E830" s="536"/>
      <c r="F830" s="536"/>
      <c r="G830" s="536"/>
      <c r="H830" s="536"/>
      <c r="I830" s="537"/>
      <c r="J830" s="536"/>
      <c r="K830" s="471"/>
    </row>
    <row r="831" spans="1:11" hidden="1">
      <c r="A831" s="463"/>
      <c r="B831" s="538" t="s">
        <v>952</v>
      </c>
      <c r="C831" s="539"/>
      <c r="D831" s="536"/>
      <c r="E831" s="540">
        <f>0.5/8</f>
        <v>6.25E-2</v>
      </c>
      <c r="F831" s="541" t="s">
        <v>901</v>
      </c>
      <c r="G831" s="519"/>
      <c r="H831" s="519"/>
      <c r="I831" s="542" t="s">
        <v>953</v>
      </c>
      <c r="J831" s="514">
        <f>J822+J829</f>
        <v>138.27469090909091</v>
      </c>
      <c r="K831" s="471"/>
    </row>
    <row r="832" spans="1:11" hidden="1">
      <c r="A832" s="463"/>
      <c r="B832" s="543"/>
      <c r="C832" s="536"/>
      <c r="D832" s="536"/>
      <c r="E832" s="544"/>
      <c r="F832" s="545"/>
      <c r="G832" s="545"/>
      <c r="H832" s="545"/>
      <c r="I832" s="537"/>
      <c r="J832" s="536"/>
      <c r="K832" s="471"/>
    </row>
    <row r="833" spans="1:11" ht="20.399999999999999" hidden="1">
      <c r="A833" s="463"/>
      <c r="B833" s="1493" t="s">
        <v>362</v>
      </c>
      <c r="C833" s="1494"/>
      <c r="D833" s="1494"/>
      <c r="E833" s="1495"/>
      <c r="F833" s="546" t="s">
        <v>688</v>
      </c>
      <c r="G833" s="547" t="s">
        <v>371</v>
      </c>
      <c r="H833" s="520" t="s">
        <v>942</v>
      </c>
      <c r="I833" s="548" t="s">
        <v>361</v>
      </c>
      <c r="J833" s="549" t="s">
        <v>363</v>
      </c>
      <c r="K833" s="471"/>
    </row>
    <row r="834" spans="1:11" hidden="1">
      <c r="A834" s="463"/>
      <c r="B834" s="550"/>
      <c r="C834" s="551"/>
      <c r="D834" s="551"/>
      <c r="E834" s="552"/>
      <c r="F834" s="553"/>
      <c r="G834" s="554"/>
      <c r="H834" s="560"/>
      <c r="I834" s="556"/>
      <c r="J834" s="498"/>
      <c r="K834" s="471"/>
    </row>
    <row r="835" spans="1:11" hidden="1">
      <c r="A835" s="463"/>
      <c r="B835" s="550"/>
      <c r="C835" s="531"/>
      <c r="D835" s="531"/>
      <c r="E835" s="500"/>
      <c r="F835" s="553"/>
      <c r="G835" s="554"/>
      <c r="H835" s="560"/>
      <c r="I835" s="556"/>
      <c r="J835" s="505"/>
      <c r="K835" s="471"/>
    </row>
    <row r="836" spans="1:11" hidden="1">
      <c r="A836" s="463"/>
      <c r="B836" s="550"/>
      <c r="C836" s="531"/>
      <c r="D836" s="531"/>
      <c r="E836" s="500"/>
      <c r="F836" s="553"/>
      <c r="G836" s="554"/>
      <c r="H836" s="560"/>
      <c r="I836" s="560"/>
      <c r="J836" s="505"/>
      <c r="K836" s="471"/>
    </row>
    <row r="837" spans="1:11" hidden="1">
      <c r="A837" s="463"/>
      <c r="B837" s="530"/>
      <c r="C837" s="539"/>
      <c r="D837" s="539"/>
      <c r="E837" s="507"/>
      <c r="F837" s="501"/>
      <c r="G837" s="481"/>
      <c r="H837" s="560"/>
      <c r="I837" s="561"/>
      <c r="J837" s="562">
        <f>H837*I837*E820</f>
        <v>0</v>
      </c>
      <c r="K837" s="471"/>
    </row>
    <row r="838" spans="1:11" hidden="1">
      <c r="A838" s="463"/>
      <c r="B838" s="563" t="s">
        <v>946</v>
      </c>
      <c r="C838" s="539"/>
      <c r="D838" s="539"/>
      <c r="E838" s="539"/>
      <c r="F838" s="536"/>
      <c r="G838" s="539"/>
      <c r="H838" s="564"/>
      <c r="I838" s="565" t="s">
        <v>175</v>
      </c>
      <c r="J838" s="514">
        <f>SUM(J834:J837)</f>
        <v>0</v>
      </c>
      <c r="K838" s="471"/>
    </row>
    <row r="839" spans="1:11" hidden="1">
      <c r="A839" s="463"/>
      <c r="B839" s="566"/>
      <c r="C839" s="539"/>
      <c r="D839" s="539"/>
      <c r="E839" s="567"/>
      <c r="F839" s="568"/>
      <c r="G839" s="519"/>
      <c r="H839" s="519"/>
      <c r="I839" s="542"/>
      <c r="J839" s="567"/>
      <c r="K839" s="471"/>
    </row>
    <row r="840" spans="1:11" ht="20.399999999999999" hidden="1">
      <c r="A840" s="463"/>
      <c r="B840" s="1493" t="s">
        <v>955</v>
      </c>
      <c r="C840" s="1494"/>
      <c r="D840" s="1494"/>
      <c r="E840" s="1494"/>
      <c r="F840" s="1495"/>
      <c r="G840" s="569" t="s">
        <v>372</v>
      </c>
      <c r="H840" s="519" t="s">
        <v>956</v>
      </c>
      <c r="I840" s="570" t="s">
        <v>942</v>
      </c>
      <c r="J840" s="522" t="s">
        <v>363</v>
      </c>
      <c r="K840" s="471"/>
    </row>
    <row r="841" spans="1:11" hidden="1">
      <c r="A841" s="463"/>
      <c r="B841" s="571"/>
      <c r="C841" s="572"/>
      <c r="D841" s="573"/>
      <c r="E841" s="573"/>
      <c r="F841" s="574"/>
      <c r="G841" s="502"/>
      <c r="H841" s="502"/>
      <c r="I841" s="575"/>
      <c r="J841" s="505"/>
      <c r="K841" s="471"/>
    </row>
    <row r="842" spans="1:11" hidden="1">
      <c r="A842" s="463"/>
      <c r="B842" s="576"/>
      <c r="C842" s="577"/>
      <c r="D842" s="578"/>
      <c r="E842" s="578"/>
      <c r="F842" s="579"/>
      <c r="G842" s="502"/>
      <c r="H842" s="502"/>
      <c r="I842" s="575"/>
      <c r="J842" s="505"/>
      <c r="K842" s="471"/>
    </row>
    <row r="843" spans="1:11" hidden="1">
      <c r="A843" s="463"/>
      <c r="B843" s="1496" t="s">
        <v>175</v>
      </c>
      <c r="C843" s="1496"/>
      <c r="D843" s="1496"/>
      <c r="E843" s="1496"/>
      <c r="F843" s="1496"/>
      <c r="G843" s="1496"/>
      <c r="H843" s="1496"/>
      <c r="I843" s="1496"/>
      <c r="J843" s="514">
        <f>SUM(J841:J842)</f>
        <v>0</v>
      </c>
      <c r="K843" s="471"/>
    </row>
    <row r="844" spans="1:11" hidden="1">
      <c r="A844" s="463"/>
      <c r="B844" s="580"/>
      <c r="C844" s="524"/>
      <c r="D844" s="524"/>
      <c r="E844" s="581"/>
      <c r="F844" s="582"/>
      <c r="G844" s="583"/>
      <c r="H844" s="583"/>
      <c r="I844" s="584"/>
      <c r="J844" s="585"/>
      <c r="K844" s="471"/>
    </row>
    <row r="845" spans="1:11" hidden="1">
      <c r="A845" s="463"/>
      <c r="B845" s="586" t="s">
        <v>957</v>
      </c>
      <c r="C845" s="586"/>
      <c r="D845" s="563"/>
      <c r="E845" s="536"/>
      <c r="F845" s="536"/>
      <c r="G845" s="536"/>
      <c r="H845" s="587"/>
      <c r="I845" s="588"/>
      <c r="J845" s="514">
        <f>(J831+J838+J843)/E831</f>
        <v>2212.3950545454545</v>
      </c>
      <c r="K845" s="471"/>
    </row>
    <row r="846" spans="1:11" hidden="1">
      <c r="A846" s="463"/>
      <c r="B846" s="566"/>
      <c r="C846" s="539"/>
      <c r="D846" s="539"/>
      <c r="E846" s="567"/>
      <c r="F846" s="568"/>
      <c r="G846" s="519"/>
      <c r="H846" s="519"/>
      <c r="I846" s="542"/>
      <c r="J846" s="589"/>
      <c r="K846" s="471"/>
    </row>
    <row r="847" spans="1:11" ht="20.399999999999999" hidden="1">
      <c r="A847" s="463"/>
      <c r="B847" s="1493" t="s">
        <v>958</v>
      </c>
      <c r="C847" s="1494"/>
      <c r="D847" s="1494"/>
      <c r="E847" s="1494"/>
      <c r="F847" s="1495"/>
      <c r="G847" s="569" t="s">
        <v>372</v>
      </c>
      <c r="H847" s="519" t="s">
        <v>956</v>
      </c>
      <c r="I847" s="570" t="s">
        <v>942</v>
      </c>
      <c r="J847" s="522" t="s">
        <v>363</v>
      </c>
      <c r="K847" s="471"/>
    </row>
    <row r="848" spans="1:11" hidden="1">
      <c r="A848" s="463"/>
      <c r="B848" s="571" t="s">
        <v>1228</v>
      </c>
      <c r="C848" s="572"/>
      <c r="D848" s="573"/>
      <c r="E848" s="573"/>
      <c r="F848" s="574"/>
      <c r="G848" s="502">
        <v>12.36</v>
      </c>
      <c r="H848" s="502" t="s">
        <v>973</v>
      </c>
      <c r="I848" s="575">
        <v>550</v>
      </c>
      <c r="J848" s="505">
        <f>G848*I848</f>
        <v>6798</v>
      </c>
      <c r="K848" s="471"/>
    </row>
    <row r="849" spans="1:11" hidden="1">
      <c r="A849" s="463"/>
      <c r="B849" s="576" t="s">
        <v>1229</v>
      </c>
      <c r="C849" s="577"/>
      <c r="D849" s="578"/>
      <c r="E849" s="578"/>
      <c r="F849" s="579"/>
      <c r="G849" s="502">
        <v>2.2799999999999998</v>
      </c>
      <c r="H849" s="502" t="s">
        <v>973</v>
      </c>
      <c r="I849" s="575">
        <v>500</v>
      </c>
      <c r="J849" s="505">
        <f>G849*I849</f>
        <v>1140</v>
      </c>
      <c r="K849" s="471"/>
    </row>
    <row r="850" spans="1:11" hidden="1">
      <c r="A850" s="463"/>
      <c r="B850" s="576" t="s">
        <v>1230</v>
      </c>
      <c r="C850" s="577"/>
      <c r="D850" s="578"/>
      <c r="E850" s="578"/>
      <c r="F850" s="579"/>
      <c r="G850" s="502">
        <v>102.57</v>
      </c>
      <c r="H850" s="502" t="s">
        <v>904</v>
      </c>
      <c r="I850" s="575">
        <v>70</v>
      </c>
      <c r="J850" s="505">
        <f>G850*I850</f>
        <v>7179.9</v>
      </c>
      <c r="K850" s="471"/>
    </row>
    <row r="851" spans="1:11" hidden="1">
      <c r="A851" s="463"/>
      <c r="B851" s="590" t="s">
        <v>1231</v>
      </c>
      <c r="C851" s="591"/>
      <c r="D851" s="592"/>
      <c r="E851" s="592"/>
      <c r="F851" s="593"/>
      <c r="G851" s="502">
        <v>1.24</v>
      </c>
      <c r="H851" s="502" t="s">
        <v>854</v>
      </c>
      <c r="I851" s="575">
        <f>1000*7.8</f>
        <v>7800</v>
      </c>
      <c r="J851" s="505">
        <f>G851*I851</f>
        <v>9672</v>
      </c>
      <c r="K851" s="471"/>
    </row>
    <row r="852" spans="1:11" hidden="1">
      <c r="A852" s="463"/>
      <c r="B852" s="594"/>
      <c r="C852" s="536"/>
      <c r="D852" s="536"/>
      <c r="E852" s="595"/>
      <c r="F852" s="596"/>
      <c r="G852" s="545"/>
      <c r="H852" s="545"/>
      <c r="I852" s="537" t="s">
        <v>175</v>
      </c>
      <c r="J852" s="514">
        <f>SUM(J848:J851)</f>
        <v>24789.9</v>
      </c>
      <c r="K852" s="471"/>
    </row>
    <row r="853" spans="1:11" hidden="1">
      <c r="A853" s="463"/>
      <c r="B853" s="597"/>
      <c r="C853" s="536"/>
      <c r="D853" s="536"/>
      <c r="E853" s="595"/>
      <c r="F853" s="596"/>
      <c r="G853" s="545"/>
      <c r="H853" s="545"/>
      <c r="I853" s="537"/>
      <c r="J853" s="595"/>
      <c r="K853" s="471"/>
    </row>
    <row r="854" spans="1:11" ht="20.399999999999999" hidden="1">
      <c r="A854" s="463"/>
      <c r="B854" s="598" t="s">
        <v>959</v>
      </c>
      <c r="C854" s="598"/>
      <c r="D854" s="598"/>
      <c r="E854" s="599"/>
      <c r="F854" s="600" t="s">
        <v>372</v>
      </c>
      <c r="G854" s="569" t="s">
        <v>960</v>
      </c>
      <c r="H854" s="519" t="s">
        <v>942</v>
      </c>
      <c r="I854" s="570" t="s">
        <v>361</v>
      </c>
      <c r="J854" s="522" t="s">
        <v>363</v>
      </c>
      <c r="K854" s="471"/>
    </row>
    <row r="855" spans="1:11" hidden="1">
      <c r="A855" s="463"/>
      <c r="B855" s="571"/>
      <c r="C855" s="572"/>
      <c r="D855" s="573"/>
      <c r="E855" s="574"/>
      <c r="F855" s="502"/>
      <c r="G855" s="502"/>
      <c r="H855" s="624"/>
      <c r="I855" s="575"/>
      <c r="J855" s="505"/>
      <c r="K855" s="471"/>
    </row>
    <row r="856" spans="1:11" hidden="1">
      <c r="A856" s="463"/>
      <c r="B856" s="576"/>
      <c r="C856" s="577"/>
      <c r="D856" s="578"/>
      <c r="E856" s="579" t="s">
        <v>946</v>
      </c>
      <c r="F856" s="502">
        <v>0</v>
      </c>
      <c r="G856" s="502">
        <v>0</v>
      </c>
      <c r="H856" s="502"/>
      <c r="I856" s="575">
        <v>0</v>
      </c>
      <c r="J856" s="505">
        <f>I856*H856*G856*F856</f>
        <v>0</v>
      </c>
      <c r="K856" s="471"/>
    </row>
    <row r="857" spans="1:11" hidden="1">
      <c r="A857" s="463"/>
      <c r="B857" s="576"/>
      <c r="C857" s="577"/>
      <c r="D857" s="578"/>
      <c r="E857" s="579" t="s">
        <v>946</v>
      </c>
      <c r="F857" s="502">
        <v>0</v>
      </c>
      <c r="G857" s="502">
        <v>0</v>
      </c>
      <c r="H857" s="502">
        <v>0</v>
      </c>
      <c r="I857" s="575">
        <v>0</v>
      </c>
      <c r="J857" s="505">
        <f>I857*H857*G857*F857</f>
        <v>0</v>
      </c>
      <c r="K857" s="471"/>
    </row>
    <row r="858" spans="1:11" hidden="1">
      <c r="A858" s="463"/>
      <c r="B858" s="576" t="s">
        <v>946</v>
      </c>
      <c r="C858" s="577"/>
      <c r="D858" s="578"/>
      <c r="E858" s="579" t="s">
        <v>946</v>
      </c>
      <c r="F858" s="502">
        <v>0</v>
      </c>
      <c r="G858" s="502">
        <v>0</v>
      </c>
      <c r="H858" s="502">
        <v>0</v>
      </c>
      <c r="I858" s="575">
        <v>0</v>
      </c>
      <c r="J858" s="505">
        <f>I858*H858*G858*F858</f>
        <v>0</v>
      </c>
      <c r="K858" s="471"/>
    </row>
    <row r="859" spans="1:11" hidden="1">
      <c r="A859" s="463"/>
      <c r="B859" s="590" t="s">
        <v>946</v>
      </c>
      <c r="C859" s="591"/>
      <c r="D859" s="592"/>
      <c r="E859" s="593" t="s">
        <v>946</v>
      </c>
      <c r="F859" s="509">
        <v>0</v>
      </c>
      <c r="G859" s="509">
        <v>0</v>
      </c>
      <c r="H859" s="509">
        <v>0</v>
      </c>
      <c r="I859" s="601">
        <v>0</v>
      </c>
      <c r="J859" s="505">
        <f>I859*H859*G859*F859</f>
        <v>0</v>
      </c>
      <c r="K859" s="471"/>
    </row>
    <row r="860" spans="1:11" hidden="1">
      <c r="A860" s="463"/>
      <c r="B860" s="594"/>
      <c r="C860" s="536"/>
      <c r="D860" s="536"/>
      <c r="E860" s="595"/>
      <c r="F860" s="596"/>
      <c r="G860" s="545"/>
      <c r="H860" s="545"/>
      <c r="I860" s="537" t="s">
        <v>175</v>
      </c>
      <c r="J860" s="514">
        <f>SUM(J855:J859)</f>
        <v>0</v>
      </c>
      <c r="K860" s="471"/>
    </row>
    <row r="861" spans="1:11" hidden="1">
      <c r="A861" s="463"/>
      <c r="B861" s="536"/>
      <c r="C861" s="536"/>
      <c r="D861" s="536"/>
      <c r="E861" s="536"/>
      <c r="F861" s="536"/>
      <c r="G861" s="536"/>
      <c r="H861" s="536"/>
      <c r="I861" s="537"/>
      <c r="J861" s="536"/>
      <c r="K861" s="471"/>
    </row>
    <row r="862" spans="1:11" hidden="1">
      <c r="A862" s="463"/>
      <c r="B862" s="1481" t="s">
        <v>961</v>
      </c>
      <c r="C862" s="1482"/>
      <c r="D862" s="1482"/>
      <c r="E862" s="1482"/>
      <c r="F862" s="1482"/>
      <c r="G862" s="1482"/>
      <c r="H862" s="1482"/>
      <c r="I862" s="1483"/>
      <c r="J862" s="586">
        <f>J860+J852+J845</f>
        <v>27002.295054545455</v>
      </c>
      <c r="K862" s="471"/>
    </row>
    <row r="863" spans="1:11" hidden="1">
      <c r="A863" s="463"/>
      <c r="B863" s="536"/>
      <c r="C863" s="536"/>
      <c r="D863" s="536"/>
      <c r="E863" s="536"/>
      <c r="F863" s="536"/>
      <c r="G863" s="536"/>
      <c r="H863" s="536"/>
      <c r="I863" s="537"/>
      <c r="J863" s="536"/>
      <c r="K863" s="471"/>
    </row>
    <row r="864" spans="1:11" hidden="1">
      <c r="A864" s="463"/>
      <c r="B864" s="1481" t="s">
        <v>962</v>
      </c>
      <c r="C864" s="1482"/>
      <c r="D864" s="1482"/>
      <c r="E864" s="1482"/>
      <c r="F864" s="1482"/>
      <c r="G864" s="1482"/>
      <c r="H864" s="1482"/>
      <c r="I864" s="1483"/>
      <c r="J864" s="514">
        <f>J862*0</f>
        <v>0</v>
      </c>
      <c r="K864" s="471"/>
    </row>
    <row r="865" spans="1:11" hidden="1">
      <c r="A865" s="463"/>
      <c r="B865" s="536"/>
      <c r="C865" s="536"/>
      <c r="D865" s="536"/>
      <c r="E865" s="536"/>
      <c r="F865" s="536"/>
      <c r="G865" s="536"/>
      <c r="H865" s="536"/>
      <c r="I865" s="537"/>
      <c r="J865" s="536"/>
      <c r="K865" s="471"/>
    </row>
    <row r="866" spans="1:11" hidden="1">
      <c r="A866" s="463"/>
      <c r="B866" s="1481" t="s">
        <v>963</v>
      </c>
      <c r="C866" s="1482"/>
      <c r="D866" s="1482"/>
      <c r="E866" s="1482"/>
      <c r="F866" s="1482"/>
      <c r="G866" s="1482"/>
      <c r="H866" s="1482"/>
      <c r="I866" s="1483"/>
      <c r="J866" s="586">
        <f>J862+J864</f>
        <v>27002.295054545455</v>
      </c>
      <c r="K866" s="471"/>
    </row>
    <row r="867" spans="1:11" hidden="1">
      <c r="A867" s="463"/>
      <c r="B867" s="524"/>
      <c r="C867" s="524"/>
      <c r="D867" s="524"/>
      <c r="E867" s="524"/>
      <c r="F867" s="524"/>
      <c r="G867" s="524"/>
      <c r="H867" s="524"/>
      <c r="I867" s="584"/>
      <c r="J867" s="524"/>
      <c r="K867" s="471"/>
    </row>
    <row r="868" spans="1:11" hidden="1">
      <c r="A868" s="463"/>
      <c r="B868" s="602"/>
      <c r="C868" s="572"/>
      <c r="D868" s="572"/>
      <c r="E868" s="572"/>
      <c r="F868" s="572"/>
      <c r="G868" s="572"/>
      <c r="H868" s="572"/>
      <c r="I868" s="572"/>
      <c r="J868" s="603"/>
      <c r="K868" s="471"/>
    </row>
    <row r="869" spans="1:11" hidden="1">
      <c r="A869" s="463"/>
      <c r="B869" s="604"/>
      <c r="C869" s="605"/>
      <c r="D869" s="606"/>
      <c r="E869" s="606"/>
      <c r="F869" s="607" t="s">
        <v>946</v>
      </c>
      <c r="G869" s="608" t="s">
        <v>946</v>
      </c>
      <c r="H869" s="605"/>
      <c r="I869" s="605"/>
      <c r="J869" s="609"/>
      <c r="K869" s="471"/>
    </row>
    <row r="870" spans="1:11" hidden="1">
      <c r="A870" s="463"/>
      <c r="B870" s="472"/>
      <c r="C870" s="472"/>
      <c r="D870" s="472"/>
      <c r="E870" s="472"/>
      <c r="F870" s="472"/>
      <c r="G870" s="472"/>
      <c r="H870" s="472"/>
      <c r="I870" s="472"/>
      <c r="J870" s="472"/>
      <c r="K870" s="471"/>
    </row>
    <row r="871" spans="1:11" hidden="1">
      <c r="A871" s="463"/>
      <c r="B871" s="610">
        <f>PLANEJAMENTO!E670</f>
        <v>0</v>
      </c>
      <c r="C871" s="611"/>
      <c r="D871" s="611"/>
      <c r="E871" s="611"/>
      <c r="F871" s="612"/>
      <c r="G871" s="613" t="s">
        <v>363</v>
      </c>
      <c r="H871" s="515"/>
      <c r="I871" s="515"/>
      <c r="J871" s="518"/>
      <c r="K871" s="471"/>
    </row>
    <row r="872" spans="1:11" hidden="1">
      <c r="A872" s="463"/>
      <c r="B872" s="614">
        <f>PLANEJAMENTO!E671</f>
        <v>0</v>
      </c>
      <c r="C872" s="615"/>
      <c r="D872" s="615"/>
      <c r="E872" s="615"/>
      <c r="F872" s="616"/>
      <c r="G872" s="1484" t="s">
        <v>964</v>
      </c>
      <c r="H872" s="1485"/>
      <c r="I872" s="1485"/>
      <c r="J872" s="1486"/>
      <c r="K872" s="471"/>
    </row>
    <row r="873" spans="1:11" hidden="1">
      <c r="A873" s="463"/>
      <c r="B873" s="617"/>
      <c r="C873" s="618"/>
      <c r="D873" s="618"/>
      <c r="E873" s="618"/>
      <c r="F873" s="619"/>
      <c r="G873" s="620"/>
      <c r="H873" s="1487"/>
      <c r="I873" s="1488"/>
      <c r="J873" s="1489"/>
      <c r="K873" s="471"/>
    </row>
    <row r="874" spans="1:11" ht="15" hidden="1" thickBot="1">
      <c r="A874" s="621"/>
      <c r="B874" s="622"/>
      <c r="C874" s="622"/>
      <c r="D874" s="622"/>
      <c r="E874" s="622"/>
      <c r="F874" s="622"/>
      <c r="G874" s="622"/>
      <c r="H874" s="622"/>
      <c r="I874" s="622"/>
      <c r="J874" s="622"/>
      <c r="K874" s="623"/>
    </row>
    <row r="875" spans="1:11" hidden="1">
      <c r="A875" s="460"/>
      <c r="B875" s="461"/>
      <c r="C875" s="461"/>
      <c r="D875" s="461"/>
      <c r="E875" s="461"/>
      <c r="F875" s="461"/>
      <c r="G875" s="461"/>
      <c r="H875" s="461"/>
      <c r="I875" s="461"/>
      <c r="J875" s="461"/>
      <c r="K875" s="462"/>
    </row>
    <row r="876" spans="1:11" hidden="1">
      <c r="A876" s="463"/>
      <c r="B876" s="464" t="s">
        <v>178</v>
      </c>
      <c r="C876" s="465"/>
      <c r="D876" s="466" t="s">
        <v>936</v>
      </c>
      <c r="E876" s="467"/>
      <c r="F876" s="468"/>
      <c r="G876" s="468"/>
      <c r="H876" s="469"/>
      <c r="I876" s="469"/>
      <c r="J876" s="470"/>
      <c r="K876" s="471"/>
    </row>
    <row r="877" spans="1:11" hidden="1">
      <c r="A877" s="463"/>
      <c r="B877" s="472"/>
      <c r="C877" s="472"/>
      <c r="D877" s="472"/>
      <c r="E877" s="472"/>
      <c r="F877" s="472"/>
      <c r="G877" s="472"/>
      <c r="H877" s="472"/>
      <c r="I877" s="472"/>
      <c r="J877" s="472"/>
      <c r="K877" s="471"/>
    </row>
    <row r="878" spans="1:11" hidden="1">
      <c r="A878" s="463"/>
      <c r="B878" s="473" t="s">
        <v>688</v>
      </c>
      <c r="C878" s="474" t="s">
        <v>937</v>
      </c>
      <c r="D878" s="1497" t="s">
        <v>250</v>
      </c>
      <c r="E878" s="1498"/>
      <c r="F878" s="1498"/>
      <c r="G878" s="1498"/>
      <c r="H878" s="1498"/>
      <c r="I878" s="1499"/>
      <c r="J878" s="475" t="s">
        <v>267</v>
      </c>
      <c r="K878" s="471"/>
    </row>
    <row r="879" spans="1:11" hidden="1">
      <c r="A879" s="463"/>
      <c r="B879" s="476" t="s">
        <v>3</v>
      </c>
      <c r="C879" s="477">
        <f ca="1">TODAY()</f>
        <v>46140</v>
      </c>
      <c r="D879" s="681" t="s">
        <v>1233</v>
      </c>
      <c r="E879" s="479"/>
      <c r="F879" s="479"/>
      <c r="G879" s="479"/>
      <c r="H879" s="479"/>
      <c r="I879" s="480"/>
      <c r="J879" s="481" t="str">
        <f>F897</f>
        <v>und</v>
      </c>
      <c r="K879" s="471"/>
    </row>
    <row r="880" spans="1:11" hidden="1">
      <c r="A880" s="463"/>
      <c r="B880" s="482"/>
      <c r="C880" s="482"/>
      <c r="D880" s="482"/>
      <c r="E880" s="482"/>
      <c r="F880" s="482"/>
      <c r="G880" s="482"/>
      <c r="H880" s="482"/>
      <c r="I880" s="483"/>
      <c r="J880" s="484"/>
      <c r="K880" s="471"/>
    </row>
    <row r="881" spans="1:11" hidden="1">
      <c r="A881" s="463"/>
      <c r="B881" s="1484" t="s">
        <v>938</v>
      </c>
      <c r="C881" s="1486"/>
      <c r="D881" s="1502" t="s">
        <v>688</v>
      </c>
      <c r="E881" s="1504" t="s">
        <v>939</v>
      </c>
      <c r="F881" s="485" t="s">
        <v>940</v>
      </c>
      <c r="G881" s="486"/>
      <c r="H881" s="485" t="s">
        <v>941</v>
      </c>
      <c r="I881" s="486"/>
      <c r="J881" s="487" t="s">
        <v>942</v>
      </c>
      <c r="K881" s="471"/>
    </row>
    <row r="882" spans="1:11" hidden="1">
      <c r="A882" s="463"/>
      <c r="B882" s="1500"/>
      <c r="C882" s="1501"/>
      <c r="D882" s="1503"/>
      <c r="E882" s="1505"/>
      <c r="F882" s="488" t="s">
        <v>943</v>
      </c>
      <c r="G882" s="488" t="s">
        <v>944</v>
      </c>
      <c r="H882" s="488" t="s">
        <v>943</v>
      </c>
      <c r="I882" s="489" t="s">
        <v>944</v>
      </c>
      <c r="J882" s="490" t="s">
        <v>945</v>
      </c>
      <c r="K882" s="471"/>
    </row>
    <row r="883" spans="1:11" hidden="1">
      <c r="A883" s="463"/>
      <c r="B883" s="491" t="s">
        <v>375</v>
      </c>
      <c r="C883" s="492"/>
      <c r="D883" s="872"/>
      <c r="E883" s="494"/>
      <c r="F883" s="494">
        <v>1</v>
      </c>
      <c r="G883" s="495">
        <f>1-F883</f>
        <v>0</v>
      </c>
      <c r="H883" s="496">
        <f>VLOOKUP(B883,EQUIPAMENTOS!$A:$J,10,FALSE)</f>
        <v>63.777777777777779</v>
      </c>
      <c r="I883" s="497">
        <f>H883</f>
        <v>63.777777777777779</v>
      </c>
      <c r="J883" s="498">
        <f>H883*F883*E883+I883*G883*E883</f>
        <v>0</v>
      </c>
      <c r="K883" s="471"/>
    </row>
    <row r="884" spans="1:11" hidden="1">
      <c r="A884" s="463"/>
      <c r="B884" s="499"/>
      <c r="C884" s="500"/>
      <c r="D884" s="501"/>
      <c r="E884" s="502"/>
      <c r="F884" s="502"/>
      <c r="G884" s="502"/>
      <c r="H884" s="503"/>
      <c r="I884" s="504"/>
      <c r="J884" s="505"/>
      <c r="K884" s="471"/>
    </row>
    <row r="885" spans="1:11" hidden="1">
      <c r="A885" s="463"/>
      <c r="B885" s="499"/>
      <c r="C885" s="500"/>
      <c r="D885" s="501"/>
      <c r="E885" s="502"/>
      <c r="F885" s="502"/>
      <c r="G885" s="502"/>
      <c r="H885" s="503"/>
      <c r="I885" s="504"/>
      <c r="J885" s="505">
        <f>H885*F885*E885+I885*G885*E885</f>
        <v>0</v>
      </c>
      <c r="K885" s="471"/>
    </row>
    <row r="886" spans="1:11" hidden="1">
      <c r="A886" s="463"/>
      <c r="B886" s="499"/>
      <c r="C886" s="500"/>
      <c r="D886" s="501"/>
      <c r="E886" s="502"/>
      <c r="F886" s="502"/>
      <c r="G886" s="502"/>
      <c r="H886" s="503"/>
      <c r="I886" s="504"/>
      <c r="J886" s="505">
        <f>H886*F886*E886+I886*G886*E886</f>
        <v>0</v>
      </c>
      <c r="K886" s="471"/>
    </row>
    <row r="887" spans="1:11" hidden="1">
      <c r="A887" s="463"/>
      <c r="B887" s="506"/>
      <c r="C887" s="507"/>
      <c r="D887" s="508"/>
      <c r="E887" s="509"/>
      <c r="F887" s="509"/>
      <c r="G887" s="509"/>
      <c r="H887" s="510"/>
      <c r="I887" s="511"/>
      <c r="J887" s="505">
        <f>H887*F887*E887+I887*G887*E887</f>
        <v>0</v>
      </c>
      <c r="K887" s="471"/>
    </row>
    <row r="888" spans="1:11" hidden="1">
      <c r="A888" s="463"/>
      <c r="B888" s="512" t="s">
        <v>946</v>
      </c>
      <c r="C888" s="482"/>
      <c r="D888" s="482"/>
      <c r="E888" s="482"/>
      <c r="F888" s="482"/>
      <c r="G888" s="482"/>
      <c r="H888" s="482"/>
      <c r="I888" s="513" t="s">
        <v>175</v>
      </c>
      <c r="J888" s="514">
        <f>SUM(J883:J887)</f>
        <v>0</v>
      </c>
      <c r="K888" s="471"/>
    </row>
    <row r="889" spans="1:11" hidden="1">
      <c r="A889" s="463"/>
      <c r="B889" s="515"/>
      <c r="C889" s="515"/>
      <c r="D889" s="515"/>
      <c r="E889" s="515"/>
      <c r="F889" s="515"/>
      <c r="G889" s="515"/>
      <c r="H889" s="515"/>
      <c r="I889" s="516"/>
      <c r="J889" s="517"/>
      <c r="K889" s="471"/>
    </row>
    <row r="890" spans="1:11" ht="20.399999999999999" hidden="1">
      <c r="A890" s="463"/>
      <c r="B890" s="1490" t="s">
        <v>947</v>
      </c>
      <c r="C890" s="1491"/>
      <c r="D890" s="1491"/>
      <c r="E890" s="1492"/>
      <c r="F890" s="725" t="s">
        <v>688</v>
      </c>
      <c r="G890" s="853"/>
      <c r="H890" s="520" t="s">
        <v>427</v>
      </c>
      <c r="I890" s="521" t="s">
        <v>948</v>
      </c>
      <c r="J890" s="522" t="s">
        <v>949</v>
      </c>
      <c r="K890" s="471"/>
    </row>
    <row r="891" spans="1:11" hidden="1">
      <c r="A891" s="463"/>
      <c r="B891" s="523" t="s">
        <v>550</v>
      </c>
      <c r="C891" s="524"/>
      <c r="D891" s="525"/>
      <c r="E891" s="526"/>
      <c r="F891" s="527"/>
      <c r="G891" s="528"/>
      <c r="H891" s="529">
        <v>1</v>
      </c>
      <c r="I891" s="534">
        <f>(VLOOKUP(B891,'MÃO DE OBRA'!$A:$E,5,FALSE)/220)</f>
        <v>19.055000000000003</v>
      </c>
      <c r="J891" s="505">
        <f>H891*I891</f>
        <v>19.055000000000003</v>
      </c>
      <c r="K891" s="471"/>
    </row>
    <row r="892" spans="1:11" hidden="1">
      <c r="A892" s="463"/>
      <c r="B892" s="530" t="s">
        <v>988</v>
      </c>
      <c r="C892" s="531"/>
      <c r="D892" s="472"/>
      <c r="E892" s="500"/>
      <c r="F892" s="501"/>
      <c r="G892" s="532"/>
      <c r="H892" s="533">
        <v>1</v>
      </c>
      <c r="I892" s="534">
        <f>(VLOOKUP(B892,'MÃO DE OBRA'!$A:$E,5,FALSE)/220)</f>
        <v>21.588799999999999</v>
      </c>
      <c r="J892" s="505">
        <f>H892*I892</f>
        <v>21.588799999999999</v>
      </c>
      <c r="K892" s="471"/>
    </row>
    <row r="893" spans="1:11" hidden="1">
      <c r="A893" s="463"/>
      <c r="B893" s="530" t="s">
        <v>472</v>
      </c>
      <c r="C893" s="531"/>
      <c r="D893" s="472"/>
      <c r="E893" s="500"/>
      <c r="F893" s="501"/>
      <c r="G893" s="532"/>
      <c r="H893" s="533">
        <v>2</v>
      </c>
      <c r="I893" s="534">
        <f>(VLOOKUP(B893,'MÃO DE OBRA'!$A:$E,5,FALSE)/220)</f>
        <v>18.377072727272729</v>
      </c>
      <c r="J893" s="505">
        <f>H893*I893</f>
        <v>36.754145454545458</v>
      </c>
      <c r="K893" s="471"/>
    </row>
    <row r="894" spans="1:11" hidden="1">
      <c r="A894" s="463"/>
      <c r="B894" s="530"/>
      <c r="C894" s="531"/>
      <c r="D894" s="472"/>
      <c r="E894" s="500"/>
      <c r="F894" s="501"/>
      <c r="G894" s="532"/>
      <c r="H894" s="533"/>
      <c r="I894" s="534"/>
      <c r="J894" s="505"/>
      <c r="K894" s="471"/>
    </row>
    <row r="895" spans="1:11" hidden="1">
      <c r="A895" s="463"/>
      <c r="B895" s="512" t="s">
        <v>946</v>
      </c>
      <c r="C895" s="515"/>
      <c r="D895" s="515"/>
      <c r="E895" s="515"/>
      <c r="F895" s="515"/>
      <c r="G895" s="515"/>
      <c r="H895" s="515"/>
      <c r="I895" s="535" t="s">
        <v>175</v>
      </c>
      <c r="J895" s="514">
        <f>SUM(J891:J894)</f>
        <v>77.397945454545464</v>
      </c>
      <c r="K895" s="471"/>
    </row>
    <row r="896" spans="1:11" hidden="1">
      <c r="A896" s="463"/>
      <c r="B896" s="536"/>
      <c r="C896" s="536"/>
      <c r="D896" s="536"/>
      <c r="E896" s="536"/>
      <c r="F896" s="536"/>
      <c r="G896" s="536"/>
      <c r="H896" s="536"/>
      <c r="I896" s="537"/>
      <c r="J896" s="536"/>
      <c r="K896" s="471"/>
    </row>
    <row r="897" spans="1:12" hidden="1">
      <c r="A897" s="463"/>
      <c r="B897" s="538" t="s">
        <v>952</v>
      </c>
      <c r="C897" s="539"/>
      <c r="D897" s="536"/>
      <c r="E897" s="540">
        <f>1*0.4</f>
        <v>0.4</v>
      </c>
      <c r="F897" s="541" t="s">
        <v>901</v>
      </c>
      <c r="G897" s="519"/>
      <c r="H897" s="519"/>
      <c r="I897" s="542" t="s">
        <v>953</v>
      </c>
      <c r="J897" s="514">
        <f>J888+J895</f>
        <v>77.397945454545464</v>
      </c>
      <c r="K897" s="471"/>
    </row>
    <row r="898" spans="1:12" hidden="1">
      <c r="A898" s="463"/>
      <c r="B898" s="543"/>
      <c r="C898" s="536"/>
      <c r="D898" s="536"/>
      <c r="E898" s="544"/>
      <c r="F898" s="545"/>
      <c r="G898" s="545"/>
      <c r="H898" s="545"/>
      <c r="I898" s="537"/>
      <c r="J898" s="536"/>
      <c r="K898" s="471"/>
    </row>
    <row r="899" spans="1:12" ht="20.399999999999999" hidden="1">
      <c r="A899" s="463"/>
      <c r="B899" s="1493" t="s">
        <v>362</v>
      </c>
      <c r="C899" s="1494"/>
      <c r="D899" s="1494"/>
      <c r="E899" s="1495"/>
      <c r="F899" s="546" t="s">
        <v>688</v>
      </c>
      <c r="G899" s="547" t="s">
        <v>371</v>
      </c>
      <c r="H899" s="520" t="s">
        <v>942</v>
      </c>
      <c r="I899" s="548" t="s">
        <v>361</v>
      </c>
      <c r="J899" s="549" t="s">
        <v>363</v>
      </c>
      <c r="K899" s="471"/>
    </row>
    <row r="900" spans="1:12" hidden="1">
      <c r="A900" s="463"/>
      <c r="B900" s="550" t="str">
        <f>B883</f>
        <v>RETROESCAVADEIRA</v>
      </c>
      <c r="C900" s="551"/>
      <c r="D900" s="551"/>
      <c r="E900" s="552"/>
      <c r="F900" s="553" t="str">
        <f>VLOOKUP(B900,EQUIPAMENTOS!$A:$N,12,FALSE)</f>
        <v>Diesel S10</v>
      </c>
      <c r="G900" s="554" t="s">
        <v>415</v>
      </c>
      <c r="H900" s="560">
        <f>VLOOKUP(B900,EQUIPAMENTOS!$A:$N,13,FALSE)</f>
        <v>0</v>
      </c>
      <c r="I900" s="560">
        <f>VLOOKUP(B900,EQUIPAMENTOS!$A:$N,14,FALSE)</f>
        <v>16</v>
      </c>
      <c r="J900" s="498">
        <f>H900*I900*E883*F883</f>
        <v>0</v>
      </c>
      <c r="K900" s="471"/>
    </row>
    <row r="901" spans="1:12" hidden="1">
      <c r="A901" s="463"/>
      <c r="B901" s="550"/>
      <c r="C901" s="531"/>
      <c r="D901" s="531"/>
      <c r="E901" s="500"/>
      <c r="F901" s="553"/>
      <c r="G901" s="554"/>
      <c r="H901" s="560"/>
      <c r="I901" s="556"/>
      <c r="J901" s="505"/>
      <c r="K901" s="471"/>
    </row>
    <row r="902" spans="1:12" hidden="1">
      <c r="A902" s="463"/>
      <c r="B902" s="550"/>
      <c r="C902" s="531"/>
      <c r="D902" s="531"/>
      <c r="E902" s="500"/>
      <c r="F902" s="553"/>
      <c r="G902" s="554"/>
      <c r="H902" s="560"/>
      <c r="I902" s="560"/>
      <c r="J902" s="505"/>
      <c r="K902" s="471"/>
    </row>
    <row r="903" spans="1:12" hidden="1">
      <c r="A903" s="463"/>
      <c r="B903" s="530"/>
      <c r="C903" s="539"/>
      <c r="D903" s="539"/>
      <c r="E903" s="507"/>
      <c r="F903" s="501"/>
      <c r="G903" s="481"/>
      <c r="H903" s="560"/>
      <c r="I903" s="561"/>
      <c r="J903" s="562">
        <f>H903*I903*E886</f>
        <v>0</v>
      </c>
      <c r="K903" s="471"/>
    </row>
    <row r="904" spans="1:12" hidden="1">
      <c r="A904" s="463"/>
      <c r="B904" s="563" t="s">
        <v>946</v>
      </c>
      <c r="C904" s="539"/>
      <c r="D904" s="539"/>
      <c r="E904" s="539"/>
      <c r="F904" s="536"/>
      <c r="G904" s="539"/>
      <c r="H904" s="564"/>
      <c r="I904" s="565" t="s">
        <v>175</v>
      </c>
      <c r="J904" s="514">
        <f>SUM(J900:J903)</f>
        <v>0</v>
      </c>
      <c r="K904" s="471"/>
      <c r="L904" s="6">
        <f>J904/E897</f>
        <v>0</v>
      </c>
    </row>
    <row r="905" spans="1:12" hidden="1">
      <c r="A905" s="463"/>
      <c r="B905" s="566"/>
      <c r="C905" s="539"/>
      <c r="D905" s="539"/>
      <c r="E905" s="567"/>
      <c r="F905" s="568"/>
      <c r="G905" s="519"/>
      <c r="H905" s="519"/>
      <c r="I905" s="542"/>
      <c r="J905" s="567"/>
      <c r="K905" s="471"/>
    </row>
    <row r="906" spans="1:12" ht="20.399999999999999" hidden="1">
      <c r="A906" s="463"/>
      <c r="B906" s="1493" t="s">
        <v>955</v>
      </c>
      <c r="C906" s="1494"/>
      <c r="D906" s="1494"/>
      <c r="E906" s="1494"/>
      <c r="F906" s="1495"/>
      <c r="G906" s="569" t="s">
        <v>372</v>
      </c>
      <c r="H906" s="519" t="s">
        <v>956</v>
      </c>
      <c r="I906" s="570" t="s">
        <v>942</v>
      </c>
      <c r="J906" s="522" t="s">
        <v>363</v>
      </c>
      <c r="K906" s="471"/>
    </row>
    <row r="907" spans="1:12" hidden="1">
      <c r="A907" s="463"/>
      <c r="B907" s="571"/>
      <c r="C907" s="572"/>
      <c r="D907" s="573"/>
      <c r="E907" s="573"/>
      <c r="F907" s="574"/>
      <c r="G907" s="502"/>
      <c r="H907" s="502"/>
      <c r="I907" s="575"/>
      <c r="J907" s="505"/>
      <c r="K907" s="471"/>
    </row>
    <row r="908" spans="1:12" hidden="1">
      <c r="A908" s="463"/>
      <c r="B908" s="576"/>
      <c r="C908" s="577"/>
      <c r="D908" s="578"/>
      <c r="E908" s="578"/>
      <c r="F908" s="579"/>
      <c r="G908" s="502"/>
      <c r="H908" s="502"/>
      <c r="I908" s="575"/>
      <c r="J908" s="505"/>
      <c r="K908" s="471"/>
    </row>
    <row r="909" spans="1:12" hidden="1">
      <c r="A909" s="463"/>
      <c r="B909" s="1496" t="s">
        <v>175</v>
      </c>
      <c r="C909" s="1496"/>
      <c r="D909" s="1496"/>
      <c r="E909" s="1496"/>
      <c r="F909" s="1496"/>
      <c r="G909" s="1496"/>
      <c r="H909" s="1496"/>
      <c r="I909" s="1496"/>
      <c r="J909" s="514">
        <f>SUM(J907:J908)</f>
        <v>0</v>
      </c>
      <c r="K909" s="471"/>
    </row>
    <row r="910" spans="1:12" hidden="1">
      <c r="A910" s="463"/>
      <c r="B910" s="580"/>
      <c r="C910" s="524"/>
      <c r="D910" s="524"/>
      <c r="E910" s="581"/>
      <c r="F910" s="582"/>
      <c r="G910" s="583"/>
      <c r="H910" s="583"/>
      <c r="I910" s="584"/>
      <c r="J910" s="585"/>
      <c r="K910" s="471"/>
    </row>
    <row r="911" spans="1:12" hidden="1">
      <c r="A911" s="463"/>
      <c r="B911" s="586" t="s">
        <v>957</v>
      </c>
      <c r="C911" s="586"/>
      <c r="D911" s="563"/>
      <c r="E911" s="536"/>
      <c r="F911" s="536"/>
      <c r="G911" s="536"/>
      <c r="H911" s="587"/>
      <c r="I911" s="588"/>
      <c r="J911" s="514">
        <f>(J897+J904+J909)/E897</f>
        <v>193.49486363636365</v>
      </c>
      <c r="K911" s="471"/>
    </row>
    <row r="912" spans="1:12" hidden="1">
      <c r="A912" s="463"/>
      <c r="B912" s="566"/>
      <c r="C912" s="539"/>
      <c r="D912" s="539"/>
      <c r="E912" s="567"/>
      <c r="F912" s="568"/>
      <c r="G912" s="519"/>
      <c r="H912" s="519"/>
      <c r="I912" s="542"/>
      <c r="J912" s="589"/>
      <c r="K912" s="471"/>
    </row>
    <row r="913" spans="1:11" ht="20.399999999999999" hidden="1">
      <c r="A913" s="463"/>
      <c r="B913" s="1493" t="s">
        <v>958</v>
      </c>
      <c r="C913" s="1494"/>
      <c r="D913" s="1494"/>
      <c r="E913" s="1494"/>
      <c r="F913" s="1495"/>
      <c r="G913" s="569" t="s">
        <v>372</v>
      </c>
      <c r="H913" s="519" t="s">
        <v>956</v>
      </c>
      <c r="I913" s="570" t="s">
        <v>942</v>
      </c>
      <c r="J913" s="522" t="s">
        <v>363</v>
      </c>
      <c r="K913" s="471"/>
    </row>
    <row r="914" spans="1:11" hidden="1">
      <c r="A914" s="463"/>
      <c r="B914" s="576" t="s">
        <v>1244</v>
      </c>
      <c r="C914" s="577"/>
      <c r="D914" s="578"/>
      <c r="E914" s="578"/>
      <c r="F914" s="579"/>
      <c r="G914" s="502">
        <v>1</v>
      </c>
      <c r="H914" s="502" t="s">
        <v>916</v>
      </c>
      <c r="I914" s="575">
        <v>20</v>
      </c>
      <c r="J914" s="505">
        <f>G914*I914</f>
        <v>20</v>
      </c>
      <c r="K914" s="471"/>
    </row>
    <row r="915" spans="1:11" hidden="1">
      <c r="A915" s="463"/>
      <c r="B915" s="576" t="s">
        <v>1240</v>
      </c>
      <c r="C915" s="577"/>
      <c r="D915" s="578"/>
      <c r="E915" s="578"/>
      <c r="F915" s="579"/>
      <c r="G915" s="502">
        <v>1</v>
      </c>
      <c r="H915" s="502" t="s">
        <v>916</v>
      </c>
      <c r="I915" s="575">
        <v>7</v>
      </c>
      <c r="J915" s="505">
        <f>G915*I915</f>
        <v>7</v>
      </c>
      <c r="K915" s="471"/>
    </row>
    <row r="916" spans="1:11" hidden="1">
      <c r="A916" s="463"/>
      <c r="B916" s="576" t="s">
        <v>1241</v>
      </c>
      <c r="C916" s="577"/>
      <c r="D916" s="578"/>
      <c r="E916" s="578"/>
      <c r="F916" s="579"/>
      <c r="G916" s="502">
        <v>1</v>
      </c>
      <c r="H916" s="502" t="s">
        <v>916</v>
      </c>
      <c r="I916" s="575">
        <v>5</v>
      </c>
      <c r="J916" s="505">
        <f>G916*I916</f>
        <v>5</v>
      </c>
      <c r="K916" s="471"/>
    </row>
    <row r="917" spans="1:11" hidden="1">
      <c r="A917" s="463"/>
      <c r="B917" s="576" t="s">
        <v>1242</v>
      </c>
      <c r="C917" s="577"/>
      <c r="D917" s="578"/>
      <c r="E917" s="578"/>
      <c r="F917" s="579"/>
      <c r="G917" s="502">
        <v>1</v>
      </c>
      <c r="H917" s="502" t="s">
        <v>916</v>
      </c>
      <c r="I917" s="575">
        <v>30</v>
      </c>
      <c r="J917" s="505">
        <f>G917*I917</f>
        <v>30</v>
      </c>
      <c r="K917" s="471"/>
    </row>
    <row r="918" spans="1:11" hidden="1">
      <c r="A918" s="463"/>
      <c r="B918" s="590" t="s">
        <v>1243</v>
      </c>
      <c r="C918" s="591"/>
      <c r="D918" s="592"/>
      <c r="E918" s="592"/>
      <c r="F918" s="593"/>
      <c r="G918" s="502">
        <v>0.5</v>
      </c>
      <c r="H918" s="502" t="s">
        <v>984</v>
      </c>
      <c r="I918" s="575">
        <f>62/3</f>
        <v>20.666666666666668</v>
      </c>
      <c r="J918" s="505">
        <f>G918*I918</f>
        <v>10.333333333333334</v>
      </c>
      <c r="K918" s="471"/>
    </row>
    <row r="919" spans="1:11" hidden="1">
      <c r="A919" s="463"/>
      <c r="B919" s="594"/>
      <c r="C919" s="536"/>
      <c r="D919" s="536"/>
      <c r="E919" s="595"/>
      <c r="F919" s="596"/>
      <c r="G919" s="545"/>
      <c r="H919" s="545"/>
      <c r="I919" s="537" t="s">
        <v>175</v>
      </c>
      <c r="J919" s="514">
        <f>SUM(J914:J918)</f>
        <v>72.333333333333329</v>
      </c>
      <c r="K919" s="471"/>
    </row>
    <row r="920" spans="1:11" hidden="1">
      <c r="A920" s="463"/>
      <c r="B920" s="597"/>
      <c r="C920" s="536"/>
      <c r="D920" s="536"/>
      <c r="E920" s="595"/>
      <c r="F920" s="596"/>
      <c r="G920" s="545"/>
      <c r="H920" s="545"/>
      <c r="I920" s="537"/>
      <c r="J920" s="595"/>
      <c r="K920" s="471"/>
    </row>
    <row r="921" spans="1:11" ht="20.399999999999999" hidden="1">
      <c r="A921" s="463"/>
      <c r="B921" s="598" t="s">
        <v>959</v>
      </c>
      <c r="C921" s="598"/>
      <c r="D921" s="598"/>
      <c r="E921" s="599"/>
      <c r="F921" s="600" t="s">
        <v>372</v>
      </c>
      <c r="G921" s="569" t="s">
        <v>960</v>
      </c>
      <c r="H921" s="519" t="s">
        <v>942</v>
      </c>
      <c r="I921" s="570" t="s">
        <v>361</v>
      </c>
      <c r="J921" s="522" t="s">
        <v>363</v>
      </c>
      <c r="K921" s="471"/>
    </row>
    <row r="922" spans="1:11" hidden="1">
      <c r="A922" s="463"/>
      <c r="B922" s="571"/>
      <c r="C922" s="572"/>
      <c r="D922" s="573"/>
      <c r="E922" s="574"/>
      <c r="F922" s="502"/>
      <c r="G922" s="502"/>
      <c r="H922" s="624"/>
      <c r="I922" s="575"/>
      <c r="J922" s="505"/>
      <c r="K922" s="471"/>
    </row>
    <row r="923" spans="1:11" hidden="1">
      <c r="A923" s="463"/>
      <c r="B923" s="576"/>
      <c r="C923" s="577"/>
      <c r="D923" s="578"/>
      <c r="E923" s="579" t="s">
        <v>946</v>
      </c>
      <c r="F923" s="502">
        <v>0</v>
      </c>
      <c r="G923" s="502">
        <v>0</v>
      </c>
      <c r="H923" s="502"/>
      <c r="I923" s="575">
        <v>0</v>
      </c>
      <c r="J923" s="505">
        <f>I923*H923*G923*F923</f>
        <v>0</v>
      </c>
      <c r="K923" s="471"/>
    </row>
    <row r="924" spans="1:11" hidden="1">
      <c r="A924" s="463"/>
      <c r="B924" s="576"/>
      <c r="C924" s="577"/>
      <c r="D924" s="578"/>
      <c r="E924" s="579" t="s">
        <v>946</v>
      </c>
      <c r="F924" s="502">
        <v>0</v>
      </c>
      <c r="G924" s="502">
        <v>0</v>
      </c>
      <c r="H924" s="502">
        <v>0</v>
      </c>
      <c r="I924" s="575">
        <v>0</v>
      </c>
      <c r="J924" s="505">
        <f>I924*H924*G924*F924</f>
        <v>0</v>
      </c>
      <c r="K924" s="471"/>
    </row>
    <row r="925" spans="1:11" hidden="1">
      <c r="A925" s="463"/>
      <c r="B925" s="576" t="s">
        <v>946</v>
      </c>
      <c r="C925" s="577"/>
      <c r="D925" s="578"/>
      <c r="E925" s="579" t="s">
        <v>946</v>
      </c>
      <c r="F925" s="502">
        <v>0</v>
      </c>
      <c r="G925" s="502">
        <v>0</v>
      </c>
      <c r="H925" s="502">
        <v>0</v>
      </c>
      <c r="I925" s="575">
        <v>0</v>
      </c>
      <c r="J925" s="505">
        <f>I925*H925*G925*F925</f>
        <v>0</v>
      </c>
      <c r="K925" s="471"/>
    </row>
    <row r="926" spans="1:11" hidden="1">
      <c r="A926" s="463"/>
      <c r="B926" s="590" t="s">
        <v>946</v>
      </c>
      <c r="C926" s="591"/>
      <c r="D926" s="592"/>
      <c r="E926" s="593" t="s">
        <v>946</v>
      </c>
      <c r="F926" s="509">
        <v>0</v>
      </c>
      <c r="G926" s="509">
        <v>0</v>
      </c>
      <c r="H926" s="509">
        <v>0</v>
      </c>
      <c r="I926" s="601">
        <v>0</v>
      </c>
      <c r="J926" s="505">
        <f>I926*H926*G926*F926</f>
        <v>0</v>
      </c>
      <c r="K926" s="471"/>
    </row>
    <row r="927" spans="1:11" hidden="1">
      <c r="A927" s="463"/>
      <c r="B927" s="594"/>
      <c r="C927" s="536"/>
      <c r="D927" s="536"/>
      <c r="E927" s="595"/>
      <c r="F927" s="596"/>
      <c r="G927" s="545"/>
      <c r="H927" s="545"/>
      <c r="I927" s="537" t="s">
        <v>175</v>
      </c>
      <c r="J927" s="514">
        <f>SUM(J922:J926)</f>
        <v>0</v>
      </c>
      <c r="K927" s="471"/>
    </row>
    <row r="928" spans="1:11" hidden="1">
      <c r="A928" s="463"/>
      <c r="B928" s="536"/>
      <c r="C928" s="536"/>
      <c r="D928" s="536"/>
      <c r="E928" s="536"/>
      <c r="F928" s="536"/>
      <c r="G928" s="536"/>
      <c r="H928" s="536"/>
      <c r="I928" s="537"/>
      <c r="J928" s="536"/>
      <c r="K928" s="471"/>
    </row>
    <row r="929" spans="1:11" hidden="1">
      <c r="A929" s="463"/>
      <c r="B929" s="1481" t="s">
        <v>961</v>
      </c>
      <c r="C929" s="1482"/>
      <c r="D929" s="1482"/>
      <c r="E929" s="1482"/>
      <c r="F929" s="1482"/>
      <c r="G929" s="1482"/>
      <c r="H929" s="1482"/>
      <c r="I929" s="1483"/>
      <c r="J929" s="586">
        <f>J927+J919+J911</f>
        <v>265.82819696969699</v>
      </c>
      <c r="K929" s="471"/>
    </row>
    <row r="930" spans="1:11" hidden="1">
      <c r="A930" s="463"/>
      <c r="B930" s="536"/>
      <c r="C930" s="536"/>
      <c r="D930" s="536"/>
      <c r="E930" s="536"/>
      <c r="F930" s="536"/>
      <c r="G930" s="536"/>
      <c r="H930" s="536"/>
      <c r="I930" s="537"/>
      <c r="J930" s="536"/>
      <c r="K930" s="471"/>
    </row>
    <row r="931" spans="1:11" hidden="1">
      <c r="A931" s="463"/>
      <c r="B931" s="1481" t="s">
        <v>962</v>
      </c>
      <c r="C931" s="1482"/>
      <c r="D931" s="1482"/>
      <c r="E931" s="1482"/>
      <c r="F931" s="1482"/>
      <c r="G931" s="1482"/>
      <c r="H931" s="1482"/>
      <c r="I931" s="1483"/>
      <c r="J931" s="514">
        <f>J929*0</f>
        <v>0</v>
      </c>
      <c r="K931" s="471"/>
    </row>
    <row r="932" spans="1:11" hidden="1">
      <c r="A932" s="463"/>
      <c r="B932" s="536"/>
      <c r="C932" s="536"/>
      <c r="D932" s="536"/>
      <c r="E932" s="536"/>
      <c r="F932" s="536"/>
      <c r="G932" s="536"/>
      <c r="H932" s="536"/>
      <c r="I932" s="537"/>
      <c r="J932" s="536"/>
      <c r="K932" s="471"/>
    </row>
    <row r="933" spans="1:11" hidden="1">
      <c r="A933" s="463"/>
      <c r="B933" s="1481" t="s">
        <v>963</v>
      </c>
      <c r="C933" s="1482"/>
      <c r="D933" s="1482"/>
      <c r="E933" s="1482"/>
      <c r="F933" s="1482"/>
      <c r="G933" s="1482"/>
      <c r="H933" s="1482"/>
      <c r="I933" s="1483"/>
      <c r="J933" s="586">
        <f>J929+J931</f>
        <v>265.82819696969699</v>
      </c>
      <c r="K933" s="471"/>
    </row>
    <row r="934" spans="1:11" hidden="1">
      <c r="A934" s="463"/>
      <c r="B934" s="524"/>
      <c r="C934" s="524"/>
      <c r="D934" s="524"/>
      <c r="E934" s="524"/>
      <c r="F934" s="524"/>
      <c r="G934" s="524"/>
      <c r="H934" s="524"/>
      <c r="I934" s="584"/>
      <c r="J934" s="524"/>
      <c r="K934" s="471"/>
    </row>
    <row r="935" spans="1:11" hidden="1">
      <c r="A935" s="463"/>
      <c r="B935" s="602"/>
      <c r="C935" s="572"/>
      <c r="D935" s="572"/>
      <c r="E935" s="572"/>
      <c r="F935" s="572"/>
      <c r="G935" s="572"/>
      <c r="H935" s="572"/>
      <c r="I935" s="572"/>
      <c r="J935" s="603"/>
      <c r="K935" s="471"/>
    </row>
    <row r="936" spans="1:11" hidden="1">
      <c r="A936" s="463"/>
      <c r="B936" s="604"/>
      <c r="C936" s="605"/>
      <c r="D936" s="606"/>
      <c r="E936" s="606"/>
      <c r="F936" s="607" t="s">
        <v>946</v>
      </c>
      <c r="G936" s="608" t="s">
        <v>946</v>
      </c>
      <c r="H936" s="605"/>
      <c r="I936" s="605"/>
      <c r="J936" s="609"/>
      <c r="K936" s="471"/>
    </row>
    <row r="937" spans="1:11" hidden="1">
      <c r="A937" s="463"/>
      <c r="B937" s="472"/>
      <c r="C937" s="472"/>
      <c r="D937" s="472"/>
      <c r="E937" s="472"/>
      <c r="F937" s="472"/>
      <c r="G937" s="472"/>
      <c r="H937" s="472"/>
      <c r="I937" s="472"/>
      <c r="J937" s="472"/>
      <c r="K937" s="471"/>
    </row>
    <row r="938" spans="1:11" hidden="1">
      <c r="A938" s="463"/>
      <c r="B938" s="610">
        <f>PLANEJAMENTO!E736</f>
        <v>0</v>
      </c>
      <c r="C938" s="611"/>
      <c r="D938" s="611"/>
      <c r="E938" s="611"/>
      <c r="F938" s="612"/>
      <c r="G938" s="613" t="s">
        <v>363</v>
      </c>
      <c r="H938" s="515"/>
      <c r="I938" s="515"/>
      <c r="J938" s="518"/>
      <c r="K938" s="471"/>
    </row>
    <row r="939" spans="1:11" hidden="1">
      <c r="A939" s="463"/>
      <c r="B939" s="614">
        <f>PLANEJAMENTO!E737</f>
        <v>0</v>
      </c>
      <c r="C939" s="615"/>
      <c r="D939" s="615"/>
      <c r="E939" s="615"/>
      <c r="F939" s="616"/>
      <c r="G939" s="1484" t="s">
        <v>964</v>
      </c>
      <c r="H939" s="1485"/>
      <c r="I939" s="1485"/>
      <c r="J939" s="1486"/>
      <c r="K939" s="471"/>
    </row>
    <row r="940" spans="1:11" hidden="1">
      <c r="A940" s="463"/>
      <c r="B940" s="617"/>
      <c r="C940" s="618"/>
      <c r="D940" s="618"/>
      <c r="E940" s="618"/>
      <c r="F940" s="619"/>
      <c r="G940" s="620"/>
      <c r="H940" s="1487"/>
      <c r="I940" s="1488"/>
      <c r="J940" s="1489"/>
      <c r="K940" s="471"/>
    </row>
    <row r="941" spans="1:11" ht="15" hidden="1" thickBot="1">
      <c r="A941" s="621"/>
      <c r="B941" s="622"/>
      <c r="C941" s="622"/>
      <c r="D941" s="622"/>
      <c r="E941" s="622"/>
      <c r="F941" s="622"/>
      <c r="G941" s="622"/>
      <c r="H941" s="622"/>
      <c r="I941" s="622"/>
      <c r="J941" s="622"/>
      <c r="K941" s="623"/>
    </row>
    <row r="942" spans="1:11" hidden="1">
      <c r="A942" s="460"/>
      <c r="B942" s="461"/>
      <c r="C942" s="461"/>
      <c r="D942" s="461"/>
      <c r="E942" s="461"/>
      <c r="F942" s="461"/>
      <c r="G942" s="461"/>
      <c r="H942" s="461"/>
      <c r="I942" s="461"/>
      <c r="J942" s="461"/>
      <c r="K942" s="462"/>
    </row>
    <row r="943" spans="1:11" hidden="1">
      <c r="A943" s="463"/>
      <c r="B943" s="464" t="s">
        <v>178</v>
      </c>
      <c r="C943" s="465"/>
      <c r="D943" s="466" t="s">
        <v>936</v>
      </c>
      <c r="E943" s="467"/>
      <c r="F943" s="468"/>
      <c r="G943" s="468"/>
      <c r="H943" s="469"/>
      <c r="I943" s="469"/>
      <c r="J943" s="470"/>
      <c r="K943" s="471"/>
    </row>
    <row r="944" spans="1:11" hidden="1">
      <c r="A944" s="463"/>
      <c r="B944" s="472"/>
      <c r="C944" s="472"/>
      <c r="D944" s="472"/>
      <c r="E944" s="472"/>
      <c r="F944" s="472"/>
      <c r="G944" s="472"/>
      <c r="H944" s="472"/>
      <c r="I944" s="472"/>
      <c r="J944" s="472"/>
      <c r="K944" s="471"/>
    </row>
    <row r="945" spans="1:11" hidden="1">
      <c r="A945" s="463"/>
      <c r="B945" s="473" t="s">
        <v>1281</v>
      </c>
      <c r="C945" s="474" t="s">
        <v>937</v>
      </c>
      <c r="D945" s="1497" t="s">
        <v>250</v>
      </c>
      <c r="E945" s="1498"/>
      <c r="F945" s="1498"/>
      <c r="G945" s="1498"/>
      <c r="H945" s="1498"/>
      <c r="I945" s="1499"/>
      <c r="J945" s="475" t="s">
        <v>267</v>
      </c>
      <c r="K945" s="471"/>
    </row>
    <row r="946" spans="1:11" hidden="1">
      <c r="A946" s="463"/>
      <c r="B946" s="476">
        <v>1723</v>
      </c>
      <c r="C946" s="477">
        <f ca="1">TODAY()</f>
        <v>46140</v>
      </c>
      <c r="D946" s="681" t="s">
        <v>1279</v>
      </c>
      <c r="E946" s="479"/>
      <c r="F946" s="479"/>
      <c r="G946" s="479"/>
      <c r="H946" s="479"/>
      <c r="I946" s="480"/>
      <c r="J946" s="481" t="str">
        <f>F964</f>
        <v>und</v>
      </c>
      <c r="K946" s="471"/>
    </row>
    <row r="947" spans="1:11" hidden="1">
      <c r="A947" s="463"/>
      <c r="B947" s="482"/>
      <c r="C947" s="482"/>
      <c r="D947" s="482"/>
      <c r="E947" s="482"/>
      <c r="F947" s="482"/>
      <c r="G947" s="482"/>
      <c r="H947" s="482"/>
      <c r="I947" s="483"/>
      <c r="J947" s="484"/>
      <c r="K947" s="471"/>
    </row>
    <row r="948" spans="1:11" hidden="1">
      <c r="A948" s="463"/>
      <c r="B948" s="1484" t="s">
        <v>938</v>
      </c>
      <c r="C948" s="1486"/>
      <c r="D948" s="1502" t="s">
        <v>688</v>
      </c>
      <c r="E948" s="1504" t="s">
        <v>939</v>
      </c>
      <c r="F948" s="485" t="s">
        <v>940</v>
      </c>
      <c r="G948" s="486"/>
      <c r="H948" s="485" t="s">
        <v>941</v>
      </c>
      <c r="I948" s="486"/>
      <c r="J948" s="487" t="s">
        <v>942</v>
      </c>
      <c r="K948" s="471"/>
    </row>
    <row r="949" spans="1:11" hidden="1">
      <c r="A949" s="463"/>
      <c r="B949" s="1500"/>
      <c r="C949" s="1501"/>
      <c r="D949" s="1503"/>
      <c r="E949" s="1505"/>
      <c r="F949" s="488" t="s">
        <v>943</v>
      </c>
      <c r="G949" s="488" t="s">
        <v>944</v>
      </c>
      <c r="H949" s="488" t="s">
        <v>943</v>
      </c>
      <c r="I949" s="489" t="s">
        <v>944</v>
      </c>
      <c r="J949" s="490" t="s">
        <v>945</v>
      </c>
      <c r="K949" s="471"/>
    </row>
    <row r="950" spans="1:11" hidden="1">
      <c r="A950" s="463"/>
      <c r="B950" s="491" t="s">
        <v>375</v>
      </c>
      <c r="C950" s="492"/>
      <c r="D950" s="872"/>
      <c r="E950" s="494"/>
      <c r="F950" s="494">
        <v>1</v>
      </c>
      <c r="G950" s="495">
        <f>1-F950</f>
        <v>0</v>
      </c>
      <c r="H950" s="496">
        <f>VLOOKUP(B950,EQUIPAMENTOS!$A:$J,10,FALSE)</f>
        <v>63.777777777777779</v>
      </c>
      <c r="I950" s="497">
        <f>H950</f>
        <v>63.777777777777779</v>
      </c>
      <c r="J950" s="498">
        <f>H950*F950*E950+I950*G950*E950</f>
        <v>0</v>
      </c>
      <c r="K950" s="471"/>
    </row>
    <row r="951" spans="1:11" hidden="1">
      <c r="A951" s="463"/>
      <c r="B951" s="499"/>
      <c r="C951" s="500"/>
      <c r="D951" s="501"/>
      <c r="E951" s="502"/>
      <c r="F951" s="502"/>
      <c r="G951" s="502"/>
      <c r="H951" s="503"/>
      <c r="I951" s="504"/>
      <c r="J951" s="505"/>
      <c r="K951" s="471"/>
    </row>
    <row r="952" spans="1:11" hidden="1">
      <c r="A952" s="463"/>
      <c r="B952" s="499"/>
      <c r="C952" s="500"/>
      <c r="D952" s="501"/>
      <c r="E952" s="502"/>
      <c r="F952" s="502"/>
      <c r="G952" s="502"/>
      <c r="H952" s="503"/>
      <c r="I952" s="504"/>
      <c r="J952" s="505">
        <f>H952*F952*E952+I952*G952*E952</f>
        <v>0</v>
      </c>
      <c r="K952" s="471"/>
    </row>
    <row r="953" spans="1:11" hidden="1">
      <c r="A953" s="463"/>
      <c r="B953" s="499"/>
      <c r="C953" s="500"/>
      <c r="D953" s="501"/>
      <c r="E953" s="502"/>
      <c r="F953" s="502"/>
      <c r="G953" s="502"/>
      <c r="H953" s="503"/>
      <c r="I953" s="504"/>
      <c r="J953" s="505">
        <f>H953*F953*E953+I953*G953*E953</f>
        <v>0</v>
      </c>
      <c r="K953" s="471"/>
    </row>
    <row r="954" spans="1:11" hidden="1">
      <c r="A954" s="463"/>
      <c r="B954" s="506"/>
      <c r="C954" s="507"/>
      <c r="D954" s="508"/>
      <c r="E954" s="509"/>
      <c r="F954" s="509"/>
      <c r="G954" s="509"/>
      <c r="H954" s="510"/>
      <c r="I954" s="511"/>
      <c r="J954" s="505">
        <f>H954*F954*E954+I954*G954*E954</f>
        <v>0</v>
      </c>
      <c r="K954" s="471"/>
    </row>
    <row r="955" spans="1:11" hidden="1">
      <c r="A955" s="463"/>
      <c r="B955" s="512" t="s">
        <v>946</v>
      </c>
      <c r="C955" s="482"/>
      <c r="D955" s="482"/>
      <c r="E955" s="482"/>
      <c r="F955" s="482"/>
      <c r="G955" s="482"/>
      <c r="H955" s="482"/>
      <c r="I955" s="513" t="s">
        <v>175</v>
      </c>
      <c r="J955" s="514">
        <f>SUM(J950:J954)</f>
        <v>0</v>
      </c>
      <c r="K955" s="471"/>
    </row>
    <row r="956" spans="1:11" hidden="1">
      <c r="A956" s="463"/>
      <c r="B956" s="515"/>
      <c r="C956" s="515"/>
      <c r="D956" s="515"/>
      <c r="E956" s="515"/>
      <c r="F956" s="515"/>
      <c r="G956" s="515"/>
      <c r="H956" s="515"/>
      <c r="I956" s="516"/>
      <c r="J956" s="517"/>
      <c r="K956" s="471"/>
    </row>
    <row r="957" spans="1:11" ht="20.399999999999999" hidden="1">
      <c r="A957" s="463"/>
      <c r="B957" s="1490" t="s">
        <v>947</v>
      </c>
      <c r="C957" s="1491"/>
      <c r="D957" s="1491"/>
      <c r="E957" s="1492"/>
      <c r="F957" s="725" t="s">
        <v>688</v>
      </c>
      <c r="G957" s="853"/>
      <c r="H957" s="520" t="s">
        <v>427</v>
      </c>
      <c r="I957" s="521" t="s">
        <v>948</v>
      </c>
      <c r="J957" s="522" t="s">
        <v>949</v>
      </c>
      <c r="K957" s="471"/>
    </row>
    <row r="958" spans="1:11" hidden="1">
      <c r="A958" s="463"/>
      <c r="B958" s="523" t="s">
        <v>550</v>
      </c>
      <c r="C958" s="524"/>
      <c r="D958" s="525"/>
      <c r="E958" s="526"/>
      <c r="F958" s="527"/>
      <c r="G958" s="528"/>
      <c r="H958" s="529">
        <v>1</v>
      </c>
      <c r="I958" s="534">
        <f>(VLOOKUP(B958,'MÃO DE OBRA'!$A:$E,5,FALSE)/220)</f>
        <v>19.055000000000003</v>
      </c>
      <c r="J958" s="505">
        <f>H958*I958</f>
        <v>19.055000000000003</v>
      </c>
      <c r="K958" s="471"/>
    </row>
    <row r="959" spans="1:11" hidden="1">
      <c r="A959" s="463"/>
      <c r="B959" s="530" t="s">
        <v>988</v>
      </c>
      <c r="C959" s="531"/>
      <c r="D959" s="472"/>
      <c r="E959" s="500"/>
      <c r="F959" s="501"/>
      <c r="G959" s="532"/>
      <c r="H959" s="533"/>
      <c r="I959" s="534">
        <f>(VLOOKUP(B959,'MÃO DE OBRA'!$A:$E,5,FALSE)/220)</f>
        <v>21.588799999999999</v>
      </c>
      <c r="J959" s="505">
        <f>H959*I959</f>
        <v>0</v>
      </c>
      <c r="K959" s="471"/>
    </row>
    <row r="960" spans="1:11" hidden="1">
      <c r="A960" s="463"/>
      <c r="B960" s="530" t="s">
        <v>472</v>
      </c>
      <c r="C960" s="531"/>
      <c r="D960" s="472"/>
      <c r="E960" s="500"/>
      <c r="F960" s="501"/>
      <c r="G960" s="532"/>
      <c r="H960" s="533">
        <v>1</v>
      </c>
      <c r="I960" s="534">
        <f>(VLOOKUP(B960,'MÃO DE OBRA'!$A:$E,5,FALSE)/220)</f>
        <v>18.377072727272729</v>
      </c>
      <c r="J960" s="505">
        <f>H960*I960</f>
        <v>18.377072727272729</v>
      </c>
      <c r="K960" s="471"/>
    </row>
    <row r="961" spans="1:12" hidden="1">
      <c r="A961" s="463"/>
      <c r="B961" s="530"/>
      <c r="C961" s="531"/>
      <c r="D961" s="472"/>
      <c r="E961" s="500"/>
      <c r="F961" s="501"/>
      <c r="G961" s="532"/>
      <c r="H961" s="533"/>
      <c r="I961" s="534"/>
      <c r="J961" s="505"/>
      <c r="K961" s="471"/>
    </row>
    <row r="962" spans="1:12" hidden="1">
      <c r="A962" s="463"/>
      <c r="B962" s="512" t="s">
        <v>946</v>
      </c>
      <c r="C962" s="515"/>
      <c r="D962" s="515"/>
      <c r="E962" s="515"/>
      <c r="F962" s="515"/>
      <c r="G962" s="515"/>
      <c r="H962" s="515"/>
      <c r="I962" s="535" t="s">
        <v>175</v>
      </c>
      <c r="J962" s="514">
        <f>SUM(J958:J961)</f>
        <v>37.432072727272732</v>
      </c>
      <c r="K962" s="471"/>
    </row>
    <row r="963" spans="1:12" hidden="1">
      <c r="A963" s="463"/>
      <c r="B963" s="536"/>
      <c r="C963" s="536"/>
      <c r="D963" s="536"/>
      <c r="E963" s="536"/>
      <c r="F963" s="536"/>
      <c r="G963" s="536"/>
      <c r="H963" s="536"/>
      <c r="I963" s="537"/>
      <c r="J963" s="536"/>
      <c r="K963" s="471"/>
    </row>
    <row r="964" spans="1:12" hidden="1">
      <c r="A964" s="463"/>
      <c r="B964" s="538" t="s">
        <v>952</v>
      </c>
      <c r="C964" s="539"/>
      <c r="D964" s="536"/>
      <c r="E964" s="540" t="e">
        <f>CRONOGRAMA!#REF!</f>
        <v>#REF!</v>
      </c>
      <c r="F964" s="541" t="s">
        <v>901</v>
      </c>
      <c r="G964" s="519"/>
      <c r="H964" s="519"/>
      <c r="I964" s="542" t="s">
        <v>953</v>
      </c>
      <c r="J964" s="514">
        <f>J955+J962</f>
        <v>37.432072727272732</v>
      </c>
      <c r="K964" s="471"/>
    </row>
    <row r="965" spans="1:12" hidden="1">
      <c r="A965" s="463"/>
      <c r="B965" s="543"/>
      <c r="C965" s="536"/>
      <c r="D965" s="536"/>
      <c r="E965" s="544"/>
      <c r="F965" s="545"/>
      <c r="G965" s="545"/>
      <c r="H965" s="545"/>
      <c r="I965" s="537"/>
      <c r="J965" s="536"/>
      <c r="K965" s="471"/>
    </row>
    <row r="966" spans="1:12" ht="20.399999999999999" hidden="1">
      <c r="A966" s="463"/>
      <c r="B966" s="1493" t="s">
        <v>362</v>
      </c>
      <c r="C966" s="1494"/>
      <c r="D966" s="1494"/>
      <c r="E966" s="1495"/>
      <c r="F966" s="546" t="s">
        <v>688</v>
      </c>
      <c r="G966" s="547" t="s">
        <v>371</v>
      </c>
      <c r="H966" s="520" t="s">
        <v>942</v>
      </c>
      <c r="I966" s="548" t="s">
        <v>361</v>
      </c>
      <c r="J966" s="549" t="s">
        <v>363</v>
      </c>
      <c r="K966" s="471"/>
    </row>
    <row r="967" spans="1:12" hidden="1">
      <c r="A967" s="463"/>
      <c r="B967" s="550" t="str">
        <f>B950</f>
        <v>RETROESCAVADEIRA</v>
      </c>
      <c r="C967" s="551"/>
      <c r="D967" s="551"/>
      <c r="E967" s="552"/>
      <c r="F967" s="553" t="str">
        <f>VLOOKUP(B967,EQUIPAMENTOS!$A:$N,12,FALSE)</f>
        <v>Diesel S10</v>
      </c>
      <c r="G967" s="554" t="s">
        <v>415</v>
      </c>
      <c r="H967" s="560">
        <f>VLOOKUP(B967,EQUIPAMENTOS!$A:$N,13,FALSE)</f>
        <v>0</v>
      </c>
      <c r="I967" s="560">
        <f>VLOOKUP(B967,EQUIPAMENTOS!$A:$N,14,FALSE)</f>
        <v>16</v>
      </c>
      <c r="J967" s="498">
        <f>H967*I967*E950*F950</f>
        <v>0</v>
      </c>
      <c r="K967" s="471"/>
    </row>
    <row r="968" spans="1:12" hidden="1">
      <c r="A968" s="463"/>
      <c r="B968" s="550"/>
      <c r="C968" s="531"/>
      <c r="D968" s="531"/>
      <c r="E968" s="500"/>
      <c r="F968" s="553"/>
      <c r="G968" s="554"/>
      <c r="H968" s="560"/>
      <c r="I968" s="556"/>
      <c r="J968" s="505"/>
      <c r="K968" s="471"/>
    </row>
    <row r="969" spans="1:12" hidden="1">
      <c r="A969" s="463"/>
      <c r="B969" s="550"/>
      <c r="C969" s="531"/>
      <c r="D969" s="531"/>
      <c r="E969" s="500"/>
      <c r="F969" s="553"/>
      <c r="G969" s="554"/>
      <c r="H969" s="560"/>
      <c r="I969" s="560"/>
      <c r="J969" s="505"/>
      <c r="K969" s="471"/>
    </row>
    <row r="970" spans="1:12" hidden="1">
      <c r="A970" s="463"/>
      <c r="B970" s="530"/>
      <c r="C970" s="539"/>
      <c r="D970" s="539"/>
      <c r="E970" s="507"/>
      <c r="F970" s="501"/>
      <c r="G970" s="481"/>
      <c r="H970" s="560"/>
      <c r="I970" s="561"/>
      <c r="J970" s="562">
        <f>H970*I970*E953</f>
        <v>0</v>
      </c>
      <c r="K970" s="471"/>
    </row>
    <row r="971" spans="1:12" hidden="1">
      <c r="A971" s="463"/>
      <c r="B971" s="563" t="s">
        <v>946</v>
      </c>
      <c r="C971" s="539"/>
      <c r="D971" s="539"/>
      <c r="E971" s="539"/>
      <c r="F971" s="536"/>
      <c r="G971" s="539"/>
      <c r="H971" s="564"/>
      <c r="I971" s="565" t="s">
        <v>175</v>
      </c>
      <c r="J971" s="514">
        <f>SUM(J967:J970)</f>
        <v>0</v>
      </c>
      <c r="K971" s="471"/>
      <c r="L971" s="6" t="e">
        <f>J971/E964</f>
        <v>#REF!</v>
      </c>
    </row>
    <row r="972" spans="1:12" hidden="1">
      <c r="A972" s="463"/>
      <c r="B972" s="566"/>
      <c r="C972" s="539"/>
      <c r="D972" s="539"/>
      <c r="E972" s="567"/>
      <c r="F972" s="568"/>
      <c r="G972" s="519"/>
      <c r="H972" s="519"/>
      <c r="I972" s="542"/>
      <c r="J972" s="567"/>
      <c r="K972" s="471"/>
    </row>
    <row r="973" spans="1:12" ht="20.399999999999999" hidden="1">
      <c r="A973" s="463"/>
      <c r="B973" s="1493" t="s">
        <v>955</v>
      </c>
      <c r="C973" s="1494"/>
      <c r="D973" s="1494"/>
      <c r="E973" s="1494"/>
      <c r="F973" s="1495"/>
      <c r="G973" s="569" t="s">
        <v>372</v>
      </c>
      <c r="H973" s="519" t="s">
        <v>956</v>
      </c>
      <c r="I973" s="570" t="s">
        <v>942</v>
      </c>
      <c r="J973" s="522" t="s">
        <v>363</v>
      </c>
      <c r="K973" s="471"/>
    </row>
    <row r="974" spans="1:12" hidden="1">
      <c r="A974" s="463"/>
      <c r="B974" s="571"/>
      <c r="C974" s="572"/>
      <c r="D974" s="573"/>
      <c r="E974" s="573"/>
      <c r="F974" s="574"/>
      <c r="G974" s="502"/>
      <c r="H974" s="502"/>
      <c r="I974" s="575"/>
      <c r="J974" s="505"/>
      <c r="K974" s="471"/>
    </row>
    <row r="975" spans="1:12" hidden="1">
      <c r="A975" s="463"/>
      <c r="B975" s="576"/>
      <c r="C975" s="577"/>
      <c r="D975" s="578"/>
      <c r="E975" s="578"/>
      <c r="F975" s="579"/>
      <c r="G975" s="502"/>
      <c r="H975" s="502"/>
      <c r="I975" s="575"/>
      <c r="J975" s="505"/>
      <c r="K975" s="471"/>
    </row>
    <row r="976" spans="1:12" hidden="1">
      <c r="A976" s="463"/>
      <c r="B976" s="1496" t="s">
        <v>175</v>
      </c>
      <c r="C976" s="1496"/>
      <c r="D976" s="1496"/>
      <c r="E976" s="1496"/>
      <c r="F976" s="1496"/>
      <c r="G976" s="1496"/>
      <c r="H976" s="1496"/>
      <c r="I976" s="1496"/>
      <c r="J976" s="514">
        <f>SUM(J974:J975)</f>
        <v>0</v>
      </c>
      <c r="K976" s="471"/>
    </row>
    <row r="977" spans="1:18" hidden="1">
      <c r="A977" s="463"/>
      <c r="B977" s="580"/>
      <c r="C977" s="524"/>
      <c r="D977" s="524"/>
      <c r="E977" s="581"/>
      <c r="F977" s="582"/>
      <c r="G977" s="583"/>
      <c r="H977" s="583"/>
      <c r="I977" s="584"/>
      <c r="J977" s="585"/>
      <c r="K977" s="471"/>
    </row>
    <row r="978" spans="1:18" hidden="1">
      <c r="A978" s="463"/>
      <c r="B978" s="586" t="s">
        <v>957</v>
      </c>
      <c r="C978" s="586"/>
      <c r="D978" s="563"/>
      <c r="E978" s="536"/>
      <c r="F978" s="536"/>
      <c r="G978" s="536"/>
      <c r="H978" s="587"/>
      <c r="I978" s="588"/>
      <c r="J978" s="514" t="e">
        <f>(J964+J971+J976)/E964</f>
        <v>#REF!</v>
      </c>
      <c r="K978" s="471"/>
    </row>
    <row r="979" spans="1:18" hidden="1">
      <c r="A979" s="463"/>
      <c r="B979" s="566"/>
      <c r="C979" s="539"/>
      <c r="D979" s="539"/>
      <c r="E979" s="567"/>
      <c r="F979" s="568"/>
      <c r="G979" s="519"/>
      <c r="H979" s="519"/>
      <c r="I979" s="542"/>
      <c r="J979" s="589"/>
      <c r="K979" s="471"/>
    </row>
    <row r="980" spans="1:18" ht="20.399999999999999" hidden="1">
      <c r="A980" s="463"/>
      <c r="B980" s="1493" t="s">
        <v>958</v>
      </c>
      <c r="C980" s="1494"/>
      <c r="D980" s="1494"/>
      <c r="E980" s="1494"/>
      <c r="F980" s="1495"/>
      <c r="G980" s="569" t="s">
        <v>372</v>
      </c>
      <c r="H980" s="519" t="s">
        <v>956</v>
      </c>
      <c r="I980" s="570" t="s">
        <v>942</v>
      </c>
      <c r="J980" s="522" t="s">
        <v>363</v>
      </c>
      <c r="K980" s="471"/>
      <c r="Q980" s="930"/>
      <c r="R980" s="693"/>
    </row>
    <row r="981" spans="1:18" hidden="1">
      <c r="A981" s="463"/>
      <c r="B981" s="571" t="s">
        <v>1265</v>
      </c>
      <c r="C981" s="572"/>
      <c r="D981" s="573"/>
      <c r="E981" s="573"/>
      <c r="F981" s="574"/>
      <c r="G981" s="952">
        <v>2.1</v>
      </c>
      <c r="H981" s="502" t="s">
        <v>985</v>
      </c>
      <c r="I981" s="575">
        <f>35/50</f>
        <v>0.7</v>
      </c>
      <c r="J981" s="505">
        <f t="shared" ref="J981:J989" si="7">G981*I981</f>
        <v>1.47</v>
      </c>
      <c r="K981" s="471"/>
      <c r="Q981" s="931"/>
      <c r="R981" s="693"/>
    </row>
    <row r="982" spans="1:18" hidden="1">
      <c r="A982" s="463"/>
      <c r="B982" s="576" t="s">
        <v>1235</v>
      </c>
      <c r="C982" s="577"/>
      <c r="D982" s="578"/>
      <c r="E982" s="578"/>
      <c r="F982" s="579"/>
      <c r="G982" s="952">
        <f>((0.5*0.5)-(PI()*((0.15/2)^2)))*0.04</f>
        <v>9.293141652942297E-3</v>
      </c>
      <c r="H982" s="502" t="s">
        <v>931</v>
      </c>
      <c r="I982" s="575">
        <v>165</v>
      </c>
      <c r="J982" s="505">
        <f t="shared" si="7"/>
        <v>1.533368372735479</v>
      </c>
      <c r="K982" s="471"/>
      <c r="Q982" s="930"/>
      <c r="R982" s="693"/>
    </row>
    <row r="983" spans="1:18" hidden="1">
      <c r="A983" s="463"/>
      <c r="B983" s="576" t="s">
        <v>1234</v>
      </c>
      <c r="C983" s="577"/>
      <c r="D983" s="578"/>
      <c r="E983" s="578"/>
      <c r="F983" s="579"/>
      <c r="G983" s="952">
        <v>1.12E-2</v>
      </c>
      <c r="H983" s="502" t="s">
        <v>931</v>
      </c>
      <c r="I983" s="575">
        <v>165</v>
      </c>
      <c r="J983" s="505">
        <f t="shared" si="7"/>
        <v>1.8480000000000001</v>
      </c>
      <c r="K983" s="471"/>
      <c r="Q983" s="930"/>
      <c r="R983" s="693"/>
    </row>
    <row r="984" spans="1:18" hidden="1">
      <c r="A984" s="463"/>
      <c r="B984" s="576" t="s">
        <v>1236</v>
      </c>
      <c r="C984" s="577"/>
      <c r="D984" s="578"/>
      <c r="E984" s="578"/>
      <c r="F984" s="579"/>
      <c r="G984" s="502"/>
      <c r="H984" s="502" t="s">
        <v>208</v>
      </c>
      <c r="I984" s="575">
        <v>450</v>
      </c>
      <c r="J984" s="505">
        <f t="shared" si="7"/>
        <v>0</v>
      </c>
      <c r="K984" s="471"/>
      <c r="Q984" s="930"/>
      <c r="R984" s="693"/>
    </row>
    <row r="985" spans="1:18" hidden="1">
      <c r="A985" s="463"/>
      <c r="B985" s="576" t="s">
        <v>1002</v>
      </c>
      <c r="C985" s="577"/>
      <c r="D985" s="578"/>
      <c r="E985" s="578"/>
      <c r="F985" s="579"/>
      <c r="G985" s="502"/>
      <c r="H985" s="502" t="s">
        <v>990</v>
      </c>
      <c r="I985" s="575">
        <v>25.9</v>
      </c>
      <c r="J985" s="505">
        <f t="shared" si="7"/>
        <v>0</v>
      </c>
      <c r="K985" s="471"/>
      <c r="Q985" s="930"/>
      <c r="R985" s="693"/>
    </row>
    <row r="986" spans="1:18" hidden="1">
      <c r="A986" s="463"/>
      <c r="B986" s="576" t="s">
        <v>1237</v>
      </c>
      <c r="C986" s="577"/>
      <c r="D986" s="578"/>
      <c r="E986" s="578"/>
      <c r="F986" s="579"/>
      <c r="G986" s="502"/>
      <c r="H986" s="502" t="s">
        <v>956</v>
      </c>
      <c r="I986" s="575">
        <v>70</v>
      </c>
      <c r="J986" s="505">
        <f t="shared" si="7"/>
        <v>0</v>
      </c>
      <c r="K986" s="471"/>
    </row>
    <row r="987" spans="1:18" hidden="1">
      <c r="A987" s="463"/>
      <c r="B987" s="576" t="s">
        <v>1238</v>
      </c>
      <c r="C987" s="577"/>
      <c r="D987" s="578"/>
      <c r="E987" s="578"/>
      <c r="F987" s="579"/>
      <c r="G987" s="502"/>
      <c r="H987" s="502" t="s">
        <v>956</v>
      </c>
      <c r="I987" s="575">
        <v>50.15</v>
      </c>
      <c r="J987" s="505">
        <f t="shared" si="7"/>
        <v>0</v>
      </c>
      <c r="K987" s="471"/>
    </row>
    <row r="988" spans="1:18" hidden="1">
      <c r="A988" s="463"/>
      <c r="B988" s="576" t="s">
        <v>1239</v>
      </c>
      <c r="C988" s="577"/>
      <c r="D988" s="578"/>
      <c r="E988" s="578"/>
      <c r="F988" s="579"/>
      <c r="G988" s="502"/>
      <c r="H988" s="502" t="s">
        <v>956</v>
      </c>
      <c r="I988" s="575">
        <v>227</v>
      </c>
      <c r="J988" s="505">
        <f t="shared" si="7"/>
        <v>0</v>
      </c>
      <c r="K988" s="471"/>
    </row>
    <row r="989" spans="1:18" hidden="1">
      <c r="A989" s="463"/>
      <c r="B989" s="590" t="s">
        <v>1245</v>
      </c>
      <c r="C989" s="591"/>
      <c r="D989" s="592"/>
      <c r="E989" s="592"/>
      <c r="F989" s="593"/>
      <c r="G989" s="502"/>
      <c r="H989" s="502" t="s">
        <v>956</v>
      </c>
      <c r="I989" s="575">
        <v>40.14</v>
      </c>
      <c r="J989" s="505">
        <f t="shared" si="7"/>
        <v>0</v>
      </c>
      <c r="K989" s="471"/>
    </row>
    <row r="990" spans="1:18" hidden="1">
      <c r="A990" s="463"/>
      <c r="B990" s="594"/>
      <c r="C990" s="536"/>
      <c r="D990" s="536"/>
      <c r="E990" s="595"/>
      <c r="F990" s="596"/>
      <c r="G990" s="545"/>
      <c r="H990" s="545"/>
      <c r="I990" s="537" t="s">
        <v>175</v>
      </c>
      <c r="J990" s="514">
        <f>SUM(J981:J989)</f>
        <v>4.8513683727354788</v>
      </c>
      <c r="K990" s="471"/>
    </row>
    <row r="991" spans="1:18" hidden="1">
      <c r="A991" s="463"/>
      <c r="B991" s="597"/>
      <c r="C991" s="536"/>
      <c r="D991" s="536"/>
      <c r="E991" s="595"/>
      <c r="F991" s="596"/>
      <c r="G991" s="545"/>
      <c r="H991" s="545"/>
      <c r="I991" s="537"/>
      <c r="J991" s="595"/>
      <c r="K991" s="471"/>
    </row>
    <row r="992" spans="1:18" ht="20.399999999999999" hidden="1">
      <c r="A992" s="463"/>
      <c r="B992" s="598" t="s">
        <v>959</v>
      </c>
      <c r="C992" s="598"/>
      <c r="D992" s="598"/>
      <c r="E992" s="599"/>
      <c r="F992" s="600" t="s">
        <v>372</v>
      </c>
      <c r="G992" s="569" t="s">
        <v>960</v>
      </c>
      <c r="H992" s="519" t="s">
        <v>942</v>
      </c>
      <c r="I992" s="570" t="s">
        <v>361</v>
      </c>
      <c r="J992" s="522" t="s">
        <v>363</v>
      </c>
      <c r="K992" s="471"/>
    </row>
    <row r="993" spans="1:11" hidden="1">
      <c r="A993" s="463"/>
      <c r="B993" s="571"/>
      <c r="C993" s="572"/>
      <c r="D993" s="573"/>
      <c r="E993" s="574"/>
      <c r="F993" s="502"/>
      <c r="G993" s="502"/>
      <c r="H993" s="624"/>
      <c r="I993" s="575"/>
      <c r="J993" s="505"/>
      <c r="K993" s="471"/>
    </row>
    <row r="994" spans="1:11" hidden="1">
      <c r="A994" s="463"/>
      <c r="B994" s="576"/>
      <c r="C994" s="577"/>
      <c r="D994" s="578"/>
      <c r="E994" s="579" t="s">
        <v>946</v>
      </c>
      <c r="F994" s="502">
        <v>0</v>
      </c>
      <c r="G994" s="502">
        <v>0</v>
      </c>
      <c r="H994" s="502"/>
      <c r="I994" s="575">
        <v>0</v>
      </c>
      <c r="J994" s="505">
        <f>I994*H994*G994*F994</f>
        <v>0</v>
      </c>
      <c r="K994" s="471"/>
    </row>
    <row r="995" spans="1:11" hidden="1">
      <c r="A995" s="463"/>
      <c r="B995" s="576"/>
      <c r="C995" s="577"/>
      <c r="D995" s="578"/>
      <c r="E995" s="579" t="s">
        <v>946</v>
      </c>
      <c r="F995" s="502">
        <v>0</v>
      </c>
      <c r="G995" s="502">
        <v>0</v>
      </c>
      <c r="H995" s="502">
        <v>0</v>
      </c>
      <c r="I995" s="575">
        <v>0</v>
      </c>
      <c r="J995" s="505">
        <f>I995*H995*G995*F995</f>
        <v>0</v>
      </c>
      <c r="K995" s="471"/>
    </row>
    <row r="996" spans="1:11" hidden="1">
      <c r="A996" s="463"/>
      <c r="B996" s="576" t="s">
        <v>946</v>
      </c>
      <c r="C996" s="577"/>
      <c r="D996" s="578"/>
      <c r="E996" s="579" t="s">
        <v>946</v>
      </c>
      <c r="F996" s="502">
        <v>0</v>
      </c>
      <c r="G996" s="502">
        <v>0</v>
      </c>
      <c r="H996" s="502">
        <v>0</v>
      </c>
      <c r="I996" s="575">
        <v>0</v>
      </c>
      <c r="J996" s="505">
        <f>I996*H996*G996*F996</f>
        <v>0</v>
      </c>
      <c r="K996" s="471"/>
    </row>
    <row r="997" spans="1:11" hidden="1">
      <c r="A997" s="463"/>
      <c r="B997" s="590" t="s">
        <v>946</v>
      </c>
      <c r="C997" s="591"/>
      <c r="D997" s="592"/>
      <c r="E997" s="593" t="s">
        <v>946</v>
      </c>
      <c r="F997" s="509">
        <v>0</v>
      </c>
      <c r="G997" s="509">
        <v>0</v>
      </c>
      <c r="H997" s="509">
        <v>0</v>
      </c>
      <c r="I997" s="601">
        <v>0</v>
      </c>
      <c r="J997" s="505">
        <f>I997*H997*G997*F997</f>
        <v>0</v>
      </c>
      <c r="K997" s="471"/>
    </row>
    <row r="998" spans="1:11" hidden="1">
      <c r="A998" s="463"/>
      <c r="B998" s="594"/>
      <c r="C998" s="536"/>
      <c r="D998" s="536"/>
      <c r="E998" s="595"/>
      <c r="F998" s="596"/>
      <c r="G998" s="545"/>
      <c r="H998" s="545"/>
      <c r="I998" s="537" t="s">
        <v>175</v>
      </c>
      <c r="J998" s="514">
        <f>SUM(J993:J997)</f>
        <v>0</v>
      </c>
      <c r="K998" s="471"/>
    </row>
    <row r="999" spans="1:11" hidden="1">
      <c r="A999" s="463"/>
      <c r="B999" s="536"/>
      <c r="C999" s="536"/>
      <c r="D999" s="536"/>
      <c r="E999" s="536"/>
      <c r="F999" s="536"/>
      <c r="G999" s="536"/>
      <c r="H999" s="536"/>
      <c r="I999" s="537"/>
      <c r="J999" s="536"/>
      <c r="K999" s="471"/>
    </row>
    <row r="1000" spans="1:11" hidden="1">
      <c r="A1000" s="463"/>
      <c r="B1000" s="1481" t="s">
        <v>961</v>
      </c>
      <c r="C1000" s="1482"/>
      <c r="D1000" s="1482"/>
      <c r="E1000" s="1482"/>
      <c r="F1000" s="1482"/>
      <c r="G1000" s="1482"/>
      <c r="H1000" s="1482"/>
      <c r="I1000" s="1483"/>
      <c r="J1000" s="586" t="e">
        <f>J998+J990+J978</f>
        <v>#REF!</v>
      </c>
      <c r="K1000" s="471"/>
    </row>
    <row r="1001" spans="1:11" hidden="1">
      <c r="A1001" s="463"/>
      <c r="B1001" s="536"/>
      <c r="C1001" s="536"/>
      <c r="D1001" s="536"/>
      <c r="E1001" s="536"/>
      <c r="F1001" s="536"/>
      <c r="G1001" s="536"/>
      <c r="H1001" s="536"/>
      <c r="I1001" s="537"/>
      <c r="J1001" s="536"/>
      <c r="K1001" s="471"/>
    </row>
    <row r="1002" spans="1:11" hidden="1">
      <c r="A1002" s="463"/>
      <c r="B1002" s="1481" t="s">
        <v>962</v>
      </c>
      <c r="C1002" s="1482"/>
      <c r="D1002" s="1482"/>
      <c r="E1002" s="1482"/>
      <c r="F1002" s="1482"/>
      <c r="G1002" s="1482"/>
      <c r="H1002" s="1482"/>
      <c r="I1002" s="1483"/>
      <c r="J1002" s="514" t="e">
        <f>J1000*0</f>
        <v>#REF!</v>
      </c>
      <c r="K1002" s="471"/>
    </row>
    <row r="1003" spans="1:11" hidden="1">
      <c r="A1003" s="463"/>
      <c r="B1003" s="536"/>
      <c r="C1003" s="536"/>
      <c r="D1003" s="536"/>
      <c r="E1003" s="536"/>
      <c r="F1003" s="536"/>
      <c r="G1003" s="536"/>
      <c r="H1003" s="536"/>
      <c r="I1003" s="537"/>
      <c r="J1003" s="536"/>
      <c r="K1003" s="471"/>
    </row>
    <row r="1004" spans="1:11" hidden="1">
      <c r="A1004" s="463"/>
      <c r="B1004" s="1481" t="s">
        <v>963</v>
      </c>
      <c r="C1004" s="1482"/>
      <c r="D1004" s="1482"/>
      <c r="E1004" s="1482"/>
      <c r="F1004" s="1482"/>
      <c r="G1004" s="1482"/>
      <c r="H1004" s="1482"/>
      <c r="I1004" s="1483"/>
      <c r="J1004" s="586" t="e">
        <f>J1000+J1002</f>
        <v>#REF!</v>
      </c>
      <c r="K1004" s="471"/>
    </row>
    <row r="1005" spans="1:11" hidden="1">
      <c r="A1005" s="463"/>
      <c r="B1005" s="524"/>
      <c r="C1005" s="524"/>
      <c r="D1005" s="524"/>
      <c r="E1005" s="524"/>
      <c r="F1005" s="524"/>
      <c r="G1005" s="524"/>
      <c r="H1005" s="524"/>
      <c r="I1005" s="584"/>
      <c r="J1005" s="524"/>
      <c r="K1005" s="471"/>
    </row>
    <row r="1006" spans="1:11" hidden="1">
      <c r="A1006" s="463"/>
      <c r="B1006" s="602"/>
      <c r="C1006" s="572"/>
      <c r="D1006" s="572"/>
      <c r="E1006" s="572"/>
      <c r="F1006" s="572"/>
      <c r="G1006" s="572"/>
      <c r="H1006" s="572"/>
      <c r="I1006" s="572"/>
      <c r="J1006" s="603"/>
      <c r="K1006" s="471"/>
    </row>
    <row r="1007" spans="1:11" hidden="1">
      <c r="A1007" s="463"/>
      <c r="B1007" s="604"/>
      <c r="C1007" s="605"/>
      <c r="D1007" s="606"/>
      <c r="E1007" s="606"/>
      <c r="F1007" s="607" t="s">
        <v>946</v>
      </c>
      <c r="G1007" s="608" t="s">
        <v>946</v>
      </c>
      <c r="H1007" s="605"/>
      <c r="I1007" s="605"/>
      <c r="J1007" s="609"/>
      <c r="K1007" s="471"/>
    </row>
    <row r="1008" spans="1:11" hidden="1">
      <c r="A1008" s="463"/>
      <c r="B1008" s="472"/>
      <c r="C1008" s="472"/>
      <c r="D1008" s="472"/>
      <c r="E1008" s="472"/>
      <c r="F1008" s="472"/>
      <c r="G1008" s="472"/>
      <c r="H1008" s="472"/>
      <c r="I1008" s="472"/>
      <c r="J1008" s="472"/>
      <c r="K1008" s="471"/>
    </row>
    <row r="1009" spans="1:11" hidden="1">
      <c r="A1009" s="463"/>
      <c r="B1009" s="610">
        <f>PLANEJAMENTO!E802</f>
        <v>0</v>
      </c>
      <c r="C1009" s="611"/>
      <c r="D1009" s="611"/>
      <c r="E1009" s="611"/>
      <c r="F1009" s="612"/>
      <c r="G1009" s="613" t="s">
        <v>363</v>
      </c>
      <c r="H1009" s="515"/>
      <c r="I1009" s="515"/>
      <c r="J1009" s="518"/>
      <c r="K1009" s="471"/>
    </row>
    <row r="1010" spans="1:11" hidden="1">
      <c r="A1010" s="463"/>
      <c r="B1010" s="614">
        <f>PLANEJAMENTO!E803</f>
        <v>0</v>
      </c>
      <c r="C1010" s="615"/>
      <c r="D1010" s="615"/>
      <c r="E1010" s="615"/>
      <c r="F1010" s="616"/>
      <c r="G1010" s="1484" t="s">
        <v>964</v>
      </c>
      <c r="H1010" s="1485"/>
      <c r="I1010" s="1485"/>
      <c r="J1010" s="1486"/>
      <c r="K1010" s="471"/>
    </row>
    <row r="1011" spans="1:11" hidden="1">
      <c r="A1011" s="463"/>
      <c r="B1011" s="617"/>
      <c r="C1011" s="618"/>
      <c r="D1011" s="618"/>
      <c r="E1011" s="618"/>
      <c r="F1011" s="619"/>
      <c r="G1011" s="620"/>
      <c r="H1011" s="1487"/>
      <c r="I1011" s="1488"/>
      <c r="J1011" s="1489"/>
      <c r="K1011" s="471"/>
    </row>
    <row r="1012" spans="1:11" ht="15" hidden="1" thickBot="1">
      <c r="A1012" s="621"/>
      <c r="B1012" s="622"/>
      <c r="C1012" s="622"/>
      <c r="D1012" s="622"/>
      <c r="E1012" s="622"/>
      <c r="F1012" s="622"/>
      <c r="G1012" s="622"/>
      <c r="H1012" s="622"/>
      <c r="I1012" s="622"/>
      <c r="J1012" s="622"/>
      <c r="K1012" s="623"/>
    </row>
    <row r="1013" spans="1:11" hidden="1">
      <c r="A1013" s="460"/>
      <c r="B1013" s="461"/>
      <c r="C1013" s="461"/>
      <c r="D1013" s="461"/>
      <c r="E1013" s="461"/>
      <c r="F1013" s="461"/>
      <c r="G1013" s="461"/>
      <c r="H1013" s="461"/>
      <c r="I1013" s="461"/>
      <c r="J1013" s="461"/>
      <c r="K1013" s="462"/>
    </row>
    <row r="1014" spans="1:11" hidden="1">
      <c r="A1014" s="463"/>
      <c r="B1014" s="464" t="s">
        <v>178</v>
      </c>
      <c r="C1014" s="465"/>
      <c r="D1014" s="466" t="s">
        <v>936</v>
      </c>
      <c r="E1014" s="467"/>
      <c r="F1014" s="468"/>
      <c r="G1014" s="468"/>
      <c r="H1014" s="469"/>
      <c r="I1014" s="469"/>
      <c r="J1014" s="470"/>
      <c r="K1014" s="471"/>
    </row>
    <row r="1015" spans="1:11" hidden="1">
      <c r="A1015" s="463"/>
      <c r="B1015" s="472"/>
      <c r="C1015" s="472"/>
      <c r="D1015" s="472"/>
      <c r="E1015" s="472"/>
      <c r="F1015" s="472"/>
      <c r="G1015" s="472"/>
      <c r="H1015" s="472"/>
      <c r="I1015" s="472"/>
      <c r="J1015" s="472"/>
      <c r="K1015" s="471"/>
    </row>
    <row r="1016" spans="1:11" hidden="1">
      <c r="A1016" s="463"/>
      <c r="B1016" s="473" t="s">
        <v>1281</v>
      </c>
      <c r="C1016" s="474" t="s">
        <v>937</v>
      </c>
      <c r="D1016" s="1497" t="s">
        <v>250</v>
      </c>
      <c r="E1016" s="1498"/>
      <c r="F1016" s="1498"/>
      <c r="G1016" s="1498"/>
      <c r="H1016" s="1498"/>
      <c r="I1016" s="1499"/>
      <c r="J1016" s="475" t="s">
        <v>267</v>
      </c>
      <c r="K1016" s="471"/>
    </row>
    <row r="1017" spans="1:11" hidden="1">
      <c r="A1017" s="463"/>
      <c r="B1017" s="476">
        <v>1729</v>
      </c>
      <c r="C1017" s="477">
        <f ca="1">TODAY()</f>
        <v>46140</v>
      </c>
      <c r="D1017" s="681" t="s">
        <v>1280</v>
      </c>
      <c r="E1017" s="479"/>
      <c r="F1017" s="479"/>
      <c r="G1017" s="479"/>
      <c r="H1017" s="479"/>
      <c r="I1017" s="480"/>
      <c r="J1017" s="481" t="str">
        <f>F1035</f>
        <v>und</v>
      </c>
      <c r="K1017" s="471"/>
    </row>
    <row r="1018" spans="1:11" hidden="1">
      <c r="A1018" s="463"/>
      <c r="B1018" s="482"/>
      <c r="C1018" s="482"/>
      <c r="D1018" s="482"/>
      <c r="E1018" s="482"/>
      <c r="F1018" s="482"/>
      <c r="G1018" s="482"/>
      <c r="H1018" s="482"/>
      <c r="I1018" s="483"/>
      <c r="J1018" s="484"/>
      <c r="K1018" s="471"/>
    </row>
    <row r="1019" spans="1:11" hidden="1">
      <c r="A1019" s="463"/>
      <c r="B1019" s="1484" t="s">
        <v>938</v>
      </c>
      <c r="C1019" s="1486"/>
      <c r="D1019" s="1502" t="s">
        <v>688</v>
      </c>
      <c r="E1019" s="1504" t="s">
        <v>939</v>
      </c>
      <c r="F1019" s="485" t="s">
        <v>940</v>
      </c>
      <c r="G1019" s="486"/>
      <c r="H1019" s="485" t="s">
        <v>941</v>
      </c>
      <c r="I1019" s="486"/>
      <c r="J1019" s="487" t="s">
        <v>942</v>
      </c>
      <c r="K1019" s="471"/>
    </row>
    <row r="1020" spans="1:11" hidden="1">
      <c r="A1020" s="463"/>
      <c r="B1020" s="1500"/>
      <c r="C1020" s="1501"/>
      <c r="D1020" s="1503"/>
      <c r="E1020" s="1505"/>
      <c r="F1020" s="488" t="s">
        <v>943</v>
      </c>
      <c r="G1020" s="488" t="s">
        <v>944</v>
      </c>
      <c r="H1020" s="488" t="s">
        <v>943</v>
      </c>
      <c r="I1020" s="489" t="s">
        <v>944</v>
      </c>
      <c r="J1020" s="490" t="s">
        <v>945</v>
      </c>
      <c r="K1020" s="471"/>
    </row>
    <row r="1021" spans="1:11" hidden="1">
      <c r="A1021" s="463"/>
      <c r="B1021" s="491" t="s">
        <v>375</v>
      </c>
      <c r="C1021" s="492"/>
      <c r="D1021" s="872"/>
      <c r="E1021" s="494"/>
      <c r="F1021" s="494">
        <v>1</v>
      </c>
      <c r="G1021" s="495">
        <f>1-F1021</f>
        <v>0</v>
      </c>
      <c r="H1021" s="496">
        <f>VLOOKUP(B1021,EQUIPAMENTOS!$A:$J,10,FALSE)</f>
        <v>63.777777777777779</v>
      </c>
      <c r="I1021" s="497">
        <f>H1021</f>
        <v>63.777777777777779</v>
      </c>
      <c r="J1021" s="498">
        <f>H1021*F1021*E1021+I1021*G1021*E1021</f>
        <v>0</v>
      </c>
      <c r="K1021" s="471"/>
    </row>
    <row r="1022" spans="1:11" hidden="1">
      <c r="A1022" s="463"/>
      <c r="B1022" s="499"/>
      <c r="C1022" s="500"/>
      <c r="D1022" s="501"/>
      <c r="E1022" s="502"/>
      <c r="F1022" s="502"/>
      <c r="G1022" s="502"/>
      <c r="H1022" s="503"/>
      <c r="I1022" s="504"/>
      <c r="J1022" s="505"/>
      <c r="K1022" s="471"/>
    </row>
    <row r="1023" spans="1:11" hidden="1">
      <c r="A1023" s="463"/>
      <c r="B1023" s="499"/>
      <c r="C1023" s="500"/>
      <c r="D1023" s="501"/>
      <c r="E1023" s="502"/>
      <c r="F1023" s="502"/>
      <c r="G1023" s="502"/>
      <c r="H1023" s="503"/>
      <c r="I1023" s="504"/>
      <c r="J1023" s="505">
        <f>H1023*F1023*E1023+I1023*G1023*E1023</f>
        <v>0</v>
      </c>
      <c r="K1023" s="471"/>
    </row>
    <row r="1024" spans="1:11" hidden="1">
      <c r="A1024" s="463"/>
      <c r="B1024" s="499"/>
      <c r="C1024" s="500"/>
      <c r="D1024" s="501"/>
      <c r="E1024" s="502"/>
      <c r="F1024" s="502"/>
      <c r="G1024" s="502"/>
      <c r="H1024" s="503"/>
      <c r="I1024" s="504"/>
      <c r="J1024" s="505">
        <f>H1024*F1024*E1024+I1024*G1024*E1024</f>
        <v>0</v>
      </c>
      <c r="K1024" s="471"/>
    </row>
    <row r="1025" spans="1:11" hidden="1">
      <c r="A1025" s="463"/>
      <c r="B1025" s="506"/>
      <c r="C1025" s="507"/>
      <c r="D1025" s="508"/>
      <c r="E1025" s="509"/>
      <c r="F1025" s="509"/>
      <c r="G1025" s="509"/>
      <c r="H1025" s="510"/>
      <c r="I1025" s="511"/>
      <c r="J1025" s="505">
        <f>H1025*F1025*E1025+I1025*G1025*E1025</f>
        <v>0</v>
      </c>
      <c r="K1025" s="471"/>
    </row>
    <row r="1026" spans="1:11" hidden="1">
      <c r="A1026" s="463"/>
      <c r="B1026" s="512" t="s">
        <v>946</v>
      </c>
      <c r="C1026" s="482"/>
      <c r="D1026" s="482"/>
      <c r="E1026" s="482"/>
      <c r="F1026" s="482"/>
      <c r="G1026" s="482"/>
      <c r="H1026" s="482"/>
      <c r="I1026" s="513" t="s">
        <v>175</v>
      </c>
      <c r="J1026" s="514">
        <f>SUM(J1021:J1025)</f>
        <v>0</v>
      </c>
      <c r="K1026" s="471"/>
    </row>
    <row r="1027" spans="1:11" hidden="1">
      <c r="A1027" s="463"/>
      <c r="B1027" s="515"/>
      <c r="C1027" s="515"/>
      <c r="D1027" s="515"/>
      <c r="E1027" s="515"/>
      <c r="F1027" s="515"/>
      <c r="G1027" s="515"/>
      <c r="H1027" s="515"/>
      <c r="I1027" s="516"/>
      <c r="J1027" s="517"/>
      <c r="K1027" s="471"/>
    </row>
    <row r="1028" spans="1:11" ht="20.399999999999999" hidden="1">
      <c r="A1028" s="463"/>
      <c r="B1028" s="1490" t="s">
        <v>947</v>
      </c>
      <c r="C1028" s="1491"/>
      <c r="D1028" s="1491"/>
      <c r="E1028" s="1492"/>
      <c r="F1028" s="725" t="s">
        <v>688</v>
      </c>
      <c r="G1028" s="853"/>
      <c r="H1028" s="520" t="s">
        <v>427</v>
      </c>
      <c r="I1028" s="521" t="s">
        <v>948</v>
      </c>
      <c r="J1028" s="522" t="s">
        <v>949</v>
      </c>
      <c r="K1028" s="471"/>
    </row>
    <row r="1029" spans="1:11" hidden="1">
      <c r="A1029" s="463"/>
      <c r="B1029" s="523" t="s">
        <v>550</v>
      </c>
      <c r="C1029" s="524"/>
      <c r="D1029" s="525"/>
      <c r="E1029" s="526"/>
      <c r="F1029" s="527"/>
      <c r="G1029" s="528"/>
      <c r="H1029" s="529">
        <v>1</v>
      </c>
      <c r="I1029" s="534">
        <f>(VLOOKUP(B1029,'MÃO DE OBRA'!$A:$E,5,FALSE)/220)</f>
        <v>19.055000000000003</v>
      </c>
      <c r="J1029" s="505">
        <f>H1029*I1029</f>
        <v>19.055000000000003</v>
      </c>
      <c r="K1029" s="471"/>
    </row>
    <row r="1030" spans="1:11" hidden="1">
      <c r="A1030" s="463"/>
      <c r="B1030" s="530" t="s">
        <v>988</v>
      </c>
      <c r="C1030" s="531"/>
      <c r="D1030" s="472"/>
      <c r="E1030" s="500"/>
      <c r="F1030" s="501"/>
      <c r="G1030" s="532"/>
      <c r="H1030" s="533"/>
      <c r="I1030" s="534">
        <f>(VLOOKUP(B1030,'MÃO DE OBRA'!$A:$E,5,FALSE)/220)</f>
        <v>21.588799999999999</v>
      </c>
      <c r="J1030" s="505">
        <f>H1030*I1030</f>
        <v>0</v>
      </c>
      <c r="K1030" s="471"/>
    </row>
    <row r="1031" spans="1:11" hidden="1">
      <c r="A1031" s="463"/>
      <c r="B1031" s="530" t="s">
        <v>472</v>
      </c>
      <c r="C1031" s="531"/>
      <c r="D1031" s="472"/>
      <c r="E1031" s="500"/>
      <c r="F1031" s="501"/>
      <c r="G1031" s="532"/>
      <c r="H1031" s="533">
        <v>1</v>
      </c>
      <c r="I1031" s="534">
        <f>(VLOOKUP(B1031,'MÃO DE OBRA'!$A:$E,5,FALSE)/220)</f>
        <v>18.377072727272729</v>
      </c>
      <c r="J1031" s="505">
        <f>H1031*I1031</f>
        <v>18.377072727272729</v>
      </c>
      <c r="K1031" s="471"/>
    </row>
    <row r="1032" spans="1:11" hidden="1">
      <c r="A1032" s="463"/>
      <c r="B1032" s="530"/>
      <c r="C1032" s="531"/>
      <c r="D1032" s="472"/>
      <c r="E1032" s="500"/>
      <c r="F1032" s="501"/>
      <c r="G1032" s="532"/>
      <c r="H1032" s="533"/>
      <c r="I1032" s="534"/>
      <c r="J1032" s="505"/>
      <c r="K1032" s="471"/>
    </row>
    <row r="1033" spans="1:11" hidden="1">
      <c r="A1033" s="463"/>
      <c r="B1033" s="512" t="s">
        <v>946</v>
      </c>
      <c r="C1033" s="515"/>
      <c r="D1033" s="515"/>
      <c r="E1033" s="515"/>
      <c r="F1033" s="515"/>
      <c r="G1033" s="515"/>
      <c r="H1033" s="515"/>
      <c r="I1033" s="535" t="s">
        <v>175</v>
      </c>
      <c r="J1033" s="514">
        <f>SUM(J1029:J1032)</f>
        <v>37.432072727272732</v>
      </c>
      <c r="K1033" s="471"/>
    </row>
    <row r="1034" spans="1:11" hidden="1">
      <c r="A1034" s="463"/>
      <c r="B1034" s="536"/>
      <c r="C1034" s="536"/>
      <c r="D1034" s="536"/>
      <c r="E1034" s="536"/>
      <c r="F1034" s="536"/>
      <c r="G1034" s="536"/>
      <c r="H1034" s="536"/>
      <c r="I1034" s="537"/>
      <c r="J1034" s="536"/>
      <c r="K1034" s="471"/>
    </row>
    <row r="1035" spans="1:11" hidden="1">
      <c r="A1035" s="463"/>
      <c r="B1035" s="538" t="s">
        <v>952</v>
      </c>
      <c r="C1035" s="539"/>
      <c r="D1035" s="536"/>
      <c r="E1035" s="540" t="e">
        <f>CRONOGRAMA!#REF!</f>
        <v>#REF!</v>
      </c>
      <c r="F1035" s="541" t="s">
        <v>901</v>
      </c>
      <c r="G1035" s="519"/>
      <c r="H1035" s="519"/>
      <c r="I1035" s="542" t="s">
        <v>953</v>
      </c>
      <c r="J1035" s="514">
        <f>J1026+J1033</f>
        <v>37.432072727272732</v>
      </c>
      <c r="K1035" s="471"/>
    </row>
    <row r="1036" spans="1:11" hidden="1">
      <c r="A1036" s="463"/>
      <c r="B1036" s="543"/>
      <c r="C1036" s="536"/>
      <c r="D1036" s="536"/>
      <c r="E1036" s="544"/>
      <c r="F1036" s="545"/>
      <c r="G1036" s="545"/>
      <c r="H1036" s="545"/>
      <c r="I1036" s="537"/>
      <c r="J1036" s="536"/>
      <c r="K1036" s="471"/>
    </row>
    <row r="1037" spans="1:11" ht="20.399999999999999" hidden="1">
      <c r="A1037" s="463"/>
      <c r="B1037" s="1493" t="s">
        <v>362</v>
      </c>
      <c r="C1037" s="1494"/>
      <c r="D1037" s="1494"/>
      <c r="E1037" s="1495"/>
      <c r="F1037" s="546" t="s">
        <v>688</v>
      </c>
      <c r="G1037" s="547" t="s">
        <v>371</v>
      </c>
      <c r="H1037" s="520" t="s">
        <v>942</v>
      </c>
      <c r="I1037" s="548" t="s">
        <v>361</v>
      </c>
      <c r="J1037" s="549" t="s">
        <v>363</v>
      </c>
      <c r="K1037" s="471"/>
    </row>
    <row r="1038" spans="1:11" hidden="1">
      <c r="A1038" s="463"/>
      <c r="B1038" s="550" t="str">
        <f>B1021</f>
        <v>RETROESCAVADEIRA</v>
      </c>
      <c r="C1038" s="551"/>
      <c r="D1038" s="551"/>
      <c r="E1038" s="552"/>
      <c r="F1038" s="553" t="str">
        <f>VLOOKUP(B1038,EQUIPAMENTOS!$A:$N,12,FALSE)</f>
        <v>Diesel S10</v>
      </c>
      <c r="G1038" s="554" t="s">
        <v>415</v>
      </c>
      <c r="H1038" s="560">
        <f>VLOOKUP(B1038,EQUIPAMENTOS!$A:$N,13,FALSE)</f>
        <v>0</v>
      </c>
      <c r="I1038" s="560">
        <f>VLOOKUP(B1038,EQUIPAMENTOS!$A:$N,14,FALSE)</f>
        <v>16</v>
      </c>
      <c r="J1038" s="498">
        <f>H1038*I1038*E1021*F1021</f>
        <v>0</v>
      </c>
      <c r="K1038" s="471"/>
    </row>
    <row r="1039" spans="1:11" hidden="1">
      <c r="A1039" s="463"/>
      <c r="B1039" s="550"/>
      <c r="C1039" s="531"/>
      <c r="D1039" s="531"/>
      <c r="E1039" s="500"/>
      <c r="F1039" s="553"/>
      <c r="G1039" s="554"/>
      <c r="H1039" s="560"/>
      <c r="I1039" s="556"/>
      <c r="J1039" s="505"/>
      <c r="K1039" s="471"/>
    </row>
    <row r="1040" spans="1:11" hidden="1">
      <c r="A1040" s="463"/>
      <c r="B1040" s="550"/>
      <c r="C1040" s="531"/>
      <c r="D1040" s="531"/>
      <c r="E1040" s="500"/>
      <c r="F1040" s="553"/>
      <c r="G1040" s="554"/>
      <c r="H1040" s="560"/>
      <c r="I1040" s="560"/>
      <c r="J1040" s="505"/>
      <c r="K1040" s="471"/>
    </row>
    <row r="1041" spans="1:11" hidden="1">
      <c r="A1041" s="463"/>
      <c r="B1041" s="530"/>
      <c r="C1041" s="539"/>
      <c r="D1041" s="539"/>
      <c r="E1041" s="507"/>
      <c r="F1041" s="501"/>
      <c r="G1041" s="481"/>
      <c r="H1041" s="560"/>
      <c r="I1041" s="561"/>
      <c r="J1041" s="562">
        <f>H1041*I1041*E1024</f>
        <v>0</v>
      </c>
      <c r="K1041" s="471"/>
    </row>
    <row r="1042" spans="1:11" hidden="1">
      <c r="A1042" s="463"/>
      <c r="B1042" s="563" t="s">
        <v>946</v>
      </c>
      <c r="C1042" s="539"/>
      <c r="D1042" s="539"/>
      <c r="E1042" s="539"/>
      <c r="F1042" s="536"/>
      <c r="G1042" s="539"/>
      <c r="H1042" s="564"/>
      <c r="I1042" s="565" t="s">
        <v>175</v>
      </c>
      <c r="J1042" s="514">
        <f>SUM(J1038:J1041)</f>
        <v>0</v>
      </c>
      <c r="K1042" s="471"/>
    </row>
    <row r="1043" spans="1:11" hidden="1">
      <c r="A1043" s="463"/>
      <c r="B1043" s="566"/>
      <c r="C1043" s="539"/>
      <c r="D1043" s="539"/>
      <c r="E1043" s="567"/>
      <c r="F1043" s="568"/>
      <c r="G1043" s="519"/>
      <c r="H1043" s="519"/>
      <c r="I1043" s="542"/>
      <c r="J1043" s="567"/>
      <c r="K1043" s="471"/>
    </row>
    <row r="1044" spans="1:11" ht="20.399999999999999" hidden="1">
      <c r="A1044" s="463"/>
      <c r="B1044" s="1493" t="s">
        <v>955</v>
      </c>
      <c r="C1044" s="1494"/>
      <c r="D1044" s="1494"/>
      <c r="E1044" s="1494"/>
      <c r="F1044" s="1495"/>
      <c r="G1044" s="569" t="s">
        <v>372</v>
      </c>
      <c r="H1044" s="519" t="s">
        <v>956</v>
      </c>
      <c r="I1044" s="570" t="s">
        <v>942</v>
      </c>
      <c r="J1044" s="522" t="s">
        <v>363</v>
      </c>
      <c r="K1044" s="471"/>
    </row>
    <row r="1045" spans="1:11" hidden="1">
      <c r="A1045" s="463"/>
      <c r="B1045" s="571"/>
      <c r="C1045" s="572"/>
      <c r="D1045" s="573"/>
      <c r="E1045" s="573"/>
      <c r="F1045" s="574"/>
      <c r="G1045" s="502"/>
      <c r="H1045" s="502"/>
      <c r="I1045" s="575"/>
      <c r="J1045" s="505"/>
      <c r="K1045" s="471"/>
    </row>
    <row r="1046" spans="1:11" hidden="1">
      <c r="A1046" s="463"/>
      <c r="B1046" s="576"/>
      <c r="C1046" s="577"/>
      <c r="D1046" s="578"/>
      <c r="E1046" s="578"/>
      <c r="F1046" s="579"/>
      <c r="G1046" s="502"/>
      <c r="H1046" s="502"/>
      <c r="I1046" s="575"/>
      <c r="J1046" s="505"/>
      <c r="K1046" s="471"/>
    </row>
    <row r="1047" spans="1:11" hidden="1">
      <c r="A1047" s="463"/>
      <c r="B1047" s="1496" t="s">
        <v>175</v>
      </c>
      <c r="C1047" s="1496"/>
      <c r="D1047" s="1496"/>
      <c r="E1047" s="1496"/>
      <c r="F1047" s="1496"/>
      <c r="G1047" s="1496"/>
      <c r="H1047" s="1496"/>
      <c r="I1047" s="1496"/>
      <c r="J1047" s="514">
        <f>SUM(J1045:J1046)</f>
        <v>0</v>
      </c>
      <c r="K1047" s="471"/>
    </row>
    <row r="1048" spans="1:11" hidden="1">
      <c r="A1048" s="463"/>
      <c r="B1048" s="580"/>
      <c r="C1048" s="524"/>
      <c r="D1048" s="524"/>
      <c r="E1048" s="581"/>
      <c r="F1048" s="582"/>
      <c r="G1048" s="583"/>
      <c r="H1048" s="583"/>
      <c r="I1048" s="584"/>
      <c r="J1048" s="585"/>
      <c r="K1048" s="471"/>
    </row>
    <row r="1049" spans="1:11" hidden="1">
      <c r="A1049" s="463"/>
      <c r="B1049" s="586" t="s">
        <v>957</v>
      </c>
      <c r="C1049" s="586"/>
      <c r="D1049" s="563"/>
      <c r="E1049" s="536"/>
      <c r="F1049" s="536"/>
      <c r="G1049" s="536"/>
      <c r="H1049" s="587"/>
      <c r="I1049" s="588"/>
      <c r="J1049" s="514" t="e">
        <f>(J1035+J1042+J1047)/E1035</f>
        <v>#REF!</v>
      </c>
      <c r="K1049" s="471"/>
    </row>
    <row r="1050" spans="1:11" hidden="1">
      <c r="A1050" s="463"/>
      <c r="B1050" s="566"/>
      <c r="C1050" s="539"/>
      <c r="D1050" s="539"/>
      <c r="E1050" s="567"/>
      <c r="F1050" s="568"/>
      <c r="G1050" s="519"/>
      <c r="H1050" s="519"/>
      <c r="I1050" s="542"/>
      <c r="J1050" s="589"/>
      <c r="K1050" s="471"/>
    </row>
    <row r="1051" spans="1:11" ht="20.399999999999999" hidden="1">
      <c r="A1051" s="463"/>
      <c r="B1051" s="1493" t="s">
        <v>958</v>
      </c>
      <c r="C1051" s="1494"/>
      <c r="D1051" s="1494"/>
      <c r="E1051" s="1494"/>
      <c r="F1051" s="1495"/>
      <c r="G1051" s="569" t="s">
        <v>372</v>
      </c>
      <c r="H1051" s="519" t="s">
        <v>956</v>
      </c>
      <c r="I1051" s="570" t="s">
        <v>942</v>
      </c>
      <c r="J1051" s="522" t="s">
        <v>363</v>
      </c>
      <c r="K1051" s="471"/>
    </row>
    <row r="1052" spans="1:11" hidden="1">
      <c r="A1052" s="463"/>
      <c r="B1052" s="571" t="s">
        <v>1265</v>
      </c>
      <c r="C1052" s="572"/>
      <c r="D1052" s="573"/>
      <c r="E1052" s="573"/>
      <c r="F1052" s="574"/>
      <c r="G1052" s="952">
        <v>2.7</v>
      </c>
      <c r="H1052" s="502" t="s">
        <v>985</v>
      </c>
      <c r="I1052" s="575">
        <f>35/50</f>
        <v>0.7</v>
      </c>
      <c r="J1052" s="505">
        <f t="shared" ref="J1052:J1060" si="8">G1052*I1052</f>
        <v>1.89</v>
      </c>
      <c r="K1052" s="471"/>
    </row>
    <row r="1053" spans="1:11" hidden="1">
      <c r="A1053" s="463"/>
      <c r="B1053" s="576" t="s">
        <v>1235</v>
      </c>
      <c r="C1053" s="577"/>
      <c r="D1053" s="578"/>
      <c r="E1053" s="578"/>
      <c r="F1053" s="579"/>
      <c r="G1053" s="952">
        <v>0.27050000000000002</v>
      </c>
      <c r="H1053" s="502" t="s">
        <v>931</v>
      </c>
      <c r="I1053" s="575">
        <v>165</v>
      </c>
      <c r="J1053" s="505">
        <f t="shared" si="8"/>
        <v>44.6325</v>
      </c>
      <c r="K1053" s="471"/>
    </row>
    <row r="1054" spans="1:11" hidden="1">
      <c r="A1054" s="463"/>
      <c r="B1054" s="576" t="s">
        <v>1234</v>
      </c>
      <c r="C1054" s="577"/>
      <c r="D1054" s="578"/>
      <c r="E1054" s="578"/>
      <c r="F1054" s="579"/>
      <c r="G1054" s="952">
        <v>1.44E-2</v>
      </c>
      <c r="H1054" s="502" t="s">
        <v>931</v>
      </c>
      <c r="I1054" s="575">
        <v>165</v>
      </c>
      <c r="J1054" s="505">
        <f t="shared" si="8"/>
        <v>2.3759999999999999</v>
      </c>
      <c r="K1054" s="471"/>
    </row>
    <row r="1055" spans="1:11" hidden="1">
      <c r="A1055" s="463"/>
      <c r="B1055" s="576" t="s">
        <v>1236</v>
      </c>
      <c r="C1055" s="577"/>
      <c r="D1055" s="578"/>
      <c r="E1055" s="578"/>
      <c r="F1055" s="579"/>
      <c r="G1055" s="502"/>
      <c r="H1055" s="502" t="s">
        <v>208</v>
      </c>
      <c r="I1055" s="575">
        <v>450</v>
      </c>
      <c r="J1055" s="505">
        <f t="shared" si="8"/>
        <v>0</v>
      </c>
      <c r="K1055" s="471"/>
    </row>
    <row r="1056" spans="1:11" hidden="1">
      <c r="A1056" s="463"/>
      <c r="B1056" s="576" t="s">
        <v>1002</v>
      </c>
      <c r="C1056" s="577"/>
      <c r="D1056" s="578"/>
      <c r="E1056" s="578"/>
      <c r="F1056" s="579"/>
      <c r="G1056" s="502"/>
      <c r="H1056" s="502" t="s">
        <v>990</v>
      </c>
      <c r="I1056" s="575">
        <v>25.9</v>
      </c>
      <c r="J1056" s="505">
        <f t="shared" si="8"/>
        <v>0</v>
      </c>
      <c r="K1056" s="471"/>
    </row>
    <row r="1057" spans="1:11" hidden="1">
      <c r="A1057" s="463"/>
      <c r="B1057" s="576" t="s">
        <v>1237</v>
      </c>
      <c r="C1057" s="577"/>
      <c r="D1057" s="578"/>
      <c r="E1057" s="578"/>
      <c r="F1057" s="579"/>
      <c r="G1057" s="502"/>
      <c r="H1057" s="502" t="s">
        <v>956</v>
      </c>
      <c r="I1057" s="575">
        <v>70</v>
      </c>
      <c r="J1057" s="505">
        <f t="shared" si="8"/>
        <v>0</v>
      </c>
      <c r="K1057" s="471"/>
    </row>
    <row r="1058" spans="1:11" hidden="1">
      <c r="A1058" s="463"/>
      <c r="B1058" s="576" t="s">
        <v>1238</v>
      </c>
      <c r="C1058" s="577"/>
      <c r="D1058" s="578"/>
      <c r="E1058" s="578"/>
      <c r="F1058" s="579"/>
      <c r="G1058" s="502"/>
      <c r="H1058" s="502" t="s">
        <v>956</v>
      </c>
      <c r="I1058" s="575">
        <v>50.15</v>
      </c>
      <c r="J1058" s="505">
        <f t="shared" si="8"/>
        <v>0</v>
      </c>
      <c r="K1058" s="471"/>
    </row>
    <row r="1059" spans="1:11" hidden="1">
      <c r="A1059" s="463"/>
      <c r="B1059" s="576" t="s">
        <v>1239</v>
      </c>
      <c r="C1059" s="577"/>
      <c r="D1059" s="578"/>
      <c r="E1059" s="578"/>
      <c r="F1059" s="579"/>
      <c r="G1059" s="502"/>
      <c r="H1059" s="502" t="s">
        <v>956</v>
      </c>
      <c r="I1059" s="575">
        <v>227</v>
      </c>
      <c r="J1059" s="505">
        <f t="shared" si="8"/>
        <v>0</v>
      </c>
      <c r="K1059" s="471"/>
    </row>
    <row r="1060" spans="1:11" hidden="1">
      <c r="A1060" s="463"/>
      <c r="B1060" s="590" t="s">
        <v>1245</v>
      </c>
      <c r="C1060" s="591"/>
      <c r="D1060" s="592"/>
      <c r="E1060" s="592"/>
      <c r="F1060" s="593"/>
      <c r="G1060" s="502"/>
      <c r="H1060" s="502" t="s">
        <v>956</v>
      </c>
      <c r="I1060" s="575">
        <v>40.14</v>
      </c>
      <c r="J1060" s="505">
        <f t="shared" si="8"/>
        <v>0</v>
      </c>
      <c r="K1060" s="471"/>
    </row>
    <row r="1061" spans="1:11" hidden="1">
      <c r="A1061" s="463"/>
      <c r="B1061" s="594"/>
      <c r="C1061" s="536"/>
      <c r="D1061" s="536"/>
      <c r="E1061" s="595"/>
      <c r="F1061" s="596"/>
      <c r="G1061" s="545"/>
      <c r="H1061" s="545"/>
      <c r="I1061" s="537" t="s">
        <v>175</v>
      </c>
      <c r="J1061" s="514">
        <f>SUM(J1052:J1060)</f>
        <v>48.898499999999999</v>
      </c>
      <c r="K1061" s="471"/>
    </row>
    <row r="1062" spans="1:11" hidden="1">
      <c r="A1062" s="463"/>
      <c r="B1062" s="597"/>
      <c r="C1062" s="536"/>
      <c r="D1062" s="536"/>
      <c r="E1062" s="595"/>
      <c r="F1062" s="596"/>
      <c r="G1062" s="545"/>
      <c r="H1062" s="545"/>
      <c r="I1062" s="537"/>
      <c r="J1062" s="595"/>
      <c r="K1062" s="471"/>
    </row>
    <row r="1063" spans="1:11" ht="20.399999999999999" hidden="1">
      <c r="A1063" s="463"/>
      <c r="B1063" s="598" t="s">
        <v>959</v>
      </c>
      <c r="C1063" s="598"/>
      <c r="D1063" s="598"/>
      <c r="E1063" s="599"/>
      <c r="F1063" s="600" t="s">
        <v>372</v>
      </c>
      <c r="G1063" s="569" t="s">
        <v>960</v>
      </c>
      <c r="H1063" s="519" t="s">
        <v>942</v>
      </c>
      <c r="I1063" s="570" t="s">
        <v>361</v>
      </c>
      <c r="J1063" s="522" t="s">
        <v>363</v>
      </c>
      <c r="K1063" s="471"/>
    </row>
    <row r="1064" spans="1:11" hidden="1">
      <c r="A1064" s="463"/>
      <c r="B1064" s="571"/>
      <c r="C1064" s="572"/>
      <c r="D1064" s="573"/>
      <c r="E1064" s="574"/>
      <c r="F1064" s="502"/>
      <c r="G1064" s="502"/>
      <c r="H1064" s="624"/>
      <c r="I1064" s="575"/>
      <c r="J1064" s="505"/>
      <c r="K1064" s="471"/>
    </row>
    <row r="1065" spans="1:11" hidden="1">
      <c r="A1065" s="463"/>
      <c r="B1065" s="576"/>
      <c r="C1065" s="577"/>
      <c r="D1065" s="578"/>
      <c r="E1065" s="579" t="s">
        <v>946</v>
      </c>
      <c r="F1065" s="502">
        <v>0</v>
      </c>
      <c r="G1065" s="502">
        <v>0</v>
      </c>
      <c r="H1065" s="502"/>
      <c r="I1065" s="575">
        <v>0</v>
      </c>
      <c r="J1065" s="505">
        <f>I1065*H1065*G1065*F1065</f>
        <v>0</v>
      </c>
      <c r="K1065" s="471"/>
    </row>
    <row r="1066" spans="1:11" hidden="1">
      <c r="A1066" s="463"/>
      <c r="B1066" s="576"/>
      <c r="C1066" s="577"/>
      <c r="D1066" s="578"/>
      <c r="E1066" s="579" t="s">
        <v>946</v>
      </c>
      <c r="F1066" s="502">
        <v>0</v>
      </c>
      <c r="G1066" s="502">
        <v>0</v>
      </c>
      <c r="H1066" s="502">
        <v>0</v>
      </c>
      <c r="I1066" s="575">
        <v>0</v>
      </c>
      <c r="J1066" s="505">
        <f>I1066*H1066*G1066*F1066</f>
        <v>0</v>
      </c>
      <c r="K1066" s="471"/>
    </row>
    <row r="1067" spans="1:11" hidden="1">
      <c r="A1067" s="463"/>
      <c r="B1067" s="576" t="s">
        <v>946</v>
      </c>
      <c r="C1067" s="577"/>
      <c r="D1067" s="578"/>
      <c r="E1067" s="579" t="s">
        <v>946</v>
      </c>
      <c r="F1067" s="502">
        <v>0</v>
      </c>
      <c r="G1067" s="502">
        <v>0</v>
      </c>
      <c r="H1067" s="502">
        <v>0</v>
      </c>
      <c r="I1067" s="575">
        <v>0</v>
      </c>
      <c r="J1067" s="505">
        <f>I1067*H1067*G1067*F1067</f>
        <v>0</v>
      </c>
      <c r="K1067" s="471"/>
    </row>
    <row r="1068" spans="1:11" hidden="1">
      <c r="A1068" s="463"/>
      <c r="B1068" s="590" t="s">
        <v>946</v>
      </c>
      <c r="C1068" s="591"/>
      <c r="D1068" s="592"/>
      <c r="E1068" s="593" t="s">
        <v>946</v>
      </c>
      <c r="F1068" s="509">
        <v>0</v>
      </c>
      <c r="G1068" s="509">
        <v>0</v>
      </c>
      <c r="H1068" s="509">
        <v>0</v>
      </c>
      <c r="I1068" s="601">
        <v>0</v>
      </c>
      <c r="J1068" s="505">
        <f>I1068*H1068*G1068*F1068</f>
        <v>0</v>
      </c>
      <c r="K1068" s="471"/>
    </row>
    <row r="1069" spans="1:11" hidden="1">
      <c r="A1069" s="463"/>
      <c r="B1069" s="594"/>
      <c r="C1069" s="536"/>
      <c r="D1069" s="536"/>
      <c r="E1069" s="595"/>
      <c r="F1069" s="596"/>
      <c r="G1069" s="545"/>
      <c r="H1069" s="545"/>
      <c r="I1069" s="537" t="s">
        <v>175</v>
      </c>
      <c r="J1069" s="514">
        <f>SUM(J1064:J1068)</f>
        <v>0</v>
      </c>
      <c r="K1069" s="471"/>
    </row>
    <row r="1070" spans="1:11" hidden="1">
      <c r="A1070" s="463"/>
      <c r="B1070" s="536"/>
      <c r="C1070" s="536"/>
      <c r="D1070" s="536"/>
      <c r="E1070" s="536"/>
      <c r="F1070" s="536"/>
      <c r="G1070" s="536"/>
      <c r="H1070" s="536"/>
      <c r="I1070" s="537"/>
      <c r="J1070" s="536"/>
      <c r="K1070" s="471"/>
    </row>
    <row r="1071" spans="1:11" hidden="1">
      <c r="A1071" s="463"/>
      <c r="B1071" s="1481" t="s">
        <v>961</v>
      </c>
      <c r="C1071" s="1482"/>
      <c r="D1071" s="1482"/>
      <c r="E1071" s="1482"/>
      <c r="F1071" s="1482"/>
      <c r="G1071" s="1482"/>
      <c r="H1071" s="1482"/>
      <c r="I1071" s="1483"/>
      <c r="J1071" s="586" t="e">
        <f>J1069+J1061+J1049</f>
        <v>#REF!</v>
      </c>
      <c r="K1071" s="471"/>
    </row>
    <row r="1072" spans="1:11" hidden="1">
      <c r="A1072" s="463"/>
      <c r="B1072" s="536"/>
      <c r="C1072" s="536"/>
      <c r="D1072" s="536"/>
      <c r="E1072" s="536"/>
      <c r="F1072" s="536"/>
      <c r="G1072" s="536"/>
      <c r="H1072" s="536"/>
      <c r="I1072" s="537"/>
      <c r="J1072" s="536"/>
      <c r="K1072" s="471"/>
    </row>
    <row r="1073" spans="1:11" hidden="1">
      <c r="A1073" s="463"/>
      <c r="B1073" s="1481" t="s">
        <v>962</v>
      </c>
      <c r="C1073" s="1482"/>
      <c r="D1073" s="1482"/>
      <c r="E1073" s="1482"/>
      <c r="F1073" s="1482"/>
      <c r="G1073" s="1482"/>
      <c r="H1073" s="1482"/>
      <c r="I1073" s="1483"/>
      <c r="J1073" s="514" t="e">
        <f>J1071*0</f>
        <v>#REF!</v>
      </c>
      <c r="K1073" s="471"/>
    </row>
    <row r="1074" spans="1:11" hidden="1">
      <c r="A1074" s="463"/>
      <c r="B1074" s="536"/>
      <c r="C1074" s="536"/>
      <c r="D1074" s="536"/>
      <c r="E1074" s="536"/>
      <c r="F1074" s="536"/>
      <c r="G1074" s="536"/>
      <c r="H1074" s="536"/>
      <c r="I1074" s="537"/>
      <c r="J1074" s="536"/>
      <c r="K1074" s="471"/>
    </row>
    <row r="1075" spans="1:11" hidden="1">
      <c r="A1075" s="463"/>
      <c r="B1075" s="1481" t="s">
        <v>963</v>
      </c>
      <c r="C1075" s="1482"/>
      <c r="D1075" s="1482"/>
      <c r="E1075" s="1482"/>
      <c r="F1075" s="1482"/>
      <c r="G1075" s="1482"/>
      <c r="H1075" s="1482"/>
      <c r="I1075" s="1483"/>
      <c r="J1075" s="586" t="e">
        <f>J1071+J1073</f>
        <v>#REF!</v>
      </c>
      <c r="K1075" s="471"/>
    </row>
    <row r="1076" spans="1:11" hidden="1">
      <c r="A1076" s="463"/>
      <c r="B1076" s="524"/>
      <c r="C1076" s="524"/>
      <c r="D1076" s="524"/>
      <c r="E1076" s="524"/>
      <c r="F1076" s="524"/>
      <c r="G1076" s="524"/>
      <c r="H1076" s="524"/>
      <c r="I1076" s="584"/>
      <c r="J1076" s="524"/>
      <c r="K1076" s="471"/>
    </row>
    <row r="1077" spans="1:11" hidden="1">
      <c r="A1077" s="463"/>
      <c r="B1077" s="602"/>
      <c r="C1077" s="572"/>
      <c r="D1077" s="572"/>
      <c r="E1077" s="572"/>
      <c r="F1077" s="572"/>
      <c r="G1077" s="572"/>
      <c r="H1077" s="572"/>
      <c r="I1077" s="572"/>
      <c r="J1077" s="603"/>
      <c r="K1077" s="471"/>
    </row>
    <row r="1078" spans="1:11" hidden="1">
      <c r="A1078" s="463"/>
      <c r="B1078" s="604"/>
      <c r="C1078" s="605"/>
      <c r="D1078" s="606"/>
      <c r="E1078" s="606"/>
      <c r="F1078" s="607" t="s">
        <v>946</v>
      </c>
      <c r="G1078" s="608" t="s">
        <v>946</v>
      </c>
      <c r="H1078" s="605"/>
      <c r="I1078" s="605"/>
      <c r="J1078" s="609"/>
      <c r="K1078" s="471"/>
    </row>
    <row r="1079" spans="1:11" hidden="1">
      <c r="A1079" s="463"/>
      <c r="B1079" s="472"/>
      <c r="C1079" s="472"/>
      <c r="D1079" s="472"/>
      <c r="E1079" s="472"/>
      <c r="F1079" s="472"/>
      <c r="G1079" s="472"/>
      <c r="H1079" s="472"/>
      <c r="I1079" s="472"/>
      <c r="J1079" s="472"/>
      <c r="K1079" s="471"/>
    </row>
    <row r="1080" spans="1:11" hidden="1">
      <c r="A1080" s="463"/>
      <c r="B1080" s="610">
        <f>PLANEJAMENTO!E873</f>
        <v>0</v>
      </c>
      <c r="C1080" s="611"/>
      <c r="D1080" s="611"/>
      <c r="E1080" s="611"/>
      <c r="F1080" s="612"/>
      <c r="G1080" s="613" t="s">
        <v>363</v>
      </c>
      <c r="H1080" s="515"/>
      <c r="I1080" s="515"/>
      <c r="J1080" s="518"/>
      <c r="K1080" s="471"/>
    </row>
    <row r="1081" spans="1:11" hidden="1">
      <c r="A1081" s="463"/>
      <c r="B1081" s="614">
        <f>PLANEJAMENTO!E874</f>
        <v>0</v>
      </c>
      <c r="C1081" s="615"/>
      <c r="D1081" s="615"/>
      <c r="E1081" s="615"/>
      <c r="F1081" s="616"/>
      <c r="G1081" s="1484" t="s">
        <v>964</v>
      </c>
      <c r="H1081" s="1485"/>
      <c r="I1081" s="1485"/>
      <c r="J1081" s="1486"/>
      <c r="K1081" s="471"/>
    </row>
    <row r="1082" spans="1:11" hidden="1">
      <c r="A1082" s="463"/>
      <c r="B1082" s="617"/>
      <c r="C1082" s="618"/>
      <c r="D1082" s="618"/>
      <c r="E1082" s="618"/>
      <c r="F1082" s="619"/>
      <c r="G1082" s="620"/>
      <c r="H1082" s="1487"/>
      <c r="I1082" s="1488"/>
      <c r="J1082" s="1489"/>
      <c r="K1082" s="471"/>
    </row>
    <row r="1083" spans="1:11" ht="15" hidden="1" thickBot="1">
      <c r="A1083" s="621"/>
      <c r="B1083" s="622"/>
      <c r="C1083" s="622"/>
      <c r="D1083" s="622"/>
      <c r="E1083" s="622"/>
      <c r="F1083" s="622"/>
      <c r="G1083" s="622"/>
      <c r="H1083" s="622"/>
      <c r="I1083" s="622"/>
      <c r="J1083" s="622"/>
      <c r="K1083" s="623"/>
    </row>
    <row r="1084" spans="1:11" hidden="1">
      <c r="A1084" s="460"/>
      <c r="B1084" s="461"/>
      <c r="C1084" s="461"/>
      <c r="D1084" s="461"/>
      <c r="E1084" s="461"/>
      <c r="F1084" s="461"/>
      <c r="G1084" s="461"/>
      <c r="H1084" s="461"/>
      <c r="I1084" s="461"/>
      <c r="J1084" s="461"/>
      <c r="K1084" s="462"/>
    </row>
    <row r="1085" spans="1:11" hidden="1">
      <c r="A1085" s="463"/>
      <c r="B1085" s="464" t="s">
        <v>178</v>
      </c>
      <c r="C1085" s="465"/>
      <c r="D1085" s="466" t="s">
        <v>936</v>
      </c>
      <c r="E1085" s="467"/>
      <c r="F1085" s="468"/>
      <c r="G1085" s="468"/>
      <c r="H1085" s="469"/>
      <c r="I1085" s="469"/>
      <c r="J1085" s="470"/>
      <c r="K1085" s="471"/>
    </row>
    <row r="1086" spans="1:11" hidden="1">
      <c r="A1086" s="463"/>
      <c r="B1086" s="472"/>
      <c r="C1086" s="472"/>
      <c r="D1086" s="472"/>
      <c r="E1086" s="472"/>
      <c r="F1086" s="472"/>
      <c r="G1086" s="472"/>
      <c r="H1086" s="472"/>
      <c r="I1086" s="472"/>
      <c r="J1086" s="472"/>
      <c r="K1086" s="471"/>
    </row>
    <row r="1087" spans="1:11" hidden="1">
      <c r="A1087" s="463"/>
      <c r="B1087" s="473" t="s">
        <v>1281</v>
      </c>
      <c r="C1087" s="474" t="s">
        <v>937</v>
      </c>
      <c r="D1087" s="1497" t="s">
        <v>250</v>
      </c>
      <c r="E1087" s="1498"/>
      <c r="F1087" s="1498"/>
      <c r="G1087" s="1498"/>
      <c r="H1087" s="1498"/>
      <c r="I1087" s="1499"/>
      <c r="J1087" s="475" t="s">
        <v>267</v>
      </c>
      <c r="K1087" s="471"/>
    </row>
    <row r="1088" spans="1:11" hidden="1">
      <c r="A1088" s="463"/>
      <c r="B1088" s="476">
        <v>1731</v>
      </c>
      <c r="C1088" s="477">
        <f ca="1">TODAY()</f>
        <v>46140</v>
      </c>
      <c r="D1088" s="681" t="s">
        <v>1282</v>
      </c>
      <c r="E1088" s="479"/>
      <c r="F1088" s="479"/>
      <c r="G1088" s="479"/>
      <c r="H1088" s="479"/>
      <c r="I1088" s="480"/>
      <c r="J1088" s="481" t="str">
        <f>F1106</f>
        <v>und</v>
      </c>
      <c r="K1088" s="471"/>
    </row>
    <row r="1089" spans="1:11" hidden="1">
      <c r="A1089" s="463"/>
      <c r="B1089" s="482"/>
      <c r="C1089" s="482"/>
      <c r="D1089" s="482"/>
      <c r="E1089" s="482"/>
      <c r="F1089" s="482"/>
      <c r="G1089" s="482"/>
      <c r="H1089" s="482"/>
      <c r="I1089" s="483"/>
      <c r="J1089" s="484"/>
      <c r="K1089" s="471"/>
    </row>
    <row r="1090" spans="1:11" hidden="1">
      <c r="A1090" s="463"/>
      <c r="B1090" s="1484" t="s">
        <v>938</v>
      </c>
      <c r="C1090" s="1486"/>
      <c r="D1090" s="1502" t="s">
        <v>688</v>
      </c>
      <c r="E1090" s="1504" t="s">
        <v>939</v>
      </c>
      <c r="F1090" s="485" t="s">
        <v>940</v>
      </c>
      <c r="G1090" s="486"/>
      <c r="H1090" s="485" t="s">
        <v>941</v>
      </c>
      <c r="I1090" s="486"/>
      <c r="J1090" s="487" t="s">
        <v>942</v>
      </c>
      <c r="K1090" s="471"/>
    </row>
    <row r="1091" spans="1:11" hidden="1">
      <c r="A1091" s="463"/>
      <c r="B1091" s="1500"/>
      <c r="C1091" s="1501"/>
      <c r="D1091" s="1503"/>
      <c r="E1091" s="1505"/>
      <c r="F1091" s="488" t="s">
        <v>943</v>
      </c>
      <c r="G1091" s="488" t="s">
        <v>944</v>
      </c>
      <c r="H1091" s="488" t="s">
        <v>943</v>
      </c>
      <c r="I1091" s="489" t="s">
        <v>944</v>
      </c>
      <c r="J1091" s="490" t="s">
        <v>945</v>
      </c>
      <c r="K1091" s="471"/>
    </row>
    <row r="1092" spans="1:11" hidden="1">
      <c r="A1092" s="463"/>
      <c r="B1092" s="491" t="s">
        <v>375</v>
      </c>
      <c r="C1092" s="492"/>
      <c r="D1092" s="872"/>
      <c r="E1092" s="494">
        <v>1</v>
      </c>
      <c r="F1092" s="494">
        <v>1</v>
      </c>
      <c r="G1092" s="495">
        <f>1-F1092</f>
        <v>0</v>
      </c>
      <c r="H1092" s="496">
        <f>VLOOKUP(B1092,EQUIPAMENTOS!$A:$J,10,FALSE)</f>
        <v>63.777777777777779</v>
      </c>
      <c r="I1092" s="497">
        <f>H1092</f>
        <v>63.777777777777779</v>
      </c>
      <c r="J1092" s="498">
        <f>H1092*F1092*E1092+I1092*G1092*E1092</f>
        <v>63.777777777777779</v>
      </c>
      <c r="K1092" s="471"/>
    </row>
    <row r="1093" spans="1:11" hidden="1">
      <c r="A1093" s="463"/>
      <c r="B1093" s="499"/>
      <c r="C1093" s="500"/>
      <c r="D1093" s="501"/>
      <c r="E1093" s="502"/>
      <c r="F1093" s="502"/>
      <c r="G1093" s="502"/>
      <c r="H1093" s="503"/>
      <c r="I1093" s="504"/>
      <c r="J1093" s="505"/>
      <c r="K1093" s="471"/>
    </row>
    <row r="1094" spans="1:11" hidden="1">
      <c r="A1094" s="463"/>
      <c r="B1094" s="499"/>
      <c r="C1094" s="500"/>
      <c r="D1094" s="501"/>
      <c r="E1094" s="502"/>
      <c r="F1094" s="502"/>
      <c r="G1094" s="502"/>
      <c r="H1094" s="503"/>
      <c r="I1094" s="504"/>
      <c r="J1094" s="505">
        <f>H1094*F1094*E1094+I1094*G1094*E1094</f>
        <v>0</v>
      </c>
      <c r="K1094" s="471"/>
    </row>
    <row r="1095" spans="1:11" hidden="1">
      <c r="A1095" s="463"/>
      <c r="B1095" s="499"/>
      <c r="C1095" s="500"/>
      <c r="D1095" s="501"/>
      <c r="E1095" s="502"/>
      <c r="F1095" s="502"/>
      <c r="G1095" s="502"/>
      <c r="H1095" s="503"/>
      <c r="I1095" s="504"/>
      <c r="J1095" s="505">
        <f>H1095*F1095*E1095+I1095*G1095*E1095</f>
        <v>0</v>
      </c>
      <c r="K1095" s="471"/>
    </row>
    <row r="1096" spans="1:11" hidden="1">
      <c r="A1096" s="463"/>
      <c r="B1096" s="506"/>
      <c r="C1096" s="507"/>
      <c r="D1096" s="508"/>
      <c r="E1096" s="509"/>
      <c r="F1096" s="509"/>
      <c r="G1096" s="509"/>
      <c r="H1096" s="510"/>
      <c r="I1096" s="511"/>
      <c r="J1096" s="505">
        <f>H1096*F1096*E1096+I1096*G1096*E1096</f>
        <v>0</v>
      </c>
      <c r="K1096" s="471"/>
    </row>
    <row r="1097" spans="1:11" hidden="1">
      <c r="A1097" s="463"/>
      <c r="B1097" s="512" t="s">
        <v>946</v>
      </c>
      <c r="C1097" s="482"/>
      <c r="D1097" s="482"/>
      <c r="E1097" s="482"/>
      <c r="F1097" s="482"/>
      <c r="G1097" s="482"/>
      <c r="H1097" s="482"/>
      <c r="I1097" s="513" t="s">
        <v>175</v>
      </c>
      <c r="J1097" s="514">
        <f>SUM(J1092:J1096)</f>
        <v>63.777777777777779</v>
      </c>
      <c r="K1097" s="471"/>
    </row>
    <row r="1098" spans="1:11" hidden="1">
      <c r="A1098" s="463"/>
      <c r="B1098" s="515"/>
      <c r="C1098" s="515"/>
      <c r="D1098" s="515"/>
      <c r="E1098" s="515"/>
      <c r="F1098" s="515"/>
      <c r="G1098" s="515"/>
      <c r="H1098" s="515"/>
      <c r="I1098" s="516"/>
      <c r="J1098" s="517"/>
      <c r="K1098" s="471"/>
    </row>
    <row r="1099" spans="1:11" ht="20.399999999999999" hidden="1">
      <c r="A1099" s="463"/>
      <c r="B1099" s="1490" t="s">
        <v>947</v>
      </c>
      <c r="C1099" s="1491"/>
      <c r="D1099" s="1491"/>
      <c r="E1099" s="1492"/>
      <c r="F1099" s="725" t="s">
        <v>688</v>
      </c>
      <c r="G1099" s="853"/>
      <c r="H1099" s="520" t="s">
        <v>427</v>
      </c>
      <c r="I1099" s="521" t="s">
        <v>948</v>
      </c>
      <c r="J1099" s="522" t="s">
        <v>949</v>
      </c>
      <c r="K1099" s="471"/>
    </row>
    <row r="1100" spans="1:11" hidden="1">
      <c r="A1100" s="463"/>
      <c r="B1100" s="523" t="s">
        <v>988</v>
      </c>
      <c r="C1100" s="524"/>
      <c r="D1100" s="525"/>
      <c r="E1100" s="526"/>
      <c r="F1100" s="527"/>
      <c r="G1100" s="528"/>
      <c r="H1100" s="529">
        <v>1</v>
      </c>
      <c r="I1100" s="534">
        <f>(VLOOKUP(B1100,'MÃO DE OBRA'!$A:$E,5,FALSE)/220)</f>
        <v>21.588799999999999</v>
      </c>
      <c r="J1100" s="505">
        <f>H1100*I1100</f>
        <v>21.588799999999999</v>
      </c>
      <c r="K1100" s="471"/>
    </row>
    <row r="1101" spans="1:11" hidden="1">
      <c r="A1101" s="463"/>
      <c r="B1101" s="530" t="s">
        <v>1053</v>
      </c>
      <c r="C1101" s="531"/>
      <c r="D1101" s="472"/>
      <c r="E1101" s="500"/>
      <c r="F1101" s="501"/>
      <c r="G1101" s="532"/>
      <c r="H1101" s="533">
        <f>E1092</f>
        <v>1</v>
      </c>
      <c r="I1101" s="534">
        <f>(VLOOKUP(B1101,'MÃO DE OBRA'!$A:$E,5,FALSE)/220)</f>
        <v>26.3474</v>
      </c>
      <c r="J1101" s="505">
        <f>H1101*I1101</f>
        <v>26.3474</v>
      </c>
      <c r="K1101" s="471"/>
    </row>
    <row r="1102" spans="1:11" hidden="1">
      <c r="A1102" s="463"/>
      <c r="B1102" s="530" t="s">
        <v>472</v>
      </c>
      <c r="C1102" s="531"/>
      <c r="D1102" s="472"/>
      <c r="E1102" s="500"/>
      <c r="F1102" s="501"/>
      <c r="G1102" s="532"/>
      <c r="H1102" s="533">
        <v>1</v>
      </c>
      <c r="I1102" s="534">
        <f>(VLOOKUP(B1102,'MÃO DE OBRA'!$A:$E,5,FALSE)/220)</f>
        <v>18.377072727272729</v>
      </c>
      <c r="J1102" s="505">
        <f>H1102*I1102</f>
        <v>18.377072727272729</v>
      </c>
      <c r="K1102" s="471"/>
    </row>
    <row r="1103" spans="1:11" hidden="1">
      <c r="A1103" s="463"/>
      <c r="B1103" s="530"/>
      <c r="C1103" s="531"/>
      <c r="D1103" s="472"/>
      <c r="E1103" s="500"/>
      <c r="F1103" s="501"/>
      <c r="G1103" s="532"/>
      <c r="H1103" s="533"/>
      <c r="I1103" s="534"/>
      <c r="J1103" s="505"/>
      <c r="K1103" s="471"/>
    </row>
    <row r="1104" spans="1:11" hidden="1">
      <c r="A1104" s="463"/>
      <c r="B1104" s="512" t="s">
        <v>946</v>
      </c>
      <c r="C1104" s="515"/>
      <c r="D1104" s="515"/>
      <c r="E1104" s="515"/>
      <c r="F1104" s="515"/>
      <c r="G1104" s="515"/>
      <c r="H1104" s="515"/>
      <c r="I1104" s="535" t="s">
        <v>175</v>
      </c>
      <c r="J1104" s="514">
        <f>SUM(J1100:J1103)</f>
        <v>66.313272727272732</v>
      </c>
      <c r="K1104" s="471"/>
    </row>
    <row r="1105" spans="1:12" hidden="1">
      <c r="A1105" s="463"/>
      <c r="B1105" s="536"/>
      <c r="C1105" s="536"/>
      <c r="D1105" s="536"/>
      <c r="E1105" s="536"/>
      <c r="F1105" s="536"/>
      <c r="G1105" s="536"/>
      <c r="H1105" s="536"/>
      <c r="I1105" s="537"/>
      <c r="J1105" s="536"/>
      <c r="K1105" s="471"/>
    </row>
    <row r="1106" spans="1:12" hidden="1">
      <c r="A1106" s="463"/>
      <c r="B1106" s="538" t="s">
        <v>952</v>
      </c>
      <c r="C1106" s="539"/>
      <c r="D1106" s="536"/>
      <c r="E1106" s="540">
        <v>1</v>
      </c>
      <c r="F1106" s="541" t="s">
        <v>901</v>
      </c>
      <c r="G1106" s="519"/>
      <c r="H1106" s="519"/>
      <c r="I1106" s="542" t="s">
        <v>953</v>
      </c>
      <c r="J1106" s="514">
        <f>J1097+J1104</f>
        <v>130.0910505050505</v>
      </c>
      <c r="K1106" s="471"/>
    </row>
    <row r="1107" spans="1:12" hidden="1">
      <c r="A1107" s="463"/>
      <c r="B1107" s="543"/>
      <c r="C1107" s="536"/>
      <c r="D1107" s="536"/>
      <c r="E1107" s="544"/>
      <c r="F1107" s="545"/>
      <c r="G1107" s="545"/>
      <c r="H1107" s="545"/>
      <c r="I1107" s="537"/>
      <c r="J1107" s="536"/>
      <c r="K1107" s="471"/>
    </row>
    <row r="1108" spans="1:12" ht="20.399999999999999" hidden="1">
      <c r="A1108" s="463"/>
      <c r="B1108" s="1493" t="s">
        <v>362</v>
      </c>
      <c r="C1108" s="1494"/>
      <c r="D1108" s="1494"/>
      <c r="E1108" s="1495"/>
      <c r="F1108" s="546" t="s">
        <v>688</v>
      </c>
      <c r="G1108" s="547" t="s">
        <v>371</v>
      </c>
      <c r="H1108" s="520" t="s">
        <v>942</v>
      </c>
      <c r="I1108" s="548" t="s">
        <v>361</v>
      </c>
      <c r="J1108" s="549" t="s">
        <v>363</v>
      </c>
      <c r="K1108" s="471"/>
    </row>
    <row r="1109" spans="1:12" hidden="1">
      <c r="A1109" s="463"/>
      <c r="B1109" s="550" t="str">
        <f>B1092</f>
        <v>RETROESCAVADEIRA</v>
      </c>
      <c r="C1109" s="551"/>
      <c r="D1109" s="551"/>
      <c r="E1109" s="552"/>
      <c r="F1109" s="553" t="str">
        <f>VLOOKUP(B1109,EQUIPAMENTOS!$A:$N,12,FALSE)</f>
        <v>Diesel S10</v>
      </c>
      <c r="G1109" s="554" t="s">
        <v>415</v>
      </c>
      <c r="H1109" s="560">
        <f>VLOOKUP(B1109,EQUIPAMENTOS!$A:$N,13,FALSE)</f>
        <v>0</v>
      </c>
      <c r="I1109" s="560">
        <f>VLOOKUP(B1109,EQUIPAMENTOS!$A:$N,14,FALSE)</f>
        <v>16</v>
      </c>
      <c r="J1109" s="498">
        <f>H1109*I1109*E1092*F1092</f>
        <v>0</v>
      </c>
      <c r="K1109" s="471"/>
    </row>
    <row r="1110" spans="1:12" hidden="1">
      <c r="A1110" s="463"/>
      <c r="B1110" s="550"/>
      <c r="C1110" s="531"/>
      <c r="D1110" s="531"/>
      <c r="E1110" s="500"/>
      <c r="F1110" s="553"/>
      <c r="G1110" s="554"/>
      <c r="H1110" s="560"/>
      <c r="I1110" s="556"/>
      <c r="J1110" s="505"/>
      <c r="K1110" s="471"/>
    </row>
    <row r="1111" spans="1:12" hidden="1">
      <c r="A1111" s="463"/>
      <c r="B1111" s="550"/>
      <c r="C1111" s="531"/>
      <c r="D1111" s="531"/>
      <c r="E1111" s="500"/>
      <c r="F1111" s="553"/>
      <c r="G1111" s="554"/>
      <c r="H1111" s="560"/>
      <c r="I1111" s="560"/>
      <c r="J1111" s="505"/>
      <c r="K1111" s="471"/>
    </row>
    <row r="1112" spans="1:12" hidden="1">
      <c r="A1112" s="463"/>
      <c r="B1112" s="530"/>
      <c r="C1112" s="539"/>
      <c r="D1112" s="539"/>
      <c r="E1112" s="507"/>
      <c r="F1112" s="501"/>
      <c r="G1112" s="481"/>
      <c r="H1112" s="560"/>
      <c r="I1112" s="561"/>
      <c r="J1112" s="562">
        <f>H1112*I1112*E1095</f>
        <v>0</v>
      </c>
      <c r="K1112" s="471"/>
    </row>
    <row r="1113" spans="1:12" hidden="1">
      <c r="A1113" s="463"/>
      <c r="B1113" s="563" t="s">
        <v>946</v>
      </c>
      <c r="C1113" s="539"/>
      <c r="D1113" s="539"/>
      <c r="E1113" s="539"/>
      <c r="F1113" s="536"/>
      <c r="G1113" s="539"/>
      <c r="H1113" s="564"/>
      <c r="I1113" s="565" t="s">
        <v>175</v>
      </c>
      <c r="J1113" s="514">
        <f>SUM(J1109:J1112)</f>
        <v>0</v>
      </c>
      <c r="K1113" s="471"/>
      <c r="L1113" s="6">
        <f>J1113/E1106</f>
        <v>0</v>
      </c>
    </row>
    <row r="1114" spans="1:12" hidden="1">
      <c r="A1114" s="463"/>
      <c r="B1114" s="566"/>
      <c r="C1114" s="539"/>
      <c r="D1114" s="539"/>
      <c r="E1114" s="567"/>
      <c r="F1114" s="568"/>
      <c r="G1114" s="519"/>
      <c r="H1114" s="519"/>
      <c r="I1114" s="542"/>
      <c r="J1114" s="567"/>
      <c r="K1114" s="471"/>
    </row>
    <row r="1115" spans="1:12" ht="20.399999999999999" hidden="1">
      <c r="A1115" s="463"/>
      <c r="B1115" s="1493" t="s">
        <v>955</v>
      </c>
      <c r="C1115" s="1494"/>
      <c r="D1115" s="1494"/>
      <c r="E1115" s="1494"/>
      <c r="F1115" s="1495"/>
      <c r="G1115" s="569" t="s">
        <v>372</v>
      </c>
      <c r="H1115" s="519" t="s">
        <v>956</v>
      </c>
      <c r="I1115" s="570" t="s">
        <v>942</v>
      </c>
      <c r="J1115" s="522" t="s">
        <v>363</v>
      </c>
      <c r="K1115" s="471"/>
    </row>
    <row r="1116" spans="1:12" hidden="1">
      <c r="A1116" s="463"/>
      <c r="B1116" s="571"/>
      <c r="C1116" s="572"/>
      <c r="D1116" s="573"/>
      <c r="E1116" s="573"/>
      <c r="F1116" s="574"/>
      <c r="G1116" s="502"/>
      <c r="H1116" s="502"/>
      <c r="I1116" s="575"/>
      <c r="J1116" s="505"/>
      <c r="K1116" s="471"/>
    </row>
    <row r="1117" spans="1:12" hidden="1">
      <c r="A1117" s="463"/>
      <c r="B1117" s="576"/>
      <c r="C1117" s="577"/>
      <c r="D1117" s="578"/>
      <c r="E1117" s="578"/>
      <c r="F1117" s="579"/>
      <c r="G1117" s="502"/>
      <c r="H1117" s="502"/>
      <c r="I1117" s="575"/>
      <c r="J1117" s="505"/>
      <c r="K1117" s="471"/>
    </row>
    <row r="1118" spans="1:12" hidden="1">
      <c r="A1118" s="463"/>
      <c r="B1118" s="1496" t="s">
        <v>175</v>
      </c>
      <c r="C1118" s="1496"/>
      <c r="D1118" s="1496"/>
      <c r="E1118" s="1496"/>
      <c r="F1118" s="1496"/>
      <c r="G1118" s="1496"/>
      <c r="H1118" s="1496"/>
      <c r="I1118" s="1496"/>
      <c r="J1118" s="514">
        <f>SUM(J1116:J1117)</f>
        <v>0</v>
      </c>
      <c r="K1118" s="471"/>
    </row>
    <row r="1119" spans="1:12" hidden="1">
      <c r="A1119" s="463"/>
      <c r="B1119" s="580"/>
      <c r="C1119" s="524"/>
      <c r="D1119" s="524"/>
      <c r="E1119" s="581"/>
      <c r="F1119" s="582"/>
      <c r="G1119" s="583"/>
      <c r="H1119" s="583"/>
      <c r="I1119" s="584"/>
      <c r="J1119" s="585"/>
      <c r="K1119" s="471"/>
    </row>
    <row r="1120" spans="1:12" hidden="1">
      <c r="A1120" s="463"/>
      <c r="B1120" s="586" t="s">
        <v>957</v>
      </c>
      <c r="C1120" s="586"/>
      <c r="D1120" s="563"/>
      <c r="E1120" s="536"/>
      <c r="F1120" s="536"/>
      <c r="G1120" s="536"/>
      <c r="H1120" s="587"/>
      <c r="I1120" s="588"/>
      <c r="J1120" s="514">
        <f>(J1106+J1113+J1118)/E1106</f>
        <v>130.0910505050505</v>
      </c>
      <c r="K1120" s="471"/>
    </row>
    <row r="1121" spans="1:11" hidden="1">
      <c r="A1121" s="463"/>
      <c r="B1121" s="566"/>
      <c r="C1121" s="539"/>
      <c r="D1121" s="539"/>
      <c r="E1121" s="567"/>
      <c r="F1121" s="568"/>
      <c r="G1121" s="519"/>
      <c r="H1121" s="519"/>
      <c r="I1121" s="542"/>
      <c r="J1121" s="589"/>
      <c r="K1121" s="471"/>
    </row>
    <row r="1122" spans="1:11" ht="20.399999999999999" hidden="1">
      <c r="A1122" s="463"/>
      <c r="B1122" s="1493" t="s">
        <v>958</v>
      </c>
      <c r="C1122" s="1494"/>
      <c r="D1122" s="1494"/>
      <c r="E1122" s="1494"/>
      <c r="F1122" s="1495"/>
      <c r="G1122" s="569" t="s">
        <v>372</v>
      </c>
      <c r="H1122" s="519" t="s">
        <v>956</v>
      </c>
      <c r="I1122" s="570" t="s">
        <v>942</v>
      </c>
      <c r="J1122" s="522" t="s">
        <v>363</v>
      </c>
      <c r="K1122" s="471"/>
    </row>
    <row r="1123" spans="1:11" hidden="1">
      <c r="A1123" s="463"/>
      <c r="B1123" s="571" t="s">
        <v>1265</v>
      </c>
      <c r="C1123" s="572"/>
      <c r="D1123" s="573"/>
      <c r="E1123" s="573"/>
      <c r="F1123" s="574"/>
      <c r="G1123" s="952">
        <v>28.424800000000001</v>
      </c>
      <c r="H1123" s="502" t="s">
        <v>985</v>
      </c>
      <c r="I1123" s="575">
        <f>35/50</f>
        <v>0.7</v>
      </c>
      <c r="J1123" s="505">
        <f>G1123*I1123</f>
        <v>19.897359999999999</v>
      </c>
      <c r="K1123" s="471"/>
    </row>
    <row r="1124" spans="1:11" hidden="1">
      <c r="A1124" s="463"/>
      <c r="B1124" s="576" t="s">
        <v>1235</v>
      </c>
      <c r="C1124" s="577"/>
      <c r="D1124" s="578"/>
      <c r="E1124" s="578"/>
      <c r="F1124" s="579"/>
      <c r="G1124" s="952">
        <f>0.0355+0.0426</f>
        <v>7.8100000000000003E-2</v>
      </c>
      <c r="H1124" s="502" t="s">
        <v>931</v>
      </c>
      <c r="I1124" s="575">
        <v>165</v>
      </c>
      <c r="J1124" s="505">
        <f>G1124*I1124</f>
        <v>12.8865</v>
      </c>
      <c r="K1124" s="471"/>
    </row>
    <row r="1125" spans="1:11" hidden="1">
      <c r="A1125" s="463"/>
      <c r="B1125" s="576" t="s">
        <v>1234</v>
      </c>
      <c r="C1125" s="577"/>
      <c r="D1125" s="578"/>
      <c r="E1125" s="578"/>
      <c r="F1125" s="579"/>
      <c r="G1125" s="952">
        <v>5.6800000000000003E-2</v>
      </c>
      <c r="H1125" s="502" t="s">
        <v>931</v>
      </c>
      <c r="I1125" s="575">
        <v>165</v>
      </c>
      <c r="J1125" s="505">
        <f>G1125*I1125</f>
        <v>9.3719999999999999</v>
      </c>
      <c r="K1125" s="471"/>
    </row>
    <row r="1126" spans="1:11" hidden="1">
      <c r="A1126" s="463"/>
      <c r="B1126" s="576" t="s">
        <v>1283</v>
      </c>
      <c r="C1126" s="577"/>
      <c r="D1126" s="578"/>
      <c r="E1126" s="578"/>
      <c r="F1126" s="579"/>
      <c r="G1126" s="502">
        <v>1</v>
      </c>
      <c r="H1126" s="502" t="s">
        <v>956</v>
      </c>
      <c r="I1126" s="575">
        <v>260</v>
      </c>
      <c r="J1126" s="505">
        <f>G1126*I1126</f>
        <v>260</v>
      </c>
      <c r="K1126" s="471"/>
    </row>
    <row r="1127" spans="1:11" hidden="1">
      <c r="A1127" s="463"/>
      <c r="B1127" s="590"/>
      <c r="C1127" s="591"/>
      <c r="D1127" s="592"/>
      <c r="E1127" s="592"/>
      <c r="F1127" s="593"/>
      <c r="G1127" s="502"/>
      <c r="H1127" s="502"/>
      <c r="I1127" s="575"/>
      <c r="J1127" s="505"/>
      <c r="K1127" s="471"/>
    </row>
    <row r="1128" spans="1:11" hidden="1">
      <c r="A1128" s="463"/>
      <c r="B1128" s="594"/>
      <c r="C1128" s="536"/>
      <c r="D1128" s="536"/>
      <c r="E1128" s="595"/>
      <c r="F1128" s="596"/>
      <c r="G1128" s="545"/>
      <c r="H1128" s="545"/>
      <c r="I1128" s="537" t="s">
        <v>175</v>
      </c>
      <c r="J1128" s="514">
        <f>SUM(J1123:J1127)</f>
        <v>302.15586000000002</v>
      </c>
      <c r="K1128" s="471"/>
    </row>
    <row r="1129" spans="1:11" hidden="1">
      <c r="A1129" s="463"/>
      <c r="B1129" s="597"/>
      <c r="C1129" s="536"/>
      <c r="D1129" s="536"/>
      <c r="E1129" s="595"/>
      <c r="F1129" s="596"/>
      <c r="G1129" s="545"/>
      <c r="H1129" s="545"/>
      <c r="I1129" s="537"/>
      <c r="J1129" s="595"/>
      <c r="K1129" s="471"/>
    </row>
    <row r="1130" spans="1:11" ht="20.399999999999999" hidden="1">
      <c r="A1130" s="463"/>
      <c r="B1130" s="598" t="s">
        <v>959</v>
      </c>
      <c r="C1130" s="598"/>
      <c r="D1130" s="598"/>
      <c r="E1130" s="599"/>
      <c r="F1130" s="600" t="s">
        <v>372</v>
      </c>
      <c r="G1130" s="569" t="s">
        <v>960</v>
      </c>
      <c r="H1130" s="519" t="s">
        <v>942</v>
      </c>
      <c r="I1130" s="570" t="s">
        <v>361</v>
      </c>
      <c r="J1130" s="522" t="s">
        <v>363</v>
      </c>
      <c r="K1130" s="471"/>
    </row>
    <row r="1131" spans="1:11" hidden="1">
      <c r="A1131" s="463"/>
      <c r="B1131" s="571"/>
      <c r="C1131" s="572"/>
      <c r="D1131" s="573"/>
      <c r="E1131" s="574"/>
      <c r="F1131" s="502"/>
      <c r="G1131" s="502"/>
      <c r="H1131" s="624"/>
      <c r="I1131" s="575"/>
      <c r="J1131" s="505"/>
      <c r="K1131" s="471"/>
    </row>
    <row r="1132" spans="1:11" hidden="1">
      <c r="A1132" s="463"/>
      <c r="B1132" s="576"/>
      <c r="C1132" s="577"/>
      <c r="D1132" s="578"/>
      <c r="E1132" s="579" t="s">
        <v>946</v>
      </c>
      <c r="F1132" s="502">
        <v>0</v>
      </c>
      <c r="G1132" s="502">
        <v>0</v>
      </c>
      <c r="H1132" s="502"/>
      <c r="I1132" s="575">
        <v>0</v>
      </c>
      <c r="J1132" s="505">
        <f>I1132*H1132*G1132*F1132</f>
        <v>0</v>
      </c>
      <c r="K1132" s="471"/>
    </row>
    <row r="1133" spans="1:11" hidden="1">
      <c r="A1133" s="463"/>
      <c r="B1133" s="576"/>
      <c r="C1133" s="577"/>
      <c r="D1133" s="578"/>
      <c r="E1133" s="579" t="s">
        <v>946</v>
      </c>
      <c r="F1133" s="502">
        <v>0</v>
      </c>
      <c r="G1133" s="502">
        <v>0</v>
      </c>
      <c r="H1133" s="502">
        <v>0</v>
      </c>
      <c r="I1133" s="575">
        <v>0</v>
      </c>
      <c r="J1133" s="505">
        <f>I1133*H1133*G1133*F1133</f>
        <v>0</v>
      </c>
      <c r="K1133" s="471"/>
    </row>
    <row r="1134" spans="1:11" hidden="1">
      <c r="A1134" s="463"/>
      <c r="B1134" s="576" t="s">
        <v>946</v>
      </c>
      <c r="C1134" s="577"/>
      <c r="D1134" s="578"/>
      <c r="E1134" s="579" t="s">
        <v>946</v>
      </c>
      <c r="F1134" s="502">
        <v>0</v>
      </c>
      <c r="G1134" s="502">
        <v>0</v>
      </c>
      <c r="H1134" s="502">
        <v>0</v>
      </c>
      <c r="I1134" s="575">
        <v>0</v>
      </c>
      <c r="J1134" s="505">
        <f>I1134*H1134*G1134*F1134</f>
        <v>0</v>
      </c>
      <c r="K1134" s="471"/>
    </row>
    <row r="1135" spans="1:11" hidden="1">
      <c r="A1135" s="463"/>
      <c r="B1135" s="590" t="s">
        <v>946</v>
      </c>
      <c r="C1135" s="591"/>
      <c r="D1135" s="592"/>
      <c r="E1135" s="593" t="s">
        <v>946</v>
      </c>
      <c r="F1135" s="509">
        <v>0</v>
      </c>
      <c r="G1135" s="509">
        <v>0</v>
      </c>
      <c r="H1135" s="509">
        <v>0</v>
      </c>
      <c r="I1135" s="601">
        <v>0</v>
      </c>
      <c r="J1135" s="505">
        <f>I1135*H1135*G1135*F1135</f>
        <v>0</v>
      </c>
      <c r="K1135" s="471"/>
    </row>
    <row r="1136" spans="1:11" hidden="1">
      <c r="A1136" s="463"/>
      <c r="B1136" s="594"/>
      <c r="C1136" s="536"/>
      <c r="D1136" s="536"/>
      <c r="E1136" s="595"/>
      <c r="F1136" s="596"/>
      <c r="G1136" s="545"/>
      <c r="H1136" s="545"/>
      <c r="I1136" s="537" t="s">
        <v>175</v>
      </c>
      <c r="J1136" s="514">
        <f>SUM(J1131:J1135)</f>
        <v>0</v>
      </c>
      <c r="K1136" s="471"/>
    </row>
    <row r="1137" spans="1:11" hidden="1">
      <c r="A1137" s="463"/>
      <c r="B1137" s="536"/>
      <c r="C1137" s="536"/>
      <c r="D1137" s="536"/>
      <c r="E1137" s="536"/>
      <c r="F1137" s="536"/>
      <c r="G1137" s="536"/>
      <c r="H1137" s="536"/>
      <c r="I1137" s="537"/>
      <c r="J1137" s="536"/>
      <c r="K1137" s="471"/>
    </row>
    <row r="1138" spans="1:11" hidden="1">
      <c r="A1138" s="463"/>
      <c r="B1138" s="1481" t="s">
        <v>961</v>
      </c>
      <c r="C1138" s="1482"/>
      <c r="D1138" s="1482"/>
      <c r="E1138" s="1482"/>
      <c r="F1138" s="1482"/>
      <c r="G1138" s="1482"/>
      <c r="H1138" s="1482"/>
      <c r="I1138" s="1483"/>
      <c r="J1138" s="586">
        <f>J1136+J1128+J1120</f>
        <v>432.24691050505055</v>
      </c>
      <c r="K1138" s="471"/>
    </row>
    <row r="1139" spans="1:11" hidden="1">
      <c r="A1139" s="463"/>
      <c r="B1139" s="536"/>
      <c r="C1139" s="536"/>
      <c r="D1139" s="536"/>
      <c r="E1139" s="536"/>
      <c r="F1139" s="536"/>
      <c r="G1139" s="536"/>
      <c r="H1139" s="536"/>
      <c r="I1139" s="537"/>
      <c r="J1139" s="536"/>
      <c r="K1139" s="471"/>
    </row>
    <row r="1140" spans="1:11" hidden="1">
      <c r="A1140" s="463"/>
      <c r="B1140" s="1481" t="s">
        <v>962</v>
      </c>
      <c r="C1140" s="1482"/>
      <c r="D1140" s="1482"/>
      <c r="E1140" s="1482"/>
      <c r="F1140" s="1482"/>
      <c r="G1140" s="1482"/>
      <c r="H1140" s="1482"/>
      <c r="I1140" s="1483"/>
      <c r="J1140" s="514">
        <f>J1138*0</f>
        <v>0</v>
      </c>
      <c r="K1140" s="471"/>
    </row>
    <row r="1141" spans="1:11" hidden="1">
      <c r="A1141" s="463"/>
      <c r="B1141" s="536"/>
      <c r="C1141" s="536"/>
      <c r="D1141" s="536"/>
      <c r="E1141" s="536"/>
      <c r="F1141" s="536"/>
      <c r="G1141" s="536"/>
      <c r="H1141" s="536"/>
      <c r="I1141" s="537"/>
      <c r="J1141" s="536"/>
      <c r="K1141" s="471"/>
    </row>
    <row r="1142" spans="1:11" hidden="1">
      <c r="A1142" s="463"/>
      <c r="B1142" s="1481" t="s">
        <v>963</v>
      </c>
      <c r="C1142" s="1482"/>
      <c r="D1142" s="1482"/>
      <c r="E1142" s="1482"/>
      <c r="F1142" s="1482"/>
      <c r="G1142" s="1482"/>
      <c r="H1142" s="1482"/>
      <c r="I1142" s="1483"/>
      <c r="J1142" s="586">
        <f>J1138+J1140</f>
        <v>432.24691050505055</v>
      </c>
      <c r="K1142" s="471"/>
    </row>
    <row r="1143" spans="1:11" hidden="1">
      <c r="A1143" s="463"/>
      <c r="B1143" s="524"/>
      <c r="C1143" s="524"/>
      <c r="D1143" s="524"/>
      <c r="E1143" s="524"/>
      <c r="F1143" s="524"/>
      <c r="G1143" s="524"/>
      <c r="H1143" s="524"/>
      <c r="I1143" s="584"/>
      <c r="J1143" s="524"/>
      <c r="K1143" s="471"/>
    </row>
    <row r="1144" spans="1:11" hidden="1">
      <c r="A1144" s="463"/>
      <c r="B1144" s="602"/>
      <c r="C1144" s="572"/>
      <c r="D1144" s="572"/>
      <c r="E1144" s="572"/>
      <c r="F1144" s="572"/>
      <c r="G1144" s="572"/>
      <c r="H1144" s="572"/>
      <c r="I1144" s="572"/>
      <c r="J1144" s="603"/>
      <c r="K1144" s="471"/>
    </row>
    <row r="1145" spans="1:11" hidden="1">
      <c r="A1145" s="463"/>
      <c r="B1145" s="604"/>
      <c r="C1145" s="605"/>
      <c r="D1145" s="606"/>
      <c r="E1145" s="606"/>
      <c r="F1145" s="607" t="s">
        <v>946</v>
      </c>
      <c r="G1145" s="608" t="s">
        <v>946</v>
      </c>
      <c r="H1145" s="605"/>
      <c r="I1145" s="605"/>
      <c r="J1145" s="609"/>
      <c r="K1145" s="471"/>
    </row>
    <row r="1146" spans="1:11" hidden="1">
      <c r="A1146" s="463"/>
      <c r="B1146" s="472"/>
      <c r="C1146" s="472"/>
      <c r="D1146" s="472"/>
      <c r="E1146" s="472"/>
      <c r="F1146" s="472"/>
      <c r="G1146" s="472"/>
      <c r="H1146" s="472"/>
      <c r="I1146" s="472"/>
      <c r="J1146" s="472"/>
      <c r="K1146" s="471"/>
    </row>
    <row r="1147" spans="1:11" hidden="1">
      <c r="A1147" s="463"/>
      <c r="B1147" s="610">
        <f>PLANEJAMENTO!E944</f>
        <v>0</v>
      </c>
      <c r="C1147" s="611"/>
      <c r="D1147" s="611"/>
      <c r="E1147" s="611"/>
      <c r="F1147" s="612"/>
      <c r="G1147" s="613" t="s">
        <v>363</v>
      </c>
      <c r="H1147" s="515"/>
      <c r="I1147" s="515"/>
      <c r="J1147" s="518"/>
      <c r="K1147" s="471"/>
    </row>
    <row r="1148" spans="1:11" hidden="1">
      <c r="A1148" s="463"/>
      <c r="B1148" s="614">
        <f>PLANEJAMENTO!E945</f>
        <v>0</v>
      </c>
      <c r="C1148" s="615"/>
      <c r="D1148" s="615"/>
      <c r="E1148" s="615"/>
      <c r="F1148" s="616"/>
      <c r="G1148" s="1484" t="s">
        <v>964</v>
      </c>
      <c r="H1148" s="1485"/>
      <c r="I1148" s="1485"/>
      <c r="J1148" s="1486"/>
      <c r="K1148" s="471"/>
    </row>
    <row r="1149" spans="1:11" hidden="1">
      <c r="A1149" s="463"/>
      <c r="B1149" s="617"/>
      <c r="C1149" s="618"/>
      <c r="D1149" s="618"/>
      <c r="E1149" s="618"/>
      <c r="F1149" s="619"/>
      <c r="G1149" s="620"/>
      <c r="H1149" s="1487"/>
      <c r="I1149" s="1488"/>
      <c r="J1149" s="1489"/>
      <c r="K1149" s="471"/>
    </row>
    <row r="1150" spans="1:11" ht="15" hidden="1" thickBot="1">
      <c r="A1150" s="621"/>
      <c r="B1150" s="622"/>
      <c r="C1150" s="622"/>
      <c r="D1150" s="622"/>
      <c r="E1150" s="622"/>
      <c r="F1150" s="622"/>
      <c r="G1150" s="622"/>
      <c r="H1150" s="622"/>
      <c r="I1150" s="622"/>
      <c r="J1150" s="622"/>
      <c r="K1150" s="623"/>
    </row>
    <row r="1151" spans="1:11" hidden="1">
      <c r="A1151" s="463"/>
      <c r="B1151" s="472"/>
      <c r="C1151" s="472"/>
      <c r="D1151" s="472"/>
      <c r="E1151" s="472"/>
      <c r="F1151" s="472"/>
      <c r="G1151" s="472"/>
      <c r="H1151" s="472"/>
      <c r="I1151" s="472"/>
      <c r="J1151" s="472"/>
      <c r="K1151" s="471"/>
    </row>
    <row r="1152" spans="1:11" hidden="1">
      <c r="A1152" s="463"/>
      <c r="B1152" s="472"/>
      <c r="C1152" s="472"/>
      <c r="D1152" s="472"/>
      <c r="E1152" s="472"/>
      <c r="F1152" s="472"/>
      <c r="G1152" s="472"/>
      <c r="H1152" s="472"/>
      <c r="I1152" s="472"/>
      <c r="J1152" s="472"/>
      <c r="K1152" s="471"/>
    </row>
    <row r="1153" spans="1:11" hidden="1">
      <c r="A1153" s="463"/>
      <c r="B1153" s="472"/>
      <c r="C1153" s="472"/>
      <c r="D1153" s="472"/>
      <c r="E1153" s="472"/>
      <c r="F1153" s="472"/>
      <c r="G1153" s="472"/>
      <c r="H1153" s="472"/>
      <c r="I1153" s="472"/>
      <c r="J1153" s="472"/>
      <c r="K1153" s="471"/>
    </row>
    <row r="1154" spans="1:11" hidden="1">
      <c r="A1154" s="463"/>
      <c r="B1154" s="472"/>
      <c r="C1154" s="472"/>
      <c r="D1154" s="472"/>
      <c r="E1154" s="472"/>
      <c r="F1154" s="472"/>
      <c r="G1154" s="472"/>
      <c r="H1154" s="472"/>
      <c r="I1154" s="472"/>
      <c r="J1154" s="472"/>
      <c r="K1154" s="471"/>
    </row>
    <row r="1155" spans="1:11" hidden="1">
      <c r="A1155" s="463"/>
      <c r="B1155" s="472"/>
      <c r="C1155" s="472"/>
      <c r="D1155" s="472"/>
      <c r="E1155" s="472"/>
      <c r="F1155" s="472"/>
      <c r="G1155" s="472"/>
      <c r="H1155" s="472"/>
      <c r="I1155" s="472"/>
      <c r="J1155" s="472"/>
      <c r="K1155" s="471"/>
    </row>
    <row r="1156" spans="1:11" hidden="1">
      <c r="A1156" s="463"/>
      <c r="B1156" s="472"/>
      <c r="C1156" s="472"/>
      <c r="D1156" s="472"/>
      <c r="E1156" s="472"/>
      <c r="F1156" s="472"/>
      <c r="G1156" s="472"/>
      <c r="H1156" s="472"/>
      <c r="I1156" s="472"/>
      <c r="J1156" s="472"/>
      <c r="K1156" s="471"/>
    </row>
    <row r="1157" spans="1:11" hidden="1">
      <c r="A1157" s="463"/>
      <c r="B1157" s="472"/>
      <c r="C1157" s="472"/>
      <c r="D1157" s="472"/>
      <c r="E1157" s="472"/>
      <c r="F1157" s="472"/>
      <c r="G1157" s="472"/>
      <c r="H1157" s="472"/>
      <c r="I1157" s="472"/>
      <c r="J1157" s="472"/>
      <c r="K1157" s="471"/>
    </row>
    <row r="1158" spans="1:11" hidden="1">
      <c r="A1158" s="463"/>
      <c r="B1158" s="472"/>
      <c r="C1158" s="472"/>
      <c r="D1158" s="472"/>
      <c r="E1158" s="472"/>
      <c r="F1158" s="472"/>
      <c r="G1158" s="472"/>
      <c r="H1158" s="472"/>
      <c r="I1158" s="472"/>
      <c r="J1158" s="472"/>
      <c r="K1158" s="471"/>
    </row>
    <row r="1159" spans="1:11" hidden="1">
      <c r="A1159" s="463"/>
      <c r="B1159" s="472"/>
      <c r="C1159" s="472"/>
      <c r="D1159" s="472"/>
      <c r="E1159" s="472"/>
      <c r="F1159" s="472"/>
      <c r="G1159" s="472"/>
      <c r="H1159" s="472"/>
      <c r="I1159" s="472"/>
      <c r="J1159" s="472"/>
      <c r="K1159" s="471"/>
    </row>
    <row r="1160" spans="1:11" hidden="1">
      <c r="A1160" s="463"/>
      <c r="B1160" s="472"/>
      <c r="C1160" s="472"/>
      <c r="D1160" s="472"/>
      <c r="E1160" s="472"/>
      <c r="F1160" s="472"/>
      <c r="G1160" s="472"/>
      <c r="H1160" s="472"/>
      <c r="I1160" s="472"/>
      <c r="J1160" s="472"/>
      <c r="K1160" s="471"/>
    </row>
    <row r="1161" spans="1:11" hidden="1">
      <c r="A1161" s="463"/>
      <c r="B1161" s="472"/>
      <c r="C1161" s="472"/>
      <c r="D1161" s="472"/>
      <c r="E1161" s="472"/>
      <c r="F1161" s="472"/>
      <c r="G1161" s="472"/>
      <c r="H1161" s="472"/>
      <c r="I1161" s="472"/>
      <c r="J1161" s="472"/>
      <c r="K1161" s="471"/>
    </row>
    <row r="1162" spans="1:11" hidden="1">
      <c r="A1162" s="463"/>
      <c r="B1162" s="472"/>
      <c r="C1162" s="472"/>
      <c r="D1162" s="472"/>
      <c r="E1162" s="472"/>
      <c r="F1162" s="472"/>
      <c r="G1162" s="472"/>
      <c r="H1162" s="472"/>
      <c r="I1162" s="472"/>
      <c r="J1162" s="472"/>
      <c r="K1162" s="471"/>
    </row>
    <row r="1163" spans="1:11" hidden="1">
      <c r="A1163" s="463"/>
      <c r="B1163" s="472"/>
      <c r="C1163" s="472"/>
      <c r="D1163" s="472"/>
      <c r="E1163" s="472"/>
      <c r="F1163" s="472"/>
      <c r="G1163" s="472"/>
      <c r="H1163" s="472"/>
      <c r="I1163" s="472"/>
      <c r="J1163" s="472"/>
      <c r="K1163" s="471"/>
    </row>
    <row r="1164" spans="1:11" hidden="1">
      <c r="A1164" s="463"/>
      <c r="B1164" s="472"/>
      <c r="C1164" s="472"/>
      <c r="D1164" s="472"/>
      <c r="E1164" s="472"/>
      <c r="F1164" s="472"/>
      <c r="G1164" s="472"/>
      <c r="H1164" s="472"/>
      <c r="I1164" s="472"/>
      <c r="J1164" s="472"/>
      <c r="K1164" s="471"/>
    </row>
    <row r="1165" spans="1:11" hidden="1">
      <c r="A1165" s="463"/>
      <c r="B1165" s="472"/>
      <c r="C1165" s="472"/>
      <c r="D1165" s="472"/>
      <c r="E1165" s="472"/>
      <c r="F1165" s="472"/>
      <c r="G1165" s="472"/>
      <c r="H1165" s="472"/>
      <c r="I1165" s="472"/>
      <c r="J1165" s="472"/>
      <c r="K1165" s="471"/>
    </row>
    <row r="1166" spans="1:11" hidden="1">
      <c r="A1166" s="463"/>
      <c r="B1166" s="472"/>
      <c r="C1166" s="472"/>
      <c r="D1166" s="472"/>
      <c r="E1166" s="472"/>
      <c r="F1166" s="472"/>
      <c r="G1166" s="472"/>
      <c r="H1166" s="472"/>
      <c r="I1166" s="472"/>
      <c r="J1166" s="472"/>
      <c r="K1166" s="471"/>
    </row>
    <row r="1167" spans="1:11" hidden="1">
      <c r="A1167" s="463"/>
      <c r="B1167" s="472"/>
      <c r="C1167" s="472"/>
      <c r="D1167" s="472"/>
      <c r="E1167" s="472"/>
      <c r="F1167" s="472"/>
      <c r="G1167" s="472"/>
      <c r="H1167" s="472"/>
      <c r="I1167" s="472"/>
      <c r="J1167" s="472"/>
      <c r="K1167" s="471"/>
    </row>
    <row r="1168" spans="1:11" hidden="1">
      <c r="A1168" s="463"/>
      <c r="B1168" s="472"/>
      <c r="C1168" s="472"/>
      <c r="D1168" s="472"/>
      <c r="E1168" s="472"/>
      <c r="F1168" s="472"/>
      <c r="G1168" s="472"/>
      <c r="H1168" s="472"/>
      <c r="I1168" s="472"/>
      <c r="J1168" s="472"/>
      <c r="K1168" s="471"/>
    </row>
    <row r="1169" spans="1:11" hidden="1">
      <c r="A1169" s="463"/>
      <c r="B1169" s="472"/>
      <c r="C1169" s="472"/>
      <c r="D1169" s="472"/>
      <c r="E1169" s="472"/>
      <c r="F1169" s="472"/>
      <c r="G1169" s="472"/>
      <c r="H1169" s="472"/>
      <c r="I1169" s="472"/>
      <c r="J1169" s="472"/>
      <c r="K1169" s="471"/>
    </row>
    <row r="1170" spans="1:11" hidden="1">
      <c r="A1170" s="463"/>
      <c r="B1170" s="472"/>
      <c r="C1170" s="472"/>
      <c r="D1170" s="472"/>
      <c r="E1170" s="472"/>
      <c r="F1170" s="472"/>
      <c r="G1170" s="472"/>
      <c r="H1170" s="472"/>
      <c r="I1170" s="472"/>
      <c r="J1170" s="472"/>
      <c r="K1170" s="471"/>
    </row>
    <row r="1171" spans="1:11" hidden="1">
      <c r="A1171" s="463"/>
      <c r="B1171" s="472"/>
      <c r="C1171" s="472"/>
      <c r="D1171" s="472"/>
      <c r="E1171" s="472"/>
      <c r="F1171" s="472"/>
      <c r="G1171" s="472"/>
      <c r="H1171" s="472"/>
      <c r="I1171" s="472"/>
      <c r="J1171" s="472"/>
      <c r="K1171" s="471"/>
    </row>
    <row r="1172" spans="1:11" hidden="1">
      <c r="A1172" s="463"/>
      <c r="B1172" s="472"/>
      <c r="C1172" s="472"/>
      <c r="D1172" s="472"/>
      <c r="E1172" s="472"/>
      <c r="F1172" s="472"/>
      <c r="G1172" s="472"/>
      <c r="H1172" s="472"/>
      <c r="I1172" s="472"/>
      <c r="J1172" s="472"/>
      <c r="K1172" s="471"/>
    </row>
    <row r="1173" spans="1:11" hidden="1">
      <c r="A1173" s="463"/>
      <c r="B1173" s="472"/>
      <c r="C1173" s="472"/>
      <c r="D1173" s="472"/>
      <c r="E1173" s="472"/>
      <c r="F1173" s="472"/>
      <c r="G1173" s="472"/>
      <c r="H1173" s="472"/>
      <c r="I1173" s="472"/>
      <c r="J1173" s="472"/>
      <c r="K1173" s="471"/>
    </row>
    <row r="1174" spans="1:11" hidden="1">
      <c r="A1174" s="463"/>
      <c r="B1174" s="472"/>
      <c r="C1174" s="472"/>
      <c r="D1174" s="472"/>
      <c r="E1174" s="472"/>
      <c r="F1174" s="472"/>
      <c r="G1174" s="472"/>
      <c r="H1174" s="472"/>
      <c r="I1174" s="472"/>
      <c r="J1174" s="472"/>
      <c r="K1174" s="471"/>
    </row>
    <row r="1175" spans="1:11" hidden="1">
      <c r="A1175" s="463"/>
      <c r="B1175" s="472"/>
      <c r="C1175" s="472"/>
      <c r="D1175" s="472"/>
      <c r="E1175" s="472"/>
      <c r="F1175" s="472"/>
      <c r="G1175" s="472"/>
      <c r="H1175" s="472"/>
      <c r="I1175" s="472"/>
      <c r="J1175" s="472"/>
      <c r="K1175" s="471"/>
    </row>
    <row r="1176" spans="1:11" hidden="1">
      <c r="A1176" s="463"/>
      <c r="B1176" s="472"/>
      <c r="C1176" s="472"/>
      <c r="D1176" s="472"/>
      <c r="E1176" s="472"/>
      <c r="F1176" s="472"/>
      <c r="G1176" s="472"/>
      <c r="H1176" s="472"/>
      <c r="I1176" s="472"/>
      <c r="J1176" s="472"/>
      <c r="K1176" s="471"/>
    </row>
    <row r="1177" spans="1:11" hidden="1">
      <c r="A1177" s="463"/>
      <c r="B1177" s="472"/>
      <c r="C1177" s="472"/>
      <c r="D1177" s="472"/>
      <c r="E1177" s="472"/>
      <c r="F1177" s="472"/>
      <c r="G1177" s="472"/>
      <c r="H1177" s="472"/>
      <c r="I1177" s="472"/>
      <c r="J1177" s="472"/>
      <c r="K1177" s="471"/>
    </row>
    <row r="1178" spans="1:11" hidden="1">
      <c r="A1178" s="463"/>
      <c r="B1178" s="472"/>
      <c r="C1178" s="472"/>
      <c r="D1178" s="472"/>
      <c r="E1178" s="472"/>
      <c r="F1178" s="472"/>
      <c r="G1178" s="472"/>
      <c r="H1178" s="472"/>
      <c r="I1178" s="472"/>
      <c r="J1178" s="472"/>
      <c r="K1178" s="471"/>
    </row>
    <row r="1179" spans="1:11" hidden="1">
      <c r="A1179" s="463"/>
      <c r="B1179" s="472"/>
      <c r="C1179" s="472"/>
      <c r="D1179" s="472"/>
      <c r="E1179" s="472"/>
      <c r="F1179" s="472"/>
      <c r="G1179" s="472"/>
      <c r="H1179" s="472"/>
      <c r="I1179" s="472"/>
      <c r="J1179" s="472"/>
      <c r="K1179" s="471"/>
    </row>
    <row r="1180" spans="1:11" hidden="1">
      <c r="A1180" s="463"/>
      <c r="B1180" s="472"/>
      <c r="C1180" s="472"/>
      <c r="D1180" s="472"/>
      <c r="E1180" s="472"/>
      <c r="F1180" s="472"/>
      <c r="G1180" s="472"/>
      <c r="H1180" s="472"/>
      <c r="I1180" s="472"/>
      <c r="J1180" s="472"/>
      <c r="K1180" s="471"/>
    </row>
    <row r="1181" spans="1:11" hidden="1">
      <c r="A1181" s="463"/>
      <c r="B1181" s="472"/>
      <c r="C1181" s="472"/>
      <c r="D1181" s="472"/>
      <c r="E1181" s="472"/>
      <c r="F1181" s="472"/>
      <c r="G1181" s="472"/>
      <c r="H1181" s="472"/>
      <c r="I1181" s="472"/>
      <c r="J1181" s="472"/>
      <c r="K1181" s="471"/>
    </row>
    <row r="1182" spans="1:11" hidden="1">
      <c r="A1182" s="463"/>
      <c r="B1182" s="472"/>
      <c r="C1182" s="472"/>
      <c r="D1182" s="472"/>
      <c r="E1182" s="472"/>
      <c r="F1182" s="472"/>
      <c r="G1182" s="472"/>
      <c r="H1182" s="472"/>
      <c r="I1182" s="472"/>
      <c r="J1182" s="472"/>
      <c r="K1182" s="471"/>
    </row>
    <row r="1183" spans="1:11" hidden="1">
      <c r="A1183" s="463"/>
      <c r="B1183" s="472"/>
      <c r="C1183" s="472"/>
      <c r="D1183" s="472"/>
      <c r="E1183" s="472"/>
      <c r="F1183" s="472"/>
      <c r="G1183" s="472"/>
      <c r="H1183" s="472"/>
      <c r="I1183" s="472"/>
      <c r="J1183" s="472"/>
      <c r="K1183" s="471"/>
    </row>
    <row r="1184" spans="1:11" hidden="1">
      <c r="A1184" s="463"/>
      <c r="B1184" s="472"/>
      <c r="C1184" s="472"/>
      <c r="D1184" s="472"/>
      <c r="E1184" s="472"/>
      <c r="F1184" s="472"/>
      <c r="G1184" s="472"/>
      <c r="H1184" s="472"/>
      <c r="I1184" s="472"/>
      <c r="J1184" s="472"/>
      <c r="K1184" s="471"/>
    </row>
    <row r="1185" spans="1:11" hidden="1">
      <c r="A1185" s="463"/>
      <c r="B1185" s="472"/>
      <c r="C1185" s="472"/>
      <c r="D1185" s="472"/>
      <c r="E1185" s="472"/>
      <c r="F1185" s="472"/>
      <c r="G1185" s="472"/>
      <c r="H1185" s="472"/>
      <c r="I1185" s="472"/>
      <c r="J1185" s="472"/>
      <c r="K1185" s="471"/>
    </row>
    <row r="1186" spans="1:11" hidden="1">
      <c r="A1186" s="463"/>
      <c r="B1186" s="472"/>
      <c r="C1186" s="472"/>
      <c r="D1186" s="472"/>
      <c r="E1186" s="472"/>
      <c r="F1186" s="472"/>
      <c r="G1186" s="472"/>
      <c r="H1186" s="472"/>
      <c r="I1186" s="472"/>
      <c r="J1186" s="472"/>
      <c r="K1186" s="471"/>
    </row>
    <row r="1187" spans="1:11" hidden="1">
      <c r="A1187" s="463"/>
      <c r="B1187" s="472"/>
      <c r="C1187" s="472"/>
      <c r="D1187" s="472"/>
      <c r="E1187" s="472"/>
      <c r="F1187" s="472"/>
      <c r="G1187" s="472"/>
      <c r="H1187" s="472"/>
      <c r="I1187" s="472"/>
      <c r="J1187" s="472"/>
      <c r="K1187" s="471"/>
    </row>
    <row r="1188" spans="1:11" hidden="1">
      <c r="A1188" s="463"/>
      <c r="B1188" s="472"/>
      <c r="C1188" s="472"/>
      <c r="D1188" s="472"/>
      <c r="E1188" s="472"/>
      <c r="F1188" s="472"/>
      <c r="G1188" s="472"/>
      <c r="H1188" s="472"/>
      <c r="I1188" s="472"/>
      <c r="J1188" s="472"/>
      <c r="K1188" s="471"/>
    </row>
    <row r="1189" spans="1:11" hidden="1">
      <c r="A1189" s="463"/>
      <c r="B1189" s="472"/>
      <c r="C1189" s="472"/>
      <c r="D1189" s="472"/>
      <c r="E1189" s="472"/>
      <c r="F1189" s="472"/>
      <c r="G1189" s="472"/>
      <c r="H1189" s="472"/>
      <c r="I1189" s="472"/>
      <c r="J1189" s="472"/>
      <c r="K1189" s="471"/>
    </row>
    <row r="1190" spans="1:11" hidden="1">
      <c r="A1190" s="463"/>
      <c r="B1190" s="472"/>
      <c r="C1190" s="472"/>
      <c r="D1190" s="472"/>
      <c r="E1190" s="472"/>
      <c r="F1190" s="472"/>
      <c r="G1190" s="472"/>
      <c r="H1190" s="472"/>
      <c r="I1190" s="472"/>
      <c r="J1190" s="472"/>
      <c r="K1190" s="471"/>
    </row>
    <row r="1191" spans="1:11" hidden="1">
      <c r="A1191" s="463"/>
      <c r="B1191" s="472"/>
      <c r="C1191" s="472"/>
      <c r="D1191" s="472"/>
      <c r="E1191" s="472"/>
      <c r="F1191" s="472"/>
      <c r="G1191" s="472"/>
      <c r="H1191" s="472"/>
      <c r="I1191" s="472"/>
      <c r="J1191" s="472"/>
      <c r="K1191" s="471"/>
    </row>
    <row r="1192" spans="1:11" hidden="1">
      <c r="A1192" s="463"/>
      <c r="B1192" s="472"/>
      <c r="C1192" s="472"/>
      <c r="D1192" s="472"/>
      <c r="E1192" s="472"/>
      <c r="F1192" s="472"/>
      <c r="G1192" s="472"/>
      <c r="H1192" s="472"/>
      <c r="I1192" s="472"/>
      <c r="J1192" s="472"/>
      <c r="K1192" s="471"/>
    </row>
    <row r="1193" spans="1:11" hidden="1">
      <c r="A1193" s="463"/>
      <c r="B1193" s="472"/>
      <c r="C1193" s="472"/>
      <c r="D1193" s="472"/>
      <c r="E1193" s="472"/>
      <c r="F1193" s="472"/>
      <c r="G1193" s="472"/>
      <c r="H1193" s="472"/>
      <c r="I1193" s="472"/>
      <c r="J1193" s="472"/>
      <c r="K1193" s="471"/>
    </row>
    <row r="1194" spans="1:11" hidden="1">
      <c r="A1194" s="463"/>
      <c r="B1194" s="472"/>
      <c r="C1194" s="472"/>
      <c r="D1194" s="472"/>
      <c r="E1194" s="472"/>
      <c r="F1194" s="472"/>
      <c r="G1194" s="472"/>
      <c r="H1194" s="472"/>
      <c r="I1194" s="472"/>
      <c r="J1194" s="472"/>
      <c r="K1194" s="471"/>
    </row>
    <row r="1195" spans="1:11" hidden="1">
      <c r="A1195" s="463"/>
      <c r="B1195" s="472"/>
      <c r="C1195" s="472"/>
      <c r="D1195" s="472"/>
      <c r="E1195" s="472"/>
      <c r="F1195" s="472"/>
      <c r="G1195" s="472"/>
      <c r="H1195" s="472"/>
      <c r="I1195" s="472"/>
      <c r="J1195" s="472"/>
      <c r="K1195" s="471"/>
    </row>
    <row r="1196" spans="1:11" hidden="1">
      <c r="A1196" s="463"/>
      <c r="B1196" s="472"/>
      <c r="C1196" s="472"/>
      <c r="D1196" s="472"/>
      <c r="E1196" s="472"/>
      <c r="F1196" s="472"/>
      <c r="G1196" s="472"/>
      <c r="H1196" s="472"/>
      <c r="I1196" s="472"/>
      <c r="J1196" s="472"/>
      <c r="K1196" s="471"/>
    </row>
    <row r="1197" spans="1:11" hidden="1">
      <c r="A1197" s="463"/>
      <c r="B1197" s="472"/>
      <c r="C1197" s="472"/>
      <c r="D1197" s="472"/>
      <c r="E1197" s="472"/>
      <c r="F1197" s="472"/>
      <c r="G1197" s="472"/>
      <c r="H1197" s="472"/>
      <c r="I1197" s="472"/>
      <c r="J1197" s="472"/>
      <c r="K1197" s="471"/>
    </row>
    <row r="1198" spans="1:11" hidden="1">
      <c r="A1198" s="463"/>
      <c r="B1198" s="472"/>
      <c r="C1198" s="472"/>
      <c r="D1198" s="472"/>
      <c r="E1198" s="472"/>
      <c r="F1198" s="472"/>
      <c r="G1198" s="472"/>
      <c r="H1198" s="472"/>
      <c r="I1198" s="472"/>
      <c r="J1198" s="472"/>
      <c r="K1198" s="471"/>
    </row>
    <row r="1199" spans="1:11" hidden="1">
      <c r="A1199" s="463"/>
      <c r="B1199" s="472"/>
      <c r="C1199" s="472"/>
      <c r="D1199" s="472"/>
      <c r="E1199" s="472"/>
      <c r="F1199" s="472"/>
      <c r="G1199" s="472"/>
      <c r="H1199" s="472"/>
      <c r="I1199" s="472"/>
      <c r="J1199" s="472"/>
      <c r="K1199" s="471"/>
    </row>
    <row r="1200" spans="1:11" hidden="1">
      <c r="A1200" s="463"/>
      <c r="B1200" s="472"/>
      <c r="C1200" s="472"/>
      <c r="D1200" s="472"/>
      <c r="E1200" s="472"/>
      <c r="F1200" s="472"/>
      <c r="G1200" s="472"/>
      <c r="H1200" s="472"/>
      <c r="I1200" s="472"/>
      <c r="J1200" s="472"/>
      <c r="K1200" s="471"/>
    </row>
    <row r="1201" spans="1:11" hidden="1">
      <c r="A1201" s="463"/>
      <c r="B1201" s="472"/>
      <c r="C1201" s="472"/>
      <c r="D1201" s="472"/>
      <c r="E1201" s="472"/>
      <c r="F1201" s="472"/>
      <c r="G1201" s="472"/>
      <c r="H1201" s="472"/>
      <c r="I1201" s="472"/>
      <c r="J1201" s="472"/>
      <c r="K1201" s="471"/>
    </row>
    <row r="1202" spans="1:11" hidden="1">
      <c r="A1202" s="463"/>
      <c r="B1202" s="472"/>
      <c r="C1202" s="472"/>
      <c r="D1202" s="472"/>
      <c r="E1202" s="472"/>
      <c r="F1202" s="472"/>
      <c r="G1202" s="472"/>
      <c r="H1202" s="472"/>
      <c r="I1202" s="472"/>
      <c r="J1202" s="472"/>
      <c r="K1202" s="471"/>
    </row>
    <row r="1203" spans="1:11" hidden="1">
      <c r="A1203" s="463"/>
      <c r="B1203" s="472"/>
      <c r="C1203" s="472"/>
      <c r="D1203" s="472"/>
      <c r="E1203" s="472"/>
      <c r="F1203" s="472"/>
      <c r="G1203" s="472"/>
      <c r="H1203" s="472"/>
      <c r="I1203" s="472"/>
      <c r="J1203" s="472"/>
      <c r="K1203" s="471"/>
    </row>
    <row r="1204" spans="1:11" hidden="1">
      <c r="A1204" s="463"/>
      <c r="B1204" s="472"/>
      <c r="C1204" s="472"/>
      <c r="D1204" s="472"/>
      <c r="E1204" s="472"/>
      <c r="F1204" s="472"/>
      <c r="G1204" s="472"/>
      <c r="H1204" s="472"/>
      <c r="I1204" s="472"/>
      <c r="J1204" s="472"/>
      <c r="K1204" s="471"/>
    </row>
    <row r="1205" spans="1:11" hidden="1">
      <c r="A1205" s="463"/>
      <c r="B1205" s="472"/>
      <c r="C1205" s="472"/>
      <c r="D1205" s="472"/>
      <c r="E1205" s="472"/>
      <c r="F1205" s="472"/>
      <c r="G1205" s="472"/>
      <c r="H1205" s="472"/>
      <c r="I1205" s="472"/>
      <c r="J1205" s="472"/>
      <c r="K1205" s="471"/>
    </row>
    <row r="1206" spans="1:11" hidden="1">
      <c r="A1206" s="463"/>
      <c r="B1206" s="472"/>
      <c r="C1206" s="472"/>
      <c r="D1206" s="472"/>
      <c r="E1206" s="472"/>
      <c r="F1206" s="472"/>
      <c r="G1206" s="472"/>
      <c r="H1206" s="472"/>
      <c r="I1206" s="472"/>
      <c r="J1206" s="472"/>
      <c r="K1206" s="471"/>
    </row>
    <row r="1207" spans="1:11" hidden="1">
      <c r="A1207" s="463"/>
      <c r="B1207" s="472"/>
      <c r="C1207" s="472"/>
      <c r="D1207" s="472"/>
      <c r="E1207" s="472"/>
      <c r="F1207" s="472"/>
      <c r="G1207" s="472"/>
      <c r="H1207" s="472"/>
      <c r="I1207" s="472"/>
      <c r="J1207" s="472"/>
      <c r="K1207" s="471"/>
    </row>
    <row r="1208" spans="1:11" hidden="1">
      <c r="A1208" s="463"/>
      <c r="B1208" s="472"/>
      <c r="C1208" s="472"/>
      <c r="D1208" s="472"/>
      <c r="E1208" s="472"/>
      <c r="F1208" s="472"/>
      <c r="G1208" s="472"/>
      <c r="H1208" s="472"/>
      <c r="I1208" s="472"/>
      <c r="J1208" s="472"/>
      <c r="K1208" s="471"/>
    </row>
    <row r="1209" spans="1:11" hidden="1">
      <c r="A1209" s="463"/>
      <c r="B1209" s="472"/>
      <c r="C1209" s="472"/>
      <c r="D1209" s="472"/>
      <c r="E1209" s="472"/>
      <c r="F1209" s="472"/>
      <c r="G1209" s="472"/>
      <c r="H1209" s="472"/>
      <c r="I1209" s="472"/>
      <c r="J1209" s="472"/>
      <c r="K1209" s="471"/>
    </row>
    <row r="1210" spans="1:11" hidden="1">
      <c r="A1210" s="463"/>
      <c r="B1210" s="472"/>
      <c r="C1210" s="472"/>
      <c r="D1210" s="472"/>
      <c r="E1210" s="472"/>
      <c r="F1210" s="472"/>
      <c r="G1210" s="472"/>
      <c r="H1210" s="472"/>
      <c r="I1210" s="472"/>
      <c r="J1210" s="472"/>
      <c r="K1210" s="471"/>
    </row>
    <row r="1211" spans="1:11" hidden="1">
      <c r="A1211" s="463"/>
      <c r="B1211" s="472"/>
      <c r="C1211" s="472"/>
      <c r="D1211" s="472"/>
      <c r="E1211" s="472"/>
      <c r="F1211" s="472"/>
      <c r="G1211" s="472"/>
      <c r="H1211" s="472"/>
      <c r="I1211" s="472"/>
      <c r="J1211" s="472"/>
      <c r="K1211" s="471"/>
    </row>
    <row r="1212" spans="1:11" hidden="1">
      <c r="A1212" s="463"/>
      <c r="B1212" s="472"/>
      <c r="C1212" s="472"/>
      <c r="D1212" s="472"/>
      <c r="E1212" s="472"/>
      <c r="F1212" s="472"/>
      <c r="G1212" s="472"/>
      <c r="H1212" s="472"/>
      <c r="I1212" s="472"/>
      <c r="J1212" s="472"/>
      <c r="K1212" s="471"/>
    </row>
    <row r="1213" spans="1:11" hidden="1">
      <c r="A1213" s="463"/>
      <c r="B1213" s="472"/>
      <c r="C1213" s="472"/>
      <c r="D1213" s="472"/>
      <c r="E1213" s="472"/>
      <c r="F1213" s="472"/>
      <c r="G1213" s="472"/>
      <c r="H1213" s="472"/>
      <c r="I1213" s="472"/>
      <c r="J1213" s="472"/>
      <c r="K1213" s="471"/>
    </row>
    <row r="1214" spans="1:11" hidden="1">
      <c r="A1214" s="463"/>
      <c r="B1214" s="472"/>
      <c r="C1214" s="472"/>
      <c r="D1214" s="472"/>
      <c r="E1214" s="472"/>
      <c r="F1214" s="472"/>
      <c r="G1214" s="472"/>
      <c r="H1214" s="472"/>
      <c r="I1214" s="472"/>
      <c r="J1214" s="472"/>
      <c r="K1214" s="471"/>
    </row>
    <row r="1215" spans="1:11" hidden="1">
      <c r="A1215" s="463"/>
      <c r="B1215" s="472"/>
      <c r="C1215" s="472"/>
      <c r="D1215" s="472"/>
      <c r="E1215" s="472"/>
      <c r="F1215" s="472"/>
      <c r="G1215" s="472"/>
      <c r="H1215" s="472"/>
      <c r="I1215" s="472"/>
      <c r="J1215" s="472"/>
      <c r="K1215" s="471"/>
    </row>
    <row r="1216" spans="1:11" hidden="1">
      <c r="A1216" s="463"/>
      <c r="B1216" s="472"/>
      <c r="C1216" s="472"/>
      <c r="D1216" s="472"/>
      <c r="E1216" s="472"/>
      <c r="F1216" s="472"/>
      <c r="G1216" s="472"/>
      <c r="H1216" s="472"/>
      <c r="I1216" s="472"/>
      <c r="J1216" s="472"/>
      <c r="K1216" s="471"/>
    </row>
    <row r="1217" spans="1:11" hidden="1">
      <c r="A1217" s="463"/>
      <c r="B1217" s="472"/>
      <c r="C1217" s="472"/>
      <c r="D1217" s="472"/>
      <c r="E1217" s="472"/>
      <c r="F1217" s="472"/>
      <c r="G1217" s="472"/>
      <c r="H1217" s="472"/>
      <c r="I1217" s="472"/>
      <c r="J1217" s="472"/>
      <c r="K1217" s="471"/>
    </row>
    <row r="1218" spans="1:11" hidden="1">
      <c r="A1218" s="463"/>
      <c r="B1218" s="472"/>
      <c r="C1218" s="472"/>
      <c r="D1218" s="472"/>
      <c r="E1218" s="472"/>
      <c r="F1218" s="472"/>
      <c r="G1218" s="472"/>
      <c r="H1218" s="472"/>
      <c r="I1218" s="472"/>
      <c r="J1218" s="472"/>
      <c r="K1218" s="471"/>
    </row>
    <row r="1219" spans="1:11" hidden="1">
      <c r="A1219" s="463"/>
      <c r="B1219" s="472"/>
      <c r="C1219" s="472"/>
      <c r="D1219" s="472"/>
      <c r="E1219" s="472"/>
      <c r="F1219" s="472"/>
      <c r="G1219" s="472"/>
      <c r="H1219" s="472"/>
      <c r="I1219" s="472"/>
      <c r="J1219" s="472"/>
      <c r="K1219" s="471"/>
    </row>
    <row r="1220" spans="1:11" hidden="1">
      <c r="A1220" s="463"/>
      <c r="B1220" s="472"/>
      <c r="C1220" s="472"/>
      <c r="D1220" s="472"/>
      <c r="E1220" s="472"/>
      <c r="F1220" s="472"/>
      <c r="G1220" s="472"/>
      <c r="H1220" s="472"/>
      <c r="I1220" s="472"/>
      <c r="J1220" s="472"/>
      <c r="K1220" s="471"/>
    </row>
    <row r="1221" spans="1:11" hidden="1">
      <c r="A1221" s="463"/>
      <c r="B1221" s="472"/>
      <c r="C1221" s="472"/>
      <c r="D1221" s="472"/>
      <c r="E1221" s="472"/>
      <c r="F1221" s="472"/>
      <c r="G1221" s="472"/>
      <c r="H1221" s="472"/>
      <c r="I1221" s="472"/>
      <c r="J1221" s="472"/>
      <c r="K1221" s="471"/>
    </row>
    <row r="1222" spans="1:11" hidden="1">
      <c r="A1222" s="463"/>
      <c r="B1222" s="472"/>
      <c r="C1222" s="472"/>
      <c r="D1222" s="472"/>
      <c r="E1222" s="472"/>
      <c r="F1222" s="472"/>
      <c r="G1222" s="472"/>
      <c r="H1222" s="472"/>
      <c r="I1222" s="472"/>
      <c r="J1222" s="472"/>
      <c r="K1222" s="471"/>
    </row>
    <row r="1223" spans="1:11" hidden="1">
      <c r="A1223" s="463"/>
      <c r="B1223" s="472"/>
      <c r="C1223" s="472"/>
      <c r="D1223" s="472"/>
      <c r="E1223" s="472"/>
      <c r="F1223" s="472"/>
      <c r="G1223" s="472"/>
      <c r="H1223" s="472"/>
      <c r="I1223" s="472"/>
      <c r="J1223" s="472"/>
      <c r="K1223" s="471"/>
    </row>
    <row r="1224" spans="1:11" hidden="1">
      <c r="A1224" s="463"/>
      <c r="B1224" s="472"/>
      <c r="C1224" s="472"/>
      <c r="D1224" s="472"/>
      <c r="E1224" s="472"/>
      <c r="F1224" s="472"/>
      <c r="G1224" s="472"/>
      <c r="H1224" s="472"/>
      <c r="I1224" s="472"/>
      <c r="J1224" s="472"/>
      <c r="K1224" s="471"/>
    </row>
    <row r="1225" spans="1:11" hidden="1">
      <c r="A1225" s="463"/>
      <c r="B1225" s="472"/>
      <c r="C1225" s="472"/>
      <c r="D1225" s="472"/>
      <c r="E1225" s="472"/>
      <c r="F1225" s="472"/>
      <c r="G1225" s="472"/>
      <c r="H1225" s="472"/>
      <c r="I1225" s="472"/>
      <c r="J1225" s="472"/>
      <c r="K1225" s="471"/>
    </row>
    <row r="1226" spans="1:11" hidden="1">
      <c r="A1226" s="463"/>
      <c r="B1226" s="472"/>
      <c r="C1226" s="472"/>
      <c r="D1226" s="472"/>
      <c r="E1226" s="472"/>
      <c r="F1226" s="472"/>
      <c r="G1226" s="472"/>
      <c r="H1226" s="472"/>
      <c r="I1226" s="472"/>
      <c r="J1226" s="472"/>
      <c r="K1226" s="471"/>
    </row>
    <row r="1227" spans="1:11" hidden="1">
      <c r="A1227" s="463"/>
      <c r="B1227" s="472"/>
      <c r="C1227" s="472"/>
      <c r="D1227" s="472"/>
      <c r="E1227" s="472"/>
      <c r="F1227" s="472"/>
      <c r="G1227" s="472"/>
      <c r="H1227" s="472"/>
      <c r="I1227" s="472"/>
      <c r="J1227" s="472"/>
      <c r="K1227" s="471"/>
    </row>
    <row r="1228" spans="1:11" hidden="1">
      <c r="A1228" s="463"/>
      <c r="B1228" s="472"/>
      <c r="C1228" s="472"/>
      <c r="D1228" s="472"/>
      <c r="E1228" s="472"/>
      <c r="F1228" s="472"/>
      <c r="G1228" s="472"/>
      <c r="H1228" s="472"/>
      <c r="I1228" s="472"/>
      <c r="J1228" s="472"/>
      <c r="K1228" s="471"/>
    </row>
    <row r="1229" spans="1:11" hidden="1">
      <c r="A1229" s="463"/>
      <c r="B1229" s="472"/>
      <c r="C1229" s="472"/>
      <c r="D1229" s="472"/>
      <c r="E1229" s="472"/>
      <c r="F1229" s="472"/>
      <c r="G1229" s="472"/>
      <c r="H1229" s="472"/>
      <c r="I1229" s="472"/>
      <c r="J1229" s="472"/>
      <c r="K1229" s="471"/>
    </row>
    <row r="1230" spans="1:11" hidden="1">
      <c r="A1230" s="463"/>
      <c r="B1230" s="472"/>
      <c r="C1230" s="472"/>
      <c r="D1230" s="472"/>
      <c r="E1230" s="472"/>
      <c r="F1230" s="472"/>
      <c r="G1230" s="472"/>
      <c r="H1230" s="472"/>
      <c r="I1230" s="472"/>
      <c r="J1230" s="472"/>
      <c r="K1230" s="471"/>
    </row>
    <row r="1231" spans="1:11" hidden="1">
      <c r="A1231" s="463"/>
      <c r="B1231" s="472"/>
      <c r="C1231" s="472"/>
      <c r="D1231" s="472"/>
      <c r="E1231" s="472"/>
      <c r="F1231" s="472"/>
      <c r="G1231" s="472"/>
      <c r="H1231" s="472"/>
      <c r="I1231" s="472"/>
      <c r="J1231" s="472"/>
      <c r="K1231" s="471"/>
    </row>
    <row r="1232" spans="1:11" hidden="1">
      <c r="A1232" s="463"/>
      <c r="B1232" s="472"/>
      <c r="C1232" s="472"/>
      <c r="D1232" s="472"/>
      <c r="E1232" s="472"/>
      <c r="F1232" s="472"/>
      <c r="G1232" s="472"/>
      <c r="H1232" s="472"/>
      <c r="I1232" s="472"/>
      <c r="J1232" s="472"/>
      <c r="K1232" s="471"/>
    </row>
    <row r="1233" spans="1:11" hidden="1">
      <c r="A1233" s="463"/>
      <c r="B1233" s="472"/>
      <c r="C1233" s="472"/>
      <c r="D1233" s="472"/>
      <c r="E1233" s="472"/>
      <c r="F1233" s="472"/>
      <c r="G1233" s="472"/>
      <c r="H1233" s="472"/>
      <c r="I1233" s="472"/>
      <c r="J1233" s="472"/>
      <c r="K1233" s="471"/>
    </row>
    <row r="1234" spans="1:11" hidden="1">
      <c r="A1234" s="463"/>
      <c r="B1234" s="472"/>
      <c r="C1234" s="472"/>
      <c r="D1234" s="472"/>
      <c r="E1234" s="472"/>
      <c r="F1234" s="472"/>
      <c r="G1234" s="472"/>
      <c r="H1234" s="472"/>
      <c r="I1234" s="472"/>
      <c r="J1234" s="472"/>
      <c r="K1234" s="471"/>
    </row>
    <row r="1235" spans="1:11" hidden="1">
      <c r="A1235" s="463"/>
      <c r="B1235" s="472"/>
      <c r="C1235" s="472"/>
      <c r="D1235" s="472"/>
      <c r="E1235" s="472"/>
      <c r="F1235" s="472"/>
      <c r="G1235" s="472"/>
      <c r="H1235" s="472"/>
      <c r="I1235" s="472"/>
      <c r="J1235" s="472"/>
      <c r="K1235" s="471"/>
    </row>
    <row r="1236" spans="1:11" hidden="1">
      <c r="A1236" s="463"/>
      <c r="B1236" s="472"/>
      <c r="C1236" s="472"/>
      <c r="D1236" s="472"/>
      <c r="E1236" s="472"/>
      <c r="F1236" s="472"/>
      <c r="G1236" s="472"/>
      <c r="H1236" s="472"/>
      <c r="I1236" s="472"/>
      <c r="J1236" s="472"/>
      <c r="K1236" s="471"/>
    </row>
    <row r="1237" spans="1:11" hidden="1">
      <c r="A1237" s="463"/>
      <c r="B1237" s="472"/>
      <c r="C1237" s="472"/>
      <c r="D1237" s="472"/>
      <c r="E1237" s="472"/>
      <c r="F1237" s="472"/>
      <c r="G1237" s="472"/>
      <c r="H1237" s="472"/>
      <c r="I1237" s="472"/>
      <c r="J1237" s="472"/>
      <c r="K1237" s="471"/>
    </row>
    <row r="1238" spans="1:11" hidden="1">
      <c r="A1238" s="463"/>
      <c r="B1238" s="472"/>
      <c r="C1238" s="472"/>
      <c r="D1238" s="472"/>
      <c r="E1238" s="472"/>
      <c r="F1238" s="472"/>
      <c r="G1238" s="472"/>
      <c r="H1238" s="472"/>
      <c r="I1238" s="472"/>
      <c r="J1238" s="472"/>
      <c r="K1238" s="471"/>
    </row>
    <row r="1239" spans="1:11" hidden="1">
      <c r="A1239" s="463"/>
      <c r="B1239" s="472"/>
      <c r="C1239" s="472"/>
      <c r="D1239" s="472"/>
      <c r="E1239" s="472"/>
      <c r="F1239" s="472"/>
      <c r="G1239" s="472"/>
      <c r="H1239" s="472"/>
      <c r="I1239" s="472"/>
      <c r="J1239" s="472"/>
      <c r="K1239" s="471"/>
    </row>
    <row r="1240" spans="1:11" hidden="1">
      <c r="A1240" s="463"/>
      <c r="B1240" s="472"/>
      <c r="C1240" s="472"/>
      <c r="D1240" s="472"/>
      <c r="E1240" s="472"/>
      <c r="F1240" s="472"/>
      <c r="G1240" s="472"/>
      <c r="H1240" s="472"/>
      <c r="I1240" s="472"/>
      <c r="J1240" s="472"/>
      <c r="K1240" s="471"/>
    </row>
    <row r="1241" spans="1:11" hidden="1">
      <c r="A1241" s="463"/>
      <c r="B1241" s="472"/>
      <c r="C1241" s="472"/>
      <c r="D1241" s="472"/>
      <c r="E1241" s="472"/>
      <c r="F1241" s="472"/>
      <c r="G1241" s="472"/>
      <c r="H1241" s="472"/>
      <c r="I1241" s="472"/>
      <c r="J1241" s="472"/>
      <c r="K1241" s="471"/>
    </row>
    <row r="1242" spans="1:11" hidden="1">
      <c r="A1242" s="463"/>
      <c r="B1242" s="472"/>
      <c r="C1242" s="472"/>
      <c r="D1242" s="472"/>
      <c r="E1242" s="472"/>
      <c r="F1242" s="472"/>
      <c r="G1242" s="472"/>
      <c r="H1242" s="472"/>
      <c r="I1242" s="472"/>
      <c r="J1242" s="472"/>
      <c r="K1242" s="471"/>
    </row>
    <row r="1243" spans="1:11" hidden="1">
      <c r="A1243" s="463"/>
      <c r="B1243" s="472"/>
      <c r="C1243" s="472"/>
      <c r="D1243" s="472"/>
      <c r="E1243" s="472"/>
      <c r="F1243" s="472"/>
      <c r="G1243" s="472"/>
      <c r="H1243" s="472"/>
      <c r="I1243" s="472"/>
      <c r="J1243" s="472"/>
      <c r="K1243" s="471"/>
    </row>
    <row r="1244" spans="1:11" hidden="1">
      <c r="A1244" s="463"/>
      <c r="B1244" s="472"/>
      <c r="C1244" s="472"/>
      <c r="D1244" s="472"/>
      <c r="E1244" s="472"/>
      <c r="F1244" s="472"/>
      <c r="G1244" s="472"/>
      <c r="H1244" s="472"/>
      <c r="I1244" s="472"/>
      <c r="J1244" s="472"/>
      <c r="K1244" s="471"/>
    </row>
    <row r="1245" spans="1:11" hidden="1">
      <c r="A1245" s="463"/>
      <c r="B1245" s="472"/>
      <c r="C1245" s="472"/>
      <c r="D1245" s="472"/>
      <c r="E1245" s="472"/>
      <c r="F1245" s="472"/>
      <c r="G1245" s="472"/>
      <c r="H1245" s="472"/>
      <c r="I1245" s="472"/>
      <c r="J1245" s="472"/>
      <c r="K1245" s="471"/>
    </row>
    <row r="1246" spans="1:11" hidden="1">
      <c r="A1246" s="463"/>
      <c r="B1246" s="472"/>
      <c r="C1246" s="472"/>
      <c r="D1246" s="472"/>
      <c r="E1246" s="472"/>
      <c r="F1246" s="472"/>
      <c r="G1246" s="472"/>
      <c r="H1246" s="472"/>
      <c r="I1246" s="472"/>
      <c r="J1246" s="472"/>
      <c r="K1246" s="471"/>
    </row>
    <row r="1247" spans="1:11" hidden="1">
      <c r="A1247" s="463"/>
      <c r="B1247" s="472"/>
      <c r="C1247" s="472"/>
      <c r="D1247" s="472"/>
      <c r="E1247" s="472"/>
      <c r="F1247" s="472"/>
      <c r="G1247" s="472"/>
      <c r="H1247" s="472"/>
      <c r="I1247" s="472"/>
      <c r="J1247" s="472"/>
      <c r="K1247" s="471"/>
    </row>
    <row r="1248" spans="1:11" hidden="1">
      <c r="A1248" s="463"/>
      <c r="B1248" s="472"/>
      <c r="C1248" s="472"/>
      <c r="D1248" s="472"/>
      <c r="E1248" s="472"/>
      <c r="F1248" s="472"/>
      <c r="G1248" s="472"/>
      <c r="H1248" s="472"/>
      <c r="I1248" s="472"/>
      <c r="J1248" s="472"/>
      <c r="K1248" s="471"/>
    </row>
    <row r="1249" spans="1:11" ht="15" hidden="1" thickBot="1">
      <c r="A1249" s="463"/>
      <c r="B1249" s="472"/>
      <c r="C1249" s="472"/>
      <c r="D1249" s="472"/>
      <c r="E1249" s="472"/>
      <c r="F1249" s="472"/>
      <c r="G1249" s="472"/>
      <c r="H1249" s="472"/>
      <c r="I1249" s="472"/>
      <c r="J1249" s="472"/>
      <c r="K1249" s="471"/>
    </row>
    <row r="1250" spans="1:11" hidden="1">
      <c r="A1250" s="460"/>
      <c r="B1250" s="461"/>
      <c r="C1250" s="461"/>
      <c r="D1250" s="461"/>
      <c r="E1250" s="461"/>
      <c r="F1250" s="461"/>
      <c r="G1250" s="461"/>
      <c r="H1250" s="461"/>
      <c r="I1250" s="461"/>
      <c r="J1250" s="461"/>
      <c r="K1250" s="462"/>
    </row>
    <row r="1251" spans="1:11" hidden="1">
      <c r="A1251" s="463"/>
      <c r="B1251" s="464" t="s">
        <v>178</v>
      </c>
      <c r="C1251" s="465"/>
      <c r="D1251" s="466" t="s">
        <v>936</v>
      </c>
      <c r="E1251" s="467"/>
      <c r="F1251" s="468"/>
      <c r="G1251" s="468"/>
      <c r="H1251" s="469"/>
      <c r="I1251" s="469"/>
      <c r="J1251" s="470"/>
      <c r="K1251" s="471"/>
    </row>
    <row r="1252" spans="1:11" hidden="1">
      <c r="A1252" s="463"/>
      <c r="B1252" s="472"/>
      <c r="C1252" s="472"/>
      <c r="D1252" s="472"/>
      <c r="E1252" s="472"/>
      <c r="F1252" s="472"/>
      <c r="G1252" s="472"/>
      <c r="H1252" s="472"/>
      <c r="I1252" s="472"/>
      <c r="J1252" s="472"/>
      <c r="K1252" s="471"/>
    </row>
    <row r="1253" spans="1:11" hidden="1">
      <c r="A1253" s="463"/>
      <c r="B1253" s="473" t="s">
        <v>1277</v>
      </c>
      <c r="C1253" s="474" t="s">
        <v>937</v>
      </c>
      <c r="D1253" s="1497" t="s">
        <v>250</v>
      </c>
      <c r="E1253" s="1498"/>
      <c r="F1253" s="1498"/>
      <c r="G1253" s="1498"/>
      <c r="H1253" s="1498"/>
      <c r="I1253" s="1499"/>
      <c r="J1253" s="475" t="s">
        <v>267</v>
      </c>
      <c r="K1253" s="471"/>
    </row>
    <row r="1254" spans="1:11" hidden="1">
      <c r="A1254" s="463"/>
      <c r="B1254" s="476" t="s">
        <v>3</v>
      </c>
      <c r="C1254" s="477">
        <f ca="1">TODAY()</f>
        <v>46140</v>
      </c>
      <c r="D1254" s="681" t="s">
        <v>1274</v>
      </c>
      <c r="E1254" s="479"/>
      <c r="F1254" s="479"/>
      <c r="G1254" s="479"/>
      <c r="H1254" s="479"/>
      <c r="I1254" s="480"/>
      <c r="J1254" s="481" t="str">
        <f>F1272</f>
        <v>M</v>
      </c>
      <c r="K1254" s="471"/>
    </row>
    <row r="1255" spans="1:11" hidden="1">
      <c r="A1255" s="463"/>
      <c r="B1255" s="482"/>
      <c r="C1255" s="482"/>
      <c r="D1255" s="482"/>
      <c r="E1255" s="482"/>
      <c r="F1255" s="482"/>
      <c r="G1255" s="482"/>
      <c r="H1255" s="482"/>
      <c r="I1255" s="483"/>
      <c r="J1255" s="484"/>
      <c r="K1255" s="471"/>
    </row>
    <row r="1256" spans="1:11" hidden="1">
      <c r="A1256" s="463"/>
      <c r="B1256" s="1484" t="s">
        <v>938</v>
      </c>
      <c r="C1256" s="1486"/>
      <c r="D1256" s="1502" t="s">
        <v>688</v>
      </c>
      <c r="E1256" s="1504" t="s">
        <v>939</v>
      </c>
      <c r="F1256" s="485" t="s">
        <v>940</v>
      </c>
      <c r="G1256" s="486"/>
      <c r="H1256" s="485" t="s">
        <v>941</v>
      </c>
      <c r="I1256" s="486"/>
      <c r="J1256" s="487" t="s">
        <v>942</v>
      </c>
      <c r="K1256" s="471"/>
    </row>
    <row r="1257" spans="1:11" hidden="1">
      <c r="A1257" s="463"/>
      <c r="B1257" s="1500"/>
      <c r="C1257" s="1501"/>
      <c r="D1257" s="1503"/>
      <c r="E1257" s="1505"/>
      <c r="F1257" s="488" t="s">
        <v>943</v>
      </c>
      <c r="G1257" s="488" t="s">
        <v>944</v>
      </c>
      <c r="H1257" s="488" t="s">
        <v>943</v>
      </c>
      <c r="I1257" s="489" t="s">
        <v>944</v>
      </c>
      <c r="J1257" s="490" t="s">
        <v>945</v>
      </c>
      <c r="K1257" s="471"/>
    </row>
    <row r="1258" spans="1:11" hidden="1">
      <c r="A1258" s="463"/>
      <c r="B1258" s="491" t="s">
        <v>400</v>
      </c>
      <c r="C1258" s="492"/>
      <c r="D1258" s="872"/>
      <c r="E1258" s="494">
        <v>1</v>
      </c>
      <c r="F1258" s="494">
        <v>1</v>
      </c>
      <c r="G1258" s="495">
        <f>1-F1258</f>
        <v>0</v>
      </c>
      <c r="H1258" s="496">
        <f>VLOOKUP(B1258,EQUIPAMENTOS!$A:$J,10,FALSE)</f>
        <v>40</v>
      </c>
      <c r="I1258" s="497">
        <f>H1258</f>
        <v>40</v>
      </c>
      <c r="J1258" s="498">
        <f>H1258*F1258*E1258+I1258*G1258*E1258</f>
        <v>40</v>
      </c>
      <c r="K1258" s="471"/>
    </row>
    <row r="1259" spans="1:11" hidden="1">
      <c r="A1259" s="463"/>
      <c r="B1259" s="499"/>
      <c r="C1259" s="500"/>
      <c r="D1259" s="501"/>
      <c r="E1259" s="502"/>
      <c r="F1259" s="502"/>
      <c r="G1259" s="502"/>
      <c r="H1259" s="503"/>
      <c r="I1259" s="504"/>
      <c r="J1259" s="505"/>
      <c r="K1259" s="471"/>
    </row>
    <row r="1260" spans="1:11" hidden="1">
      <c r="A1260" s="463"/>
      <c r="B1260" s="499"/>
      <c r="C1260" s="500"/>
      <c r="D1260" s="501"/>
      <c r="E1260" s="502"/>
      <c r="F1260" s="502"/>
      <c r="G1260" s="502"/>
      <c r="H1260" s="503"/>
      <c r="I1260" s="504"/>
      <c r="J1260" s="505">
        <f>H1260*F1260*E1260+I1260*G1260*E1260</f>
        <v>0</v>
      </c>
      <c r="K1260" s="471"/>
    </row>
    <row r="1261" spans="1:11" hidden="1">
      <c r="A1261" s="463"/>
      <c r="B1261" s="499"/>
      <c r="C1261" s="500"/>
      <c r="D1261" s="501"/>
      <c r="E1261" s="502"/>
      <c r="F1261" s="502"/>
      <c r="G1261" s="502"/>
      <c r="H1261" s="503"/>
      <c r="I1261" s="504"/>
      <c r="J1261" s="505">
        <f>H1261*F1261*E1261+I1261*G1261*E1261</f>
        <v>0</v>
      </c>
      <c r="K1261" s="471"/>
    </row>
    <row r="1262" spans="1:11" hidden="1">
      <c r="A1262" s="463"/>
      <c r="B1262" s="506"/>
      <c r="C1262" s="507"/>
      <c r="D1262" s="508"/>
      <c r="E1262" s="509"/>
      <c r="F1262" s="509"/>
      <c r="G1262" s="509"/>
      <c r="H1262" s="510"/>
      <c r="I1262" s="511"/>
      <c r="J1262" s="505">
        <f>H1262*F1262*E1262+I1262*G1262*E1262</f>
        <v>0</v>
      </c>
      <c r="K1262" s="471"/>
    </row>
    <row r="1263" spans="1:11" hidden="1">
      <c r="A1263" s="463"/>
      <c r="B1263" s="512" t="s">
        <v>946</v>
      </c>
      <c r="C1263" s="482"/>
      <c r="D1263" s="482"/>
      <c r="E1263" s="482"/>
      <c r="F1263" s="482"/>
      <c r="G1263" s="482"/>
      <c r="H1263" s="482"/>
      <c r="I1263" s="513" t="s">
        <v>175</v>
      </c>
      <c r="J1263" s="514">
        <f>SUM(J1258:J1262)</f>
        <v>40</v>
      </c>
      <c r="K1263" s="471"/>
    </row>
    <row r="1264" spans="1:11" hidden="1">
      <c r="A1264" s="463"/>
      <c r="B1264" s="515"/>
      <c r="C1264" s="515"/>
      <c r="D1264" s="515"/>
      <c r="E1264" s="515"/>
      <c r="F1264" s="515"/>
      <c r="G1264" s="515"/>
      <c r="H1264" s="515"/>
      <c r="I1264" s="516"/>
      <c r="J1264" s="517"/>
      <c r="K1264" s="471"/>
    </row>
    <row r="1265" spans="1:12" ht="20.399999999999999" hidden="1">
      <c r="A1265" s="463"/>
      <c r="B1265" s="1490" t="s">
        <v>947</v>
      </c>
      <c r="C1265" s="1491"/>
      <c r="D1265" s="1491"/>
      <c r="E1265" s="1492"/>
      <c r="F1265" s="725" t="s">
        <v>688</v>
      </c>
      <c r="G1265" s="853"/>
      <c r="H1265" s="520" t="s">
        <v>427</v>
      </c>
      <c r="I1265" s="521" t="s">
        <v>948</v>
      </c>
      <c r="J1265" s="522" t="s">
        <v>949</v>
      </c>
      <c r="K1265" s="471"/>
    </row>
    <row r="1266" spans="1:12" hidden="1">
      <c r="A1266" s="463"/>
      <c r="B1266" s="523" t="s">
        <v>550</v>
      </c>
      <c r="C1266" s="524"/>
      <c r="D1266" s="525"/>
      <c r="E1266" s="526"/>
      <c r="F1266" s="527"/>
      <c r="G1266" s="528"/>
      <c r="H1266" s="529">
        <v>1</v>
      </c>
      <c r="I1266" s="534">
        <f>(VLOOKUP(B1266,'MÃO DE OBRA'!$A:$E,5,FALSE)/220)</f>
        <v>19.055000000000003</v>
      </c>
      <c r="J1266" s="505">
        <f>H1266*I1266</f>
        <v>19.055000000000003</v>
      </c>
      <c r="K1266" s="471"/>
    </row>
    <row r="1267" spans="1:12" hidden="1">
      <c r="A1267" s="463"/>
      <c r="B1267" s="530" t="s">
        <v>988</v>
      </c>
      <c r="C1267" s="531"/>
      <c r="D1267" s="472"/>
      <c r="E1267" s="500"/>
      <c r="F1267" s="501"/>
      <c r="G1267" s="532"/>
      <c r="H1267" s="533">
        <v>2</v>
      </c>
      <c r="I1267" s="534">
        <f>(VLOOKUP(B1267,'MÃO DE OBRA'!$A:$E,5,FALSE)/220)</f>
        <v>21.588799999999999</v>
      </c>
      <c r="J1267" s="505">
        <f>H1267*I1267</f>
        <v>43.177599999999998</v>
      </c>
      <c r="K1267" s="471"/>
    </row>
    <row r="1268" spans="1:12" hidden="1">
      <c r="A1268" s="463"/>
      <c r="B1268" s="530" t="s">
        <v>472</v>
      </c>
      <c r="C1268" s="531"/>
      <c r="D1268" s="472"/>
      <c r="E1268" s="500"/>
      <c r="F1268" s="501"/>
      <c r="G1268" s="532"/>
      <c r="H1268" s="533">
        <v>3</v>
      </c>
      <c r="I1268" s="534">
        <f>(VLOOKUP(B1268,'MÃO DE OBRA'!$A:$E,5,FALSE)/220)</f>
        <v>18.377072727272729</v>
      </c>
      <c r="J1268" s="505">
        <f>H1268*I1268</f>
        <v>55.131218181818184</v>
      </c>
      <c r="K1268" s="471"/>
    </row>
    <row r="1269" spans="1:12" hidden="1">
      <c r="A1269" s="463"/>
      <c r="B1269" s="530"/>
      <c r="C1269" s="531"/>
      <c r="D1269" s="472"/>
      <c r="E1269" s="500"/>
      <c r="F1269" s="501"/>
      <c r="G1269" s="532"/>
      <c r="H1269" s="533"/>
      <c r="I1269" s="534"/>
      <c r="J1269" s="505"/>
      <c r="K1269" s="471"/>
    </row>
    <row r="1270" spans="1:12" hidden="1">
      <c r="A1270" s="463"/>
      <c r="B1270" s="512" t="s">
        <v>946</v>
      </c>
      <c r="C1270" s="515"/>
      <c r="D1270" s="515"/>
      <c r="E1270" s="515"/>
      <c r="F1270" s="515"/>
      <c r="G1270" s="515"/>
      <c r="H1270" s="515"/>
      <c r="I1270" s="535" t="s">
        <v>175</v>
      </c>
      <c r="J1270" s="514">
        <f>SUM(J1266:J1269)</f>
        <v>117.36381818181819</v>
      </c>
      <c r="K1270" s="471"/>
    </row>
    <row r="1271" spans="1:12" hidden="1">
      <c r="A1271" s="463"/>
      <c r="B1271" s="536"/>
      <c r="C1271" s="536"/>
      <c r="D1271" s="536"/>
      <c r="E1271" s="536"/>
      <c r="F1271" s="536"/>
      <c r="G1271" s="536"/>
      <c r="H1271" s="536"/>
      <c r="I1271" s="537"/>
      <c r="J1271" s="536"/>
      <c r="K1271" s="471"/>
    </row>
    <row r="1272" spans="1:12" hidden="1">
      <c r="A1272" s="463"/>
      <c r="B1272" s="538" t="s">
        <v>952</v>
      </c>
      <c r="C1272" s="539"/>
      <c r="D1272" s="536"/>
      <c r="E1272" s="540" t="e">
        <f>CRONOGRAMA!#REF!*0.5</f>
        <v>#REF!</v>
      </c>
      <c r="F1272" s="541" t="s">
        <v>984</v>
      </c>
      <c r="G1272" s="519"/>
      <c r="H1272" s="519"/>
      <c r="I1272" s="542" t="s">
        <v>953</v>
      </c>
      <c r="J1272" s="514">
        <f>J1263+J1270</f>
        <v>157.3638181818182</v>
      </c>
      <c r="K1272" s="471"/>
    </row>
    <row r="1273" spans="1:12" hidden="1">
      <c r="A1273" s="463"/>
      <c r="B1273" s="543"/>
      <c r="C1273" s="536"/>
      <c r="D1273" s="536"/>
      <c r="E1273" s="544"/>
      <c r="F1273" s="545"/>
      <c r="G1273" s="545"/>
      <c r="H1273" s="545"/>
      <c r="I1273" s="537"/>
      <c r="J1273" s="536"/>
      <c r="K1273" s="471"/>
    </row>
    <row r="1274" spans="1:12" ht="20.399999999999999" hidden="1">
      <c r="A1274" s="463"/>
      <c r="B1274" s="1493" t="s">
        <v>362</v>
      </c>
      <c r="C1274" s="1494"/>
      <c r="D1274" s="1494"/>
      <c r="E1274" s="1495"/>
      <c r="F1274" s="546" t="s">
        <v>688</v>
      </c>
      <c r="G1274" s="547" t="s">
        <v>371</v>
      </c>
      <c r="H1274" s="520" t="s">
        <v>942</v>
      </c>
      <c r="I1274" s="548" t="s">
        <v>361</v>
      </c>
      <c r="J1274" s="549" t="s">
        <v>363</v>
      </c>
      <c r="K1274" s="471"/>
    </row>
    <row r="1275" spans="1:12" hidden="1">
      <c r="A1275" s="463"/>
      <c r="B1275" s="550" t="str">
        <f>B1258</f>
        <v>EXTRUSORA</v>
      </c>
      <c r="C1275" s="551"/>
      <c r="D1275" s="551"/>
      <c r="E1275" s="552"/>
      <c r="F1275" s="553" t="str">
        <f>VLOOKUP(B1275,EQUIPAMENTOS!$A:$N,12,FALSE)</f>
        <v>Gasolina</v>
      </c>
      <c r="G1275" s="554" t="s">
        <v>415</v>
      </c>
      <c r="H1275" s="560">
        <f>VLOOKUP(B1275,EQUIPAMENTOS!$A:$N,13,FALSE)</f>
        <v>6.59</v>
      </c>
      <c r="I1275" s="560">
        <f>VLOOKUP(B1275,EQUIPAMENTOS!$A:$N,14,FALSE)</f>
        <v>3</v>
      </c>
      <c r="J1275" s="498">
        <f>H1275*I1275*E1258*F1258</f>
        <v>19.77</v>
      </c>
      <c r="K1275" s="471"/>
    </row>
    <row r="1276" spans="1:12" hidden="1">
      <c r="A1276" s="463"/>
      <c r="B1276" s="550"/>
      <c r="C1276" s="531"/>
      <c r="D1276" s="531"/>
      <c r="E1276" s="500"/>
      <c r="F1276" s="553"/>
      <c r="G1276" s="554"/>
      <c r="H1276" s="560"/>
      <c r="I1276" s="556"/>
      <c r="J1276" s="505"/>
      <c r="K1276" s="471"/>
    </row>
    <row r="1277" spans="1:12" hidden="1">
      <c r="A1277" s="463"/>
      <c r="B1277" s="550"/>
      <c r="C1277" s="531"/>
      <c r="D1277" s="531"/>
      <c r="E1277" s="500"/>
      <c r="F1277" s="553"/>
      <c r="G1277" s="554"/>
      <c r="H1277" s="560"/>
      <c r="I1277" s="560"/>
      <c r="J1277" s="505"/>
      <c r="K1277" s="471"/>
    </row>
    <row r="1278" spans="1:12" hidden="1">
      <c r="A1278" s="463"/>
      <c r="B1278" s="530"/>
      <c r="C1278" s="539"/>
      <c r="D1278" s="539"/>
      <c r="E1278" s="507"/>
      <c r="F1278" s="501"/>
      <c r="G1278" s="481"/>
      <c r="H1278" s="560"/>
      <c r="I1278" s="561"/>
      <c r="J1278" s="562">
        <f>H1278*I1278*E1261</f>
        <v>0</v>
      </c>
      <c r="K1278" s="471"/>
    </row>
    <row r="1279" spans="1:12" hidden="1">
      <c r="A1279" s="463"/>
      <c r="B1279" s="563" t="s">
        <v>946</v>
      </c>
      <c r="C1279" s="539"/>
      <c r="D1279" s="539"/>
      <c r="E1279" s="539"/>
      <c r="F1279" s="536"/>
      <c r="G1279" s="539"/>
      <c r="H1279" s="564"/>
      <c r="I1279" s="565" t="s">
        <v>175</v>
      </c>
      <c r="J1279" s="514">
        <f>SUM(J1275:J1278)</f>
        <v>19.77</v>
      </c>
      <c r="K1279" s="471"/>
      <c r="L1279" s="6" t="e">
        <f>J1279/E1272</f>
        <v>#REF!</v>
      </c>
    </row>
    <row r="1280" spans="1:12" hidden="1">
      <c r="A1280" s="463"/>
      <c r="B1280" s="566"/>
      <c r="C1280" s="539"/>
      <c r="D1280" s="539"/>
      <c r="E1280" s="567"/>
      <c r="F1280" s="568"/>
      <c r="G1280" s="519"/>
      <c r="H1280" s="519"/>
      <c r="I1280" s="542"/>
      <c r="J1280" s="567"/>
      <c r="K1280" s="471"/>
    </row>
    <row r="1281" spans="1:15" ht="20.399999999999999" hidden="1">
      <c r="A1281" s="463"/>
      <c r="B1281" s="1493" t="s">
        <v>955</v>
      </c>
      <c r="C1281" s="1494"/>
      <c r="D1281" s="1494"/>
      <c r="E1281" s="1494"/>
      <c r="F1281" s="1495"/>
      <c r="G1281" s="569" t="s">
        <v>372</v>
      </c>
      <c r="H1281" s="519" t="s">
        <v>956</v>
      </c>
      <c r="I1281" s="570" t="s">
        <v>942</v>
      </c>
      <c r="J1281" s="522" t="s">
        <v>363</v>
      </c>
      <c r="K1281" s="471"/>
    </row>
    <row r="1282" spans="1:15" hidden="1">
      <c r="A1282" s="463"/>
      <c r="B1282" s="571"/>
      <c r="C1282" s="572"/>
      <c r="D1282" s="573"/>
      <c r="E1282" s="573"/>
      <c r="F1282" s="574"/>
      <c r="G1282" s="502"/>
      <c r="H1282" s="502"/>
      <c r="I1282" s="575"/>
      <c r="J1282" s="505"/>
      <c r="K1282" s="471"/>
    </row>
    <row r="1283" spans="1:15" hidden="1">
      <c r="A1283" s="463"/>
      <c r="B1283" s="576"/>
      <c r="C1283" s="577"/>
      <c r="D1283" s="578"/>
      <c r="E1283" s="578"/>
      <c r="F1283" s="579"/>
      <c r="G1283" s="502"/>
      <c r="H1283" s="502"/>
      <c r="I1283" s="575"/>
      <c r="J1283" s="505"/>
      <c r="K1283" s="471"/>
    </row>
    <row r="1284" spans="1:15" hidden="1">
      <c r="A1284" s="463"/>
      <c r="B1284" s="1496" t="s">
        <v>175</v>
      </c>
      <c r="C1284" s="1496"/>
      <c r="D1284" s="1496"/>
      <c r="E1284" s="1496"/>
      <c r="F1284" s="1496"/>
      <c r="G1284" s="1496"/>
      <c r="H1284" s="1496"/>
      <c r="I1284" s="1496"/>
      <c r="J1284" s="514">
        <f>SUM(J1282:J1283)</f>
        <v>0</v>
      </c>
      <c r="K1284" s="471"/>
    </row>
    <row r="1285" spans="1:15" hidden="1">
      <c r="A1285" s="463"/>
      <c r="B1285" s="580"/>
      <c r="C1285" s="524"/>
      <c r="D1285" s="524"/>
      <c r="E1285" s="581"/>
      <c r="F1285" s="582"/>
      <c r="G1285" s="583"/>
      <c r="H1285" s="583"/>
      <c r="I1285" s="584"/>
      <c r="J1285" s="585"/>
      <c r="K1285" s="471"/>
    </row>
    <row r="1286" spans="1:15" hidden="1">
      <c r="A1286" s="463"/>
      <c r="B1286" s="586" t="s">
        <v>957</v>
      </c>
      <c r="C1286" s="586"/>
      <c r="D1286" s="563"/>
      <c r="E1286" s="536"/>
      <c r="F1286" s="536"/>
      <c r="G1286" s="536"/>
      <c r="H1286" s="587"/>
      <c r="I1286" s="588"/>
      <c r="J1286" s="514" t="e">
        <f>(J1272+J1279+J1284)/E1272</f>
        <v>#REF!</v>
      </c>
      <c r="K1286" s="471"/>
    </row>
    <row r="1287" spans="1:15" hidden="1">
      <c r="A1287" s="463"/>
      <c r="B1287" s="566"/>
      <c r="C1287" s="539"/>
      <c r="D1287" s="539"/>
      <c r="E1287" s="567"/>
      <c r="F1287" s="568"/>
      <c r="G1287" s="519"/>
      <c r="H1287" s="519"/>
      <c r="I1287" s="542"/>
      <c r="J1287" s="589"/>
      <c r="K1287" s="471"/>
    </row>
    <row r="1288" spans="1:15" ht="20.399999999999999" hidden="1">
      <c r="A1288" s="463"/>
      <c r="B1288" s="1493" t="s">
        <v>958</v>
      </c>
      <c r="C1288" s="1494"/>
      <c r="D1288" s="1494"/>
      <c r="E1288" s="1494"/>
      <c r="F1288" s="1495"/>
      <c r="G1288" s="569" t="s">
        <v>372</v>
      </c>
      <c r="H1288" s="519" t="s">
        <v>956</v>
      </c>
      <c r="I1288" s="570" t="s">
        <v>942</v>
      </c>
      <c r="J1288" s="522" t="s">
        <v>363</v>
      </c>
      <c r="K1288" s="471"/>
    </row>
    <row r="1289" spans="1:15" hidden="1">
      <c r="A1289" s="463"/>
      <c r="B1289" s="571" t="s">
        <v>1257</v>
      </c>
      <c r="C1289" s="572"/>
      <c r="D1289" s="573"/>
      <c r="E1289" s="573"/>
      <c r="F1289" s="574"/>
      <c r="G1289" s="502">
        <f>O1295</f>
        <v>5.5200000000000006E-2</v>
      </c>
      <c r="H1289" s="502" t="s">
        <v>973</v>
      </c>
      <c r="I1289" s="575">
        <f>580+70</f>
        <v>650</v>
      </c>
      <c r="J1289" s="505">
        <f>G1289*I1289</f>
        <v>35.880000000000003</v>
      </c>
      <c r="K1289" s="471"/>
    </row>
    <row r="1290" spans="1:15" hidden="1">
      <c r="A1290" s="463"/>
      <c r="B1290" s="576" t="s">
        <v>1264</v>
      </c>
      <c r="C1290" s="577"/>
      <c r="D1290" s="578"/>
      <c r="E1290" s="578"/>
      <c r="F1290" s="579"/>
      <c r="G1290" s="502">
        <v>1.49E-2</v>
      </c>
      <c r="H1290" s="502" t="s">
        <v>973</v>
      </c>
      <c r="I1290" s="575">
        <v>165</v>
      </c>
      <c r="J1290" s="505">
        <f>G1290*I1290</f>
        <v>2.4584999999999999</v>
      </c>
      <c r="K1290" s="471"/>
    </row>
    <row r="1291" spans="1:15" hidden="1">
      <c r="A1291" s="463"/>
      <c r="B1291" s="576" t="s">
        <v>1276</v>
      </c>
      <c r="C1291" s="577"/>
      <c r="D1291" s="578"/>
      <c r="E1291" s="578"/>
      <c r="F1291" s="579"/>
      <c r="G1291" s="502">
        <v>3.3E-3</v>
      </c>
      <c r="H1291" s="502" t="s">
        <v>973</v>
      </c>
      <c r="I1291" s="502">
        <v>617.67999999999995</v>
      </c>
      <c r="J1291" s="505">
        <f>G1291*I1291</f>
        <v>2.0383439999999999</v>
      </c>
      <c r="K1291" s="471"/>
    </row>
    <row r="1292" spans="1:15" hidden="1">
      <c r="A1292" s="463"/>
      <c r="B1292" s="576"/>
      <c r="C1292" s="577"/>
      <c r="D1292" s="578"/>
      <c r="E1292" s="578"/>
      <c r="F1292" s="579"/>
      <c r="G1292" s="502"/>
      <c r="H1292" s="502"/>
      <c r="I1292" s="575"/>
      <c r="J1292" s="505"/>
      <c r="K1292" s="471"/>
    </row>
    <row r="1293" spans="1:15" hidden="1">
      <c r="A1293" s="463"/>
      <c r="B1293" s="576"/>
      <c r="C1293" s="577"/>
      <c r="D1293" s="578"/>
      <c r="E1293" s="578"/>
      <c r="F1293" s="579"/>
      <c r="G1293" s="502"/>
      <c r="H1293" s="502"/>
      <c r="I1293" s="575"/>
      <c r="J1293" s="505"/>
      <c r="K1293" s="471"/>
      <c r="M1293">
        <f>0.15+0.1</f>
        <v>0.25</v>
      </c>
      <c r="N1293">
        <v>0.45</v>
      </c>
    </row>
    <row r="1294" spans="1:15" hidden="1">
      <c r="A1294" s="463"/>
      <c r="B1294" s="590"/>
      <c r="C1294" s="591"/>
      <c r="D1294" s="592"/>
      <c r="E1294" s="592"/>
      <c r="F1294" s="593"/>
      <c r="G1294" s="502"/>
      <c r="H1294" s="502"/>
      <c r="I1294" s="575"/>
      <c r="J1294" s="505"/>
      <c r="K1294" s="471"/>
      <c r="M1294">
        <v>0.08</v>
      </c>
      <c r="N1294">
        <v>0.08</v>
      </c>
    </row>
    <row r="1295" spans="1:15" hidden="1">
      <c r="A1295" s="463"/>
      <c r="B1295" s="594"/>
      <c r="C1295" s="536"/>
      <c r="D1295" s="536"/>
      <c r="E1295" s="595"/>
      <c r="F1295" s="596"/>
      <c r="G1295" s="545"/>
      <c r="H1295" s="545"/>
      <c r="I1295" s="537" t="s">
        <v>175</v>
      </c>
      <c r="J1295" s="514">
        <f>SUM(J1289:J1294)</f>
        <v>40.376844000000006</v>
      </c>
      <c r="K1295" s="471"/>
      <c r="M1295">
        <f>M1293*M1294/2</f>
        <v>0.01</v>
      </c>
      <c r="N1295">
        <f>N1293*N1294</f>
        <v>3.6000000000000004E-2</v>
      </c>
      <c r="O1295">
        <f>(M1295+N1295)*1.2</f>
        <v>5.5200000000000006E-2</v>
      </c>
    </row>
    <row r="1296" spans="1:15" hidden="1">
      <c r="A1296" s="463"/>
      <c r="B1296" s="597"/>
      <c r="C1296" s="536"/>
      <c r="D1296" s="536"/>
      <c r="E1296" s="595"/>
      <c r="F1296" s="596"/>
      <c r="G1296" s="545"/>
      <c r="H1296" s="545"/>
      <c r="I1296" s="537"/>
      <c r="J1296" s="595"/>
      <c r="K1296" s="471"/>
    </row>
    <row r="1297" spans="1:11" ht="20.399999999999999" hidden="1">
      <c r="A1297" s="463"/>
      <c r="B1297" s="598" t="s">
        <v>959</v>
      </c>
      <c r="C1297" s="598"/>
      <c r="D1297" s="598"/>
      <c r="E1297" s="599"/>
      <c r="F1297" s="600" t="s">
        <v>372</v>
      </c>
      <c r="G1297" s="569" t="s">
        <v>960</v>
      </c>
      <c r="H1297" s="519" t="s">
        <v>942</v>
      </c>
      <c r="I1297" s="570" t="s">
        <v>361</v>
      </c>
      <c r="J1297" s="522" t="s">
        <v>363</v>
      </c>
      <c r="K1297" s="471"/>
    </row>
    <row r="1298" spans="1:11" hidden="1">
      <c r="A1298" s="463"/>
      <c r="B1298" s="571"/>
      <c r="C1298" s="572"/>
      <c r="D1298" s="573"/>
      <c r="E1298" s="574"/>
      <c r="F1298" s="502"/>
      <c r="G1298" s="502"/>
      <c r="H1298" s="624"/>
      <c r="I1298" s="575"/>
      <c r="J1298" s="505"/>
      <c r="K1298" s="471"/>
    </row>
    <row r="1299" spans="1:11" hidden="1">
      <c r="A1299" s="463"/>
      <c r="B1299" s="576"/>
      <c r="C1299" s="577"/>
      <c r="D1299" s="578"/>
      <c r="E1299" s="579" t="s">
        <v>946</v>
      </c>
      <c r="F1299" s="502">
        <v>0</v>
      </c>
      <c r="G1299" s="502">
        <v>0</v>
      </c>
      <c r="H1299" s="502"/>
      <c r="I1299" s="575">
        <v>0</v>
      </c>
      <c r="J1299" s="505">
        <f>I1299*H1299*G1299*F1299</f>
        <v>0</v>
      </c>
      <c r="K1299" s="471"/>
    </row>
    <row r="1300" spans="1:11" hidden="1">
      <c r="A1300" s="463"/>
      <c r="B1300" s="576"/>
      <c r="C1300" s="577"/>
      <c r="D1300" s="578"/>
      <c r="E1300" s="579" t="s">
        <v>946</v>
      </c>
      <c r="F1300" s="502">
        <v>0</v>
      </c>
      <c r="G1300" s="502">
        <v>0</v>
      </c>
      <c r="H1300" s="502">
        <v>0</v>
      </c>
      <c r="I1300" s="575">
        <v>0</v>
      </c>
      <c r="J1300" s="505">
        <f>I1300*H1300*G1300*F1300</f>
        <v>0</v>
      </c>
      <c r="K1300" s="471"/>
    </row>
    <row r="1301" spans="1:11" hidden="1">
      <c r="A1301" s="463"/>
      <c r="B1301" s="576" t="s">
        <v>946</v>
      </c>
      <c r="C1301" s="577"/>
      <c r="D1301" s="578"/>
      <c r="E1301" s="579" t="s">
        <v>946</v>
      </c>
      <c r="F1301" s="502">
        <v>0</v>
      </c>
      <c r="G1301" s="502">
        <v>0</v>
      </c>
      <c r="H1301" s="502">
        <v>0</v>
      </c>
      <c r="I1301" s="575">
        <v>0</v>
      </c>
      <c r="J1301" s="505">
        <f>I1301*H1301*G1301*F1301</f>
        <v>0</v>
      </c>
      <c r="K1301" s="471"/>
    </row>
    <row r="1302" spans="1:11" hidden="1">
      <c r="A1302" s="463"/>
      <c r="B1302" s="590" t="s">
        <v>946</v>
      </c>
      <c r="C1302" s="591"/>
      <c r="D1302" s="592"/>
      <c r="E1302" s="593" t="s">
        <v>946</v>
      </c>
      <c r="F1302" s="509">
        <v>0</v>
      </c>
      <c r="G1302" s="509">
        <v>0</v>
      </c>
      <c r="H1302" s="509">
        <v>0</v>
      </c>
      <c r="I1302" s="601">
        <v>0</v>
      </c>
      <c r="J1302" s="505">
        <f>I1302*H1302*G1302*F1302</f>
        <v>0</v>
      </c>
      <c r="K1302" s="471"/>
    </row>
    <row r="1303" spans="1:11" hidden="1">
      <c r="A1303" s="463"/>
      <c r="B1303" s="594"/>
      <c r="C1303" s="536"/>
      <c r="D1303" s="536"/>
      <c r="E1303" s="595"/>
      <c r="F1303" s="596"/>
      <c r="G1303" s="545"/>
      <c r="H1303" s="545"/>
      <c r="I1303" s="537" t="s">
        <v>175</v>
      </c>
      <c r="J1303" s="514">
        <f>SUM(J1298:J1302)</f>
        <v>0</v>
      </c>
      <c r="K1303" s="471"/>
    </row>
    <row r="1304" spans="1:11" hidden="1">
      <c r="A1304" s="463"/>
      <c r="B1304" s="536"/>
      <c r="C1304" s="536"/>
      <c r="D1304" s="536"/>
      <c r="E1304" s="536"/>
      <c r="F1304" s="536"/>
      <c r="G1304" s="536"/>
      <c r="H1304" s="536"/>
      <c r="I1304" s="537"/>
      <c r="J1304" s="536"/>
      <c r="K1304" s="471"/>
    </row>
    <row r="1305" spans="1:11" hidden="1">
      <c r="A1305" s="463"/>
      <c r="B1305" s="1481" t="s">
        <v>961</v>
      </c>
      <c r="C1305" s="1482"/>
      <c r="D1305" s="1482"/>
      <c r="E1305" s="1482"/>
      <c r="F1305" s="1482"/>
      <c r="G1305" s="1482"/>
      <c r="H1305" s="1482"/>
      <c r="I1305" s="1483"/>
      <c r="J1305" s="586" t="e">
        <f>J1303+J1295+J1286</f>
        <v>#REF!</v>
      </c>
      <c r="K1305" s="471"/>
    </row>
    <row r="1306" spans="1:11" hidden="1">
      <c r="A1306" s="463"/>
      <c r="B1306" s="536"/>
      <c r="C1306" s="536"/>
      <c r="D1306" s="536"/>
      <c r="E1306" s="536"/>
      <c r="F1306" s="536"/>
      <c r="G1306" s="536"/>
      <c r="H1306" s="536"/>
      <c r="I1306" s="537"/>
      <c r="J1306" s="536"/>
      <c r="K1306" s="471"/>
    </row>
    <row r="1307" spans="1:11" hidden="1">
      <c r="A1307" s="463"/>
      <c r="B1307" s="1481" t="s">
        <v>962</v>
      </c>
      <c r="C1307" s="1482"/>
      <c r="D1307" s="1482"/>
      <c r="E1307" s="1482"/>
      <c r="F1307" s="1482"/>
      <c r="G1307" s="1482"/>
      <c r="H1307" s="1482"/>
      <c r="I1307" s="1483"/>
      <c r="J1307" s="514" t="e">
        <f>J1305*0</f>
        <v>#REF!</v>
      </c>
      <c r="K1307" s="471"/>
    </row>
    <row r="1308" spans="1:11" hidden="1">
      <c r="A1308" s="463"/>
      <c r="B1308" s="536"/>
      <c r="C1308" s="536"/>
      <c r="D1308" s="536"/>
      <c r="E1308" s="536"/>
      <c r="F1308" s="536"/>
      <c r="G1308" s="536"/>
      <c r="H1308" s="536"/>
      <c r="I1308" s="537"/>
      <c r="J1308" s="536"/>
      <c r="K1308" s="471"/>
    </row>
    <row r="1309" spans="1:11" hidden="1">
      <c r="A1309" s="463"/>
      <c r="B1309" s="1481" t="s">
        <v>963</v>
      </c>
      <c r="C1309" s="1482"/>
      <c r="D1309" s="1482"/>
      <c r="E1309" s="1482"/>
      <c r="F1309" s="1482"/>
      <c r="G1309" s="1482"/>
      <c r="H1309" s="1482"/>
      <c r="I1309" s="1483"/>
      <c r="J1309" s="586" t="e">
        <f>J1305+J1307</f>
        <v>#REF!</v>
      </c>
      <c r="K1309" s="471"/>
    </row>
    <row r="1310" spans="1:11" hidden="1">
      <c r="A1310" s="463"/>
      <c r="B1310" s="524"/>
      <c r="C1310" s="524"/>
      <c r="D1310" s="524"/>
      <c r="E1310" s="524"/>
      <c r="F1310" s="524"/>
      <c r="G1310" s="524"/>
      <c r="H1310" s="524"/>
      <c r="I1310" s="584"/>
      <c r="J1310" s="524"/>
      <c r="K1310" s="471"/>
    </row>
    <row r="1311" spans="1:11" hidden="1">
      <c r="A1311" s="463"/>
      <c r="B1311" s="602"/>
      <c r="C1311" s="572"/>
      <c r="D1311" s="572"/>
      <c r="E1311" s="572"/>
      <c r="F1311" s="572"/>
      <c r="G1311" s="572"/>
      <c r="H1311" s="572"/>
      <c r="I1311" s="572"/>
      <c r="J1311" s="603"/>
      <c r="K1311" s="471"/>
    </row>
    <row r="1312" spans="1:11" hidden="1">
      <c r="A1312" s="463"/>
      <c r="B1312" s="604"/>
      <c r="C1312" s="605"/>
      <c r="D1312" s="606"/>
      <c r="E1312" s="606"/>
      <c r="F1312" s="607" t="s">
        <v>946</v>
      </c>
      <c r="G1312" s="608" t="s">
        <v>946</v>
      </c>
      <c r="H1312" s="605"/>
      <c r="I1312" s="605"/>
      <c r="J1312" s="609"/>
      <c r="K1312" s="471"/>
    </row>
    <row r="1313" spans="1:11" hidden="1">
      <c r="A1313" s="463"/>
      <c r="B1313" s="472"/>
      <c r="C1313" s="472"/>
      <c r="D1313" s="472"/>
      <c r="E1313" s="472"/>
      <c r="F1313" s="472"/>
      <c r="G1313" s="472"/>
      <c r="H1313" s="472"/>
      <c r="I1313" s="472"/>
      <c r="J1313" s="472"/>
      <c r="K1313" s="471"/>
    </row>
    <row r="1314" spans="1:11" hidden="1">
      <c r="A1314" s="463"/>
      <c r="B1314" s="610">
        <f>PLANEJAMENTO!E876</f>
        <v>0</v>
      </c>
      <c r="C1314" s="611"/>
      <c r="D1314" s="611"/>
      <c r="E1314" s="611"/>
      <c r="F1314" s="612"/>
      <c r="G1314" s="613" t="s">
        <v>363</v>
      </c>
      <c r="H1314" s="515"/>
      <c r="I1314" s="515"/>
      <c r="J1314" s="518"/>
      <c r="K1314" s="471"/>
    </row>
    <row r="1315" spans="1:11" hidden="1">
      <c r="A1315" s="463"/>
      <c r="B1315" s="614">
        <f>PLANEJAMENTO!E877</f>
        <v>0</v>
      </c>
      <c r="C1315" s="615"/>
      <c r="D1315" s="615"/>
      <c r="E1315" s="615"/>
      <c r="F1315" s="616"/>
      <c r="G1315" s="1484" t="s">
        <v>964</v>
      </c>
      <c r="H1315" s="1485"/>
      <c r="I1315" s="1485"/>
      <c r="J1315" s="1486"/>
      <c r="K1315" s="471"/>
    </row>
    <row r="1316" spans="1:11" hidden="1">
      <c r="A1316" s="463"/>
      <c r="B1316" s="617"/>
      <c r="C1316" s="618"/>
      <c r="D1316" s="618"/>
      <c r="E1316" s="618"/>
      <c r="F1316" s="619"/>
      <c r="G1316" s="620"/>
      <c r="H1316" s="1487"/>
      <c r="I1316" s="1488"/>
      <c r="J1316" s="1489"/>
      <c r="K1316" s="471"/>
    </row>
    <row r="1317" spans="1:11" ht="15" hidden="1" thickBot="1">
      <c r="A1317" s="621"/>
      <c r="B1317" s="622"/>
      <c r="C1317" s="622"/>
      <c r="D1317" s="622"/>
      <c r="E1317" s="622"/>
      <c r="F1317" s="622"/>
      <c r="G1317" s="622"/>
      <c r="H1317" s="622"/>
      <c r="I1317" s="622"/>
      <c r="J1317" s="622"/>
      <c r="K1317" s="623"/>
    </row>
    <row r="1318" spans="1:11" hidden="1">
      <c r="A1318" s="460"/>
      <c r="B1318" s="461"/>
      <c r="C1318" s="461"/>
      <c r="D1318" s="461"/>
      <c r="E1318" s="461"/>
      <c r="F1318" s="461"/>
      <c r="G1318" s="461"/>
      <c r="H1318" s="461"/>
      <c r="I1318" s="461"/>
      <c r="J1318" s="461"/>
      <c r="K1318" s="462"/>
    </row>
    <row r="1319" spans="1:11" hidden="1">
      <c r="A1319" s="463"/>
      <c r="B1319" s="464" t="s">
        <v>178</v>
      </c>
      <c r="C1319" s="465"/>
      <c r="D1319" s="466" t="s">
        <v>936</v>
      </c>
      <c r="E1319" s="467"/>
      <c r="F1319" s="468"/>
      <c r="G1319" s="468"/>
      <c r="H1319" s="469"/>
      <c r="I1319" s="469"/>
      <c r="J1319" s="470"/>
      <c r="K1319" s="471"/>
    </row>
    <row r="1320" spans="1:11" hidden="1">
      <c r="A1320" s="463"/>
      <c r="B1320" s="472"/>
      <c r="C1320" s="472"/>
      <c r="D1320" s="472"/>
      <c r="E1320" s="472"/>
      <c r="F1320" s="472"/>
      <c r="G1320" s="472"/>
      <c r="H1320" s="472"/>
      <c r="I1320" s="472"/>
      <c r="J1320" s="472"/>
      <c r="K1320" s="471"/>
    </row>
    <row r="1321" spans="1:11" hidden="1">
      <c r="A1321" s="463"/>
      <c r="B1321" s="473" t="s">
        <v>1277</v>
      </c>
      <c r="C1321" s="474" t="s">
        <v>937</v>
      </c>
      <c r="D1321" s="1497" t="s">
        <v>250</v>
      </c>
      <c r="E1321" s="1498"/>
      <c r="F1321" s="1498"/>
      <c r="G1321" s="1498"/>
      <c r="H1321" s="1498"/>
      <c r="I1321" s="1499"/>
      <c r="J1321" s="475" t="s">
        <v>267</v>
      </c>
      <c r="K1321" s="471"/>
    </row>
    <row r="1322" spans="1:11" hidden="1">
      <c r="A1322" s="463"/>
      <c r="B1322" s="476">
        <v>94265</v>
      </c>
      <c r="C1322" s="477">
        <f ca="1">TODAY()</f>
        <v>46140</v>
      </c>
      <c r="D1322" s="681" t="s">
        <v>1275</v>
      </c>
      <c r="E1322" s="479"/>
      <c r="F1322" s="479"/>
      <c r="G1322" s="479"/>
      <c r="H1322" s="479"/>
      <c r="I1322" s="480"/>
      <c r="J1322" s="481" t="str">
        <f>F1340</f>
        <v>M</v>
      </c>
      <c r="K1322" s="471"/>
    </row>
    <row r="1323" spans="1:11" hidden="1">
      <c r="A1323" s="463"/>
      <c r="B1323" s="482"/>
      <c r="C1323" s="482"/>
      <c r="D1323" s="482"/>
      <c r="E1323" s="482"/>
      <c r="F1323" s="482"/>
      <c r="G1323" s="482"/>
      <c r="H1323" s="482"/>
      <c r="I1323" s="483"/>
      <c r="J1323" s="484"/>
      <c r="K1323" s="471"/>
    </row>
    <row r="1324" spans="1:11" hidden="1">
      <c r="A1324" s="463"/>
      <c r="B1324" s="1484" t="s">
        <v>938</v>
      </c>
      <c r="C1324" s="1486"/>
      <c r="D1324" s="1502" t="s">
        <v>688</v>
      </c>
      <c r="E1324" s="1504" t="s">
        <v>939</v>
      </c>
      <c r="F1324" s="485" t="s">
        <v>940</v>
      </c>
      <c r="G1324" s="486"/>
      <c r="H1324" s="485" t="s">
        <v>941</v>
      </c>
      <c r="I1324" s="486"/>
      <c r="J1324" s="487" t="s">
        <v>942</v>
      </c>
      <c r="K1324" s="471"/>
    </row>
    <row r="1325" spans="1:11" hidden="1">
      <c r="A1325" s="463"/>
      <c r="B1325" s="1500"/>
      <c r="C1325" s="1501"/>
      <c r="D1325" s="1503"/>
      <c r="E1325" s="1505"/>
      <c r="F1325" s="488" t="s">
        <v>943</v>
      </c>
      <c r="G1325" s="488" t="s">
        <v>944</v>
      </c>
      <c r="H1325" s="488" t="s">
        <v>943</v>
      </c>
      <c r="I1325" s="489" t="s">
        <v>944</v>
      </c>
      <c r="J1325" s="490" t="s">
        <v>945</v>
      </c>
      <c r="K1325" s="471"/>
    </row>
    <row r="1326" spans="1:11" hidden="1">
      <c r="A1326" s="463"/>
      <c r="B1326" s="491" t="s">
        <v>400</v>
      </c>
      <c r="C1326" s="492"/>
      <c r="D1326" s="872"/>
      <c r="E1326" s="494">
        <v>1</v>
      </c>
      <c r="F1326" s="494">
        <v>1</v>
      </c>
      <c r="G1326" s="495">
        <f>1-F1326</f>
        <v>0</v>
      </c>
      <c r="H1326" s="496">
        <f>VLOOKUP(B1326,EQUIPAMENTOS!$A:$J,10,FALSE)</f>
        <v>40</v>
      </c>
      <c r="I1326" s="497">
        <f>H1326</f>
        <v>40</v>
      </c>
      <c r="J1326" s="498">
        <f>H1326*F1326*E1326+I1326*G1326*E1326</f>
        <v>40</v>
      </c>
      <c r="K1326" s="471"/>
    </row>
    <row r="1327" spans="1:11" hidden="1">
      <c r="A1327" s="463"/>
      <c r="B1327" s="499"/>
      <c r="C1327" s="500"/>
      <c r="D1327" s="501"/>
      <c r="E1327" s="502"/>
      <c r="F1327" s="502"/>
      <c r="G1327" s="502"/>
      <c r="H1327" s="503"/>
      <c r="I1327" s="504"/>
      <c r="J1327" s="505"/>
      <c r="K1327" s="471"/>
    </row>
    <row r="1328" spans="1:11" hidden="1">
      <c r="A1328" s="463"/>
      <c r="B1328" s="499"/>
      <c r="C1328" s="500"/>
      <c r="D1328" s="501"/>
      <c r="E1328" s="502"/>
      <c r="F1328" s="502"/>
      <c r="G1328" s="502"/>
      <c r="H1328" s="503"/>
      <c r="I1328" s="504"/>
      <c r="J1328" s="505">
        <f>H1328*F1328*E1328+I1328*G1328*E1328</f>
        <v>0</v>
      </c>
      <c r="K1328" s="471"/>
    </row>
    <row r="1329" spans="1:11" hidden="1">
      <c r="A1329" s="463"/>
      <c r="B1329" s="499"/>
      <c r="C1329" s="500"/>
      <c r="D1329" s="501"/>
      <c r="E1329" s="502"/>
      <c r="F1329" s="502"/>
      <c r="G1329" s="502"/>
      <c r="H1329" s="503"/>
      <c r="I1329" s="504"/>
      <c r="J1329" s="505">
        <f>H1329*F1329*E1329+I1329*G1329*E1329</f>
        <v>0</v>
      </c>
      <c r="K1329" s="471"/>
    </row>
    <row r="1330" spans="1:11" hidden="1">
      <c r="A1330" s="463"/>
      <c r="B1330" s="506"/>
      <c r="C1330" s="507"/>
      <c r="D1330" s="508"/>
      <c r="E1330" s="509"/>
      <c r="F1330" s="509"/>
      <c r="G1330" s="509"/>
      <c r="H1330" s="510"/>
      <c r="I1330" s="511"/>
      <c r="J1330" s="505">
        <f>H1330*F1330*E1330+I1330*G1330*E1330</f>
        <v>0</v>
      </c>
      <c r="K1330" s="471"/>
    </row>
    <row r="1331" spans="1:11" hidden="1">
      <c r="A1331" s="463"/>
      <c r="B1331" s="512" t="s">
        <v>946</v>
      </c>
      <c r="C1331" s="482"/>
      <c r="D1331" s="482"/>
      <c r="E1331" s="482"/>
      <c r="F1331" s="482"/>
      <c r="G1331" s="482"/>
      <c r="H1331" s="482"/>
      <c r="I1331" s="513" t="s">
        <v>175</v>
      </c>
      <c r="J1331" s="514">
        <f>SUM(J1326:J1330)</f>
        <v>40</v>
      </c>
      <c r="K1331" s="471"/>
    </row>
    <row r="1332" spans="1:11" hidden="1">
      <c r="A1332" s="463"/>
      <c r="B1332" s="515"/>
      <c r="C1332" s="515"/>
      <c r="D1332" s="515"/>
      <c r="E1332" s="515"/>
      <c r="F1332" s="515"/>
      <c r="G1332" s="515"/>
      <c r="H1332" s="515"/>
      <c r="I1332" s="516"/>
      <c r="J1332" s="517"/>
      <c r="K1332" s="471"/>
    </row>
    <row r="1333" spans="1:11" ht="20.399999999999999" hidden="1">
      <c r="A1333" s="463"/>
      <c r="B1333" s="1490" t="s">
        <v>947</v>
      </c>
      <c r="C1333" s="1491"/>
      <c r="D1333" s="1491"/>
      <c r="E1333" s="1492"/>
      <c r="F1333" s="725" t="s">
        <v>688</v>
      </c>
      <c r="G1333" s="853"/>
      <c r="H1333" s="520" t="s">
        <v>427</v>
      </c>
      <c r="I1333" s="521" t="s">
        <v>948</v>
      </c>
      <c r="J1333" s="522" t="s">
        <v>949</v>
      </c>
      <c r="K1333" s="471"/>
    </row>
    <row r="1334" spans="1:11" hidden="1">
      <c r="A1334" s="463"/>
      <c r="B1334" s="523" t="s">
        <v>550</v>
      </c>
      <c r="C1334" s="524"/>
      <c r="D1334" s="525"/>
      <c r="E1334" s="526"/>
      <c r="F1334" s="527"/>
      <c r="G1334" s="528"/>
      <c r="H1334" s="529">
        <v>1</v>
      </c>
      <c r="I1334" s="534">
        <f>(VLOOKUP(B1334,'MÃO DE OBRA'!$A:$E,5,FALSE)/220)</f>
        <v>19.055000000000003</v>
      </c>
      <c r="J1334" s="505">
        <f>H1334*I1334</f>
        <v>19.055000000000003</v>
      </c>
      <c r="K1334" s="471"/>
    </row>
    <row r="1335" spans="1:11" hidden="1">
      <c r="A1335" s="463"/>
      <c r="B1335" s="530" t="s">
        <v>988</v>
      </c>
      <c r="C1335" s="531"/>
      <c r="D1335" s="472"/>
      <c r="E1335" s="500"/>
      <c r="F1335" s="501"/>
      <c r="G1335" s="532"/>
      <c r="H1335" s="533">
        <v>2</v>
      </c>
      <c r="I1335" s="534">
        <f>(VLOOKUP(B1335,'MÃO DE OBRA'!$A:$E,5,FALSE)/220)</f>
        <v>21.588799999999999</v>
      </c>
      <c r="J1335" s="505">
        <f>H1335*I1335</f>
        <v>43.177599999999998</v>
      </c>
      <c r="K1335" s="471"/>
    </row>
    <row r="1336" spans="1:11" hidden="1">
      <c r="A1336" s="463"/>
      <c r="B1336" s="530" t="s">
        <v>472</v>
      </c>
      <c r="C1336" s="531"/>
      <c r="D1336" s="472"/>
      <c r="E1336" s="500"/>
      <c r="F1336" s="501"/>
      <c r="G1336" s="532"/>
      <c r="H1336" s="533">
        <v>3</v>
      </c>
      <c r="I1336" s="534">
        <f>(VLOOKUP(B1336,'MÃO DE OBRA'!$A:$E,5,FALSE)/220)</f>
        <v>18.377072727272729</v>
      </c>
      <c r="J1336" s="505">
        <f>H1336*I1336</f>
        <v>55.131218181818184</v>
      </c>
      <c r="K1336" s="471"/>
    </row>
    <row r="1337" spans="1:11" hidden="1">
      <c r="A1337" s="463"/>
      <c r="B1337" s="530"/>
      <c r="C1337" s="531"/>
      <c r="D1337" s="472"/>
      <c r="E1337" s="500"/>
      <c r="F1337" s="501"/>
      <c r="G1337" s="532"/>
      <c r="H1337" s="533"/>
      <c r="I1337" s="534"/>
      <c r="J1337" s="505"/>
      <c r="K1337" s="471"/>
    </row>
    <row r="1338" spans="1:11" hidden="1">
      <c r="A1338" s="463"/>
      <c r="B1338" s="512" t="s">
        <v>946</v>
      </c>
      <c r="C1338" s="515"/>
      <c r="D1338" s="515"/>
      <c r="E1338" s="515"/>
      <c r="F1338" s="515"/>
      <c r="G1338" s="515"/>
      <c r="H1338" s="515"/>
      <c r="I1338" s="535" t="s">
        <v>175</v>
      </c>
      <c r="J1338" s="514">
        <f>SUM(J1334:J1337)</f>
        <v>117.36381818181819</v>
      </c>
      <c r="K1338" s="471"/>
    </row>
    <row r="1339" spans="1:11" hidden="1">
      <c r="A1339" s="463"/>
      <c r="B1339" s="536"/>
      <c r="C1339" s="536"/>
      <c r="D1339" s="536"/>
      <c r="E1339" s="536"/>
      <c r="F1339" s="536"/>
      <c r="G1339" s="536"/>
      <c r="H1339" s="536"/>
      <c r="I1339" s="537"/>
      <c r="J1339" s="536"/>
      <c r="K1339" s="471"/>
    </row>
    <row r="1340" spans="1:11" hidden="1">
      <c r="A1340" s="463"/>
      <c r="B1340" s="538" t="s">
        <v>952</v>
      </c>
      <c r="C1340" s="539"/>
      <c r="D1340" s="536"/>
      <c r="E1340" s="540" t="e">
        <f>CRONOGRAMA!#REF!*0.5</f>
        <v>#REF!</v>
      </c>
      <c r="F1340" s="541" t="s">
        <v>984</v>
      </c>
      <c r="G1340" s="519"/>
      <c r="H1340" s="519"/>
      <c r="I1340" s="542" t="s">
        <v>953</v>
      </c>
      <c r="J1340" s="514">
        <f>J1331+J1338</f>
        <v>157.3638181818182</v>
      </c>
      <c r="K1340" s="471"/>
    </row>
    <row r="1341" spans="1:11" hidden="1">
      <c r="A1341" s="463"/>
      <c r="B1341" s="543"/>
      <c r="C1341" s="536"/>
      <c r="D1341" s="536"/>
      <c r="E1341" s="544"/>
      <c r="F1341" s="545"/>
      <c r="G1341" s="545"/>
      <c r="H1341" s="545"/>
      <c r="I1341" s="537"/>
      <c r="J1341" s="536"/>
      <c r="K1341" s="471"/>
    </row>
    <row r="1342" spans="1:11" ht="20.399999999999999" hidden="1">
      <c r="A1342" s="463"/>
      <c r="B1342" s="1493" t="s">
        <v>362</v>
      </c>
      <c r="C1342" s="1494"/>
      <c r="D1342" s="1494"/>
      <c r="E1342" s="1495"/>
      <c r="F1342" s="546" t="s">
        <v>688</v>
      </c>
      <c r="G1342" s="547" t="s">
        <v>371</v>
      </c>
      <c r="H1342" s="520" t="s">
        <v>942</v>
      </c>
      <c r="I1342" s="548" t="s">
        <v>361</v>
      </c>
      <c r="J1342" s="549" t="s">
        <v>363</v>
      </c>
      <c r="K1342" s="471"/>
    </row>
    <row r="1343" spans="1:11" hidden="1">
      <c r="A1343" s="463"/>
      <c r="B1343" s="550" t="str">
        <f>B1326</f>
        <v>EXTRUSORA</v>
      </c>
      <c r="C1343" s="551"/>
      <c r="D1343" s="551"/>
      <c r="E1343" s="552"/>
      <c r="F1343" s="553" t="str">
        <f>VLOOKUP(B1343,EQUIPAMENTOS!$A:$N,12,FALSE)</f>
        <v>Gasolina</v>
      </c>
      <c r="G1343" s="554" t="s">
        <v>415</v>
      </c>
      <c r="H1343" s="560">
        <f>VLOOKUP(B1343,EQUIPAMENTOS!$A:$N,13,FALSE)</f>
        <v>6.59</v>
      </c>
      <c r="I1343" s="560">
        <f>VLOOKUP(B1343,EQUIPAMENTOS!$A:$N,14,FALSE)</f>
        <v>3</v>
      </c>
      <c r="J1343" s="498">
        <f>H1343*I1343*E1326*F1326</f>
        <v>19.77</v>
      </c>
      <c r="K1343" s="471"/>
    </row>
    <row r="1344" spans="1:11" hidden="1">
      <c r="A1344" s="463"/>
      <c r="B1344" s="550"/>
      <c r="C1344" s="531"/>
      <c r="D1344" s="531"/>
      <c r="E1344" s="500"/>
      <c r="F1344" s="553"/>
      <c r="G1344" s="554"/>
      <c r="H1344" s="560"/>
      <c r="I1344" s="556"/>
      <c r="J1344" s="505"/>
      <c r="K1344" s="471"/>
    </row>
    <row r="1345" spans="1:12" hidden="1">
      <c r="A1345" s="463"/>
      <c r="B1345" s="550"/>
      <c r="C1345" s="531"/>
      <c r="D1345" s="531"/>
      <c r="E1345" s="500"/>
      <c r="F1345" s="553"/>
      <c r="G1345" s="554"/>
      <c r="H1345" s="560"/>
      <c r="I1345" s="560"/>
      <c r="J1345" s="505"/>
      <c r="K1345" s="471"/>
    </row>
    <row r="1346" spans="1:12" hidden="1">
      <c r="A1346" s="463"/>
      <c r="B1346" s="530"/>
      <c r="C1346" s="539"/>
      <c r="D1346" s="539"/>
      <c r="E1346" s="507"/>
      <c r="F1346" s="501"/>
      <c r="G1346" s="481"/>
      <c r="H1346" s="560"/>
      <c r="I1346" s="561"/>
      <c r="J1346" s="562">
        <f>H1346*I1346*E1329</f>
        <v>0</v>
      </c>
      <c r="K1346" s="471"/>
    </row>
    <row r="1347" spans="1:12" hidden="1">
      <c r="A1347" s="463"/>
      <c r="B1347" s="563" t="s">
        <v>946</v>
      </c>
      <c r="C1347" s="539"/>
      <c r="D1347" s="539"/>
      <c r="E1347" s="539"/>
      <c r="F1347" s="536"/>
      <c r="G1347" s="539"/>
      <c r="H1347" s="564"/>
      <c r="I1347" s="565" t="s">
        <v>175</v>
      </c>
      <c r="J1347" s="514">
        <f>SUM(J1343:J1346)</f>
        <v>19.77</v>
      </c>
      <c r="K1347" s="471"/>
      <c r="L1347" s="6" t="e">
        <f>J1347/E1340</f>
        <v>#REF!</v>
      </c>
    </row>
    <row r="1348" spans="1:12" hidden="1">
      <c r="A1348" s="463"/>
      <c r="B1348" s="566"/>
      <c r="C1348" s="539"/>
      <c r="D1348" s="539"/>
      <c r="E1348" s="567"/>
      <c r="F1348" s="568"/>
      <c r="G1348" s="519"/>
      <c r="H1348" s="519"/>
      <c r="I1348" s="542"/>
      <c r="J1348" s="567"/>
      <c r="K1348" s="471"/>
    </row>
    <row r="1349" spans="1:12" ht="20.399999999999999" hidden="1">
      <c r="A1349" s="463"/>
      <c r="B1349" s="1493" t="s">
        <v>955</v>
      </c>
      <c r="C1349" s="1494"/>
      <c r="D1349" s="1494"/>
      <c r="E1349" s="1494"/>
      <c r="F1349" s="1495"/>
      <c r="G1349" s="569" t="s">
        <v>372</v>
      </c>
      <c r="H1349" s="519" t="s">
        <v>956</v>
      </c>
      <c r="I1349" s="570" t="s">
        <v>942</v>
      </c>
      <c r="J1349" s="522" t="s">
        <v>363</v>
      </c>
      <c r="K1349" s="471"/>
    </row>
    <row r="1350" spans="1:12" hidden="1">
      <c r="A1350" s="463"/>
      <c r="B1350" s="571"/>
      <c r="C1350" s="572"/>
      <c r="D1350" s="573"/>
      <c r="E1350" s="573"/>
      <c r="F1350" s="574"/>
      <c r="G1350" s="502"/>
      <c r="H1350" s="502"/>
      <c r="I1350" s="575"/>
      <c r="J1350" s="505"/>
      <c r="K1350" s="471"/>
    </row>
    <row r="1351" spans="1:12" hidden="1">
      <c r="A1351" s="463"/>
      <c r="B1351" s="576"/>
      <c r="C1351" s="577"/>
      <c r="D1351" s="578"/>
      <c r="E1351" s="578"/>
      <c r="F1351" s="579"/>
      <c r="G1351" s="502"/>
      <c r="H1351" s="502"/>
      <c r="I1351" s="575"/>
      <c r="J1351" s="505"/>
      <c r="K1351" s="471"/>
    </row>
    <row r="1352" spans="1:12" hidden="1">
      <c r="A1352" s="463"/>
      <c r="B1352" s="1496" t="s">
        <v>175</v>
      </c>
      <c r="C1352" s="1496"/>
      <c r="D1352" s="1496"/>
      <c r="E1352" s="1496"/>
      <c r="F1352" s="1496"/>
      <c r="G1352" s="1496"/>
      <c r="H1352" s="1496"/>
      <c r="I1352" s="1496"/>
      <c r="J1352" s="514">
        <f>SUM(J1350:J1351)</f>
        <v>0</v>
      </c>
      <c r="K1352" s="471"/>
    </row>
    <row r="1353" spans="1:12" hidden="1">
      <c r="A1353" s="463"/>
      <c r="B1353" s="580"/>
      <c r="C1353" s="524"/>
      <c r="D1353" s="524"/>
      <c r="E1353" s="581"/>
      <c r="F1353" s="582"/>
      <c r="G1353" s="583"/>
      <c r="H1353" s="583"/>
      <c r="I1353" s="584"/>
      <c r="J1353" s="585"/>
      <c r="K1353" s="471"/>
    </row>
    <row r="1354" spans="1:12" hidden="1">
      <c r="A1354" s="463"/>
      <c r="B1354" s="586" t="s">
        <v>957</v>
      </c>
      <c r="C1354" s="586"/>
      <c r="D1354" s="563"/>
      <c r="E1354" s="536"/>
      <c r="F1354" s="536"/>
      <c r="G1354" s="536"/>
      <c r="H1354" s="587"/>
      <c r="I1354" s="588"/>
      <c r="J1354" s="514" t="e">
        <f>(J1340+J1347+J1352)/E1340</f>
        <v>#REF!</v>
      </c>
      <c r="K1354" s="471"/>
    </row>
    <row r="1355" spans="1:12" hidden="1">
      <c r="A1355" s="463"/>
      <c r="B1355" s="566"/>
      <c r="C1355" s="539"/>
      <c r="D1355" s="539"/>
      <c r="E1355" s="567"/>
      <c r="F1355" s="568"/>
      <c r="G1355" s="519"/>
      <c r="H1355" s="519"/>
      <c r="I1355" s="542"/>
      <c r="J1355" s="589"/>
      <c r="K1355" s="471"/>
    </row>
    <row r="1356" spans="1:12" ht="20.399999999999999" hidden="1">
      <c r="A1356" s="463"/>
      <c r="B1356" s="1493" t="s">
        <v>958</v>
      </c>
      <c r="C1356" s="1494"/>
      <c r="D1356" s="1494"/>
      <c r="E1356" s="1494"/>
      <c r="F1356" s="1495"/>
      <c r="G1356" s="569" t="s">
        <v>372</v>
      </c>
      <c r="H1356" s="519" t="s">
        <v>956</v>
      </c>
      <c r="I1356" s="570" t="s">
        <v>942</v>
      </c>
      <c r="J1356" s="522" t="s">
        <v>363</v>
      </c>
      <c r="K1356" s="471"/>
    </row>
    <row r="1357" spans="1:12" hidden="1">
      <c r="A1357" s="463"/>
      <c r="B1357" s="571" t="s">
        <v>1257</v>
      </c>
      <c r="C1357" s="572"/>
      <c r="D1357" s="573"/>
      <c r="E1357" s="573"/>
      <c r="F1357" s="574"/>
      <c r="G1357" s="502">
        <v>6.7299999999999999E-2</v>
      </c>
      <c r="H1357" s="502" t="s">
        <v>973</v>
      </c>
      <c r="I1357" s="575">
        <f>580+70</f>
        <v>650</v>
      </c>
      <c r="J1357" s="505">
        <f>G1357*I1357</f>
        <v>43.744999999999997</v>
      </c>
      <c r="K1357" s="471"/>
    </row>
    <row r="1358" spans="1:12" hidden="1">
      <c r="A1358" s="463"/>
      <c r="B1358" s="576" t="s">
        <v>1264</v>
      </c>
      <c r="C1358" s="577"/>
      <c r="D1358" s="578"/>
      <c r="E1358" s="578"/>
      <c r="F1358" s="579"/>
      <c r="G1358" s="502">
        <v>1.49E-2</v>
      </c>
      <c r="H1358" s="502" t="s">
        <v>973</v>
      </c>
      <c r="I1358" s="575">
        <v>165</v>
      </c>
      <c r="J1358" s="505">
        <f>G1358*I1358</f>
        <v>2.4584999999999999</v>
      </c>
      <c r="K1358" s="471"/>
    </row>
    <row r="1359" spans="1:12" hidden="1">
      <c r="A1359" s="463"/>
      <c r="B1359" s="576" t="s">
        <v>1276</v>
      </c>
      <c r="C1359" s="577"/>
      <c r="D1359" s="578"/>
      <c r="E1359" s="578"/>
      <c r="F1359" s="579"/>
      <c r="G1359" s="502">
        <v>3.3E-3</v>
      </c>
      <c r="H1359" s="502" t="s">
        <v>973</v>
      </c>
      <c r="I1359" s="502">
        <v>617.67999999999995</v>
      </c>
      <c r="J1359" s="505">
        <f>G1359*I1359</f>
        <v>2.0383439999999999</v>
      </c>
      <c r="K1359" s="471"/>
    </row>
    <row r="1360" spans="1:12" hidden="1">
      <c r="A1360" s="463"/>
      <c r="B1360" s="576"/>
      <c r="C1360" s="577"/>
      <c r="D1360" s="578"/>
      <c r="E1360" s="578"/>
      <c r="F1360" s="579"/>
      <c r="G1360" s="502"/>
      <c r="H1360" s="502"/>
      <c r="I1360" s="575"/>
      <c r="J1360" s="505"/>
      <c r="K1360" s="471"/>
    </row>
    <row r="1361" spans="1:15" hidden="1">
      <c r="A1361" s="463"/>
      <c r="B1361" s="576"/>
      <c r="C1361" s="577"/>
      <c r="D1361" s="578"/>
      <c r="E1361" s="578"/>
      <c r="F1361" s="579"/>
      <c r="G1361" s="502"/>
      <c r="H1361" s="502"/>
      <c r="I1361" s="575"/>
      <c r="J1361" s="505"/>
      <c r="K1361" s="471"/>
      <c r="M1361">
        <f>0.15+0.1</f>
        <v>0.25</v>
      </c>
      <c r="N1361">
        <v>0.45</v>
      </c>
    </row>
    <row r="1362" spans="1:15" hidden="1">
      <c r="A1362" s="463"/>
      <c r="B1362" s="590"/>
      <c r="C1362" s="591"/>
      <c r="D1362" s="592"/>
      <c r="E1362" s="592"/>
      <c r="F1362" s="593"/>
      <c r="G1362" s="502"/>
      <c r="H1362" s="502"/>
      <c r="I1362" s="575"/>
      <c r="J1362" s="505"/>
      <c r="K1362" s="471"/>
      <c r="M1362">
        <v>0.15</v>
      </c>
      <c r="N1362">
        <v>0.08</v>
      </c>
    </row>
    <row r="1363" spans="1:15" hidden="1">
      <c r="A1363" s="463"/>
      <c r="B1363" s="594"/>
      <c r="C1363" s="536"/>
      <c r="D1363" s="536"/>
      <c r="E1363" s="595"/>
      <c r="F1363" s="596"/>
      <c r="G1363" s="545"/>
      <c r="H1363" s="545"/>
      <c r="I1363" s="537" t="s">
        <v>175</v>
      </c>
      <c r="J1363" s="514">
        <f>SUM(J1357:J1362)</f>
        <v>48.241844</v>
      </c>
      <c r="K1363" s="471"/>
      <c r="M1363">
        <f>M1361*M1362/2</f>
        <v>1.8749999999999999E-2</v>
      </c>
      <c r="N1363">
        <f>N1361*N1362</f>
        <v>3.6000000000000004E-2</v>
      </c>
      <c r="O1363">
        <f>(M1363+N1363)*1.2</f>
        <v>6.5700000000000008E-2</v>
      </c>
    </row>
    <row r="1364" spans="1:15" hidden="1">
      <c r="A1364" s="463"/>
      <c r="B1364" s="597"/>
      <c r="C1364" s="536"/>
      <c r="D1364" s="536"/>
      <c r="E1364" s="595"/>
      <c r="F1364" s="596"/>
      <c r="G1364" s="545"/>
      <c r="H1364" s="545"/>
      <c r="I1364" s="537"/>
      <c r="J1364" s="595"/>
      <c r="K1364" s="471"/>
    </row>
    <row r="1365" spans="1:15" ht="20.399999999999999" hidden="1">
      <c r="A1365" s="463"/>
      <c r="B1365" s="598" t="s">
        <v>959</v>
      </c>
      <c r="C1365" s="598"/>
      <c r="D1365" s="598"/>
      <c r="E1365" s="599"/>
      <c r="F1365" s="600" t="s">
        <v>372</v>
      </c>
      <c r="G1365" s="569" t="s">
        <v>960</v>
      </c>
      <c r="H1365" s="519" t="s">
        <v>942</v>
      </c>
      <c r="I1365" s="570" t="s">
        <v>361</v>
      </c>
      <c r="J1365" s="522" t="s">
        <v>363</v>
      </c>
      <c r="K1365" s="471"/>
    </row>
    <row r="1366" spans="1:15" hidden="1">
      <c r="A1366" s="463"/>
      <c r="B1366" s="571"/>
      <c r="C1366" s="572"/>
      <c r="D1366" s="573"/>
      <c r="E1366" s="574"/>
      <c r="F1366" s="502"/>
      <c r="G1366" s="502"/>
      <c r="H1366" s="624"/>
      <c r="I1366" s="575"/>
      <c r="J1366" s="505"/>
      <c r="K1366" s="471"/>
    </row>
    <row r="1367" spans="1:15" hidden="1">
      <c r="A1367" s="463"/>
      <c r="B1367" s="576"/>
      <c r="C1367" s="577"/>
      <c r="D1367" s="578"/>
      <c r="E1367" s="579" t="s">
        <v>946</v>
      </c>
      <c r="F1367" s="502">
        <v>0</v>
      </c>
      <c r="G1367" s="502">
        <v>0</v>
      </c>
      <c r="H1367" s="502"/>
      <c r="I1367" s="575">
        <v>0</v>
      </c>
      <c r="J1367" s="505">
        <f>I1367*H1367*G1367*F1367</f>
        <v>0</v>
      </c>
      <c r="K1367" s="471"/>
    </row>
    <row r="1368" spans="1:15" hidden="1">
      <c r="A1368" s="463"/>
      <c r="B1368" s="576"/>
      <c r="C1368" s="577"/>
      <c r="D1368" s="578"/>
      <c r="E1368" s="579" t="s">
        <v>946</v>
      </c>
      <c r="F1368" s="502">
        <v>0</v>
      </c>
      <c r="G1368" s="502">
        <v>0</v>
      </c>
      <c r="H1368" s="502">
        <v>0</v>
      </c>
      <c r="I1368" s="575">
        <v>0</v>
      </c>
      <c r="J1368" s="505">
        <f>I1368*H1368*G1368*F1368</f>
        <v>0</v>
      </c>
      <c r="K1368" s="471"/>
    </row>
    <row r="1369" spans="1:15" hidden="1">
      <c r="A1369" s="463"/>
      <c r="B1369" s="576" t="s">
        <v>946</v>
      </c>
      <c r="C1369" s="577"/>
      <c r="D1369" s="578"/>
      <c r="E1369" s="579" t="s">
        <v>946</v>
      </c>
      <c r="F1369" s="502">
        <v>0</v>
      </c>
      <c r="G1369" s="502">
        <v>0</v>
      </c>
      <c r="H1369" s="502">
        <v>0</v>
      </c>
      <c r="I1369" s="575">
        <v>0</v>
      </c>
      <c r="J1369" s="505">
        <f>I1369*H1369*G1369*F1369</f>
        <v>0</v>
      </c>
      <c r="K1369" s="471"/>
    </row>
    <row r="1370" spans="1:15" hidden="1">
      <c r="A1370" s="463"/>
      <c r="B1370" s="590" t="s">
        <v>946</v>
      </c>
      <c r="C1370" s="591"/>
      <c r="D1370" s="592"/>
      <c r="E1370" s="593" t="s">
        <v>946</v>
      </c>
      <c r="F1370" s="509">
        <v>0</v>
      </c>
      <c r="G1370" s="509">
        <v>0</v>
      </c>
      <c r="H1370" s="509">
        <v>0</v>
      </c>
      <c r="I1370" s="601">
        <v>0</v>
      </c>
      <c r="J1370" s="505">
        <f>I1370*H1370*G1370*F1370</f>
        <v>0</v>
      </c>
      <c r="K1370" s="471"/>
    </row>
    <row r="1371" spans="1:15" hidden="1">
      <c r="A1371" s="463"/>
      <c r="B1371" s="594"/>
      <c r="C1371" s="536"/>
      <c r="D1371" s="536"/>
      <c r="E1371" s="595"/>
      <c r="F1371" s="596"/>
      <c r="G1371" s="545"/>
      <c r="H1371" s="545"/>
      <c r="I1371" s="537" t="s">
        <v>175</v>
      </c>
      <c r="J1371" s="514">
        <f>SUM(J1366:J1370)</f>
        <v>0</v>
      </c>
      <c r="K1371" s="471"/>
    </row>
    <row r="1372" spans="1:15" hidden="1">
      <c r="A1372" s="463"/>
      <c r="B1372" s="536"/>
      <c r="C1372" s="536"/>
      <c r="D1372" s="536"/>
      <c r="E1372" s="536"/>
      <c r="F1372" s="536"/>
      <c r="G1372" s="536"/>
      <c r="H1372" s="536"/>
      <c r="I1372" s="537"/>
      <c r="J1372" s="536"/>
      <c r="K1372" s="471"/>
    </row>
    <row r="1373" spans="1:15" hidden="1">
      <c r="A1373" s="463"/>
      <c r="B1373" s="1481" t="s">
        <v>961</v>
      </c>
      <c r="C1373" s="1482"/>
      <c r="D1373" s="1482"/>
      <c r="E1373" s="1482"/>
      <c r="F1373" s="1482"/>
      <c r="G1373" s="1482"/>
      <c r="H1373" s="1482"/>
      <c r="I1373" s="1483"/>
      <c r="J1373" s="586" t="e">
        <f>J1371+J1363+J1354</f>
        <v>#REF!</v>
      </c>
      <c r="K1373" s="471"/>
    </row>
    <row r="1374" spans="1:15" hidden="1">
      <c r="A1374" s="463"/>
      <c r="B1374" s="536"/>
      <c r="C1374" s="536"/>
      <c r="D1374" s="536"/>
      <c r="E1374" s="536"/>
      <c r="F1374" s="536"/>
      <c r="G1374" s="536"/>
      <c r="H1374" s="536"/>
      <c r="I1374" s="537"/>
      <c r="J1374" s="536"/>
      <c r="K1374" s="471"/>
    </row>
    <row r="1375" spans="1:15" hidden="1">
      <c r="A1375" s="463"/>
      <c r="B1375" s="1481" t="s">
        <v>962</v>
      </c>
      <c r="C1375" s="1482"/>
      <c r="D1375" s="1482"/>
      <c r="E1375" s="1482"/>
      <c r="F1375" s="1482"/>
      <c r="G1375" s="1482"/>
      <c r="H1375" s="1482"/>
      <c r="I1375" s="1483"/>
      <c r="J1375" s="514" t="e">
        <f>J1373*0</f>
        <v>#REF!</v>
      </c>
      <c r="K1375" s="471"/>
    </row>
    <row r="1376" spans="1:15" hidden="1">
      <c r="A1376" s="463"/>
      <c r="B1376" s="536"/>
      <c r="C1376" s="536"/>
      <c r="D1376" s="536"/>
      <c r="E1376" s="536"/>
      <c r="F1376" s="536"/>
      <c r="G1376" s="536"/>
      <c r="H1376" s="536"/>
      <c r="I1376" s="537"/>
      <c r="J1376" s="536"/>
      <c r="K1376" s="471"/>
    </row>
    <row r="1377" spans="1:11" hidden="1">
      <c r="A1377" s="463"/>
      <c r="B1377" s="1481" t="s">
        <v>963</v>
      </c>
      <c r="C1377" s="1482"/>
      <c r="D1377" s="1482"/>
      <c r="E1377" s="1482"/>
      <c r="F1377" s="1482"/>
      <c r="G1377" s="1482"/>
      <c r="H1377" s="1482"/>
      <c r="I1377" s="1483"/>
      <c r="J1377" s="586" t="e">
        <f>J1373+J1375</f>
        <v>#REF!</v>
      </c>
      <c r="K1377" s="471"/>
    </row>
    <row r="1378" spans="1:11" hidden="1">
      <c r="A1378" s="463"/>
      <c r="B1378" s="524"/>
      <c r="C1378" s="524"/>
      <c r="D1378" s="524"/>
      <c r="E1378" s="524"/>
      <c r="F1378" s="524"/>
      <c r="G1378" s="524"/>
      <c r="H1378" s="524"/>
      <c r="I1378" s="584"/>
      <c r="J1378" s="524"/>
      <c r="K1378" s="471"/>
    </row>
    <row r="1379" spans="1:11" hidden="1">
      <c r="A1379" s="463"/>
      <c r="B1379" s="602"/>
      <c r="C1379" s="572"/>
      <c r="D1379" s="572"/>
      <c r="E1379" s="572"/>
      <c r="F1379" s="572"/>
      <c r="G1379" s="572"/>
      <c r="H1379" s="572"/>
      <c r="I1379" s="572"/>
      <c r="J1379" s="603"/>
      <c r="K1379" s="471"/>
    </row>
    <row r="1380" spans="1:11" hidden="1">
      <c r="A1380" s="463"/>
      <c r="B1380" s="604"/>
      <c r="C1380" s="605"/>
      <c r="D1380" s="606"/>
      <c r="E1380" s="606"/>
      <c r="F1380" s="607" t="s">
        <v>946</v>
      </c>
      <c r="G1380" s="608" t="s">
        <v>946</v>
      </c>
      <c r="H1380" s="605"/>
      <c r="I1380" s="605"/>
      <c r="J1380" s="609"/>
      <c r="K1380" s="471"/>
    </row>
    <row r="1381" spans="1:11" hidden="1">
      <c r="A1381" s="463"/>
      <c r="B1381" s="472"/>
      <c r="C1381" s="472"/>
      <c r="D1381" s="472"/>
      <c r="E1381" s="472"/>
      <c r="F1381" s="472"/>
      <c r="G1381" s="472"/>
      <c r="H1381" s="472"/>
      <c r="I1381" s="472"/>
      <c r="J1381" s="472"/>
      <c r="K1381" s="471"/>
    </row>
    <row r="1382" spans="1:11" ht="22.5" hidden="1" customHeight="1">
      <c r="A1382" s="463"/>
      <c r="B1382" s="610">
        <f>PLANEJAMENTO!E944</f>
        <v>0</v>
      </c>
      <c r="C1382" s="611"/>
      <c r="D1382" s="611"/>
      <c r="E1382" s="611"/>
      <c r="F1382" s="612"/>
      <c r="G1382" s="613" t="s">
        <v>363</v>
      </c>
      <c r="H1382" s="515"/>
      <c r="I1382" s="515"/>
      <c r="J1382" s="518"/>
      <c r="K1382" s="471"/>
    </row>
    <row r="1383" spans="1:11" hidden="1">
      <c r="A1383" s="463"/>
      <c r="B1383" s="614">
        <f>PLANEJAMENTO!E945</f>
        <v>0</v>
      </c>
      <c r="C1383" s="615"/>
      <c r="D1383" s="615"/>
      <c r="E1383" s="615"/>
      <c r="F1383" s="616"/>
      <c r="G1383" s="1484" t="s">
        <v>964</v>
      </c>
      <c r="H1383" s="1485"/>
      <c r="I1383" s="1485"/>
      <c r="J1383" s="1486"/>
      <c r="K1383" s="471"/>
    </row>
    <row r="1384" spans="1:11" ht="15" hidden="1" thickBot="1">
      <c r="A1384" s="463"/>
      <c r="B1384" s="956"/>
      <c r="C1384" s="957"/>
      <c r="D1384" s="957"/>
      <c r="E1384" s="957"/>
      <c r="F1384" s="958"/>
      <c r="G1384" s="959"/>
      <c r="H1384" s="960"/>
      <c r="I1384" s="960"/>
      <c r="J1384" s="953"/>
      <c r="K1384" s="471"/>
    </row>
    <row r="1385" spans="1:11" hidden="1">
      <c r="A1385" s="460"/>
      <c r="B1385" s="461"/>
      <c r="C1385" s="461"/>
      <c r="D1385" s="461"/>
      <c r="E1385" s="461"/>
      <c r="F1385" s="461"/>
      <c r="G1385" s="461"/>
      <c r="H1385" s="461"/>
      <c r="I1385" s="461"/>
      <c r="J1385" s="461"/>
      <c r="K1385" s="471"/>
    </row>
    <row r="1386" spans="1:11" hidden="1">
      <c r="A1386" s="463"/>
      <c r="B1386" s="472"/>
      <c r="C1386" s="472"/>
      <c r="D1386" s="472"/>
      <c r="E1386" s="472"/>
      <c r="F1386" s="472"/>
      <c r="G1386" s="472"/>
      <c r="H1386" s="472"/>
      <c r="I1386" s="472"/>
      <c r="J1386" s="472"/>
      <c r="K1386" s="471"/>
    </row>
    <row r="1387" spans="1:11" hidden="1">
      <c r="A1387" s="463"/>
      <c r="B1387" s="464" t="s">
        <v>178</v>
      </c>
      <c r="C1387" s="465"/>
      <c r="D1387" s="466" t="s">
        <v>936</v>
      </c>
      <c r="E1387" s="467"/>
      <c r="F1387" s="468"/>
      <c r="G1387" s="468"/>
      <c r="H1387" s="469"/>
      <c r="I1387" s="469"/>
      <c r="J1387" s="470"/>
      <c r="K1387" s="471"/>
    </row>
    <row r="1388" spans="1:11" hidden="1">
      <c r="A1388" s="463"/>
      <c r="B1388" s="472"/>
      <c r="C1388" s="472"/>
      <c r="D1388" s="472"/>
      <c r="E1388" s="472"/>
      <c r="F1388" s="472"/>
      <c r="G1388" s="472"/>
      <c r="H1388" s="472"/>
      <c r="I1388" s="472"/>
      <c r="J1388" s="472"/>
      <c r="K1388" s="471"/>
    </row>
    <row r="1389" spans="1:11" hidden="1">
      <c r="A1389" s="463"/>
      <c r="B1389" s="473"/>
      <c r="C1389" s="474" t="s">
        <v>937</v>
      </c>
      <c r="D1389" s="1497" t="s">
        <v>250</v>
      </c>
      <c r="E1389" s="1498"/>
      <c r="F1389" s="1498"/>
      <c r="G1389" s="1498"/>
      <c r="H1389" s="1498"/>
      <c r="I1389" s="1499"/>
      <c r="J1389" s="475" t="s">
        <v>267</v>
      </c>
      <c r="K1389" s="471"/>
    </row>
    <row r="1390" spans="1:11" hidden="1">
      <c r="A1390" s="463"/>
      <c r="B1390" s="476"/>
      <c r="C1390" s="477">
        <f ca="1">TODAY()</f>
        <v>46140</v>
      </c>
      <c r="D1390" s="681" t="s">
        <v>1278</v>
      </c>
      <c r="E1390" s="479"/>
      <c r="F1390" s="479"/>
      <c r="G1390" s="479"/>
      <c r="H1390" s="479"/>
      <c r="I1390" s="480"/>
      <c r="J1390" s="481" t="str">
        <f>F1406</f>
        <v>m3</v>
      </c>
      <c r="K1390" s="471"/>
    </row>
    <row r="1391" spans="1:11" hidden="1">
      <c r="A1391" s="463"/>
      <c r="B1391" s="482"/>
      <c r="C1391" s="482"/>
      <c r="D1391" s="482"/>
      <c r="E1391" s="482"/>
      <c r="F1391" s="482"/>
      <c r="G1391" s="482"/>
      <c r="H1391" s="482"/>
      <c r="I1391" s="483"/>
      <c r="J1391" s="484"/>
      <c r="K1391" s="471"/>
    </row>
    <row r="1392" spans="1:11" hidden="1">
      <c r="A1392" s="463"/>
      <c r="B1392" s="1484" t="s">
        <v>938</v>
      </c>
      <c r="C1392" s="1486"/>
      <c r="D1392" s="1502" t="s">
        <v>688</v>
      </c>
      <c r="E1392" s="1504" t="s">
        <v>939</v>
      </c>
      <c r="F1392" s="485" t="s">
        <v>940</v>
      </c>
      <c r="G1392" s="486"/>
      <c r="H1392" s="485" t="s">
        <v>941</v>
      </c>
      <c r="I1392" s="486"/>
      <c r="J1392" s="487" t="s">
        <v>942</v>
      </c>
      <c r="K1392" s="471"/>
    </row>
    <row r="1393" spans="1:12" hidden="1">
      <c r="A1393" s="463"/>
      <c r="B1393" s="1500"/>
      <c r="C1393" s="1501"/>
      <c r="D1393" s="1503"/>
      <c r="E1393" s="1505"/>
      <c r="F1393" s="488" t="s">
        <v>943</v>
      </c>
      <c r="G1393" s="488" t="s">
        <v>944</v>
      </c>
      <c r="H1393" s="488" t="s">
        <v>943</v>
      </c>
      <c r="I1393" s="489" t="s">
        <v>944</v>
      </c>
      <c r="J1393" s="490" t="s">
        <v>945</v>
      </c>
      <c r="K1393" s="471"/>
    </row>
    <row r="1394" spans="1:12" hidden="1">
      <c r="A1394" s="463"/>
      <c r="B1394" s="491" t="s">
        <v>1222</v>
      </c>
      <c r="C1394" s="492"/>
      <c r="D1394" s="493"/>
      <c r="E1394" s="494">
        <v>6</v>
      </c>
      <c r="F1394" s="494">
        <v>1</v>
      </c>
      <c r="G1394" s="495">
        <f>1-F1394</f>
        <v>0</v>
      </c>
      <c r="H1394" s="503" t="e">
        <f>VLOOKUP(B1394,EQUIPAMENTOS!$A:$J,10,FALSE)</f>
        <v>#N/A</v>
      </c>
      <c r="I1394" s="504" t="e">
        <f>H1394</f>
        <v>#N/A</v>
      </c>
      <c r="J1394" s="505" t="e">
        <f>H1394*F1394*E1394+I1394*G1394*E1394</f>
        <v>#N/A</v>
      </c>
      <c r="K1394" s="471"/>
    </row>
    <row r="1395" spans="1:12" hidden="1">
      <c r="A1395" s="463"/>
      <c r="B1395" s="499" t="s">
        <v>631</v>
      </c>
      <c r="C1395" s="500"/>
      <c r="D1395" s="501"/>
      <c r="E1395" s="872">
        <v>1</v>
      </c>
      <c r="F1395" s="872">
        <v>1</v>
      </c>
      <c r="G1395" s="502">
        <f>1-F1395</f>
        <v>0</v>
      </c>
      <c r="H1395" s="503">
        <f>VLOOKUP(B1395,EQUIPAMENTOS!$A:$J,10,FALSE)</f>
        <v>175</v>
      </c>
      <c r="I1395" s="504">
        <f>H1395</f>
        <v>175</v>
      </c>
      <c r="J1395" s="505">
        <f>H1395*F1395*E1395+I1395*G1395*E1395</f>
        <v>175</v>
      </c>
      <c r="K1395" s="471"/>
    </row>
    <row r="1396" spans="1:12" hidden="1">
      <c r="A1396" s="463"/>
      <c r="B1396" s="499"/>
      <c r="C1396" s="500"/>
      <c r="D1396" s="501"/>
      <c r="E1396" s="872"/>
      <c r="F1396" s="872"/>
      <c r="G1396" s="502"/>
      <c r="H1396" s="503"/>
      <c r="I1396" s="504"/>
      <c r="J1396" s="505"/>
      <c r="K1396" s="471"/>
    </row>
    <row r="1397" spans="1:12" hidden="1">
      <c r="A1397" s="463"/>
      <c r="B1397" s="506"/>
      <c r="C1397" s="507"/>
      <c r="D1397" s="508"/>
      <c r="E1397" s="509"/>
      <c r="F1397" s="509"/>
      <c r="G1397" s="509"/>
      <c r="H1397" s="561"/>
      <c r="I1397" s="510"/>
      <c r="J1397" s="505"/>
      <c r="K1397" s="471"/>
    </row>
    <row r="1398" spans="1:12" hidden="1">
      <c r="A1398" s="463"/>
      <c r="B1398" s="512" t="s">
        <v>946</v>
      </c>
      <c r="C1398" s="482"/>
      <c r="D1398" s="482"/>
      <c r="E1398" s="482"/>
      <c r="F1398" s="482"/>
      <c r="G1398" s="482"/>
      <c r="H1398" s="482"/>
      <c r="I1398" s="513" t="s">
        <v>175</v>
      </c>
      <c r="J1398" s="514" t="e">
        <f>SUM(J1394:J1397)</f>
        <v>#N/A</v>
      </c>
      <c r="K1398" s="471"/>
      <c r="L1398" s="6" t="e">
        <f>J1398/E1406</f>
        <v>#N/A</v>
      </c>
    </row>
    <row r="1399" spans="1:12" hidden="1">
      <c r="A1399" s="463"/>
      <c r="B1399" s="515"/>
      <c r="C1399" s="515"/>
      <c r="D1399" s="515"/>
      <c r="E1399" s="515"/>
      <c r="F1399" s="515"/>
      <c r="G1399" s="515"/>
      <c r="H1399" s="515"/>
      <c r="I1399" s="516"/>
      <c r="J1399" s="517"/>
      <c r="K1399" s="471"/>
    </row>
    <row r="1400" spans="1:12" ht="20.399999999999999" hidden="1">
      <c r="A1400" s="463"/>
      <c r="B1400" s="1490" t="s">
        <v>947</v>
      </c>
      <c r="C1400" s="1491"/>
      <c r="D1400" s="1491"/>
      <c r="E1400" s="1492"/>
      <c r="F1400" s="725" t="s">
        <v>688</v>
      </c>
      <c r="G1400" s="519"/>
      <c r="H1400" s="520" t="s">
        <v>427</v>
      </c>
      <c r="I1400" s="521" t="s">
        <v>948</v>
      </c>
      <c r="J1400" s="522" t="s">
        <v>949</v>
      </c>
      <c r="K1400" s="471"/>
    </row>
    <row r="1401" spans="1:12" hidden="1">
      <c r="A1401" s="463"/>
      <c r="B1401" s="523" t="s">
        <v>950</v>
      </c>
      <c r="C1401" s="524"/>
      <c r="D1401" s="525"/>
      <c r="E1401" s="526"/>
      <c r="F1401" s="527"/>
      <c r="G1401" s="528"/>
      <c r="H1401" s="529">
        <f>E1394</f>
        <v>6</v>
      </c>
      <c r="I1401" s="534">
        <f>(VLOOKUP(B1401,'MÃO DE OBRA'!$A:$E,5,FALSE)/220)</f>
        <v>26.714454545454547</v>
      </c>
      <c r="J1401" s="505">
        <f>H1401*I1401</f>
        <v>160.28672727272729</v>
      </c>
      <c r="K1401" s="471"/>
    </row>
    <row r="1402" spans="1:12" hidden="1">
      <c r="A1402" s="463"/>
      <c r="B1402" s="530" t="s">
        <v>974</v>
      </c>
      <c r="C1402" s="531"/>
      <c r="D1402" s="472"/>
      <c r="E1402" s="500"/>
      <c r="F1402" s="501"/>
      <c r="G1402" s="532"/>
      <c r="H1402" s="533">
        <f>E1395</f>
        <v>1</v>
      </c>
      <c r="I1402" s="534">
        <f>(VLOOKUP(B1402,'MÃO DE OBRA'!$A:$E,5,FALSE)/220)</f>
        <v>35.988199999999999</v>
      </c>
      <c r="J1402" s="505">
        <f>H1402*I1402</f>
        <v>35.988199999999999</v>
      </c>
      <c r="K1402" s="471"/>
    </row>
    <row r="1403" spans="1:12" hidden="1">
      <c r="A1403" s="463"/>
      <c r="B1403" s="530" t="s">
        <v>472</v>
      </c>
      <c r="C1403" s="531"/>
      <c r="D1403" s="472"/>
      <c r="E1403" s="500"/>
      <c r="F1403" s="501"/>
      <c r="G1403" s="532"/>
      <c r="H1403" s="533"/>
      <c r="I1403" s="534">
        <f>(VLOOKUP(B1403,'MÃO DE OBRA'!$A:$E,5,FALSE)/220)</f>
        <v>18.377072727272729</v>
      </c>
      <c r="J1403" s="505">
        <f>H1403*I1403</f>
        <v>0</v>
      </c>
      <c r="K1403" s="471"/>
    </row>
    <row r="1404" spans="1:12" hidden="1">
      <c r="A1404" s="463"/>
      <c r="B1404" s="512" t="s">
        <v>946</v>
      </c>
      <c r="C1404" s="515"/>
      <c r="D1404" s="515"/>
      <c r="E1404" s="515"/>
      <c r="F1404" s="515"/>
      <c r="G1404" s="515"/>
      <c r="H1404" s="515"/>
      <c r="I1404" s="535" t="s">
        <v>175</v>
      </c>
      <c r="J1404" s="514">
        <f>SUM(J1401:J1403)</f>
        <v>196.2749272727273</v>
      </c>
      <c r="K1404" s="471"/>
    </row>
    <row r="1405" spans="1:12" hidden="1">
      <c r="A1405" s="463"/>
      <c r="B1405" s="536"/>
      <c r="C1405" s="536"/>
      <c r="D1405" s="536"/>
      <c r="E1405" s="536"/>
      <c r="F1405" s="536"/>
      <c r="G1405" s="536"/>
      <c r="H1405" s="536"/>
      <c r="I1405" s="537"/>
      <c r="J1405" s="536"/>
      <c r="K1405" s="471"/>
    </row>
    <row r="1406" spans="1:12" hidden="1">
      <c r="A1406" s="463"/>
      <c r="B1406" s="538" t="s">
        <v>952</v>
      </c>
      <c r="C1406" s="539"/>
      <c r="D1406" s="536"/>
      <c r="E1406" s="540" t="e">
        <f>EQUIPE!#REF!</f>
        <v>#REF!</v>
      </c>
      <c r="F1406" s="541" t="s">
        <v>931</v>
      </c>
      <c r="G1406" s="519"/>
      <c r="H1406" s="519"/>
      <c r="I1406" s="542" t="s">
        <v>953</v>
      </c>
      <c r="J1406" s="514" t="e">
        <f>J1398+J1404</f>
        <v>#N/A</v>
      </c>
      <c r="K1406" s="471"/>
    </row>
    <row r="1407" spans="1:12" hidden="1">
      <c r="A1407" s="463"/>
      <c r="B1407" s="543"/>
      <c r="C1407" s="536"/>
      <c r="D1407" s="536"/>
      <c r="E1407" s="544"/>
      <c r="F1407" s="545"/>
      <c r="G1407" s="545"/>
      <c r="H1407" s="545"/>
      <c r="I1407" s="537"/>
      <c r="J1407" s="536"/>
      <c r="K1407" s="471"/>
    </row>
    <row r="1408" spans="1:12" ht="20.399999999999999" hidden="1">
      <c r="A1408" s="463"/>
      <c r="B1408" s="1493" t="s">
        <v>362</v>
      </c>
      <c r="C1408" s="1494"/>
      <c r="D1408" s="1494"/>
      <c r="E1408" s="1495"/>
      <c r="F1408" s="546" t="s">
        <v>688</v>
      </c>
      <c r="G1408" s="547" t="s">
        <v>371</v>
      </c>
      <c r="H1408" s="520" t="s">
        <v>942</v>
      </c>
      <c r="I1408" s="548" t="s">
        <v>361</v>
      </c>
      <c r="J1408" s="549" t="s">
        <v>363</v>
      </c>
      <c r="K1408" s="471"/>
    </row>
    <row r="1409" spans="1:12" hidden="1">
      <c r="A1409" s="463"/>
      <c r="B1409" s="823" t="str">
        <f>B1394</f>
        <v>Caminhão basculante 16 m³</v>
      </c>
      <c r="C1409" s="532"/>
      <c r="D1409" s="532"/>
      <c r="E1409" s="822"/>
      <c r="F1409" s="553" t="e">
        <f>VLOOKUP(B1409,EQUIPAMENTOS!$A:$N,12,FALSE)</f>
        <v>#N/A</v>
      </c>
      <c r="G1409" s="554" t="s">
        <v>415</v>
      </c>
      <c r="H1409" s="560" t="e">
        <f>VLOOKUP(B1409,EQUIPAMENTOS!$A:$N,13,FALSE)</f>
        <v>#N/A</v>
      </c>
      <c r="I1409" s="556" t="e">
        <f>EQUIPE!#REF!*0.73</f>
        <v>#REF!</v>
      </c>
      <c r="J1409" s="505" t="e">
        <f>H1409*I1409*E1394*F1394</f>
        <v>#N/A</v>
      </c>
      <c r="K1409" s="471"/>
    </row>
    <row r="1410" spans="1:12" hidden="1">
      <c r="A1410" s="463"/>
      <c r="B1410" s="823" t="str">
        <f>B1395</f>
        <v>Escavadeira hidráulica sobre esteira 22T</v>
      </c>
      <c r="C1410" s="531"/>
      <c r="D1410" s="531"/>
      <c r="E1410" s="500"/>
      <c r="F1410" s="553" t="str">
        <f>VLOOKUP(B1410,EQUIPAMENTOS!$A:$N,12,FALSE)</f>
        <v>Diesel S10</v>
      </c>
      <c r="G1410" s="554" t="s">
        <v>415</v>
      </c>
      <c r="H1410" s="560">
        <f>VLOOKUP(B1410,EQUIPAMENTOS!$A:$N,13,FALSE)</f>
        <v>0</v>
      </c>
      <c r="I1410" s="556">
        <f>VLOOKUP(B1410,EQUIPAMENTOS!$A:$N,14,FALSE)</f>
        <v>22</v>
      </c>
      <c r="J1410" s="505">
        <f>H1410*I1410*E1395*F1395</f>
        <v>0</v>
      </c>
      <c r="K1410" s="471"/>
    </row>
    <row r="1411" spans="1:12" hidden="1">
      <c r="A1411" s="463"/>
      <c r="B1411" s="823"/>
      <c r="C1411" s="539"/>
      <c r="D1411" s="539"/>
      <c r="E1411" s="507"/>
      <c r="F1411" s="869"/>
      <c r="G1411" s="736"/>
      <c r="H1411" s="560"/>
      <c r="I1411" s="556"/>
      <c r="J1411" s="505"/>
      <c r="K1411" s="471"/>
    </row>
    <row r="1412" spans="1:12" hidden="1">
      <c r="A1412" s="463"/>
      <c r="B1412" s="563" t="s">
        <v>946</v>
      </c>
      <c r="C1412" s="536"/>
      <c r="D1412" s="536"/>
      <c r="E1412" s="536"/>
      <c r="F1412" s="536"/>
      <c r="G1412" s="536"/>
      <c r="H1412" s="564"/>
      <c r="I1412" s="565" t="s">
        <v>175</v>
      </c>
      <c r="J1412" s="514" t="e">
        <f>SUM(J1409:J1411)</f>
        <v>#N/A</v>
      </c>
      <c r="K1412" s="471"/>
      <c r="L1412" s="6" t="e">
        <f>J1412/E1406</f>
        <v>#N/A</v>
      </c>
    </row>
    <row r="1413" spans="1:12" hidden="1">
      <c r="A1413" s="463"/>
      <c r="B1413" s="566"/>
      <c r="C1413" s="539"/>
      <c r="D1413" s="539"/>
      <c r="E1413" s="567"/>
      <c r="F1413" s="568"/>
      <c r="G1413" s="519"/>
      <c r="H1413" s="519"/>
      <c r="I1413" s="542"/>
      <c r="J1413" s="567"/>
      <c r="K1413" s="471"/>
    </row>
    <row r="1414" spans="1:12" ht="20.399999999999999" hidden="1">
      <c r="A1414" s="463"/>
      <c r="B1414" s="1493" t="s">
        <v>955</v>
      </c>
      <c r="C1414" s="1494"/>
      <c r="D1414" s="1494"/>
      <c r="E1414" s="1494"/>
      <c r="F1414" s="1495"/>
      <c r="G1414" s="569" t="s">
        <v>372</v>
      </c>
      <c r="H1414" s="519" t="s">
        <v>956</v>
      </c>
      <c r="I1414" s="570" t="s">
        <v>942</v>
      </c>
      <c r="J1414" s="522" t="s">
        <v>363</v>
      </c>
      <c r="K1414" s="471"/>
    </row>
    <row r="1415" spans="1:12" hidden="1">
      <c r="A1415" s="463"/>
      <c r="B1415" s="571"/>
      <c r="C1415" s="572"/>
      <c r="D1415" s="573"/>
      <c r="E1415" s="573"/>
      <c r="F1415" s="574"/>
      <c r="G1415" s="502"/>
      <c r="H1415" s="502"/>
      <c r="I1415" s="575"/>
      <c r="J1415" s="505"/>
      <c r="K1415" s="471"/>
    </row>
    <row r="1416" spans="1:12" hidden="1">
      <c r="A1416" s="463"/>
      <c r="B1416" s="576"/>
      <c r="C1416" s="577"/>
      <c r="D1416" s="578"/>
      <c r="E1416" s="578"/>
      <c r="F1416" s="579"/>
      <c r="G1416" s="502"/>
      <c r="H1416" s="502"/>
      <c r="I1416" s="575"/>
      <c r="J1416" s="505"/>
      <c r="K1416" s="471"/>
    </row>
    <row r="1417" spans="1:12" hidden="1">
      <c r="A1417" s="463"/>
      <c r="B1417" s="1496" t="s">
        <v>175</v>
      </c>
      <c r="C1417" s="1496"/>
      <c r="D1417" s="1496"/>
      <c r="E1417" s="1496"/>
      <c r="F1417" s="1496"/>
      <c r="G1417" s="1496"/>
      <c r="H1417" s="1496"/>
      <c r="I1417" s="1496"/>
      <c r="J1417" s="514">
        <f>SUM(J1415:J1416)</f>
        <v>0</v>
      </c>
      <c r="K1417" s="471"/>
    </row>
    <row r="1418" spans="1:12" hidden="1">
      <c r="A1418" s="463"/>
      <c r="B1418" s="580"/>
      <c r="C1418" s="524"/>
      <c r="D1418" s="524"/>
      <c r="E1418" s="581"/>
      <c r="F1418" s="582"/>
      <c r="G1418" s="583"/>
      <c r="H1418" s="583"/>
      <c r="I1418" s="584"/>
      <c r="J1418" s="585"/>
      <c r="K1418" s="471"/>
    </row>
    <row r="1419" spans="1:12" hidden="1">
      <c r="A1419" s="463"/>
      <c r="B1419" s="586" t="s">
        <v>957</v>
      </c>
      <c r="C1419" s="586"/>
      <c r="D1419" s="563"/>
      <c r="E1419" s="536"/>
      <c r="F1419" s="536"/>
      <c r="G1419" s="536"/>
      <c r="H1419" s="587"/>
      <c r="I1419" s="588"/>
      <c r="J1419" s="514" t="e">
        <f>(J1406+J1412+J1417)/E1406</f>
        <v>#N/A</v>
      </c>
      <c r="K1419" s="471"/>
    </row>
    <row r="1420" spans="1:12" hidden="1">
      <c r="A1420" s="463"/>
      <c r="B1420" s="566"/>
      <c r="C1420" s="539"/>
      <c r="D1420" s="539"/>
      <c r="E1420" s="567"/>
      <c r="F1420" s="568"/>
      <c r="G1420" s="519"/>
      <c r="H1420" s="519"/>
      <c r="I1420" s="542"/>
      <c r="J1420" s="589"/>
      <c r="K1420" s="471"/>
    </row>
    <row r="1421" spans="1:12" ht="20.399999999999999" hidden="1">
      <c r="A1421" s="463"/>
      <c r="B1421" s="1493" t="s">
        <v>958</v>
      </c>
      <c r="C1421" s="1494"/>
      <c r="D1421" s="1494"/>
      <c r="E1421" s="1494"/>
      <c r="F1421" s="1495"/>
      <c r="G1421" s="569" t="s">
        <v>372</v>
      </c>
      <c r="H1421" s="519" t="s">
        <v>956</v>
      </c>
      <c r="I1421" s="570" t="s">
        <v>942</v>
      </c>
      <c r="J1421" s="522" t="s">
        <v>363</v>
      </c>
      <c r="K1421" s="471"/>
    </row>
    <row r="1422" spans="1:12" hidden="1">
      <c r="A1422" s="463"/>
      <c r="B1422" s="824"/>
      <c r="C1422" s="577"/>
      <c r="D1422" s="578"/>
      <c r="E1422" s="578"/>
      <c r="F1422" s="579"/>
      <c r="G1422" s="502"/>
      <c r="H1422" s="502"/>
      <c r="I1422" s="737"/>
      <c r="J1422" s="505">
        <f>G1422*I1422</f>
        <v>0</v>
      </c>
      <c r="K1422" s="471"/>
    </row>
    <row r="1423" spans="1:12" hidden="1">
      <c r="A1423" s="463"/>
      <c r="B1423" s="824"/>
      <c r="C1423" s="577"/>
      <c r="D1423" s="578"/>
      <c r="E1423" s="578"/>
      <c r="F1423" s="579"/>
      <c r="G1423" s="502"/>
      <c r="H1423" s="502"/>
      <c r="I1423" s="737"/>
      <c r="J1423" s="505">
        <f>G1423*I1423</f>
        <v>0</v>
      </c>
      <c r="K1423" s="471"/>
    </row>
    <row r="1424" spans="1:12" hidden="1">
      <c r="A1424" s="463"/>
      <c r="B1424" s="576"/>
      <c r="C1424" s="577"/>
      <c r="D1424" s="578"/>
      <c r="E1424" s="578"/>
      <c r="F1424" s="579"/>
      <c r="G1424" s="502"/>
      <c r="H1424" s="502"/>
      <c r="I1424" s="575"/>
      <c r="J1424" s="505">
        <f>G1424*I1424</f>
        <v>0</v>
      </c>
      <c r="K1424" s="471"/>
    </row>
    <row r="1425" spans="1:11" hidden="1">
      <c r="A1425" s="463"/>
      <c r="B1425" s="590"/>
      <c r="C1425" s="591"/>
      <c r="D1425" s="592"/>
      <c r="E1425" s="592"/>
      <c r="F1425" s="593"/>
      <c r="G1425" s="502"/>
      <c r="H1425" s="502"/>
      <c r="I1425" s="575"/>
      <c r="J1425" s="505">
        <f>G1425*I1425</f>
        <v>0</v>
      </c>
      <c r="K1425" s="471"/>
    </row>
    <row r="1426" spans="1:11" hidden="1">
      <c r="A1426" s="463"/>
      <c r="B1426" s="594"/>
      <c r="C1426" s="536"/>
      <c r="D1426" s="536"/>
      <c r="E1426" s="595"/>
      <c r="F1426" s="596"/>
      <c r="G1426" s="545"/>
      <c r="H1426" s="545"/>
      <c r="I1426" s="537" t="s">
        <v>175</v>
      </c>
      <c r="J1426" s="514">
        <f>SUM(J1422:J1425)</f>
        <v>0</v>
      </c>
      <c r="K1426" s="471"/>
    </row>
    <row r="1427" spans="1:11" hidden="1">
      <c r="A1427" s="463"/>
      <c r="B1427" s="597"/>
      <c r="C1427" s="536"/>
      <c r="D1427" s="536"/>
      <c r="E1427" s="595"/>
      <c r="F1427" s="596"/>
      <c r="G1427" s="545"/>
      <c r="H1427" s="545"/>
      <c r="I1427" s="537"/>
      <c r="J1427" s="595"/>
      <c r="K1427" s="471"/>
    </row>
    <row r="1428" spans="1:11" ht="20.399999999999999" hidden="1">
      <c r="A1428" s="463"/>
      <c r="B1428" s="598" t="s">
        <v>959</v>
      </c>
      <c r="C1428" s="598"/>
      <c r="D1428" s="598"/>
      <c r="E1428" s="599"/>
      <c r="F1428" s="600" t="s">
        <v>372</v>
      </c>
      <c r="G1428" s="569" t="s">
        <v>960</v>
      </c>
      <c r="H1428" s="519" t="s">
        <v>942</v>
      </c>
      <c r="I1428" s="570" t="s">
        <v>361</v>
      </c>
      <c r="J1428" s="522" t="s">
        <v>363</v>
      </c>
      <c r="K1428" s="471"/>
    </row>
    <row r="1429" spans="1:11" hidden="1">
      <c r="A1429" s="463"/>
      <c r="B1429" s="571"/>
      <c r="C1429" s="572"/>
      <c r="D1429" s="573"/>
      <c r="E1429" s="574"/>
      <c r="F1429" s="502"/>
      <c r="G1429" s="502"/>
      <c r="H1429" s="624"/>
      <c r="I1429" s="575"/>
      <c r="J1429" s="505"/>
      <c r="K1429" s="471"/>
    </row>
    <row r="1430" spans="1:11" hidden="1">
      <c r="A1430" s="463"/>
      <c r="B1430" s="590" t="s">
        <v>946</v>
      </c>
      <c r="C1430" s="591"/>
      <c r="D1430" s="592"/>
      <c r="E1430" s="593" t="s">
        <v>946</v>
      </c>
      <c r="F1430" s="509">
        <v>0</v>
      </c>
      <c r="G1430" s="509">
        <v>0</v>
      </c>
      <c r="H1430" s="509">
        <v>0</v>
      </c>
      <c r="I1430" s="601">
        <v>0</v>
      </c>
      <c r="J1430" s="505">
        <f>I1430*H1430*G1430*F1430</f>
        <v>0</v>
      </c>
      <c r="K1430" s="471"/>
    </row>
    <row r="1431" spans="1:11" hidden="1">
      <c r="A1431" s="463"/>
      <c r="B1431" s="594"/>
      <c r="C1431" s="536"/>
      <c r="D1431" s="536"/>
      <c r="E1431" s="595"/>
      <c r="F1431" s="596"/>
      <c r="G1431" s="545"/>
      <c r="H1431" s="545"/>
      <c r="I1431" s="537" t="s">
        <v>175</v>
      </c>
      <c r="J1431" s="514">
        <f>SUM(J1429:J1430)</f>
        <v>0</v>
      </c>
      <c r="K1431" s="471"/>
    </row>
    <row r="1432" spans="1:11" hidden="1">
      <c r="A1432" s="463"/>
      <c r="B1432" s="536"/>
      <c r="C1432" s="536"/>
      <c r="D1432" s="536"/>
      <c r="E1432" s="536"/>
      <c r="F1432" s="536"/>
      <c r="G1432" s="536"/>
      <c r="H1432" s="536"/>
      <c r="I1432" s="537"/>
      <c r="J1432" s="536"/>
      <c r="K1432" s="471"/>
    </row>
    <row r="1433" spans="1:11" hidden="1">
      <c r="A1433" s="463"/>
      <c r="B1433" s="1481" t="s">
        <v>961</v>
      </c>
      <c r="C1433" s="1482"/>
      <c r="D1433" s="1482"/>
      <c r="E1433" s="1482"/>
      <c r="F1433" s="1482"/>
      <c r="G1433" s="1482"/>
      <c r="H1433" s="1482"/>
      <c r="I1433" s="1483"/>
      <c r="J1433" s="586" t="e">
        <f>J1431+J1426+J1419</f>
        <v>#N/A</v>
      </c>
      <c r="K1433" s="471"/>
    </row>
    <row r="1434" spans="1:11" hidden="1">
      <c r="A1434" s="463"/>
      <c r="B1434" s="536"/>
      <c r="C1434" s="536"/>
      <c r="D1434" s="536"/>
      <c r="E1434" s="536"/>
      <c r="F1434" s="536"/>
      <c r="G1434" s="536"/>
      <c r="H1434" s="536"/>
      <c r="I1434" s="537"/>
      <c r="J1434" s="536"/>
      <c r="K1434" s="471"/>
    </row>
    <row r="1435" spans="1:11" hidden="1">
      <c r="A1435" s="463"/>
      <c r="B1435" s="1481" t="s">
        <v>962</v>
      </c>
      <c r="C1435" s="1482"/>
      <c r="D1435" s="1482"/>
      <c r="E1435" s="1482"/>
      <c r="F1435" s="1482"/>
      <c r="G1435" s="1482"/>
      <c r="H1435" s="1482"/>
      <c r="I1435" s="1483"/>
      <c r="J1435" s="514" t="e">
        <f>J1433*0</f>
        <v>#N/A</v>
      </c>
      <c r="K1435" s="471"/>
    </row>
    <row r="1436" spans="1:11" hidden="1">
      <c r="A1436" s="463"/>
      <c r="B1436" s="536"/>
      <c r="C1436" s="536"/>
      <c r="D1436" s="536"/>
      <c r="E1436" s="536"/>
      <c r="F1436" s="536"/>
      <c r="G1436" s="536"/>
      <c r="H1436" s="536"/>
      <c r="I1436" s="537"/>
      <c r="J1436" s="536"/>
      <c r="K1436" s="471"/>
    </row>
    <row r="1437" spans="1:11" hidden="1">
      <c r="A1437" s="463"/>
      <c r="B1437" s="1481" t="s">
        <v>963</v>
      </c>
      <c r="C1437" s="1482"/>
      <c r="D1437" s="1482"/>
      <c r="E1437" s="1482"/>
      <c r="F1437" s="1482"/>
      <c r="G1437" s="1482"/>
      <c r="H1437" s="1482"/>
      <c r="I1437" s="1483"/>
      <c r="J1437" s="586" t="e">
        <f>J1433+J1435</f>
        <v>#N/A</v>
      </c>
      <c r="K1437" s="471"/>
    </row>
    <row r="1438" spans="1:11" hidden="1">
      <c r="A1438" s="463"/>
      <c r="B1438" s="524"/>
      <c r="C1438" s="524"/>
      <c r="D1438" s="524"/>
      <c r="E1438" s="524"/>
      <c r="F1438" s="524"/>
      <c r="G1438" s="524"/>
      <c r="H1438" s="524"/>
      <c r="I1438" s="584"/>
      <c r="J1438" s="524"/>
      <c r="K1438" s="471"/>
    </row>
    <row r="1439" spans="1:11" hidden="1">
      <c r="A1439" s="463"/>
      <c r="B1439" s="602"/>
      <c r="C1439" s="572"/>
      <c r="D1439" s="572"/>
      <c r="E1439" s="572"/>
      <c r="F1439" s="572"/>
      <c r="G1439" s="572"/>
      <c r="H1439" s="572"/>
      <c r="I1439" s="572"/>
      <c r="J1439" s="603"/>
      <c r="K1439" s="471"/>
    </row>
    <row r="1440" spans="1:11" hidden="1">
      <c r="A1440" s="463"/>
      <c r="B1440" s="604"/>
      <c r="C1440" s="605"/>
      <c r="D1440" s="606"/>
      <c r="E1440" s="606"/>
      <c r="F1440" s="607" t="s">
        <v>946</v>
      </c>
      <c r="G1440" s="608" t="s">
        <v>946</v>
      </c>
      <c r="H1440" s="605"/>
      <c r="I1440" s="605"/>
      <c r="J1440" s="609"/>
      <c r="K1440" s="471"/>
    </row>
    <row r="1441" spans="1:11" hidden="1">
      <c r="A1441" s="463"/>
      <c r="B1441" s="472"/>
      <c r="C1441" s="472"/>
      <c r="D1441" s="472"/>
      <c r="E1441" s="472"/>
      <c r="F1441" s="472"/>
      <c r="G1441" s="472"/>
      <c r="H1441" s="472"/>
      <c r="I1441" s="472"/>
      <c r="J1441" s="472"/>
      <c r="K1441" s="471"/>
    </row>
    <row r="1442" spans="1:11" hidden="1">
      <c r="A1442" s="463"/>
      <c r="B1442" s="610">
        <f>PLANEJAMENTO!E1067</f>
        <v>0</v>
      </c>
      <c r="C1442" s="611"/>
      <c r="D1442" s="611"/>
      <c r="E1442" s="611"/>
      <c r="F1442" s="612"/>
      <c r="G1442" s="613" t="s">
        <v>363</v>
      </c>
      <c r="H1442" s="515"/>
      <c r="I1442" s="515"/>
      <c r="J1442" s="518"/>
      <c r="K1442" s="471"/>
    </row>
    <row r="1443" spans="1:11" hidden="1">
      <c r="A1443" s="463"/>
      <c r="B1443" s="614">
        <f>PLANEJAMENTO!E1068</f>
        <v>0</v>
      </c>
      <c r="C1443" s="615"/>
      <c r="D1443" s="615"/>
      <c r="E1443" s="615"/>
      <c r="F1443" s="616"/>
      <c r="G1443" s="1484" t="s">
        <v>964</v>
      </c>
      <c r="H1443" s="1485"/>
      <c r="I1443" s="1485"/>
      <c r="J1443" s="1486"/>
      <c r="K1443" s="471"/>
    </row>
    <row r="1444" spans="1:11" hidden="1">
      <c r="A1444" s="463"/>
      <c r="B1444" s="617"/>
      <c r="C1444" s="618"/>
      <c r="D1444" s="618"/>
      <c r="E1444" s="618"/>
      <c r="F1444" s="619"/>
      <c r="G1444" s="620"/>
      <c r="H1444" s="1487"/>
      <c r="I1444" s="1488"/>
      <c r="J1444" s="1489"/>
      <c r="K1444" s="471"/>
    </row>
    <row r="1445" spans="1:11" ht="15" hidden="1" thickBot="1">
      <c r="A1445" s="621"/>
      <c r="B1445" s="622"/>
      <c r="C1445" s="622"/>
      <c r="D1445" s="622"/>
      <c r="E1445" s="622"/>
      <c r="F1445" s="622"/>
      <c r="G1445" s="622"/>
      <c r="H1445" s="622"/>
      <c r="I1445" s="622"/>
      <c r="J1445" s="622"/>
      <c r="K1445" s="623"/>
    </row>
    <row r="1446" spans="1:11" hidden="1">
      <c r="A1446" s="463"/>
      <c r="B1446" s="472"/>
      <c r="C1446" s="472"/>
      <c r="D1446" s="472"/>
      <c r="E1446" s="472"/>
      <c r="F1446" s="472"/>
      <c r="G1446" s="472"/>
      <c r="H1446" s="472"/>
      <c r="I1446" s="472"/>
      <c r="J1446" s="472"/>
      <c r="K1446" s="471"/>
    </row>
    <row r="1447" spans="1:11" hidden="1">
      <c r="A1447" s="463"/>
      <c r="B1447" s="464" t="s">
        <v>178</v>
      </c>
      <c r="C1447" s="465"/>
      <c r="D1447" s="466" t="s">
        <v>936</v>
      </c>
      <c r="E1447" s="467"/>
      <c r="F1447" s="468"/>
      <c r="G1447" s="468"/>
      <c r="H1447" s="469"/>
      <c r="I1447" s="469"/>
      <c r="J1447" s="470"/>
      <c r="K1447" s="471"/>
    </row>
    <row r="1448" spans="1:11" hidden="1">
      <c r="A1448" s="463"/>
      <c r="B1448" s="472"/>
      <c r="C1448" s="472"/>
      <c r="D1448" s="472"/>
      <c r="E1448" s="472"/>
      <c r="F1448" s="472"/>
      <c r="G1448" s="472"/>
      <c r="H1448" s="472"/>
      <c r="I1448" s="472"/>
      <c r="J1448" s="472"/>
      <c r="K1448" s="471"/>
    </row>
    <row r="1449" spans="1:11" hidden="1">
      <c r="A1449" s="463"/>
      <c r="B1449" s="473" t="s">
        <v>1294</v>
      </c>
      <c r="C1449" s="474" t="s">
        <v>937</v>
      </c>
      <c r="D1449" s="1497" t="s">
        <v>250</v>
      </c>
      <c r="E1449" s="1498"/>
      <c r="F1449" s="1498"/>
      <c r="G1449" s="1498"/>
      <c r="H1449" s="1498"/>
      <c r="I1449" s="1499"/>
      <c r="J1449" s="475" t="s">
        <v>267</v>
      </c>
      <c r="K1449" s="471"/>
    </row>
    <row r="1450" spans="1:11" hidden="1">
      <c r="A1450" s="463"/>
      <c r="B1450" s="476">
        <v>2003636</v>
      </c>
      <c r="C1450" s="477">
        <f ca="1">TODAY()</f>
        <v>46140</v>
      </c>
      <c r="D1450" s="681" t="s">
        <v>1288</v>
      </c>
      <c r="E1450" s="479"/>
      <c r="F1450" s="479"/>
      <c r="G1450" s="479"/>
      <c r="H1450" s="479"/>
      <c r="I1450" s="480"/>
      <c r="J1450" s="481" t="str">
        <f>F1468</f>
        <v>UND</v>
      </c>
      <c r="K1450" s="471"/>
    </row>
    <row r="1451" spans="1:11" hidden="1">
      <c r="A1451" s="463"/>
      <c r="B1451" s="482"/>
      <c r="C1451" s="482"/>
      <c r="D1451" s="482"/>
      <c r="E1451" s="482"/>
      <c r="F1451" s="482"/>
      <c r="G1451" s="482"/>
      <c r="H1451" s="482"/>
      <c r="I1451" s="483"/>
      <c r="J1451" s="484"/>
      <c r="K1451" s="471"/>
    </row>
    <row r="1452" spans="1:11" hidden="1">
      <c r="A1452" s="463"/>
      <c r="B1452" s="1484" t="s">
        <v>938</v>
      </c>
      <c r="C1452" s="1486"/>
      <c r="D1452" s="1502" t="s">
        <v>688</v>
      </c>
      <c r="E1452" s="1504" t="s">
        <v>939</v>
      </c>
      <c r="F1452" s="485" t="s">
        <v>940</v>
      </c>
      <c r="G1452" s="486"/>
      <c r="H1452" s="485" t="s">
        <v>941</v>
      </c>
      <c r="I1452" s="486"/>
      <c r="J1452" s="487" t="s">
        <v>942</v>
      </c>
      <c r="K1452" s="471"/>
    </row>
    <row r="1453" spans="1:11" hidden="1">
      <c r="A1453" s="463"/>
      <c r="B1453" s="1500"/>
      <c r="C1453" s="1501"/>
      <c r="D1453" s="1503"/>
      <c r="E1453" s="1505"/>
      <c r="F1453" s="488" t="s">
        <v>943</v>
      </c>
      <c r="G1453" s="488" t="s">
        <v>944</v>
      </c>
      <c r="H1453" s="488" t="s">
        <v>943</v>
      </c>
      <c r="I1453" s="489" t="s">
        <v>944</v>
      </c>
      <c r="J1453" s="490" t="s">
        <v>945</v>
      </c>
      <c r="K1453" s="471"/>
    </row>
    <row r="1454" spans="1:11" hidden="1">
      <c r="A1454" s="463"/>
      <c r="B1454" s="491" t="s">
        <v>375</v>
      </c>
      <c r="C1454" s="492"/>
      <c r="D1454" s="493"/>
      <c r="E1454" s="494">
        <v>0.5</v>
      </c>
      <c r="F1454" s="494">
        <v>1</v>
      </c>
      <c r="G1454" s="495">
        <f>1-F1454</f>
        <v>0</v>
      </c>
      <c r="H1454" s="503">
        <f>VLOOKUP(B1454,EQUIPAMENTOS!$A:$J,10,FALSE)</f>
        <v>63.777777777777779</v>
      </c>
      <c r="I1454" s="504">
        <f>H1454</f>
        <v>63.777777777777779</v>
      </c>
      <c r="J1454" s="505">
        <f>H1454*F1454*E1454+I1454*G1454*E1454</f>
        <v>31.888888888888889</v>
      </c>
      <c r="K1454" s="471"/>
    </row>
    <row r="1455" spans="1:11" hidden="1">
      <c r="A1455" s="463"/>
      <c r="B1455" s="499"/>
      <c r="C1455" s="500"/>
      <c r="D1455" s="501"/>
      <c r="E1455" s="872"/>
      <c r="F1455" s="872"/>
      <c r="G1455" s="502"/>
      <c r="H1455" s="503"/>
      <c r="I1455" s="504"/>
      <c r="J1455" s="505"/>
      <c r="K1455" s="471"/>
    </row>
    <row r="1456" spans="1:11" hidden="1">
      <c r="A1456" s="463"/>
      <c r="B1456" s="499"/>
      <c r="C1456" s="500"/>
      <c r="D1456" s="501"/>
      <c r="E1456" s="872"/>
      <c r="F1456" s="872"/>
      <c r="G1456" s="502"/>
      <c r="H1456" s="503"/>
      <c r="I1456" s="504"/>
      <c r="J1456" s="505"/>
      <c r="K1456" s="471"/>
    </row>
    <row r="1457" spans="1:12" hidden="1">
      <c r="A1457" s="463"/>
      <c r="B1457" s="506"/>
      <c r="C1457" s="507"/>
      <c r="D1457" s="508"/>
      <c r="E1457" s="509"/>
      <c r="F1457" s="509"/>
      <c r="G1457" s="509"/>
      <c r="H1457" s="561"/>
      <c r="I1457" s="510"/>
      <c r="J1457" s="505"/>
      <c r="K1457" s="471"/>
    </row>
    <row r="1458" spans="1:12" hidden="1">
      <c r="A1458" s="463"/>
      <c r="B1458" s="512" t="s">
        <v>946</v>
      </c>
      <c r="C1458" s="482"/>
      <c r="D1458" s="482"/>
      <c r="E1458" s="482"/>
      <c r="F1458" s="482"/>
      <c r="G1458" s="482"/>
      <c r="H1458" s="482"/>
      <c r="I1458" s="513" t="s">
        <v>175</v>
      </c>
      <c r="J1458" s="514">
        <f>SUM(J1454:J1457)</f>
        <v>31.888888888888889</v>
      </c>
      <c r="K1458" s="471"/>
      <c r="L1458" s="6" t="e">
        <f>J1458/E1468</f>
        <v>#REF!</v>
      </c>
    </row>
    <row r="1459" spans="1:12" hidden="1">
      <c r="A1459" s="463"/>
      <c r="B1459" s="515"/>
      <c r="C1459" s="515"/>
      <c r="D1459" s="515"/>
      <c r="E1459" s="515"/>
      <c r="F1459" s="515"/>
      <c r="G1459" s="515"/>
      <c r="H1459" s="515"/>
      <c r="I1459" s="516"/>
      <c r="J1459" s="517"/>
      <c r="K1459" s="471"/>
    </row>
    <row r="1460" spans="1:12" ht="20.399999999999999" hidden="1">
      <c r="A1460" s="463"/>
      <c r="B1460" s="1490" t="s">
        <v>947</v>
      </c>
      <c r="C1460" s="1491"/>
      <c r="D1460" s="1491"/>
      <c r="E1460" s="1492"/>
      <c r="F1460" s="725" t="s">
        <v>688</v>
      </c>
      <c r="G1460" s="519"/>
      <c r="H1460" s="520" t="s">
        <v>427</v>
      </c>
      <c r="I1460" s="521" t="s">
        <v>948</v>
      </c>
      <c r="J1460" s="522" t="s">
        <v>949</v>
      </c>
      <c r="K1460" s="471"/>
    </row>
    <row r="1461" spans="1:12" hidden="1">
      <c r="A1461" s="463"/>
      <c r="B1461" s="523" t="s">
        <v>1053</v>
      </c>
      <c r="C1461" s="524"/>
      <c r="D1461" s="525"/>
      <c r="E1461" s="526"/>
      <c r="F1461" s="527"/>
      <c r="G1461" s="528"/>
      <c r="H1461" s="529">
        <f>E1454</f>
        <v>0.5</v>
      </c>
      <c r="I1461" s="534">
        <f>(VLOOKUP(B1461,'MÃO DE OBRA'!$A:$E,5,FALSE)/220)</f>
        <v>26.3474</v>
      </c>
      <c r="J1461" s="505">
        <f>H1461*I1461</f>
        <v>13.1737</v>
      </c>
      <c r="K1461" s="471"/>
    </row>
    <row r="1462" spans="1:12" hidden="1">
      <c r="A1462" s="463"/>
      <c r="B1462" s="530" t="s">
        <v>988</v>
      </c>
      <c r="C1462" s="531"/>
      <c r="D1462" s="472"/>
      <c r="E1462" s="500"/>
      <c r="F1462" s="501"/>
      <c r="G1462" s="532"/>
      <c r="H1462" s="533">
        <v>1</v>
      </c>
      <c r="I1462" s="534">
        <f>(VLOOKUP(B1462,'MÃO DE OBRA'!$A:$E,5,FALSE)/220)</f>
        <v>21.588799999999999</v>
      </c>
      <c r="J1462" s="505">
        <f>H1462*I1462</f>
        <v>21.588799999999999</v>
      </c>
      <c r="K1462" s="471"/>
    </row>
    <row r="1463" spans="1:12" hidden="1">
      <c r="A1463" s="463"/>
      <c r="B1463" s="530" t="s">
        <v>481</v>
      </c>
      <c r="C1463" s="531"/>
      <c r="D1463" s="472"/>
      <c r="E1463" s="500"/>
      <c r="F1463" s="501"/>
      <c r="G1463" s="532"/>
      <c r="H1463" s="533">
        <v>1</v>
      </c>
      <c r="I1463" s="534">
        <f>(VLOOKUP(B1463,'MÃO DE OBRA'!$A:$E,5,FALSE)/220)</f>
        <v>21.588799999999999</v>
      </c>
      <c r="J1463" s="505">
        <f>H1463*I1463</f>
        <v>21.588799999999999</v>
      </c>
      <c r="K1463" s="471"/>
    </row>
    <row r="1464" spans="1:12" hidden="1">
      <c r="A1464" s="463"/>
      <c r="B1464" s="530" t="s">
        <v>507</v>
      </c>
      <c r="C1464" s="531"/>
      <c r="D1464" s="472"/>
      <c r="E1464" s="500"/>
      <c r="F1464" s="501"/>
      <c r="G1464" s="532"/>
      <c r="H1464" s="533">
        <v>1</v>
      </c>
      <c r="I1464" s="534">
        <f>(VLOOKUP(B1464,'MÃO DE OBRA'!$A:$E,5,FALSE)/220)</f>
        <v>21.588799999999999</v>
      </c>
      <c r="J1464" s="505">
        <f>H1464*I1464</f>
        <v>21.588799999999999</v>
      </c>
      <c r="K1464" s="471"/>
    </row>
    <row r="1465" spans="1:12" hidden="1">
      <c r="A1465" s="463"/>
      <c r="B1465" s="530" t="s">
        <v>472</v>
      </c>
      <c r="C1465" s="531"/>
      <c r="D1465" s="472"/>
      <c r="E1465" s="500"/>
      <c r="F1465" s="501"/>
      <c r="G1465" s="532"/>
      <c r="H1465" s="533">
        <v>3</v>
      </c>
      <c r="I1465" s="534">
        <f>(VLOOKUP(B1465,'MÃO DE OBRA'!$A:$E,5,FALSE)/220)</f>
        <v>18.377072727272729</v>
      </c>
      <c r="J1465" s="505">
        <f>H1465*I1465</f>
        <v>55.131218181818184</v>
      </c>
      <c r="K1465" s="471"/>
    </row>
    <row r="1466" spans="1:12" hidden="1">
      <c r="A1466" s="463"/>
      <c r="B1466" s="512" t="s">
        <v>946</v>
      </c>
      <c r="C1466" s="515"/>
      <c r="D1466" s="515"/>
      <c r="E1466" s="515"/>
      <c r="F1466" s="515"/>
      <c r="G1466" s="515"/>
      <c r="H1466" s="515"/>
      <c r="I1466" s="535" t="s">
        <v>175</v>
      </c>
      <c r="J1466" s="514">
        <f>SUM(J1461:J1465)</f>
        <v>133.07131818181819</v>
      </c>
      <c r="K1466" s="471"/>
    </row>
    <row r="1467" spans="1:12" hidden="1">
      <c r="A1467" s="463"/>
      <c r="B1467" s="536"/>
      <c r="C1467" s="536"/>
      <c r="D1467" s="536"/>
      <c r="E1467" s="536"/>
      <c r="F1467" s="536"/>
      <c r="G1467" s="536"/>
      <c r="H1467" s="536"/>
      <c r="I1467" s="537"/>
      <c r="J1467" s="536"/>
      <c r="K1467" s="471"/>
    </row>
    <row r="1468" spans="1:12" hidden="1">
      <c r="A1468" s="463"/>
      <c r="B1468" s="538" t="s">
        <v>952</v>
      </c>
      <c r="C1468" s="539"/>
      <c r="D1468" s="536"/>
      <c r="E1468" s="540" t="e">
        <f>CRONOGRAMA!#REF!*0.79</f>
        <v>#REF!</v>
      </c>
      <c r="F1468" s="541" t="s">
        <v>956</v>
      </c>
      <c r="G1468" s="519"/>
      <c r="H1468" s="519"/>
      <c r="I1468" s="542" t="s">
        <v>953</v>
      </c>
      <c r="J1468" s="514">
        <f>J1458+J1466</f>
        <v>164.96020707070707</v>
      </c>
      <c r="K1468" s="471"/>
    </row>
    <row r="1469" spans="1:12" hidden="1">
      <c r="A1469" s="463"/>
      <c r="B1469" s="543"/>
      <c r="C1469" s="536"/>
      <c r="D1469" s="536"/>
      <c r="E1469" s="544"/>
      <c r="F1469" s="545"/>
      <c r="G1469" s="545"/>
      <c r="H1469" s="545"/>
      <c r="I1469" s="537"/>
      <c r="J1469" s="536"/>
      <c r="K1469" s="471"/>
    </row>
    <row r="1470" spans="1:12" ht="20.399999999999999" hidden="1">
      <c r="A1470" s="463"/>
      <c r="B1470" s="1493" t="s">
        <v>362</v>
      </c>
      <c r="C1470" s="1494"/>
      <c r="D1470" s="1494"/>
      <c r="E1470" s="1495"/>
      <c r="F1470" s="546" t="s">
        <v>688</v>
      </c>
      <c r="G1470" s="547" t="s">
        <v>371</v>
      </c>
      <c r="H1470" s="520" t="s">
        <v>942</v>
      </c>
      <c r="I1470" s="548" t="s">
        <v>361</v>
      </c>
      <c r="J1470" s="549" t="s">
        <v>363</v>
      </c>
      <c r="K1470" s="471"/>
    </row>
    <row r="1471" spans="1:12" hidden="1">
      <c r="A1471" s="463"/>
      <c r="B1471" s="823" t="str">
        <f>B1454</f>
        <v>RETROESCAVADEIRA</v>
      </c>
      <c r="C1471" s="532"/>
      <c r="D1471" s="532"/>
      <c r="E1471" s="822"/>
      <c r="F1471" s="553" t="str">
        <f>VLOOKUP(B1471,EQUIPAMENTOS!$A:$N,12,FALSE)</f>
        <v>Diesel S10</v>
      </c>
      <c r="G1471" s="554" t="s">
        <v>415</v>
      </c>
      <c r="H1471" s="560">
        <f>VLOOKUP(B1471,EQUIPAMENTOS!$A:$N,13,FALSE)</f>
        <v>0</v>
      </c>
      <c r="I1471" s="556">
        <f>VLOOKUP(B1471,EQUIPAMENTOS!$A:$N,14,FALSE)</f>
        <v>16</v>
      </c>
      <c r="J1471" s="505">
        <f>H1471*I1471*E1454*F1454</f>
        <v>0</v>
      </c>
      <c r="K1471" s="471"/>
    </row>
    <row r="1472" spans="1:12" hidden="1">
      <c r="A1472" s="463"/>
      <c r="B1472" s="823"/>
      <c r="C1472" s="531"/>
      <c r="D1472" s="531"/>
      <c r="E1472" s="500"/>
      <c r="F1472" s="553"/>
      <c r="G1472" s="554"/>
      <c r="H1472" s="560"/>
      <c r="I1472" s="556"/>
      <c r="J1472" s="505"/>
      <c r="K1472" s="471"/>
    </row>
    <row r="1473" spans="1:12" hidden="1">
      <c r="A1473" s="463"/>
      <c r="B1473" s="823"/>
      <c r="C1473" s="539"/>
      <c r="D1473" s="539"/>
      <c r="E1473" s="507"/>
      <c r="F1473" s="869"/>
      <c r="G1473" s="736"/>
      <c r="H1473" s="560"/>
      <c r="I1473" s="556"/>
      <c r="J1473" s="505"/>
      <c r="K1473" s="471"/>
    </row>
    <row r="1474" spans="1:12" hidden="1">
      <c r="A1474" s="463"/>
      <c r="B1474" s="563" t="s">
        <v>946</v>
      </c>
      <c r="C1474" s="536"/>
      <c r="D1474" s="536"/>
      <c r="E1474" s="536"/>
      <c r="F1474" s="536"/>
      <c r="G1474" s="536"/>
      <c r="H1474" s="564"/>
      <c r="I1474" s="565" t="s">
        <v>175</v>
      </c>
      <c r="J1474" s="514">
        <f>SUM(J1471:J1473)</f>
        <v>0</v>
      </c>
      <c r="K1474" s="471"/>
      <c r="L1474" s="6" t="e">
        <f>J1474/E1468</f>
        <v>#REF!</v>
      </c>
    </row>
    <row r="1475" spans="1:12" hidden="1">
      <c r="A1475" s="463"/>
      <c r="B1475" s="566"/>
      <c r="C1475" s="539"/>
      <c r="D1475" s="539"/>
      <c r="E1475" s="567"/>
      <c r="F1475" s="568"/>
      <c r="G1475" s="519"/>
      <c r="H1475" s="519"/>
      <c r="I1475" s="542"/>
      <c r="J1475" s="567"/>
      <c r="K1475" s="471"/>
    </row>
    <row r="1476" spans="1:12" ht="20.399999999999999" hidden="1">
      <c r="A1476" s="463"/>
      <c r="B1476" s="1493" t="s">
        <v>955</v>
      </c>
      <c r="C1476" s="1494"/>
      <c r="D1476" s="1494"/>
      <c r="E1476" s="1494"/>
      <c r="F1476" s="1495"/>
      <c r="G1476" s="569" t="s">
        <v>372</v>
      </c>
      <c r="H1476" s="519" t="s">
        <v>956</v>
      </c>
      <c r="I1476" s="570" t="s">
        <v>942</v>
      </c>
      <c r="J1476" s="522" t="s">
        <v>363</v>
      </c>
      <c r="K1476" s="471"/>
    </row>
    <row r="1477" spans="1:12" hidden="1">
      <c r="A1477" s="463"/>
      <c r="B1477" s="571"/>
      <c r="C1477" s="572"/>
      <c r="D1477" s="573"/>
      <c r="E1477" s="573"/>
      <c r="F1477" s="574"/>
      <c r="G1477" s="502"/>
      <c r="H1477" s="502"/>
      <c r="I1477" s="575"/>
      <c r="J1477" s="505"/>
      <c r="K1477" s="471"/>
    </row>
    <row r="1478" spans="1:12" hidden="1">
      <c r="A1478" s="463"/>
      <c r="B1478" s="576"/>
      <c r="C1478" s="577"/>
      <c r="D1478" s="578"/>
      <c r="E1478" s="578"/>
      <c r="F1478" s="579"/>
      <c r="G1478" s="502"/>
      <c r="H1478" s="502"/>
      <c r="I1478" s="575"/>
      <c r="J1478" s="505"/>
      <c r="K1478" s="471"/>
    </row>
    <row r="1479" spans="1:12" hidden="1">
      <c r="A1479" s="463"/>
      <c r="B1479" s="1496" t="s">
        <v>175</v>
      </c>
      <c r="C1479" s="1496"/>
      <c r="D1479" s="1496"/>
      <c r="E1479" s="1496"/>
      <c r="F1479" s="1496"/>
      <c r="G1479" s="1496"/>
      <c r="H1479" s="1496"/>
      <c r="I1479" s="1496"/>
      <c r="J1479" s="514">
        <f>SUM(J1477:J1478)</f>
        <v>0</v>
      </c>
      <c r="K1479" s="471"/>
    </row>
    <row r="1480" spans="1:12" hidden="1">
      <c r="A1480" s="463"/>
      <c r="B1480" s="580"/>
      <c r="C1480" s="524"/>
      <c r="D1480" s="524"/>
      <c r="E1480" s="581"/>
      <c r="F1480" s="582"/>
      <c r="G1480" s="583"/>
      <c r="H1480" s="583"/>
      <c r="I1480" s="584"/>
      <c r="J1480" s="585"/>
      <c r="K1480" s="471"/>
    </row>
    <row r="1481" spans="1:12" hidden="1">
      <c r="A1481" s="463"/>
      <c r="B1481" s="586" t="s">
        <v>957</v>
      </c>
      <c r="C1481" s="586"/>
      <c r="D1481" s="563"/>
      <c r="E1481" s="536"/>
      <c r="F1481" s="536"/>
      <c r="G1481" s="536"/>
      <c r="H1481" s="587"/>
      <c r="I1481" s="588"/>
      <c r="J1481" s="514" t="e">
        <f>(J1468+J1474+J1479)/E1468</f>
        <v>#REF!</v>
      </c>
      <c r="K1481" s="471"/>
    </row>
    <row r="1482" spans="1:12" hidden="1">
      <c r="A1482" s="463"/>
      <c r="B1482" s="566"/>
      <c r="C1482" s="539"/>
      <c r="D1482" s="539"/>
      <c r="E1482" s="567"/>
      <c r="F1482" s="568"/>
      <c r="G1482" s="519"/>
      <c r="H1482" s="519"/>
      <c r="I1482" s="542"/>
      <c r="J1482" s="589"/>
      <c r="K1482" s="471"/>
    </row>
    <row r="1483" spans="1:12" ht="20.399999999999999" hidden="1">
      <c r="A1483" s="463"/>
      <c r="B1483" s="1493" t="s">
        <v>958</v>
      </c>
      <c r="C1483" s="1494"/>
      <c r="D1483" s="1494"/>
      <c r="E1483" s="1494"/>
      <c r="F1483" s="1495"/>
      <c r="G1483" s="569" t="s">
        <v>372</v>
      </c>
      <c r="H1483" s="519" t="s">
        <v>956</v>
      </c>
      <c r="I1483" s="570" t="s">
        <v>942</v>
      </c>
      <c r="J1483" s="522" t="s">
        <v>363</v>
      </c>
      <c r="K1483" s="471"/>
    </row>
    <row r="1484" spans="1:12" hidden="1">
      <c r="A1484" s="463"/>
      <c r="B1484" s="824" t="s">
        <v>1289</v>
      </c>
      <c r="C1484" s="577"/>
      <c r="D1484" s="578"/>
      <c r="E1484" s="578"/>
      <c r="F1484" s="579"/>
      <c r="G1484" s="502">
        <v>9.43</v>
      </c>
      <c r="H1484" s="502" t="s">
        <v>904</v>
      </c>
      <c r="I1484" s="737">
        <f>131.56-49.53</f>
        <v>82.03</v>
      </c>
      <c r="J1484" s="505">
        <f t="shared" ref="J1484:J1490" si="9">G1484*I1484</f>
        <v>773.54290000000003</v>
      </c>
      <c r="K1484" s="471"/>
    </row>
    <row r="1485" spans="1:12" hidden="1">
      <c r="A1485" s="463"/>
      <c r="B1485" s="824" t="s">
        <v>1290</v>
      </c>
      <c r="C1485" s="577"/>
      <c r="D1485" s="578"/>
      <c r="E1485" s="578"/>
      <c r="F1485" s="579"/>
      <c r="G1485" s="502">
        <v>0.16</v>
      </c>
      <c r="H1485" s="502" t="s">
        <v>973</v>
      </c>
      <c r="I1485" s="737">
        <f>537.37-60.85</f>
        <v>476.52</v>
      </c>
      <c r="J1485" s="505">
        <f t="shared" si="9"/>
        <v>76.243200000000002</v>
      </c>
      <c r="K1485" s="471"/>
    </row>
    <row r="1486" spans="1:12" hidden="1">
      <c r="A1486" s="463"/>
      <c r="B1486" s="576" t="s">
        <v>1291</v>
      </c>
      <c r="C1486" s="577"/>
      <c r="D1486" s="578"/>
      <c r="E1486" s="578"/>
      <c r="F1486" s="579"/>
      <c r="G1486" s="502">
        <v>15.1</v>
      </c>
      <c r="H1486" s="502" t="s">
        <v>985</v>
      </c>
      <c r="I1486" s="737">
        <v>8.5</v>
      </c>
      <c r="J1486" s="505">
        <f t="shared" si="9"/>
        <v>128.35</v>
      </c>
      <c r="K1486" s="471"/>
    </row>
    <row r="1487" spans="1:12" hidden="1">
      <c r="A1487" s="463"/>
      <c r="B1487" s="576" t="s">
        <v>1257</v>
      </c>
      <c r="C1487" s="577"/>
      <c r="D1487" s="578"/>
      <c r="E1487" s="578"/>
      <c r="F1487" s="579"/>
      <c r="G1487" s="502">
        <v>0.46</v>
      </c>
      <c r="H1487" s="502" t="s">
        <v>973</v>
      </c>
      <c r="I1487" s="737">
        <v>550</v>
      </c>
      <c r="J1487" s="505">
        <f t="shared" si="9"/>
        <v>253</v>
      </c>
      <c r="K1487" s="471"/>
    </row>
    <row r="1488" spans="1:12" hidden="1">
      <c r="A1488" s="463"/>
      <c r="B1488" s="576" t="s">
        <v>1292</v>
      </c>
      <c r="C1488" s="577"/>
      <c r="D1488" s="578"/>
      <c r="E1488" s="578"/>
      <c r="F1488" s="579"/>
      <c r="G1488" s="502">
        <v>0.11</v>
      </c>
      <c r="H1488" s="502" t="s">
        <v>973</v>
      </c>
      <c r="I1488" s="737">
        <v>600</v>
      </c>
      <c r="J1488" s="505">
        <f t="shared" si="9"/>
        <v>66</v>
      </c>
      <c r="K1488" s="471"/>
    </row>
    <row r="1489" spans="1:11" hidden="1">
      <c r="A1489" s="463"/>
      <c r="B1489" s="576" t="s">
        <v>1293</v>
      </c>
      <c r="C1489" s="577"/>
      <c r="D1489" s="578"/>
      <c r="E1489" s="578"/>
      <c r="F1489" s="579"/>
      <c r="G1489" s="502">
        <v>6.6</v>
      </c>
      <c r="H1489" s="502" t="s">
        <v>904</v>
      </c>
      <c r="I1489" s="737">
        <f>73.07-50</f>
        <v>23.069999999999993</v>
      </c>
      <c r="J1489" s="505">
        <f t="shared" si="9"/>
        <v>152.26199999999994</v>
      </c>
      <c r="K1489" s="471"/>
    </row>
    <row r="1490" spans="1:11" hidden="1">
      <c r="A1490" s="463"/>
      <c r="B1490" s="590"/>
      <c r="C1490" s="591"/>
      <c r="D1490" s="592"/>
      <c r="E1490" s="592"/>
      <c r="F1490" s="593"/>
      <c r="G1490" s="502"/>
      <c r="H1490" s="502"/>
      <c r="I1490" s="575"/>
      <c r="J1490" s="505">
        <f t="shared" si="9"/>
        <v>0</v>
      </c>
      <c r="K1490" s="471"/>
    </row>
    <row r="1491" spans="1:11" hidden="1">
      <c r="A1491" s="463"/>
      <c r="B1491" s="594"/>
      <c r="C1491" s="536"/>
      <c r="D1491" s="536"/>
      <c r="E1491" s="595"/>
      <c r="F1491" s="596"/>
      <c r="G1491" s="545"/>
      <c r="H1491" s="545"/>
      <c r="I1491" s="537" t="s">
        <v>175</v>
      </c>
      <c r="J1491" s="514">
        <f>SUM(J1484:J1490)</f>
        <v>1449.3981000000001</v>
      </c>
      <c r="K1491" s="471"/>
    </row>
    <row r="1492" spans="1:11" hidden="1">
      <c r="A1492" s="463"/>
      <c r="B1492" s="597"/>
      <c r="C1492" s="536"/>
      <c r="D1492" s="536"/>
      <c r="E1492" s="595"/>
      <c r="F1492" s="596"/>
      <c r="G1492" s="545"/>
      <c r="H1492" s="545"/>
      <c r="I1492" s="537"/>
      <c r="J1492" s="595"/>
      <c r="K1492" s="471"/>
    </row>
    <row r="1493" spans="1:11" ht="20.399999999999999" hidden="1">
      <c r="A1493" s="463"/>
      <c r="B1493" s="598" t="s">
        <v>959</v>
      </c>
      <c r="C1493" s="598"/>
      <c r="D1493" s="598"/>
      <c r="E1493" s="599"/>
      <c r="F1493" s="600" t="s">
        <v>372</v>
      </c>
      <c r="G1493" s="569" t="s">
        <v>960</v>
      </c>
      <c r="H1493" s="519" t="s">
        <v>942</v>
      </c>
      <c r="I1493" s="570" t="s">
        <v>361</v>
      </c>
      <c r="J1493" s="522" t="s">
        <v>363</v>
      </c>
      <c r="K1493" s="471"/>
    </row>
    <row r="1494" spans="1:11" hidden="1">
      <c r="A1494" s="463"/>
      <c r="B1494" s="571"/>
      <c r="C1494" s="572"/>
      <c r="D1494" s="573"/>
      <c r="E1494" s="574"/>
      <c r="F1494" s="502"/>
      <c r="G1494" s="502"/>
      <c r="H1494" s="624"/>
      <c r="I1494" s="575"/>
      <c r="J1494" s="505"/>
      <c r="K1494" s="471"/>
    </row>
    <row r="1495" spans="1:11" hidden="1">
      <c r="A1495" s="463"/>
      <c r="B1495" s="590" t="s">
        <v>946</v>
      </c>
      <c r="C1495" s="591"/>
      <c r="D1495" s="592"/>
      <c r="E1495" s="593" t="s">
        <v>946</v>
      </c>
      <c r="F1495" s="509">
        <v>0</v>
      </c>
      <c r="G1495" s="509">
        <v>0</v>
      </c>
      <c r="H1495" s="509">
        <v>0</v>
      </c>
      <c r="I1495" s="601">
        <v>0</v>
      </c>
      <c r="J1495" s="505">
        <f>I1495*H1495*G1495*F1495</f>
        <v>0</v>
      </c>
      <c r="K1495" s="471"/>
    </row>
    <row r="1496" spans="1:11" hidden="1">
      <c r="A1496" s="463"/>
      <c r="B1496" s="594"/>
      <c r="C1496" s="536"/>
      <c r="D1496" s="536"/>
      <c r="E1496" s="595"/>
      <c r="F1496" s="596"/>
      <c r="G1496" s="545"/>
      <c r="H1496" s="545"/>
      <c r="I1496" s="537" t="s">
        <v>175</v>
      </c>
      <c r="J1496" s="514">
        <f>SUM(J1494:J1495)</f>
        <v>0</v>
      </c>
      <c r="K1496" s="471"/>
    </row>
    <row r="1497" spans="1:11" hidden="1">
      <c r="A1497" s="463"/>
      <c r="B1497" s="536"/>
      <c r="C1497" s="536"/>
      <c r="D1497" s="536"/>
      <c r="E1497" s="536"/>
      <c r="F1497" s="536"/>
      <c r="G1497" s="536"/>
      <c r="H1497" s="536"/>
      <c r="I1497" s="537"/>
      <c r="J1497" s="536"/>
      <c r="K1497" s="471"/>
    </row>
    <row r="1498" spans="1:11" hidden="1">
      <c r="A1498" s="463"/>
      <c r="B1498" s="1481" t="s">
        <v>961</v>
      </c>
      <c r="C1498" s="1482"/>
      <c r="D1498" s="1482"/>
      <c r="E1498" s="1482"/>
      <c r="F1498" s="1482"/>
      <c r="G1498" s="1482"/>
      <c r="H1498" s="1482"/>
      <c r="I1498" s="1483"/>
      <c r="J1498" s="586" t="e">
        <f>J1496+J1491+J1481</f>
        <v>#REF!</v>
      </c>
      <c r="K1498" s="471"/>
    </row>
    <row r="1499" spans="1:11" hidden="1">
      <c r="A1499" s="463"/>
      <c r="B1499" s="536"/>
      <c r="C1499" s="536"/>
      <c r="D1499" s="536"/>
      <c r="E1499" s="536"/>
      <c r="F1499" s="536"/>
      <c r="G1499" s="536"/>
      <c r="H1499" s="536"/>
      <c r="I1499" s="537"/>
      <c r="J1499" s="536"/>
      <c r="K1499" s="471"/>
    </row>
    <row r="1500" spans="1:11" hidden="1">
      <c r="A1500" s="463"/>
      <c r="B1500" s="1481" t="s">
        <v>962</v>
      </c>
      <c r="C1500" s="1482"/>
      <c r="D1500" s="1482"/>
      <c r="E1500" s="1482"/>
      <c r="F1500" s="1482"/>
      <c r="G1500" s="1482"/>
      <c r="H1500" s="1482"/>
      <c r="I1500" s="1483"/>
      <c r="J1500" s="514" t="e">
        <f>J1498*0</f>
        <v>#REF!</v>
      </c>
      <c r="K1500" s="471"/>
    </row>
    <row r="1501" spans="1:11" hidden="1">
      <c r="A1501" s="463"/>
      <c r="B1501" s="536"/>
      <c r="C1501" s="536"/>
      <c r="D1501" s="536"/>
      <c r="E1501" s="536"/>
      <c r="F1501" s="536"/>
      <c r="G1501" s="536"/>
      <c r="H1501" s="536"/>
      <c r="I1501" s="537"/>
      <c r="J1501" s="536"/>
      <c r="K1501" s="471"/>
    </row>
    <row r="1502" spans="1:11" hidden="1">
      <c r="A1502" s="463"/>
      <c r="B1502" s="1481" t="s">
        <v>963</v>
      </c>
      <c r="C1502" s="1482"/>
      <c r="D1502" s="1482"/>
      <c r="E1502" s="1482"/>
      <c r="F1502" s="1482"/>
      <c r="G1502" s="1482"/>
      <c r="H1502" s="1482"/>
      <c r="I1502" s="1483"/>
      <c r="J1502" s="586" t="e">
        <f>J1498+J1500</f>
        <v>#REF!</v>
      </c>
      <c r="K1502" s="471"/>
    </row>
    <row r="1503" spans="1:11" hidden="1">
      <c r="A1503" s="463"/>
      <c r="B1503" s="524"/>
      <c r="C1503" s="524"/>
      <c r="D1503" s="524"/>
      <c r="E1503" s="524"/>
      <c r="F1503" s="524"/>
      <c r="G1503" s="524"/>
      <c r="H1503" s="524"/>
      <c r="I1503" s="584"/>
      <c r="J1503" s="524"/>
      <c r="K1503" s="471"/>
    </row>
    <row r="1504" spans="1:11" hidden="1">
      <c r="A1504" s="463"/>
      <c r="B1504" s="602"/>
      <c r="C1504" s="572"/>
      <c r="D1504" s="572"/>
      <c r="E1504" s="572"/>
      <c r="F1504" s="572"/>
      <c r="G1504" s="572"/>
      <c r="H1504" s="572"/>
      <c r="I1504" s="572"/>
      <c r="J1504" s="603"/>
      <c r="K1504" s="471"/>
    </row>
    <row r="1505" spans="1:11" hidden="1">
      <c r="A1505" s="463"/>
      <c r="B1505" s="604"/>
      <c r="C1505" s="605"/>
      <c r="D1505" s="606"/>
      <c r="E1505" s="606"/>
      <c r="F1505" s="607" t="s">
        <v>946</v>
      </c>
      <c r="G1505" s="608" t="s">
        <v>946</v>
      </c>
      <c r="H1505" s="605"/>
      <c r="I1505" s="605"/>
      <c r="J1505" s="609"/>
      <c r="K1505" s="471"/>
    </row>
    <row r="1506" spans="1:11" hidden="1">
      <c r="A1506" s="463"/>
      <c r="B1506" s="472"/>
      <c r="C1506" s="472"/>
      <c r="D1506" s="472"/>
      <c r="E1506" s="472"/>
      <c r="F1506" s="472"/>
      <c r="G1506" s="472"/>
      <c r="H1506" s="472"/>
      <c r="I1506" s="472"/>
      <c r="J1506" s="472"/>
      <c r="K1506" s="471"/>
    </row>
    <row r="1507" spans="1:11" hidden="1">
      <c r="A1507" s="463"/>
      <c r="B1507" s="610">
        <f>PLANEJAMENTO!E1127</f>
        <v>0</v>
      </c>
      <c r="C1507" s="611"/>
      <c r="D1507" s="611"/>
      <c r="E1507" s="611"/>
      <c r="F1507" s="612"/>
      <c r="G1507" s="613" t="s">
        <v>363</v>
      </c>
      <c r="H1507" s="515"/>
      <c r="I1507" s="515"/>
      <c r="J1507" s="518"/>
      <c r="K1507" s="471"/>
    </row>
    <row r="1508" spans="1:11" hidden="1">
      <c r="A1508" s="463"/>
      <c r="B1508" s="614">
        <f>PLANEJAMENTO!E1128</f>
        <v>0</v>
      </c>
      <c r="C1508" s="615"/>
      <c r="D1508" s="615"/>
      <c r="E1508" s="615"/>
      <c r="F1508" s="616"/>
      <c r="G1508" s="1484" t="s">
        <v>964</v>
      </c>
      <c r="H1508" s="1485"/>
      <c r="I1508" s="1485"/>
      <c r="J1508" s="1486"/>
      <c r="K1508" s="471"/>
    </row>
    <row r="1509" spans="1:11" hidden="1">
      <c r="A1509" s="463"/>
      <c r="B1509" s="617"/>
      <c r="C1509" s="618"/>
      <c r="D1509" s="618"/>
      <c r="E1509" s="618"/>
      <c r="F1509" s="619"/>
      <c r="G1509" s="620"/>
      <c r="H1509" s="1487"/>
      <c r="I1509" s="1488"/>
      <c r="J1509" s="1489"/>
      <c r="K1509" s="471"/>
    </row>
    <row r="1510" spans="1:11" ht="15" hidden="1" thickBot="1">
      <c r="A1510" s="621"/>
      <c r="B1510" s="622"/>
      <c r="C1510" s="622"/>
      <c r="D1510" s="622"/>
      <c r="E1510" s="622"/>
      <c r="F1510" s="622"/>
      <c r="G1510" s="622"/>
      <c r="H1510" s="622"/>
      <c r="I1510" s="622"/>
      <c r="J1510" s="622"/>
      <c r="K1510" s="623"/>
    </row>
    <row r="1511" spans="1:11" hidden="1">
      <c r="A1511" s="463"/>
      <c r="B1511" s="472"/>
      <c r="C1511" s="472"/>
      <c r="D1511" s="472"/>
      <c r="E1511" s="472"/>
      <c r="F1511" s="472"/>
      <c r="G1511" s="472"/>
      <c r="H1511" s="472"/>
      <c r="I1511" s="472"/>
      <c r="J1511" s="472"/>
      <c r="K1511" s="471"/>
    </row>
    <row r="1512" spans="1:11" hidden="1">
      <c r="A1512" s="463"/>
      <c r="B1512" s="464" t="s">
        <v>178</v>
      </c>
      <c r="C1512" s="465"/>
      <c r="D1512" s="466" t="s">
        <v>936</v>
      </c>
      <c r="E1512" s="467"/>
      <c r="F1512" s="468"/>
      <c r="G1512" s="468"/>
      <c r="H1512" s="469"/>
      <c r="I1512" s="469"/>
      <c r="J1512" s="470"/>
      <c r="K1512" s="471"/>
    </row>
    <row r="1513" spans="1:11" hidden="1">
      <c r="A1513" s="463"/>
      <c r="B1513" s="472"/>
      <c r="C1513" s="472"/>
      <c r="D1513" s="472"/>
      <c r="E1513" s="472"/>
      <c r="F1513" s="472"/>
      <c r="G1513" s="472"/>
      <c r="H1513" s="472"/>
      <c r="I1513" s="472"/>
      <c r="J1513" s="472"/>
      <c r="K1513" s="471"/>
    </row>
    <row r="1514" spans="1:11" hidden="1">
      <c r="A1514" s="463"/>
      <c r="B1514" s="473" t="s">
        <v>972</v>
      </c>
      <c r="C1514" s="474" t="s">
        <v>937</v>
      </c>
      <c r="D1514" s="1497" t="s">
        <v>250</v>
      </c>
      <c r="E1514" s="1498"/>
      <c r="F1514" s="1498"/>
      <c r="G1514" s="1498"/>
      <c r="H1514" s="1498"/>
      <c r="I1514" s="1499"/>
      <c r="J1514" s="475" t="s">
        <v>267</v>
      </c>
      <c r="K1514" s="471"/>
    </row>
    <row r="1515" spans="1:11" hidden="1">
      <c r="A1515" s="463"/>
      <c r="B1515" s="476">
        <v>2003718</v>
      </c>
      <c r="C1515" s="477">
        <f ca="1">TODAY()</f>
        <v>46140</v>
      </c>
      <c r="D1515" s="681" t="s">
        <v>1296</v>
      </c>
      <c r="E1515" s="479"/>
      <c r="F1515" s="479"/>
      <c r="G1515" s="479"/>
      <c r="H1515" s="479"/>
      <c r="I1515" s="480"/>
      <c r="J1515" s="481" t="str">
        <f>F1533</f>
        <v>M</v>
      </c>
      <c r="K1515" s="471"/>
    </row>
    <row r="1516" spans="1:11" hidden="1">
      <c r="A1516" s="463"/>
      <c r="B1516" s="482"/>
      <c r="C1516" s="482"/>
      <c r="D1516" s="482"/>
      <c r="E1516" s="482"/>
      <c r="F1516" s="482"/>
      <c r="G1516" s="482"/>
      <c r="H1516" s="482"/>
      <c r="I1516" s="483"/>
      <c r="J1516" s="484"/>
      <c r="K1516" s="471"/>
    </row>
    <row r="1517" spans="1:11" hidden="1">
      <c r="A1517" s="463"/>
      <c r="B1517" s="1484" t="s">
        <v>938</v>
      </c>
      <c r="C1517" s="1486"/>
      <c r="D1517" s="1502" t="s">
        <v>688</v>
      </c>
      <c r="E1517" s="1504" t="s">
        <v>939</v>
      </c>
      <c r="F1517" s="485" t="s">
        <v>940</v>
      </c>
      <c r="G1517" s="486"/>
      <c r="H1517" s="485" t="s">
        <v>941</v>
      </c>
      <c r="I1517" s="486"/>
      <c r="J1517" s="487" t="s">
        <v>942</v>
      </c>
      <c r="K1517" s="471"/>
    </row>
    <row r="1518" spans="1:11" hidden="1">
      <c r="A1518" s="463"/>
      <c r="B1518" s="1500"/>
      <c r="C1518" s="1501"/>
      <c r="D1518" s="1503"/>
      <c r="E1518" s="1505"/>
      <c r="F1518" s="488" t="s">
        <v>943</v>
      </c>
      <c r="G1518" s="488" t="s">
        <v>944</v>
      </c>
      <c r="H1518" s="488" t="s">
        <v>943</v>
      </c>
      <c r="I1518" s="489" t="s">
        <v>944</v>
      </c>
      <c r="J1518" s="490" t="s">
        <v>945</v>
      </c>
      <c r="K1518" s="471"/>
    </row>
    <row r="1519" spans="1:11" hidden="1">
      <c r="A1519" s="463"/>
      <c r="B1519" s="491" t="s">
        <v>375</v>
      </c>
      <c r="C1519" s="492"/>
      <c r="D1519" s="493"/>
      <c r="E1519" s="494"/>
      <c r="F1519" s="494">
        <v>0.5</v>
      </c>
      <c r="G1519" s="495">
        <f>1-F1519</f>
        <v>0.5</v>
      </c>
      <c r="H1519" s="503">
        <f>VLOOKUP(B1519,EQUIPAMENTOS!$A:$J,10,FALSE)</f>
        <v>63.777777777777779</v>
      </c>
      <c r="I1519" s="504">
        <f>H1519</f>
        <v>63.777777777777779</v>
      </c>
      <c r="J1519" s="505">
        <f>H1519*F1519*E1519+I1519*G1519*E1519</f>
        <v>0</v>
      </c>
      <c r="K1519" s="471"/>
    </row>
    <row r="1520" spans="1:11" hidden="1">
      <c r="A1520" s="463"/>
      <c r="B1520" s="499"/>
      <c r="C1520" s="500"/>
      <c r="D1520" s="501"/>
      <c r="E1520" s="872"/>
      <c r="F1520" s="872"/>
      <c r="G1520" s="502"/>
      <c r="H1520" s="503"/>
      <c r="I1520" s="504"/>
      <c r="J1520" s="505"/>
      <c r="K1520" s="471"/>
    </row>
    <row r="1521" spans="1:11" hidden="1">
      <c r="A1521" s="463"/>
      <c r="B1521" s="499"/>
      <c r="C1521" s="500"/>
      <c r="D1521" s="501"/>
      <c r="E1521" s="872"/>
      <c r="F1521" s="872"/>
      <c r="G1521" s="502"/>
      <c r="H1521" s="503"/>
      <c r="I1521" s="504"/>
      <c r="J1521" s="505"/>
      <c r="K1521" s="471"/>
    </row>
    <row r="1522" spans="1:11" hidden="1">
      <c r="A1522" s="463"/>
      <c r="B1522" s="506"/>
      <c r="C1522" s="507"/>
      <c r="D1522" s="508"/>
      <c r="E1522" s="509"/>
      <c r="F1522" s="509"/>
      <c r="G1522" s="509"/>
      <c r="H1522" s="561"/>
      <c r="I1522" s="510"/>
      <c r="J1522" s="505"/>
      <c r="K1522" s="471"/>
    </row>
    <row r="1523" spans="1:11" hidden="1">
      <c r="A1523" s="463"/>
      <c r="B1523" s="512" t="s">
        <v>946</v>
      </c>
      <c r="C1523" s="482"/>
      <c r="D1523" s="482"/>
      <c r="E1523" s="482"/>
      <c r="F1523" s="482"/>
      <c r="G1523" s="482"/>
      <c r="H1523" s="482"/>
      <c r="I1523" s="513" t="s">
        <v>175</v>
      </c>
      <c r="J1523" s="514">
        <f>SUM(J1519:J1522)</f>
        <v>0</v>
      </c>
      <c r="K1523" s="471"/>
    </row>
    <row r="1524" spans="1:11" hidden="1">
      <c r="A1524" s="463"/>
      <c r="B1524" s="515"/>
      <c r="C1524" s="515"/>
      <c r="D1524" s="515"/>
      <c r="E1524" s="515"/>
      <c r="F1524" s="515"/>
      <c r="G1524" s="515"/>
      <c r="H1524" s="515"/>
      <c r="I1524" s="516"/>
      <c r="J1524" s="517"/>
      <c r="K1524" s="471"/>
    </row>
    <row r="1525" spans="1:11" ht="20.399999999999999" hidden="1">
      <c r="A1525" s="463"/>
      <c r="B1525" s="1490" t="s">
        <v>947</v>
      </c>
      <c r="C1525" s="1491"/>
      <c r="D1525" s="1491"/>
      <c r="E1525" s="1492"/>
      <c r="F1525" s="725" t="s">
        <v>688</v>
      </c>
      <c r="G1525" s="519"/>
      <c r="H1525" s="520" t="s">
        <v>427</v>
      </c>
      <c r="I1525" s="521" t="s">
        <v>948</v>
      </c>
      <c r="J1525" s="522" t="s">
        <v>949</v>
      </c>
      <c r="K1525" s="471"/>
    </row>
    <row r="1526" spans="1:11" hidden="1">
      <c r="A1526" s="463"/>
      <c r="B1526" s="523" t="s">
        <v>1053</v>
      </c>
      <c r="C1526" s="524"/>
      <c r="D1526" s="525"/>
      <c r="E1526" s="526"/>
      <c r="F1526" s="527"/>
      <c r="G1526" s="528"/>
      <c r="H1526" s="529">
        <f>E1519</f>
        <v>0</v>
      </c>
      <c r="I1526" s="534">
        <f>(VLOOKUP(B1526,'MÃO DE OBRA'!$A:$E,5,FALSE)/220)</f>
        <v>26.3474</v>
      </c>
      <c r="J1526" s="505">
        <f>H1526*I1526</f>
        <v>0</v>
      </c>
      <c r="K1526" s="471"/>
    </row>
    <row r="1527" spans="1:11" hidden="1">
      <c r="A1527" s="463"/>
      <c r="B1527" s="530" t="s">
        <v>988</v>
      </c>
      <c r="C1527" s="531"/>
      <c r="D1527" s="472"/>
      <c r="E1527" s="500"/>
      <c r="F1527" s="501"/>
      <c r="G1527" s="532"/>
      <c r="H1527" s="533">
        <v>1</v>
      </c>
      <c r="I1527" s="534">
        <f>(VLOOKUP(B1527,'MÃO DE OBRA'!$A:$E,5,FALSE)/220)</f>
        <v>21.588799999999999</v>
      </c>
      <c r="J1527" s="505">
        <f>H1527*I1527</f>
        <v>21.588799999999999</v>
      </c>
      <c r="K1527" s="471"/>
    </row>
    <row r="1528" spans="1:11" hidden="1">
      <c r="A1528" s="463"/>
      <c r="B1528" s="530" t="s">
        <v>481</v>
      </c>
      <c r="C1528" s="531"/>
      <c r="D1528" s="472"/>
      <c r="E1528" s="500"/>
      <c r="F1528" s="501"/>
      <c r="G1528" s="532"/>
      <c r="H1528" s="533">
        <v>1</v>
      </c>
      <c r="I1528" s="534">
        <f>(VLOOKUP(B1528,'MÃO DE OBRA'!$A:$E,5,FALSE)/220)</f>
        <v>21.588799999999999</v>
      </c>
      <c r="J1528" s="505">
        <f>H1528*I1528</f>
        <v>21.588799999999999</v>
      </c>
      <c r="K1528" s="471"/>
    </row>
    <row r="1529" spans="1:11" hidden="1">
      <c r="A1529" s="463"/>
      <c r="B1529" s="530" t="s">
        <v>507</v>
      </c>
      <c r="C1529" s="531"/>
      <c r="D1529" s="472"/>
      <c r="E1529" s="500"/>
      <c r="F1529" s="501"/>
      <c r="G1529" s="532"/>
      <c r="H1529" s="533">
        <v>1</v>
      </c>
      <c r="I1529" s="534">
        <f>(VLOOKUP(B1529,'MÃO DE OBRA'!$A:$E,5,FALSE)/220)</f>
        <v>21.588799999999999</v>
      </c>
      <c r="J1529" s="505">
        <f>H1529*I1529</f>
        <v>21.588799999999999</v>
      </c>
      <c r="K1529" s="471"/>
    </row>
    <row r="1530" spans="1:11" hidden="1">
      <c r="A1530" s="463"/>
      <c r="B1530" s="530" t="s">
        <v>472</v>
      </c>
      <c r="C1530" s="531"/>
      <c r="D1530" s="472"/>
      <c r="E1530" s="500"/>
      <c r="F1530" s="501"/>
      <c r="G1530" s="532"/>
      <c r="H1530" s="533">
        <v>3</v>
      </c>
      <c r="I1530" s="534">
        <f>(VLOOKUP(B1530,'MÃO DE OBRA'!$A:$E,5,FALSE)/220)</f>
        <v>18.377072727272729</v>
      </c>
      <c r="J1530" s="505">
        <f>H1530*I1530</f>
        <v>55.131218181818184</v>
      </c>
      <c r="K1530" s="471"/>
    </row>
    <row r="1531" spans="1:11" hidden="1">
      <c r="A1531" s="463"/>
      <c r="B1531" s="512" t="s">
        <v>946</v>
      </c>
      <c r="C1531" s="515"/>
      <c r="D1531" s="515"/>
      <c r="E1531" s="515"/>
      <c r="F1531" s="515"/>
      <c r="G1531" s="515"/>
      <c r="H1531" s="515"/>
      <c r="I1531" s="535" t="s">
        <v>175</v>
      </c>
      <c r="J1531" s="514">
        <f>SUM(J1526:J1530)</f>
        <v>119.89761818181819</v>
      </c>
      <c r="K1531" s="471"/>
    </row>
    <row r="1532" spans="1:11" hidden="1">
      <c r="A1532" s="463"/>
      <c r="B1532" s="536"/>
      <c r="C1532" s="536"/>
      <c r="D1532" s="536"/>
      <c r="E1532" s="536"/>
      <c r="F1532" s="536"/>
      <c r="G1532" s="536"/>
      <c r="H1532" s="536"/>
      <c r="I1532" s="537"/>
      <c r="J1532" s="536"/>
      <c r="K1532" s="471"/>
    </row>
    <row r="1533" spans="1:11" hidden="1">
      <c r="A1533" s="463"/>
      <c r="B1533" s="538" t="s">
        <v>952</v>
      </c>
      <c r="C1533" s="539"/>
      <c r="D1533" s="536"/>
      <c r="E1533" s="540" t="e">
        <f>CRONOGRAMA!#REF!*0.94</f>
        <v>#REF!</v>
      </c>
      <c r="F1533" s="541" t="s">
        <v>984</v>
      </c>
      <c r="G1533" s="519"/>
      <c r="H1533" s="519"/>
      <c r="I1533" s="542" t="s">
        <v>953</v>
      </c>
      <c r="J1533" s="514">
        <f>J1523+J1531</f>
        <v>119.89761818181819</v>
      </c>
      <c r="K1533" s="471"/>
    </row>
    <row r="1534" spans="1:11" hidden="1">
      <c r="A1534" s="463"/>
      <c r="B1534" s="543"/>
      <c r="C1534" s="536"/>
      <c r="D1534" s="536"/>
      <c r="E1534" s="544"/>
      <c r="F1534" s="545"/>
      <c r="G1534" s="545"/>
      <c r="H1534" s="545"/>
      <c r="I1534" s="537"/>
      <c r="J1534" s="536"/>
      <c r="K1534" s="471"/>
    </row>
    <row r="1535" spans="1:11" ht="20.399999999999999" hidden="1">
      <c r="A1535" s="463"/>
      <c r="B1535" s="1493" t="s">
        <v>362</v>
      </c>
      <c r="C1535" s="1494"/>
      <c r="D1535" s="1494"/>
      <c r="E1535" s="1495"/>
      <c r="F1535" s="546" t="s">
        <v>688</v>
      </c>
      <c r="G1535" s="547" t="s">
        <v>371</v>
      </c>
      <c r="H1535" s="520" t="s">
        <v>942</v>
      </c>
      <c r="I1535" s="548" t="s">
        <v>361</v>
      </c>
      <c r="J1535" s="549" t="s">
        <v>363</v>
      </c>
      <c r="K1535" s="471"/>
    </row>
    <row r="1536" spans="1:11" hidden="1">
      <c r="A1536" s="463"/>
      <c r="B1536" s="823" t="str">
        <f>B1519</f>
        <v>RETROESCAVADEIRA</v>
      </c>
      <c r="C1536" s="532"/>
      <c r="D1536" s="532"/>
      <c r="E1536" s="822"/>
      <c r="F1536" s="553" t="str">
        <f>VLOOKUP(B1536,EQUIPAMENTOS!$A:$N,12,FALSE)</f>
        <v>Diesel S10</v>
      </c>
      <c r="G1536" s="554" t="s">
        <v>415</v>
      </c>
      <c r="H1536" s="560">
        <f>VLOOKUP(B1536,EQUIPAMENTOS!$A:$N,13,FALSE)</f>
        <v>0</v>
      </c>
      <c r="I1536" s="556">
        <f>VLOOKUP(B1536,EQUIPAMENTOS!$A:$N,14,FALSE)</f>
        <v>16</v>
      </c>
      <c r="J1536" s="505">
        <f>H1536*I1536*E1519*F1519</f>
        <v>0</v>
      </c>
      <c r="K1536" s="471"/>
    </row>
    <row r="1537" spans="1:12" hidden="1">
      <c r="A1537" s="463"/>
      <c r="B1537" s="823"/>
      <c r="C1537" s="531"/>
      <c r="D1537" s="531"/>
      <c r="E1537" s="500"/>
      <c r="F1537" s="553"/>
      <c r="G1537" s="554"/>
      <c r="H1537" s="560"/>
      <c r="I1537" s="556"/>
      <c r="J1537" s="505"/>
      <c r="K1537" s="471"/>
    </row>
    <row r="1538" spans="1:12" hidden="1">
      <c r="A1538" s="463"/>
      <c r="B1538" s="823"/>
      <c r="C1538" s="539"/>
      <c r="D1538" s="539"/>
      <c r="E1538" s="507"/>
      <c r="F1538" s="869"/>
      <c r="G1538" s="736"/>
      <c r="H1538" s="560"/>
      <c r="I1538" s="556"/>
      <c r="J1538" s="505"/>
      <c r="K1538" s="471"/>
    </row>
    <row r="1539" spans="1:12" hidden="1">
      <c r="A1539" s="463"/>
      <c r="B1539" s="563" t="s">
        <v>946</v>
      </c>
      <c r="C1539" s="536"/>
      <c r="D1539" s="536"/>
      <c r="E1539" s="536"/>
      <c r="F1539" s="536"/>
      <c r="G1539" s="536"/>
      <c r="H1539" s="564"/>
      <c r="I1539" s="565" t="s">
        <v>175</v>
      </c>
      <c r="J1539" s="514">
        <f>SUM(J1536:J1538)</f>
        <v>0</v>
      </c>
      <c r="K1539" s="471"/>
      <c r="L1539" s="6" t="e">
        <f>J1539/E1533</f>
        <v>#REF!</v>
      </c>
    </row>
    <row r="1540" spans="1:12" hidden="1">
      <c r="A1540" s="463"/>
      <c r="B1540" s="566"/>
      <c r="C1540" s="539"/>
      <c r="D1540" s="539"/>
      <c r="E1540" s="567"/>
      <c r="F1540" s="568"/>
      <c r="G1540" s="519"/>
      <c r="H1540" s="519"/>
      <c r="I1540" s="542"/>
      <c r="J1540" s="567"/>
      <c r="K1540" s="471"/>
    </row>
    <row r="1541" spans="1:12" ht="20.399999999999999" hidden="1">
      <c r="A1541" s="463"/>
      <c r="B1541" s="1493" t="s">
        <v>955</v>
      </c>
      <c r="C1541" s="1494"/>
      <c r="D1541" s="1494"/>
      <c r="E1541" s="1494"/>
      <c r="F1541" s="1495"/>
      <c r="G1541" s="569" t="s">
        <v>372</v>
      </c>
      <c r="H1541" s="519" t="s">
        <v>956</v>
      </c>
      <c r="I1541" s="570" t="s">
        <v>942</v>
      </c>
      <c r="J1541" s="522" t="s">
        <v>363</v>
      </c>
      <c r="K1541" s="471"/>
    </row>
    <row r="1542" spans="1:12" hidden="1">
      <c r="A1542" s="463"/>
      <c r="B1542" s="571"/>
      <c r="C1542" s="572"/>
      <c r="D1542" s="573"/>
      <c r="E1542" s="573"/>
      <c r="F1542" s="574"/>
      <c r="G1542" s="502"/>
      <c r="H1542" s="502"/>
      <c r="I1542" s="575"/>
      <c r="J1542" s="505"/>
      <c r="K1542" s="471"/>
    </row>
    <row r="1543" spans="1:12" hidden="1">
      <c r="A1543" s="463"/>
      <c r="B1543" s="576"/>
      <c r="C1543" s="577"/>
      <c r="D1543" s="578"/>
      <c r="E1543" s="578"/>
      <c r="F1543" s="579"/>
      <c r="G1543" s="502"/>
      <c r="H1543" s="502"/>
      <c r="I1543" s="575"/>
      <c r="J1543" s="505"/>
      <c r="K1543" s="471"/>
    </row>
    <row r="1544" spans="1:12" hidden="1">
      <c r="A1544" s="463"/>
      <c r="B1544" s="1496" t="s">
        <v>175</v>
      </c>
      <c r="C1544" s="1496"/>
      <c r="D1544" s="1496"/>
      <c r="E1544" s="1496"/>
      <c r="F1544" s="1496"/>
      <c r="G1544" s="1496"/>
      <c r="H1544" s="1496"/>
      <c r="I1544" s="1496"/>
      <c r="J1544" s="514">
        <f>SUM(J1542:J1543)</f>
        <v>0</v>
      </c>
      <c r="K1544" s="471"/>
    </row>
    <row r="1545" spans="1:12" hidden="1">
      <c r="A1545" s="463"/>
      <c r="B1545" s="580"/>
      <c r="C1545" s="524"/>
      <c r="D1545" s="524"/>
      <c r="E1545" s="581"/>
      <c r="F1545" s="582"/>
      <c r="G1545" s="583"/>
      <c r="H1545" s="583"/>
      <c r="I1545" s="584"/>
      <c r="J1545" s="585"/>
      <c r="K1545" s="471"/>
    </row>
    <row r="1546" spans="1:12" hidden="1">
      <c r="A1546" s="463"/>
      <c r="B1546" s="586" t="s">
        <v>957</v>
      </c>
      <c r="C1546" s="586"/>
      <c r="D1546" s="563"/>
      <c r="E1546" s="536"/>
      <c r="F1546" s="536"/>
      <c r="G1546" s="536"/>
      <c r="H1546" s="587"/>
      <c r="I1546" s="588"/>
      <c r="J1546" s="514" t="e">
        <f>(J1533+J1539+J1544)/E1533</f>
        <v>#REF!</v>
      </c>
      <c r="K1546" s="471"/>
    </row>
    <row r="1547" spans="1:12" hidden="1">
      <c r="A1547" s="463"/>
      <c r="B1547" s="566"/>
      <c r="C1547" s="539"/>
      <c r="D1547" s="539"/>
      <c r="E1547" s="567"/>
      <c r="F1547" s="568"/>
      <c r="G1547" s="519"/>
      <c r="H1547" s="519"/>
      <c r="I1547" s="542"/>
      <c r="J1547" s="589"/>
      <c r="K1547" s="471"/>
    </row>
    <row r="1548" spans="1:12" ht="20.399999999999999" hidden="1">
      <c r="A1548" s="463"/>
      <c r="B1548" s="1493" t="s">
        <v>958</v>
      </c>
      <c r="C1548" s="1494"/>
      <c r="D1548" s="1494"/>
      <c r="E1548" s="1494"/>
      <c r="F1548" s="1495"/>
      <c r="G1548" s="569" t="s">
        <v>372</v>
      </c>
      <c r="H1548" s="519" t="s">
        <v>956</v>
      </c>
      <c r="I1548" s="570" t="s">
        <v>942</v>
      </c>
      <c r="J1548" s="522" t="s">
        <v>363</v>
      </c>
      <c r="K1548" s="471"/>
    </row>
    <row r="1549" spans="1:12" hidden="1">
      <c r="A1549" s="463"/>
      <c r="B1549" s="824" t="s">
        <v>1289</v>
      </c>
      <c r="C1549" s="577"/>
      <c r="D1549" s="578"/>
      <c r="E1549" s="578"/>
      <c r="F1549" s="579"/>
      <c r="G1549" s="502">
        <v>3.93</v>
      </c>
      <c r="H1549" s="502" t="s">
        <v>904</v>
      </c>
      <c r="I1549" s="737">
        <f>131.56-49.53</f>
        <v>82.03</v>
      </c>
      <c r="J1549" s="505">
        <f t="shared" ref="J1549:J1555" si="10">G1549*I1549</f>
        <v>322.37790000000001</v>
      </c>
      <c r="K1549" s="471"/>
    </row>
    <row r="1550" spans="1:12" hidden="1">
      <c r="A1550" s="463"/>
      <c r="B1550" s="824" t="s">
        <v>1290</v>
      </c>
      <c r="C1550" s="577"/>
      <c r="D1550" s="578"/>
      <c r="E1550" s="578"/>
      <c r="F1550" s="579"/>
      <c r="G1550" s="502">
        <v>0.06</v>
      </c>
      <c r="H1550" s="502" t="s">
        <v>973</v>
      </c>
      <c r="I1550" s="737">
        <f>537.37-60.85</f>
        <v>476.52</v>
      </c>
      <c r="J1550" s="505">
        <f t="shared" si="10"/>
        <v>28.591199999999997</v>
      </c>
      <c r="K1550" s="471"/>
    </row>
    <row r="1551" spans="1:12" hidden="1">
      <c r="A1551" s="463"/>
      <c r="B1551" s="576" t="s">
        <v>1291</v>
      </c>
      <c r="C1551" s="577"/>
      <c r="D1551" s="578"/>
      <c r="E1551" s="578"/>
      <c r="F1551" s="579"/>
      <c r="G1551" s="502">
        <v>5.4</v>
      </c>
      <c r="H1551" s="502" t="s">
        <v>985</v>
      </c>
      <c r="I1551" s="737">
        <v>8.5</v>
      </c>
      <c r="J1551" s="505">
        <f t="shared" si="10"/>
        <v>45.900000000000006</v>
      </c>
      <c r="K1551" s="471"/>
    </row>
    <row r="1552" spans="1:12" hidden="1">
      <c r="A1552" s="463"/>
      <c r="B1552" s="576" t="s">
        <v>1257</v>
      </c>
      <c r="C1552" s="577"/>
      <c r="D1552" s="578"/>
      <c r="E1552" s="578"/>
      <c r="F1552" s="579"/>
      <c r="G1552" s="502">
        <v>0.19</v>
      </c>
      <c r="H1552" s="502" t="s">
        <v>973</v>
      </c>
      <c r="I1552" s="737">
        <v>550</v>
      </c>
      <c r="J1552" s="505">
        <f t="shared" si="10"/>
        <v>104.5</v>
      </c>
      <c r="K1552" s="471"/>
    </row>
    <row r="1553" spans="1:11" hidden="1">
      <c r="A1553" s="463"/>
      <c r="B1553" s="576" t="s">
        <v>1297</v>
      </c>
      <c r="C1553" s="577"/>
      <c r="D1553" s="578"/>
      <c r="E1553" s="578"/>
      <c r="F1553" s="579"/>
      <c r="G1553" s="502">
        <v>1.634E-2</v>
      </c>
      <c r="H1553" s="502" t="s">
        <v>973</v>
      </c>
      <c r="I1553" s="737">
        <f>3886.72-90.46</f>
        <v>3796.2599999999998</v>
      </c>
      <c r="J1553" s="505">
        <f t="shared" si="10"/>
        <v>62.030888399999995</v>
      </c>
      <c r="K1553" s="471"/>
    </row>
    <row r="1554" spans="1:11" hidden="1">
      <c r="A1554" s="463"/>
      <c r="B1554" s="576" t="s">
        <v>1293</v>
      </c>
      <c r="C1554" s="577"/>
      <c r="D1554" s="578"/>
      <c r="E1554" s="578"/>
      <c r="F1554" s="579"/>
      <c r="G1554" s="502">
        <v>2.59</v>
      </c>
      <c r="H1554" s="502" t="s">
        <v>904</v>
      </c>
      <c r="I1554" s="737">
        <f>73.07-50</f>
        <v>23.069999999999993</v>
      </c>
      <c r="J1554" s="505">
        <f t="shared" si="10"/>
        <v>59.751299999999979</v>
      </c>
      <c r="K1554" s="471"/>
    </row>
    <row r="1555" spans="1:11" hidden="1">
      <c r="A1555" s="463"/>
      <c r="B1555" s="590"/>
      <c r="C1555" s="591"/>
      <c r="D1555" s="592"/>
      <c r="E1555" s="592"/>
      <c r="F1555" s="593"/>
      <c r="G1555" s="502"/>
      <c r="H1555" s="502"/>
      <c r="I1555" s="575"/>
      <c r="J1555" s="505">
        <f t="shared" si="10"/>
        <v>0</v>
      </c>
      <c r="K1555" s="471"/>
    </row>
    <row r="1556" spans="1:11" hidden="1">
      <c r="A1556" s="463"/>
      <c r="B1556" s="594"/>
      <c r="C1556" s="536"/>
      <c r="D1556" s="536"/>
      <c r="E1556" s="595"/>
      <c r="F1556" s="596"/>
      <c r="G1556" s="545"/>
      <c r="H1556" s="545"/>
      <c r="I1556" s="537" t="s">
        <v>175</v>
      </c>
      <c r="J1556" s="514">
        <f>SUM(J1549:J1555)</f>
        <v>623.1512884</v>
      </c>
      <c r="K1556" s="471"/>
    </row>
    <row r="1557" spans="1:11" hidden="1">
      <c r="A1557" s="463"/>
      <c r="B1557" s="597"/>
      <c r="C1557" s="536"/>
      <c r="D1557" s="536"/>
      <c r="E1557" s="595"/>
      <c r="F1557" s="596"/>
      <c r="G1557" s="545"/>
      <c r="H1557" s="545"/>
      <c r="I1557" s="537"/>
      <c r="J1557" s="595"/>
      <c r="K1557" s="471"/>
    </row>
    <row r="1558" spans="1:11" ht="20.399999999999999" hidden="1">
      <c r="A1558" s="463"/>
      <c r="B1558" s="598" t="s">
        <v>959</v>
      </c>
      <c r="C1558" s="598"/>
      <c r="D1558" s="598"/>
      <c r="E1558" s="599"/>
      <c r="F1558" s="600" t="s">
        <v>372</v>
      </c>
      <c r="G1558" s="569" t="s">
        <v>960</v>
      </c>
      <c r="H1558" s="519" t="s">
        <v>942</v>
      </c>
      <c r="I1558" s="570" t="s">
        <v>361</v>
      </c>
      <c r="J1558" s="522" t="s">
        <v>363</v>
      </c>
      <c r="K1558" s="471"/>
    </row>
    <row r="1559" spans="1:11" hidden="1">
      <c r="A1559" s="463"/>
      <c r="B1559" s="571"/>
      <c r="C1559" s="572"/>
      <c r="D1559" s="573"/>
      <c r="E1559" s="574"/>
      <c r="F1559" s="502"/>
      <c r="G1559" s="502"/>
      <c r="H1559" s="624"/>
      <c r="I1559" s="575"/>
      <c r="J1559" s="505"/>
      <c r="K1559" s="471"/>
    </row>
    <row r="1560" spans="1:11" hidden="1">
      <c r="A1560" s="463"/>
      <c r="B1560" s="590" t="s">
        <v>946</v>
      </c>
      <c r="C1560" s="591"/>
      <c r="D1560" s="592"/>
      <c r="E1560" s="593" t="s">
        <v>946</v>
      </c>
      <c r="F1560" s="509">
        <v>0</v>
      </c>
      <c r="G1560" s="509">
        <v>0</v>
      </c>
      <c r="H1560" s="509">
        <v>0</v>
      </c>
      <c r="I1560" s="601">
        <v>0</v>
      </c>
      <c r="J1560" s="505">
        <f>I1560*H1560*G1560*F1560</f>
        <v>0</v>
      </c>
      <c r="K1560" s="471"/>
    </row>
    <row r="1561" spans="1:11" hidden="1">
      <c r="A1561" s="463"/>
      <c r="B1561" s="594"/>
      <c r="C1561" s="536"/>
      <c r="D1561" s="536"/>
      <c r="E1561" s="595"/>
      <c r="F1561" s="596"/>
      <c r="G1561" s="545"/>
      <c r="H1561" s="545"/>
      <c r="I1561" s="537" t="s">
        <v>175</v>
      </c>
      <c r="J1561" s="514">
        <f>SUM(J1559:J1560)</f>
        <v>0</v>
      </c>
      <c r="K1561" s="471"/>
    </row>
    <row r="1562" spans="1:11" hidden="1">
      <c r="A1562" s="463"/>
      <c r="B1562" s="536"/>
      <c r="C1562" s="536"/>
      <c r="D1562" s="536"/>
      <c r="E1562" s="536"/>
      <c r="F1562" s="536"/>
      <c r="G1562" s="536"/>
      <c r="H1562" s="536"/>
      <c r="I1562" s="537"/>
      <c r="J1562" s="536"/>
      <c r="K1562" s="471"/>
    </row>
    <row r="1563" spans="1:11" hidden="1">
      <c r="A1563" s="463"/>
      <c r="B1563" s="1481" t="s">
        <v>961</v>
      </c>
      <c r="C1563" s="1482"/>
      <c r="D1563" s="1482"/>
      <c r="E1563" s="1482"/>
      <c r="F1563" s="1482"/>
      <c r="G1563" s="1482"/>
      <c r="H1563" s="1482"/>
      <c r="I1563" s="1483"/>
      <c r="J1563" s="586" t="e">
        <f>J1561+J1556+J1546</f>
        <v>#REF!</v>
      </c>
      <c r="K1563" s="471"/>
    </row>
    <row r="1564" spans="1:11" hidden="1">
      <c r="A1564" s="463"/>
      <c r="B1564" s="536"/>
      <c r="C1564" s="536"/>
      <c r="D1564" s="536"/>
      <c r="E1564" s="536"/>
      <c r="F1564" s="536"/>
      <c r="G1564" s="536"/>
      <c r="H1564" s="536"/>
      <c r="I1564" s="537"/>
      <c r="J1564" s="536"/>
      <c r="K1564" s="471"/>
    </row>
    <row r="1565" spans="1:11" hidden="1">
      <c r="A1565" s="463"/>
      <c r="B1565" s="1481" t="s">
        <v>962</v>
      </c>
      <c r="C1565" s="1482"/>
      <c r="D1565" s="1482"/>
      <c r="E1565" s="1482"/>
      <c r="F1565" s="1482"/>
      <c r="G1565" s="1482"/>
      <c r="H1565" s="1482"/>
      <c r="I1565" s="1483"/>
      <c r="J1565" s="514" t="e">
        <f>J1563*0</f>
        <v>#REF!</v>
      </c>
      <c r="K1565" s="471"/>
    </row>
    <row r="1566" spans="1:11" hidden="1">
      <c r="A1566" s="463"/>
      <c r="B1566" s="536"/>
      <c r="C1566" s="536"/>
      <c r="D1566" s="536"/>
      <c r="E1566" s="536"/>
      <c r="F1566" s="536"/>
      <c r="G1566" s="536"/>
      <c r="H1566" s="536"/>
      <c r="I1566" s="537"/>
      <c r="J1566" s="536"/>
      <c r="K1566" s="471"/>
    </row>
    <row r="1567" spans="1:11" hidden="1">
      <c r="A1567" s="463"/>
      <c r="B1567" s="1481" t="s">
        <v>963</v>
      </c>
      <c r="C1567" s="1482"/>
      <c r="D1567" s="1482"/>
      <c r="E1567" s="1482"/>
      <c r="F1567" s="1482"/>
      <c r="G1567" s="1482"/>
      <c r="H1567" s="1482"/>
      <c r="I1567" s="1483"/>
      <c r="J1567" s="586" t="e">
        <f>J1563+J1565</f>
        <v>#REF!</v>
      </c>
      <c r="K1567" s="471"/>
    </row>
    <row r="1568" spans="1:11" hidden="1">
      <c r="A1568" s="463"/>
      <c r="B1568" s="524"/>
      <c r="C1568" s="524"/>
      <c r="D1568" s="524"/>
      <c r="E1568" s="524"/>
      <c r="F1568" s="524"/>
      <c r="G1568" s="524"/>
      <c r="H1568" s="524"/>
      <c r="I1568" s="584"/>
      <c r="J1568" s="524"/>
      <c r="K1568" s="471"/>
    </row>
    <row r="1569" spans="1:11" hidden="1">
      <c r="A1569" s="463"/>
      <c r="B1569" s="602"/>
      <c r="C1569" s="572"/>
      <c r="D1569" s="572"/>
      <c r="E1569" s="572"/>
      <c r="F1569" s="572"/>
      <c r="G1569" s="572"/>
      <c r="H1569" s="572"/>
      <c r="I1569" s="572"/>
      <c r="J1569" s="603"/>
      <c r="K1569" s="471"/>
    </row>
    <row r="1570" spans="1:11" hidden="1">
      <c r="A1570" s="463"/>
      <c r="B1570" s="604"/>
      <c r="C1570" s="605"/>
      <c r="D1570" s="606"/>
      <c r="E1570" s="606"/>
      <c r="F1570" s="607" t="s">
        <v>946</v>
      </c>
      <c r="G1570" s="608" t="s">
        <v>946</v>
      </c>
      <c r="H1570" s="605"/>
      <c r="I1570" s="605"/>
      <c r="J1570" s="609"/>
      <c r="K1570" s="471"/>
    </row>
    <row r="1571" spans="1:11" hidden="1">
      <c r="A1571" s="463"/>
      <c r="B1571" s="472"/>
      <c r="C1571" s="472"/>
      <c r="D1571" s="472"/>
      <c r="E1571" s="472"/>
      <c r="F1571" s="472"/>
      <c r="G1571" s="472"/>
      <c r="H1571" s="472"/>
      <c r="I1571" s="472"/>
      <c r="J1571" s="472"/>
      <c r="K1571" s="471"/>
    </row>
    <row r="1572" spans="1:11" hidden="1">
      <c r="A1572" s="463"/>
      <c r="B1572" s="610">
        <f>PLANEJAMENTO!E1192</f>
        <v>0</v>
      </c>
      <c r="C1572" s="611"/>
      <c r="D1572" s="611"/>
      <c r="E1572" s="611"/>
      <c r="F1572" s="612"/>
      <c r="G1572" s="613" t="s">
        <v>363</v>
      </c>
      <c r="H1572" s="515"/>
      <c r="I1572" s="515"/>
      <c r="J1572" s="518"/>
      <c r="K1572" s="471"/>
    </row>
    <row r="1573" spans="1:11" hidden="1">
      <c r="A1573" s="463"/>
      <c r="B1573" s="614">
        <f>PLANEJAMENTO!E1193</f>
        <v>0</v>
      </c>
      <c r="C1573" s="615"/>
      <c r="D1573" s="615"/>
      <c r="E1573" s="615"/>
      <c r="F1573" s="616"/>
      <c r="G1573" s="1484" t="s">
        <v>964</v>
      </c>
      <c r="H1573" s="1485"/>
      <c r="I1573" s="1485"/>
      <c r="J1573" s="1486"/>
      <c r="K1573" s="471"/>
    </row>
    <row r="1574" spans="1:11" hidden="1">
      <c r="A1574" s="463"/>
      <c r="B1574" s="617"/>
      <c r="C1574" s="618"/>
      <c r="D1574" s="618"/>
      <c r="E1574" s="618"/>
      <c r="F1574" s="619"/>
      <c r="G1574" s="620"/>
      <c r="H1574" s="1487"/>
      <c r="I1574" s="1488"/>
      <c r="J1574" s="1489"/>
      <c r="K1574" s="471"/>
    </row>
    <row r="1575" spans="1:11" ht="15" hidden="1" thickBot="1">
      <c r="A1575" s="621"/>
      <c r="B1575" s="622"/>
      <c r="C1575" s="622"/>
      <c r="D1575" s="622"/>
      <c r="E1575" s="622"/>
      <c r="F1575" s="622"/>
      <c r="G1575" s="622"/>
      <c r="H1575" s="622"/>
      <c r="I1575" s="622"/>
      <c r="J1575" s="622"/>
      <c r="K1575" s="623"/>
    </row>
    <row r="1576" spans="1:11" hidden="1">
      <c r="A1576" s="463"/>
      <c r="B1576" s="472"/>
      <c r="C1576" s="472"/>
      <c r="D1576" s="472"/>
      <c r="E1576" s="472"/>
      <c r="F1576" s="472"/>
      <c r="G1576" s="472"/>
      <c r="H1576" s="472"/>
      <c r="I1576" s="472"/>
      <c r="J1576" s="472"/>
      <c r="K1576" s="471"/>
    </row>
    <row r="1577" spans="1:11" hidden="1">
      <c r="A1577" s="463"/>
      <c r="B1577" s="464" t="s">
        <v>178</v>
      </c>
      <c r="C1577" s="465"/>
      <c r="D1577" s="466" t="s">
        <v>936</v>
      </c>
      <c r="E1577" s="467"/>
      <c r="F1577" s="468"/>
      <c r="G1577" s="468"/>
      <c r="H1577" s="469"/>
      <c r="I1577" s="469"/>
      <c r="J1577" s="470"/>
      <c r="K1577" s="471"/>
    </row>
    <row r="1578" spans="1:11" hidden="1">
      <c r="A1578" s="463"/>
      <c r="B1578" s="472"/>
      <c r="C1578" s="472"/>
      <c r="D1578" s="472"/>
      <c r="E1578" s="472"/>
      <c r="F1578" s="472"/>
      <c r="G1578" s="472"/>
      <c r="H1578" s="472"/>
      <c r="I1578" s="472"/>
      <c r="J1578" s="472"/>
      <c r="K1578" s="471"/>
    </row>
    <row r="1579" spans="1:11" hidden="1">
      <c r="A1579" s="463"/>
      <c r="B1579" s="473" t="s">
        <v>1295</v>
      </c>
      <c r="C1579" s="474" t="s">
        <v>937</v>
      </c>
      <c r="D1579" s="1497" t="s">
        <v>250</v>
      </c>
      <c r="E1579" s="1498"/>
      <c r="F1579" s="1498"/>
      <c r="G1579" s="1498"/>
      <c r="H1579" s="1498"/>
      <c r="I1579" s="1499"/>
      <c r="J1579" s="475" t="s">
        <v>267</v>
      </c>
      <c r="K1579" s="471"/>
    </row>
    <row r="1580" spans="1:11" hidden="1">
      <c r="A1580" s="463"/>
      <c r="B1580" s="476">
        <v>45480</v>
      </c>
      <c r="C1580" s="477">
        <f ca="1">TODAY()</f>
        <v>46140</v>
      </c>
      <c r="D1580" s="681" t="s">
        <v>1298</v>
      </c>
      <c r="E1580" s="479"/>
      <c r="F1580" s="479"/>
      <c r="G1580" s="479"/>
      <c r="H1580" s="479"/>
      <c r="I1580" s="480"/>
      <c r="J1580" s="481" t="str">
        <f>F1598</f>
        <v>UND</v>
      </c>
      <c r="K1580" s="471"/>
    </row>
    <row r="1581" spans="1:11" hidden="1">
      <c r="A1581" s="463"/>
      <c r="B1581" s="482"/>
      <c r="C1581" s="482"/>
      <c r="D1581" s="482"/>
      <c r="E1581" s="482"/>
      <c r="F1581" s="482"/>
      <c r="G1581" s="482"/>
      <c r="H1581" s="482"/>
      <c r="I1581" s="483"/>
      <c r="J1581" s="484"/>
      <c r="K1581" s="471"/>
    </row>
    <row r="1582" spans="1:11" hidden="1">
      <c r="A1582" s="463"/>
      <c r="B1582" s="1484" t="s">
        <v>938</v>
      </c>
      <c r="C1582" s="1486"/>
      <c r="D1582" s="1502" t="s">
        <v>688</v>
      </c>
      <c r="E1582" s="1504" t="s">
        <v>939</v>
      </c>
      <c r="F1582" s="485" t="s">
        <v>940</v>
      </c>
      <c r="G1582" s="486"/>
      <c r="H1582" s="485" t="s">
        <v>941</v>
      </c>
      <c r="I1582" s="486"/>
      <c r="J1582" s="487" t="s">
        <v>942</v>
      </c>
      <c r="K1582" s="471"/>
    </row>
    <row r="1583" spans="1:11" hidden="1">
      <c r="A1583" s="463"/>
      <c r="B1583" s="1500"/>
      <c r="C1583" s="1501"/>
      <c r="D1583" s="1503"/>
      <c r="E1583" s="1505"/>
      <c r="F1583" s="488" t="s">
        <v>943</v>
      </c>
      <c r="G1583" s="488" t="s">
        <v>944</v>
      </c>
      <c r="H1583" s="488" t="s">
        <v>943</v>
      </c>
      <c r="I1583" s="489" t="s">
        <v>944</v>
      </c>
      <c r="J1583" s="490" t="s">
        <v>945</v>
      </c>
      <c r="K1583" s="471"/>
    </row>
    <row r="1584" spans="1:11" hidden="1">
      <c r="A1584" s="463"/>
      <c r="B1584" s="491" t="s">
        <v>631</v>
      </c>
      <c r="C1584" s="492"/>
      <c r="D1584" s="493"/>
      <c r="E1584" s="494">
        <v>0.55000000000000004</v>
      </c>
      <c r="F1584" s="494">
        <v>0.5</v>
      </c>
      <c r="G1584" s="495">
        <f>1-F1584</f>
        <v>0.5</v>
      </c>
      <c r="H1584" s="503">
        <f>VLOOKUP(B1584,EQUIPAMENTOS!$A:$J,10,FALSE)</f>
        <v>175</v>
      </c>
      <c r="I1584" s="504">
        <f>H1584</f>
        <v>175</v>
      </c>
      <c r="J1584" s="505">
        <f>H1584*F1584*E1584+I1584*G1584*E1584</f>
        <v>96.250000000000014</v>
      </c>
      <c r="K1584" s="471"/>
    </row>
    <row r="1585" spans="1:12" hidden="1">
      <c r="A1585" s="463"/>
      <c r="B1585" s="499" t="s">
        <v>398</v>
      </c>
      <c r="C1585" s="500"/>
      <c r="D1585" s="501"/>
      <c r="E1585" s="872">
        <v>1</v>
      </c>
      <c r="F1585" s="872">
        <v>1</v>
      </c>
      <c r="G1585" s="502">
        <f>1-F1585</f>
        <v>0</v>
      </c>
      <c r="H1585" s="503">
        <f>VLOOKUP(B1585,EQUIPAMENTOS!$A:$J,10,FALSE)</f>
        <v>10</v>
      </c>
      <c r="I1585" s="504">
        <f>H1585</f>
        <v>10</v>
      </c>
      <c r="J1585" s="505">
        <f>H1585*F1585*E1585+I1585*G1585*E1585</f>
        <v>10</v>
      </c>
      <c r="K1585" s="471"/>
    </row>
    <row r="1586" spans="1:12" hidden="1">
      <c r="A1586" s="463"/>
      <c r="B1586" s="499"/>
      <c r="C1586" s="500"/>
      <c r="D1586" s="501"/>
      <c r="E1586" s="872"/>
      <c r="F1586" s="872"/>
      <c r="G1586" s="502"/>
      <c r="H1586" s="503"/>
      <c r="I1586" s="504"/>
      <c r="J1586" s="505"/>
      <c r="K1586" s="471"/>
    </row>
    <row r="1587" spans="1:12" hidden="1">
      <c r="A1587" s="463"/>
      <c r="B1587" s="506"/>
      <c r="C1587" s="507"/>
      <c r="D1587" s="508"/>
      <c r="E1587" s="509"/>
      <c r="F1587" s="509"/>
      <c r="G1587" s="509"/>
      <c r="H1587" s="561"/>
      <c r="I1587" s="510"/>
      <c r="J1587" s="505"/>
      <c r="K1587" s="471"/>
    </row>
    <row r="1588" spans="1:12" hidden="1">
      <c r="A1588" s="463"/>
      <c r="B1588" s="512" t="s">
        <v>946</v>
      </c>
      <c r="C1588" s="482"/>
      <c r="D1588" s="482"/>
      <c r="E1588" s="482"/>
      <c r="F1588" s="482"/>
      <c r="G1588" s="482"/>
      <c r="H1588" s="482"/>
      <c r="I1588" s="513" t="s">
        <v>175</v>
      </c>
      <c r="J1588" s="514">
        <f>SUM(J1584:J1587)</f>
        <v>106.25000000000001</v>
      </c>
      <c r="K1588" s="471"/>
      <c r="L1588" s="6" t="e">
        <f>J1588/E1598</f>
        <v>#REF!</v>
      </c>
    </row>
    <row r="1589" spans="1:12" hidden="1">
      <c r="A1589" s="463"/>
      <c r="B1589" s="515"/>
      <c r="C1589" s="515"/>
      <c r="D1589" s="515"/>
      <c r="E1589" s="515"/>
      <c r="F1589" s="515"/>
      <c r="G1589" s="515"/>
      <c r="H1589" s="515"/>
      <c r="I1589" s="516"/>
      <c r="J1589" s="517"/>
      <c r="K1589" s="471"/>
    </row>
    <row r="1590" spans="1:12" ht="20.399999999999999" hidden="1">
      <c r="A1590" s="463"/>
      <c r="B1590" s="1490" t="s">
        <v>947</v>
      </c>
      <c r="C1590" s="1491"/>
      <c r="D1590" s="1491"/>
      <c r="E1590" s="1492"/>
      <c r="F1590" s="725" t="s">
        <v>688</v>
      </c>
      <c r="G1590" s="519"/>
      <c r="H1590" s="520" t="s">
        <v>427</v>
      </c>
      <c r="I1590" s="521" t="s">
        <v>948</v>
      </c>
      <c r="J1590" s="522" t="s">
        <v>949</v>
      </c>
      <c r="K1590" s="471"/>
    </row>
    <row r="1591" spans="1:12" hidden="1">
      <c r="A1591" s="463"/>
      <c r="B1591" s="523" t="s">
        <v>974</v>
      </c>
      <c r="C1591" s="524"/>
      <c r="D1591" s="525"/>
      <c r="E1591" s="526"/>
      <c r="F1591" s="527"/>
      <c r="G1591" s="528"/>
      <c r="H1591" s="529">
        <f>E1584</f>
        <v>0.55000000000000004</v>
      </c>
      <c r="I1591" s="534">
        <f>(VLOOKUP(B1591,'MÃO DE OBRA'!$A:$E,5,FALSE)/220)</f>
        <v>35.988199999999999</v>
      </c>
      <c r="J1591" s="505">
        <f>H1591*I1591</f>
        <v>19.793510000000001</v>
      </c>
      <c r="K1591" s="471"/>
    </row>
    <row r="1592" spans="1:12" hidden="1">
      <c r="A1592" s="463"/>
      <c r="B1592" s="530" t="s">
        <v>988</v>
      </c>
      <c r="C1592" s="531"/>
      <c r="D1592" s="472"/>
      <c r="E1592" s="500"/>
      <c r="F1592" s="501"/>
      <c r="G1592" s="532"/>
      <c r="H1592" s="533">
        <v>1</v>
      </c>
      <c r="I1592" s="534">
        <f>(VLOOKUP(B1592,'MÃO DE OBRA'!$A:$E,5,FALSE)/220)</f>
        <v>21.588799999999999</v>
      </c>
      <c r="J1592" s="505">
        <f>H1592*I1592</f>
        <v>21.588799999999999</v>
      </c>
      <c r="K1592" s="471"/>
    </row>
    <row r="1593" spans="1:12" hidden="1">
      <c r="A1593" s="463"/>
      <c r="B1593" s="530" t="s">
        <v>481</v>
      </c>
      <c r="C1593" s="531"/>
      <c r="D1593" s="472"/>
      <c r="E1593" s="500"/>
      <c r="F1593" s="501"/>
      <c r="G1593" s="532"/>
      <c r="H1593" s="533">
        <v>1</v>
      </c>
      <c r="I1593" s="534">
        <f>(VLOOKUP(B1593,'MÃO DE OBRA'!$A:$E,5,FALSE)/220)</f>
        <v>21.588799999999999</v>
      </c>
      <c r="J1593" s="505">
        <f>H1593*I1593</f>
        <v>21.588799999999999</v>
      </c>
      <c r="K1593" s="471"/>
    </row>
    <row r="1594" spans="1:12" hidden="1">
      <c r="A1594" s="463"/>
      <c r="B1594" s="530" t="s">
        <v>507</v>
      </c>
      <c r="C1594" s="531"/>
      <c r="D1594" s="472"/>
      <c r="E1594" s="500"/>
      <c r="F1594" s="501"/>
      <c r="G1594" s="532"/>
      <c r="H1594" s="533">
        <v>1</v>
      </c>
      <c r="I1594" s="534">
        <f>(VLOOKUP(B1594,'MÃO DE OBRA'!$A:$E,5,FALSE)/220)</f>
        <v>21.588799999999999</v>
      </c>
      <c r="J1594" s="505">
        <f>H1594*I1594</f>
        <v>21.588799999999999</v>
      </c>
      <c r="K1594" s="471"/>
    </row>
    <row r="1595" spans="1:12" hidden="1">
      <c r="A1595" s="463"/>
      <c r="B1595" s="530" t="s">
        <v>472</v>
      </c>
      <c r="C1595" s="531"/>
      <c r="D1595" s="472"/>
      <c r="E1595" s="500"/>
      <c r="F1595" s="501"/>
      <c r="G1595" s="532"/>
      <c r="H1595" s="533">
        <v>3</v>
      </c>
      <c r="I1595" s="534">
        <f>(VLOOKUP(B1595,'MÃO DE OBRA'!$A:$E,5,FALSE)/220)</f>
        <v>18.377072727272729</v>
      </c>
      <c r="J1595" s="505">
        <f>H1595*I1595</f>
        <v>55.131218181818184</v>
      </c>
      <c r="K1595" s="471"/>
    </row>
    <row r="1596" spans="1:12" hidden="1">
      <c r="A1596" s="463"/>
      <c r="B1596" s="512" t="s">
        <v>946</v>
      </c>
      <c r="C1596" s="515"/>
      <c r="D1596" s="515"/>
      <c r="E1596" s="515"/>
      <c r="F1596" s="515"/>
      <c r="G1596" s="515"/>
      <c r="H1596" s="515"/>
      <c r="I1596" s="535" t="s">
        <v>175</v>
      </c>
      <c r="J1596" s="514">
        <f>SUM(J1591:J1595)</f>
        <v>139.69112818181819</v>
      </c>
      <c r="K1596" s="471"/>
    </row>
    <row r="1597" spans="1:12" hidden="1">
      <c r="A1597" s="463"/>
      <c r="B1597" s="536"/>
      <c r="C1597" s="536"/>
      <c r="D1597" s="536"/>
      <c r="E1597" s="536"/>
      <c r="F1597" s="536"/>
      <c r="G1597" s="536"/>
      <c r="H1597" s="536"/>
      <c r="I1597" s="537"/>
      <c r="J1597" s="536"/>
      <c r="K1597" s="471"/>
    </row>
    <row r="1598" spans="1:12" hidden="1">
      <c r="A1598" s="463"/>
      <c r="B1598" s="538" t="s">
        <v>952</v>
      </c>
      <c r="C1598" s="539"/>
      <c r="D1598" s="536"/>
      <c r="E1598" s="540" t="e">
        <f>CRONOGRAMA!#REF!</f>
        <v>#REF!</v>
      </c>
      <c r="F1598" s="541" t="s">
        <v>956</v>
      </c>
      <c r="G1598" s="519"/>
      <c r="H1598" s="519"/>
      <c r="I1598" s="542" t="s">
        <v>953</v>
      </c>
      <c r="J1598" s="514">
        <f>J1588+J1596</f>
        <v>245.94112818181821</v>
      </c>
      <c r="K1598" s="471"/>
    </row>
    <row r="1599" spans="1:12" hidden="1">
      <c r="A1599" s="463"/>
      <c r="B1599" s="543"/>
      <c r="C1599" s="536"/>
      <c r="D1599" s="536"/>
      <c r="E1599" s="544"/>
      <c r="F1599" s="545"/>
      <c r="G1599" s="545"/>
      <c r="H1599" s="545"/>
      <c r="I1599" s="537"/>
      <c r="J1599" s="536"/>
      <c r="K1599" s="471"/>
    </row>
    <row r="1600" spans="1:12" ht="20.399999999999999" hidden="1">
      <c r="A1600" s="463"/>
      <c r="B1600" s="1493" t="s">
        <v>362</v>
      </c>
      <c r="C1600" s="1494"/>
      <c r="D1600" s="1494"/>
      <c r="E1600" s="1495"/>
      <c r="F1600" s="546" t="s">
        <v>688</v>
      </c>
      <c r="G1600" s="547" t="s">
        <v>371</v>
      </c>
      <c r="H1600" s="520" t="s">
        <v>942</v>
      </c>
      <c r="I1600" s="548" t="s">
        <v>361</v>
      </c>
      <c r="J1600" s="549" t="s">
        <v>363</v>
      </c>
      <c r="K1600" s="471"/>
    </row>
    <row r="1601" spans="1:12" hidden="1">
      <c r="A1601" s="463"/>
      <c r="B1601" s="823" t="str">
        <f>B1584</f>
        <v>Escavadeira hidráulica sobre esteira 22T</v>
      </c>
      <c r="C1601" s="532"/>
      <c r="D1601" s="532"/>
      <c r="E1601" s="822"/>
      <c r="F1601" s="553" t="str">
        <f>VLOOKUP(B1601,EQUIPAMENTOS!$A:$N,12,FALSE)</f>
        <v>Diesel S10</v>
      </c>
      <c r="G1601" s="554" t="s">
        <v>415</v>
      </c>
      <c r="H1601" s="560">
        <f>VLOOKUP(B1601,EQUIPAMENTOS!$A:$N,13,FALSE)</f>
        <v>0</v>
      </c>
      <c r="I1601" s="556">
        <f>VLOOKUP(B1601,EQUIPAMENTOS!$A:$N,14,FALSE)</f>
        <v>22</v>
      </c>
      <c r="J1601" s="505">
        <f>H1601*I1601*E1584*F1584</f>
        <v>0</v>
      </c>
      <c r="K1601" s="471"/>
    </row>
    <row r="1602" spans="1:12" hidden="1">
      <c r="A1602" s="463"/>
      <c r="B1602" s="823" t="str">
        <f>B1585</f>
        <v>SAPO COMPACTADOR</v>
      </c>
      <c r="C1602" s="531"/>
      <c r="D1602" s="531"/>
      <c r="E1602" s="500"/>
      <c r="F1602" s="553" t="str">
        <f>VLOOKUP(B1602,EQUIPAMENTOS!$A:$N,12,FALSE)</f>
        <v>Gasolina</v>
      </c>
      <c r="G1602" s="554" t="s">
        <v>415</v>
      </c>
      <c r="H1602" s="560">
        <f>VLOOKUP(B1602,EQUIPAMENTOS!$A:$N,13,FALSE)</f>
        <v>6.59</v>
      </c>
      <c r="I1602" s="556">
        <f>VLOOKUP(B1602,EQUIPAMENTOS!$A:$N,14,FALSE)</f>
        <v>3</v>
      </c>
      <c r="J1602" s="505">
        <f>H1602*I1602*E1585*F1585</f>
        <v>19.77</v>
      </c>
      <c r="K1602" s="471"/>
    </row>
    <row r="1603" spans="1:12" hidden="1">
      <c r="A1603" s="463"/>
      <c r="B1603" s="823"/>
      <c r="C1603" s="539"/>
      <c r="D1603" s="539"/>
      <c r="E1603" s="507"/>
      <c r="F1603" s="869"/>
      <c r="G1603" s="736"/>
      <c r="H1603" s="560"/>
      <c r="I1603" s="556"/>
      <c r="J1603" s="505"/>
      <c r="K1603" s="471"/>
    </row>
    <row r="1604" spans="1:12" hidden="1">
      <c r="A1604" s="463"/>
      <c r="B1604" s="563" t="s">
        <v>946</v>
      </c>
      <c r="C1604" s="536"/>
      <c r="D1604" s="536"/>
      <c r="E1604" s="536"/>
      <c r="F1604" s="536"/>
      <c r="G1604" s="536"/>
      <c r="H1604" s="564"/>
      <c r="I1604" s="565" t="s">
        <v>175</v>
      </c>
      <c r="J1604" s="514">
        <f>SUM(J1601:J1603)</f>
        <v>19.77</v>
      </c>
      <c r="K1604" s="471"/>
      <c r="L1604" s="6" t="e">
        <f>J1604/E1598</f>
        <v>#REF!</v>
      </c>
    </row>
    <row r="1605" spans="1:12" hidden="1">
      <c r="A1605" s="463"/>
      <c r="B1605" s="566"/>
      <c r="C1605" s="539"/>
      <c r="D1605" s="539"/>
      <c r="E1605" s="567"/>
      <c r="F1605" s="568"/>
      <c r="G1605" s="519"/>
      <c r="H1605" s="519"/>
      <c r="I1605" s="542"/>
      <c r="J1605" s="567"/>
      <c r="K1605" s="471"/>
    </row>
    <row r="1606" spans="1:12" ht="20.399999999999999" hidden="1">
      <c r="A1606" s="463"/>
      <c r="B1606" s="1493" t="s">
        <v>955</v>
      </c>
      <c r="C1606" s="1494"/>
      <c r="D1606" s="1494"/>
      <c r="E1606" s="1494"/>
      <c r="F1606" s="1495"/>
      <c r="G1606" s="569" t="s">
        <v>372</v>
      </c>
      <c r="H1606" s="519" t="s">
        <v>956</v>
      </c>
      <c r="I1606" s="570" t="s">
        <v>942</v>
      </c>
      <c r="J1606" s="522" t="s">
        <v>363</v>
      </c>
      <c r="K1606" s="471"/>
    </row>
    <row r="1607" spans="1:12" hidden="1">
      <c r="A1607" s="463"/>
      <c r="B1607" s="571"/>
      <c r="C1607" s="572"/>
      <c r="D1607" s="573"/>
      <c r="E1607" s="573"/>
      <c r="F1607" s="574"/>
      <c r="G1607" s="502"/>
      <c r="H1607" s="502"/>
      <c r="I1607" s="575"/>
      <c r="J1607" s="505"/>
      <c r="K1607" s="471"/>
    </row>
    <row r="1608" spans="1:12" hidden="1">
      <c r="A1608" s="463"/>
      <c r="B1608" s="576"/>
      <c r="C1608" s="577"/>
      <c r="D1608" s="578"/>
      <c r="E1608" s="578"/>
      <c r="F1608" s="579"/>
      <c r="G1608" s="502"/>
      <c r="H1608" s="502"/>
      <c r="I1608" s="575"/>
      <c r="J1608" s="505"/>
      <c r="K1608" s="471"/>
    </row>
    <row r="1609" spans="1:12" hidden="1">
      <c r="A1609" s="463"/>
      <c r="B1609" s="1496" t="s">
        <v>175</v>
      </c>
      <c r="C1609" s="1496"/>
      <c r="D1609" s="1496"/>
      <c r="E1609" s="1496"/>
      <c r="F1609" s="1496"/>
      <c r="G1609" s="1496"/>
      <c r="H1609" s="1496"/>
      <c r="I1609" s="1496"/>
      <c r="J1609" s="514">
        <f>SUM(J1607:J1608)</f>
        <v>0</v>
      </c>
      <c r="K1609" s="471"/>
    </row>
    <row r="1610" spans="1:12" hidden="1">
      <c r="A1610" s="463"/>
      <c r="B1610" s="580"/>
      <c r="C1610" s="524"/>
      <c r="D1610" s="524"/>
      <c r="E1610" s="581"/>
      <c r="F1610" s="582"/>
      <c r="G1610" s="583"/>
      <c r="H1610" s="583"/>
      <c r="I1610" s="584"/>
      <c r="J1610" s="585"/>
      <c r="K1610" s="471"/>
    </row>
    <row r="1611" spans="1:12" hidden="1">
      <c r="A1611" s="463"/>
      <c r="B1611" s="586" t="s">
        <v>957</v>
      </c>
      <c r="C1611" s="586"/>
      <c r="D1611" s="563"/>
      <c r="E1611" s="536"/>
      <c r="F1611" s="536"/>
      <c r="G1611" s="536"/>
      <c r="H1611" s="587"/>
      <c r="I1611" s="588"/>
      <c r="J1611" s="514" t="e">
        <f>(J1598+J1604+J1609)/E1598</f>
        <v>#REF!</v>
      </c>
      <c r="K1611" s="471"/>
    </row>
    <row r="1612" spans="1:12" hidden="1">
      <c r="A1612" s="463"/>
      <c r="B1612" s="566"/>
      <c r="C1612" s="539"/>
      <c r="D1612" s="539"/>
      <c r="E1612" s="567"/>
      <c r="F1612" s="568"/>
      <c r="G1612" s="519"/>
      <c r="H1612" s="519"/>
      <c r="I1612" s="542"/>
      <c r="J1612" s="589"/>
      <c r="K1612" s="471"/>
    </row>
    <row r="1613" spans="1:12" ht="20.399999999999999" hidden="1">
      <c r="A1613" s="463"/>
      <c r="B1613" s="1493" t="s">
        <v>958</v>
      </c>
      <c r="C1613" s="1494"/>
      <c r="D1613" s="1494"/>
      <c r="E1613" s="1494"/>
      <c r="F1613" s="1495"/>
      <c r="G1613" s="569" t="s">
        <v>372</v>
      </c>
      <c r="H1613" s="519" t="s">
        <v>956</v>
      </c>
      <c r="I1613" s="570" t="s">
        <v>942</v>
      </c>
      <c r="J1613" s="522" t="s">
        <v>363</v>
      </c>
      <c r="K1613" s="471"/>
    </row>
    <row r="1614" spans="1:12" hidden="1">
      <c r="A1614" s="463"/>
      <c r="B1614" s="824" t="s">
        <v>1289</v>
      </c>
      <c r="C1614" s="577"/>
      <c r="D1614" s="578"/>
      <c r="E1614" s="578"/>
      <c r="F1614" s="579"/>
      <c r="G1614" s="502">
        <v>530</v>
      </c>
      <c r="H1614" s="502" t="s">
        <v>956</v>
      </c>
      <c r="I1614" s="737">
        <v>1</v>
      </c>
      <c r="J1614" s="505">
        <f t="shared" ref="J1614:J1620" si="11">G1614*I1614</f>
        <v>530</v>
      </c>
      <c r="K1614" s="471"/>
    </row>
    <row r="1615" spans="1:12" hidden="1">
      <c r="A1615" s="463"/>
      <c r="B1615" s="824" t="s">
        <v>1264</v>
      </c>
      <c r="C1615" s="577"/>
      <c r="D1615" s="578"/>
      <c r="E1615" s="578"/>
      <c r="F1615" s="579"/>
      <c r="G1615" s="502">
        <v>0.8</v>
      </c>
      <c r="H1615" s="502" t="s">
        <v>973</v>
      </c>
      <c r="I1615" s="737">
        <v>165</v>
      </c>
      <c r="J1615" s="505">
        <f t="shared" si="11"/>
        <v>132</v>
      </c>
      <c r="K1615" s="471"/>
    </row>
    <row r="1616" spans="1:12" hidden="1">
      <c r="A1616" s="463"/>
      <c r="B1616" s="576" t="s">
        <v>1299</v>
      </c>
      <c r="C1616" s="577"/>
      <c r="D1616" s="578"/>
      <c r="E1616" s="578"/>
      <c r="F1616" s="579"/>
      <c r="G1616" s="502">
        <v>1.8</v>
      </c>
      <c r="H1616" s="502" t="s">
        <v>973</v>
      </c>
      <c r="I1616" s="737">
        <v>165</v>
      </c>
      <c r="J1616" s="505">
        <f t="shared" si="11"/>
        <v>297</v>
      </c>
      <c r="K1616" s="471"/>
    </row>
    <row r="1617" spans="1:11" hidden="1">
      <c r="A1617" s="463"/>
      <c r="B1617" s="576" t="s">
        <v>1265</v>
      </c>
      <c r="C1617" s="577"/>
      <c r="D1617" s="578"/>
      <c r="E1617" s="578"/>
      <c r="F1617" s="579"/>
      <c r="G1617" s="502">
        <v>320</v>
      </c>
      <c r="H1617" s="502" t="s">
        <v>985</v>
      </c>
      <c r="I1617" s="737">
        <v>0.65</v>
      </c>
      <c r="J1617" s="505">
        <f t="shared" si="11"/>
        <v>208</v>
      </c>
      <c r="K1617" s="471"/>
    </row>
    <row r="1618" spans="1:11" hidden="1">
      <c r="A1618" s="463"/>
      <c r="B1618" s="576" t="s">
        <v>1300</v>
      </c>
      <c r="C1618" s="577"/>
      <c r="D1618" s="578"/>
      <c r="E1618" s="578"/>
      <c r="F1618" s="579"/>
      <c r="G1618" s="502">
        <v>0.23</v>
      </c>
      <c r="H1618" s="502" t="s">
        <v>984</v>
      </c>
      <c r="I1618" s="737">
        <v>4.87</v>
      </c>
      <c r="J1618" s="505">
        <f t="shared" si="11"/>
        <v>1.1201000000000001</v>
      </c>
      <c r="K1618" s="471"/>
    </row>
    <row r="1619" spans="1:11" hidden="1">
      <c r="A1619" s="463"/>
      <c r="B1619" s="576" t="s">
        <v>1301</v>
      </c>
      <c r="C1619" s="577"/>
      <c r="D1619" s="578"/>
      <c r="E1619" s="578"/>
      <c r="F1619" s="579"/>
      <c r="G1619" s="502">
        <v>32.200000000000003</v>
      </c>
      <c r="H1619" s="502" t="s">
        <v>985</v>
      </c>
      <c r="I1619" s="737">
        <v>8.5</v>
      </c>
      <c r="J1619" s="505">
        <f t="shared" si="11"/>
        <v>273.70000000000005</v>
      </c>
      <c r="K1619" s="471"/>
    </row>
    <row r="1620" spans="1:11" hidden="1">
      <c r="A1620" s="463"/>
      <c r="B1620" s="590"/>
      <c r="C1620" s="591"/>
      <c r="D1620" s="592"/>
      <c r="E1620" s="592"/>
      <c r="F1620" s="593"/>
      <c r="G1620" s="502"/>
      <c r="H1620" s="502"/>
      <c r="I1620" s="575"/>
      <c r="J1620" s="505">
        <f t="shared" si="11"/>
        <v>0</v>
      </c>
      <c r="K1620" s="471"/>
    </row>
    <row r="1621" spans="1:11" hidden="1">
      <c r="A1621" s="463"/>
      <c r="B1621" s="594"/>
      <c r="C1621" s="536"/>
      <c r="D1621" s="536"/>
      <c r="E1621" s="595"/>
      <c r="F1621" s="596"/>
      <c r="G1621" s="545"/>
      <c r="H1621" s="545"/>
      <c r="I1621" s="537" t="s">
        <v>175</v>
      </c>
      <c r="J1621" s="514">
        <f>SUM(J1614:J1620)</f>
        <v>1441.8201000000001</v>
      </c>
      <c r="K1621" s="471"/>
    </row>
    <row r="1622" spans="1:11" hidden="1">
      <c r="A1622" s="463"/>
      <c r="B1622" s="597"/>
      <c r="C1622" s="536"/>
      <c r="D1622" s="536"/>
      <c r="E1622" s="595"/>
      <c r="F1622" s="596"/>
      <c r="G1622" s="545"/>
      <c r="H1622" s="545"/>
      <c r="I1622" s="537"/>
      <c r="J1622" s="595"/>
      <c r="K1622" s="471"/>
    </row>
    <row r="1623" spans="1:11" ht="20.399999999999999" hidden="1">
      <c r="A1623" s="463"/>
      <c r="B1623" s="598" t="s">
        <v>959</v>
      </c>
      <c r="C1623" s="598"/>
      <c r="D1623" s="598"/>
      <c r="E1623" s="599"/>
      <c r="F1623" s="600" t="s">
        <v>372</v>
      </c>
      <c r="G1623" s="569" t="s">
        <v>960</v>
      </c>
      <c r="H1623" s="519" t="s">
        <v>942</v>
      </c>
      <c r="I1623" s="570" t="s">
        <v>361</v>
      </c>
      <c r="J1623" s="522" t="s">
        <v>363</v>
      </c>
      <c r="K1623" s="471"/>
    </row>
    <row r="1624" spans="1:11" hidden="1">
      <c r="A1624" s="463"/>
      <c r="B1624" s="571"/>
      <c r="C1624" s="572"/>
      <c r="D1624" s="573"/>
      <c r="E1624" s="574"/>
      <c r="F1624" s="502"/>
      <c r="G1624" s="502"/>
      <c r="H1624" s="624"/>
      <c r="I1624" s="575"/>
      <c r="J1624" s="505"/>
      <c r="K1624" s="471"/>
    </row>
    <row r="1625" spans="1:11" hidden="1">
      <c r="A1625" s="463"/>
      <c r="B1625" s="590" t="s">
        <v>946</v>
      </c>
      <c r="C1625" s="591"/>
      <c r="D1625" s="592"/>
      <c r="E1625" s="593" t="s">
        <v>946</v>
      </c>
      <c r="F1625" s="509">
        <v>0</v>
      </c>
      <c r="G1625" s="509">
        <v>0</v>
      </c>
      <c r="H1625" s="509">
        <v>0</v>
      </c>
      <c r="I1625" s="601">
        <v>0</v>
      </c>
      <c r="J1625" s="505">
        <f>I1625*H1625*G1625*F1625</f>
        <v>0</v>
      </c>
      <c r="K1625" s="471"/>
    </row>
    <row r="1626" spans="1:11" hidden="1">
      <c r="A1626" s="463"/>
      <c r="B1626" s="594"/>
      <c r="C1626" s="536"/>
      <c r="D1626" s="536"/>
      <c r="E1626" s="595"/>
      <c r="F1626" s="596"/>
      <c r="G1626" s="545"/>
      <c r="H1626" s="545"/>
      <c r="I1626" s="537" t="s">
        <v>175</v>
      </c>
      <c r="J1626" s="514">
        <f>SUM(J1624:J1625)</f>
        <v>0</v>
      </c>
      <c r="K1626" s="471"/>
    </row>
    <row r="1627" spans="1:11" hidden="1">
      <c r="A1627" s="463"/>
      <c r="B1627" s="536"/>
      <c r="C1627" s="536"/>
      <c r="D1627" s="536"/>
      <c r="E1627" s="536"/>
      <c r="F1627" s="536"/>
      <c r="G1627" s="536"/>
      <c r="H1627" s="536"/>
      <c r="I1627" s="537"/>
      <c r="J1627" s="536"/>
      <c r="K1627" s="471"/>
    </row>
    <row r="1628" spans="1:11" hidden="1">
      <c r="A1628" s="463"/>
      <c r="B1628" s="1481" t="s">
        <v>961</v>
      </c>
      <c r="C1628" s="1482"/>
      <c r="D1628" s="1482"/>
      <c r="E1628" s="1482"/>
      <c r="F1628" s="1482"/>
      <c r="G1628" s="1482"/>
      <c r="H1628" s="1482"/>
      <c r="I1628" s="1483"/>
      <c r="J1628" s="586" t="e">
        <f>J1626+J1621+J1611</f>
        <v>#REF!</v>
      </c>
      <c r="K1628" s="471"/>
    </row>
    <row r="1629" spans="1:11" hidden="1">
      <c r="A1629" s="463"/>
      <c r="B1629" s="536"/>
      <c r="C1629" s="536"/>
      <c r="D1629" s="536"/>
      <c r="E1629" s="536"/>
      <c r="F1629" s="536"/>
      <c r="G1629" s="536"/>
      <c r="H1629" s="536"/>
      <c r="I1629" s="537"/>
      <c r="J1629" s="536"/>
      <c r="K1629" s="471"/>
    </row>
    <row r="1630" spans="1:11" hidden="1">
      <c r="A1630" s="463"/>
      <c r="B1630" s="1481" t="s">
        <v>962</v>
      </c>
      <c r="C1630" s="1482"/>
      <c r="D1630" s="1482"/>
      <c r="E1630" s="1482"/>
      <c r="F1630" s="1482"/>
      <c r="G1630" s="1482"/>
      <c r="H1630" s="1482"/>
      <c r="I1630" s="1483"/>
      <c r="J1630" s="514" t="e">
        <f>J1628*0</f>
        <v>#REF!</v>
      </c>
      <c r="K1630" s="471"/>
    </row>
    <row r="1631" spans="1:11" hidden="1">
      <c r="A1631" s="463"/>
      <c r="B1631" s="536"/>
      <c r="C1631" s="536"/>
      <c r="D1631" s="536"/>
      <c r="E1631" s="536"/>
      <c r="F1631" s="536"/>
      <c r="G1631" s="536"/>
      <c r="H1631" s="536"/>
      <c r="I1631" s="537"/>
      <c r="J1631" s="536"/>
      <c r="K1631" s="471"/>
    </row>
    <row r="1632" spans="1:11" hidden="1">
      <c r="A1632" s="463"/>
      <c r="B1632" s="1481" t="s">
        <v>963</v>
      </c>
      <c r="C1632" s="1482"/>
      <c r="D1632" s="1482"/>
      <c r="E1632" s="1482"/>
      <c r="F1632" s="1482"/>
      <c r="G1632" s="1482"/>
      <c r="H1632" s="1482"/>
      <c r="I1632" s="1483"/>
      <c r="J1632" s="586" t="e">
        <f>J1628+J1630</f>
        <v>#REF!</v>
      </c>
      <c r="K1632" s="471"/>
    </row>
    <row r="1633" spans="1:11" hidden="1">
      <c r="A1633" s="463"/>
      <c r="B1633" s="524"/>
      <c r="C1633" s="524"/>
      <c r="D1633" s="524"/>
      <c r="E1633" s="524"/>
      <c r="F1633" s="524"/>
      <c r="G1633" s="524"/>
      <c r="H1633" s="524"/>
      <c r="I1633" s="584"/>
      <c r="J1633" s="524"/>
      <c r="K1633" s="471"/>
    </row>
    <row r="1634" spans="1:11" hidden="1">
      <c r="A1634" s="463"/>
      <c r="B1634" s="602"/>
      <c r="C1634" s="572"/>
      <c r="D1634" s="572"/>
      <c r="E1634" s="572"/>
      <c r="F1634" s="572"/>
      <c r="G1634" s="572"/>
      <c r="H1634" s="572"/>
      <c r="I1634" s="572"/>
      <c r="J1634" s="603"/>
      <c r="K1634" s="471"/>
    </row>
    <row r="1635" spans="1:11" hidden="1">
      <c r="A1635" s="463"/>
      <c r="B1635" s="604"/>
      <c r="C1635" s="605"/>
      <c r="D1635" s="606"/>
      <c r="E1635" s="606"/>
      <c r="F1635" s="607" t="s">
        <v>946</v>
      </c>
      <c r="G1635" s="608" t="s">
        <v>946</v>
      </c>
      <c r="H1635" s="605"/>
      <c r="I1635" s="605"/>
      <c r="J1635" s="609"/>
      <c r="K1635" s="471"/>
    </row>
    <row r="1636" spans="1:11" hidden="1">
      <c r="A1636" s="463"/>
      <c r="B1636" s="472"/>
      <c r="C1636" s="472"/>
      <c r="D1636" s="472"/>
      <c r="E1636" s="472"/>
      <c r="F1636" s="472"/>
      <c r="G1636" s="472"/>
      <c r="H1636" s="472"/>
      <c r="I1636" s="472"/>
      <c r="J1636" s="472"/>
      <c r="K1636" s="471"/>
    </row>
    <row r="1637" spans="1:11" hidden="1">
      <c r="A1637" s="463"/>
      <c r="B1637" s="610">
        <f>PLANEJAMENTO!E1257</f>
        <v>0</v>
      </c>
      <c r="C1637" s="611"/>
      <c r="D1637" s="611"/>
      <c r="E1637" s="611"/>
      <c r="F1637" s="612"/>
      <c r="G1637" s="613" t="s">
        <v>363</v>
      </c>
      <c r="H1637" s="515"/>
      <c r="I1637" s="515"/>
      <c r="J1637" s="518"/>
      <c r="K1637" s="471"/>
    </row>
    <row r="1638" spans="1:11" hidden="1">
      <c r="A1638" s="463"/>
      <c r="B1638" s="614">
        <f>PLANEJAMENTO!E1258</f>
        <v>0</v>
      </c>
      <c r="C1638" s="615"/>
      <c r="D1638" s="615"/>
      <c r="E1638" s="615"/>
      <c r="F1638" s="616"/>
      <c r="G1638" s="1484" t="s">
        <v>964</v>
      </c>
      <c r="H1638" s="1485"/>
      <c r="I1638" s="1485"/>
      <c r="J1638" s="1486"/>
      <c r="K1638" s="471"/>
    </row>
    <row r="1639" spans="1:11" hidden="1">
      <c r="A1639" s="463"/>
      <c r="B1639" s="617"/>
      <c r="C1639" s="618"/>
      <c r="D1639" s="618"/>
      <c r="E1639" s="618"/>
      <c r="F1639" s="619"/>
      <c r="G1639" s="620"/>
      <c r="H1639" s="1487"/>
      <c r="I1639" s="1488"/>
      <c r="J1639" s="1489"/>
      <c r="K1639" s="471"/>
    </row>
    <row r="1640" spans="1:11" ht="15" hidden="1" thickBot="1">
      <c r="A1640" s="621"/>
      <c r="B1640" s="622"/>
      <c r="C1640" s="622"/>
      <c r="D1640" s="622"/>
      <c r="E1640" s="622"/>
      <c r="F1640" s="622"/>
      <c r="G1640" s="622"/>
      <c r="H1640" s="622"/>
      <c r="I1640" s="622"/>
      <c r="J1640" s="622"/>
      <c r="K1640" s="623"/>
    </row>
    <row r="1641" spans="1:11" hidden="1">
      <c r="A1641" s="463"/>
      <c r="B1641" s="472"/>
      <c r="C1641" s="472"/>
      <c r="D1641" s="472"/>
      <c r="E1641" s="472"/>
      <c r="F1641" s="472"/>
      <c r="G1641" s="472"/>
      <c r="H1641" s="472"/>
      <c r="I1641" s="472"/>
      <c r="J1641" s="472"/>
      <c r="K1641" s="471"/>
    </row>
    <row r="1642" spans="1:11" hidden="1">
      <c r="A1642" s="463"/>
      <c r="B1642" s="464" t="s">
        <v>178</v>
      </c>
      <c r="C1642" s="465"/>
      <c r="D1642" s="466" t="s">
        <v>936</v>
      </c>
      <c r="E1642" s="467"/>
      <c r="F1642" s="468"/>
      <c r="G1642" s="468"/>
      <c r="H1642" s="469"/>
      <c r="I1642" s="469"/>
      <c r="J1642" s="470"/>
      <c r="K1642" s="471"/>
    </row>
    <row r="1643" spans="1:11" hidden="1">
      <c r="A1643" s="463"/>
      <c r="B1643" s="472"/>
      <c r="C1643" s="472"/>
      <c r="D1643" s="472"/>
      <c r="E1643" s="472"/>
      <c r="F1643" s="472"/>
      <c r="G1643" s="472"/>
      <c r="H1643" s="472"/>
      <c r="I1643" s="472"/>
      <c r="J1643" s="472"/>
      <c r="K1643" s="471"/>
    </row>
    <row r="1644" spans="1:11" hidden="1">
      <c r="A1644" s="463"/>
      <c r="B1644" s="473" t="s">
        <v>1295</v>
      </c>
      <c r="C1644" s="474" t="s">
        <v>937</v>
      </c>
      <c r="D1644" s="1497" t="s">
        <v>250</v>
      </c>
      <c r="E1644" s="1498"/>
      <c r="F1644" s="1498"/>
      <c r="G1644" s="1498"/>
      <c r="H1644" s="1498"/>
      <c r="I1644" s="1499"/>
      <c r="J1644" s="475" t="s">
        <v>267</v>
      </c>
      <c r="K1644" s="471"/>
    </row>
    <row r="1645" spans="1:11" hidden="1">
      <c r="A1645" s="463"/>
      <c r="B1645" s="476">
        <v>45490</v>
      </c>
      <c r="C1645" s="477">
        <f ca="1">TODAY()</f>
        <v>46140</v>
      </c>
      <c r="D1645" s="681" t="s">
        <v>1302</v>
      </c>
      <c r="E1645" s="479"/>
      <c r="F1645" s="479"/>
      <c r="G1645" s="479"/>
      <c r="H1645" s="479"/>
      <c r="I1645" s="480"/>
      <c r="J1645" s="481" t="str">
        <f>F1663</f>
        <v>UND</v>
      </c>
      <c r="K1645" s="471"/>
    </row>
    <row r="1646" spans="1:11" hidden="1">
      <c r="A1646" s="463"/>
      <c r="B1646" s="482"/>
      <c r="C1646" s="482"/>
      <c r="D1646" s="482"/>
      <c r="E1646" s="482"/>
      <c r="F1646" s="482"/>
      <c r="G1646" s="482"/>
      <c r="H1646" s="482"/>
      <c r="I1646" s="483"/>
      <c r="J1646" s="484"/>
      <c r="K1646" s="471"/>
    </row>
    <row r="1647" spans="1:11" hidden="1">
      <c r="A1647" s="463"/>
      <c r="B1647" s="1484" t="s">
        <v>938</v>
      </c>
      <c r="C1647" s="1486"/>
      <c r="D1647" s="1502" t="s">
        <v>688</v>
      </c>
      <c r="E1647" s="1504" t="s">
        <v>939</v>
      </c>
      <c r="F1647" s="485" t="s">
        <v>940</v>
      </c>
      <c r="G1647" s="486"/>
      <c r="H1647" s="485" t="s">
        <v>941</v>
      </c>
      <c r="I1647" s="486"/>
      <c r="J1647" s="487" t="s">
        <v>942</v>
      </c>
      <c r="K1647" s="471"/>
    </row>
    <row r="1648" spans="1:11" hidden="1">
      <c r="A1648" s="463"/>
      <c r="B1648" s="1500"/>
      <c r="C1648" s="1501"/>
      <c r="D1648" s="1503"/>
      <c r="E1648" s="1505"/>
      <c r="F1648" s="488" t="s">
        <v>943</v>
      </c>
      <c r="G1648" s="488" t="s">
        <v>944</v>
      </c>
      <c r="H1648" s="488" t="s">
        <v>943</v>
      </c>
      <c r="I1648" s="489" t="s">
        <v>944</v>
      </c>
      <c r="J1648" s="490" t="s">
        <v>945</v>
      </c>
      <c r="K1648" s="471"/>
    </row>
    <row r="1649" spans="1:12" hidden="1">
      <c r="A1649" s="463"/>
      <c r="B1649" s="491" t="s">
        <v>631</v>
      </c>
      <c r="C1649" s="492"/>
      <c r="D1649" s="493"/>
      <c r="E1649" s="494">
        <v>0.6</v>
      </c>
      <c r="F1649" s="494">
        <v>0.5</v>
      </c>
      <c r="G1649" s="495">
        <f>1-F1649</f>
        <v>0.5</v>
      </c>
      <c r="H1649" s="503">
        <f>VLOOKUP(B1649,EQUIPAMENTOS!$A:$J,10,FALSE)</f>
        <v>175</v>
      </c>
      <c r="I1649" s="504">
        <f>H1649</f>
        <v>175</v>
      </c>
      <c r="J1649" s="505">
        <f>H1649*F1649*E1649+I1649*G1649*E1649</f>
        <v>105</v>
      </c>
      <c r="K1649" s="471"/>
    </row>
    <row r="1650" spans="1:12" hidden="1">
      <c r="A1650" s="463"/>
      <c r="B1650" s="499" t="s">
        <v>398</v>
      </c>
      <c r="C1650" s="500"/>
      <c r="D1650" s="501"/>
      <c r="E1650" s="872">
        <v>1</v>
      </c>
      <c r="F1650" s="872">
        <v>1</v>
      </c>
      <c r="G1650" s="502">
        <f>1-F1650</f>
        <v>0</v>
      </c>
      <c r="H1650" s="503">
        <f>VLOOKUP(B1650,EQUIPAMENTOS!$A:$J,10,FALSE)</f>
        <v>10</v>
      </c>
      <c r="I1650" s="504">
        <f>H1650</f>
        <v>10</v>
      </c>
      <c r="J1650" s="505">
        <f>H1650*F1650*E1650+I1650*G1650*E1650</f>
        <v>10</v>
      </c>
      <c r="K1650" s="471"/>
    </row>
    <row r="1651" spans="1:12" hidden="1">
      <c r="A1651" s="463"/>
      <c r="B1651" s="499"/>
      <c r="C1651" s="500"/>
      <c r="D1651" s="501"/>
      <c r="E1651" s="872"/>
      <c r="F1651" s="872"/>
      <c r="G1651" s="502"/>
      <c r="H1651" s="503"/>
      <c r="I1651" s="504"/>
      <c r="J1651" s="505"/>
      <c r="K1651" s="471"/>
    </row>
    <row r="1652" spans="1:12" hidden="1">
      <c r="A1652" s="463"/>
      <c r="B1652" s="506"/>
      <c r="C1652" s="507"/>
      <c r="D1652" s="508"/>
      <c r="E1652" s="509"/>
      <c r="F1652" s="509"/>
      <c r="G1652" s="509"/>
      <c r="H1652" s="561"/>
      <c r="I1652" s="510"/>
      <c r="J1652" s="505"/>
      <c r="K1652" s="471"/>
    </row>
    <row r="1653" spans="1:12" hidden="1">
      <c r="A1653" s="463"/>
      <c r="B1653" s="512" t="s">
        <v>946</v>
      </c>
      <c r="C1653" s="482"/>
      <c r="D1653" s="482"/>
      <c r="E1653" s="482"/>
      <c r="F1653" s="482"/>
      <c r="G1653" s="482"/>
      <c r="H1653" s="482"/>
      <c r="I1653" s="513" t="s">
        <v>175</v>
      </c>
      <c r="J1653" s="514">
        <f>SUM(J1649:J1652)</f>
        <v>115</v>
      </c>
      <c r="K1653" s="471"/>
      <c r="L1653" s="6" t="e">
        <f>J1653/E1663</f>
        <v>#REF!</v>
      </c>
    </row>
    <row r="1654" spans="1:12" hidden="1">
      <c r="A1654" s="463"/>
      <c r="B1654" s="515"/>
      <c r="C1654" s="515"/>
      <c r="D1654" s="515"/>
      <c r="E1654" s="515"/>
      <c r="F1654" s="515"/>
      <c r="G1654" s="515"/>
      <c r="H1654" s="515"/>
      <c r="I1654" s="516"/>
      <c r="J1654" s="517"/>
      <c r="K1654" s="471"/>
    </row>
    <row r="1655" spans="1:12" ht="20.399999999999999" hidden="1">
      <c r="A1655" s="463"/>
      <c r="B1655" s="1490" t="s">
        <v>947</v>
      </c>
      <c r="C1655" s="1491"/>
      <c r="D1655" s="1491"/>
      <c r="E1655" s="1492"/>
      <c r="F1655" s="725" t="s">
        <v>688</v>
      </c>
      <c r="G1655" s="519"/>
      <c r="H1655" s="520" t="s">
        <v>427</v>
      </c>
      <c r="I1655" s="521" t="s">
        <v>948</v>
      </c>
      <c r="J1655" s="522" t="s">
        <v>949</v>
      </c>
      <c r="K1655" s="471"/>
    </row>
    <row r="1656" spans="1:12" hidden="1">
      <c r="A1656" s="463"/>
      <c r="B1656" s="523" t="s">
        <v>974</v>
      </c>
      <c r="C1656" s="524"/>
      <c r="D1656" s="525"/>
      <c r="E1656" s="526"/>
      <c r="F1656" s="527"/>
      <c r="G1656" s="528"/>
      <c r="H1656" s="529">
        <f>E1649</f>
        <v>0.6</v>
      </c>
      <c r="I1656" s="534">
        <f>(VLOOKUP(B1656,'MÃO DE OBRA'!$A:$E,5,FALSE)/220)</f>
        <v>35.988199999999999</v>
      </c>
      <c r="J1656" s="505">
        <f>H1656*I1656</f>
        <v>21.592919999999999</v>
      </c>
      <c r="K1656" s="471"/>
    </row>
    <row r="1657" spans="1:12" hidden="1">
      <c r="A1657" s="463"/>
      <c r="B1657" s="530" t="s">
        <v>988</v>
      </c>
      <c r="C1657" s="531"/>
      <c r="D1657" s="472"/>
      <c r="E1657" s="500"/>
      <c r="F1657" s="501"/>
      <c r="G1657" s="532"/>
      <c r="H1657" s="533">
        <v>1</v>
      </c>
      <c r="I1657" s="534">
        <f>(VLOOKUP(B1657,'MÃO DE OBRA'!$A:$E,5,FALSE)/220)</f>
        <v>21.588799999999999</v>
      </c>
      <c r="J1657" s="505">
        <f>H1657*I1657</f>
        <v>21.588799999999999</v>
      </c>
      <c r="K1657" s="471"/>
    </row>
    <row r="1658" spans="1:12" hidden="1">
      <c r="A1658" s="463"/>
      <c r="B1658" s="530" t="s">
        <v>481</v>
      </c>
      <c r="C1658" s="531"/>
      <c r="D1658" s="472"/>
      <c r="E1658" s="500"/>
      <c r="F1658" s="501"/>
      <c r="G1658" s="532"/>
      <c r="H1658" s="533">
        <v>1</v>
      </c>
      <c r="I1658" s="534">
        <f>(VLOOKUP(B1658,'MÃO DE OBRA'!$A:$E,5,FALSE)/220)</f>
        <v>21.588799999999999</v>
      </c>
      <c r="J1658" s="505">
        <f>H1658*I1658</f>
        <v>21.588799999999999</v>
      </c>
      <c r="K1658" s="471"/>
    </row>
    <row r="1659" spans="1:12" hidden="1">
      <c r="A1659" s="463"/>
      <c r="B1659" s="530" t="s">
        <v>507</v>
      </c>
      <c r="C1659" s="531"/>
      <c r="D1659" s="472"/>
      <c r="E1659" s="500"/>
      <c r="F1659" s="501"/>
      <c r="G1659" s="532"/>
      <c r="H1659" s="533">
        <v>1</v>
      </c>
      <c r="I1659" s="534">
        <f>(VLOOKUP(B1659,'MÃO DE OBRA'!$A:$E,5,FALSE)/220)</f>
        <v>21.588799999999999</v>
      </c>
      <c r="J1659" s="505">
        <f>H1659*I1659</f>
        <v>21.588799999999999</v>
      </c>
      <c r="K1659" s="471"/>
    </row>
    <row r="1660" spans="1:12" hidden="1">
      <c r="A1660" s="463"/>
      <c r="B1660" s="530" t="s">
        <v>472</v>
      </c>
      <c r="C1660" s="531"/>
      <c r="D1660" s="472"/>
      <c r="E1660" s="500"/>
      <c r="F1660" s="501"/>
      <c r="G1660" s="532"/>
      <c r="H1660" s="533">
        <v>3</v>
      </c>
      <c r="I1660" s="534">
        <f>(VLOOKUP(B1660,'MÃO DE OBRA'!$A:$E,5,FALSE)/220)</f>
        <v>18.377072727272729</v>
      </c>
      <c r="J1660" s="505">
        <f>H1660*I1660</f>
        <v>55.131218181818184</v>
      </c>
      <c r="K1660" s="471"/>
    </row>
    <row r="1661" spans="1:12" hidden="1">
      <c r="A1661" s="463"/>
      <c r="B1661" s="512" t="s">
        <v>946</v>
      </c>
      <c r="C1661" s="515"/>
      <c r="D1661" s="515"/>
      <c r="E1661" s="515"/>
      <c r="F1661" s="515"/>
      <c r="G1661" s="515"/>
      <c r="H1661" s="515"/>
      <c r="I1661" s="535" t="s">
        <v>175</v>
      </c>
      <c r="J1661" s="514">
        <f>SUM(J1656:J1660)</f>
        <v>141.49053818181818</v>
      </c>
      <c r="K1661" s="471"/>
    </row>
    <row r="1662" spans="1:12" hidden="1">
      <c r="A1662" s="463"/>
      <c r="B1662" s="536"/>
      <c r="C1662" s="536"/>
      <c r="D1662" s="536"/>
      <c r="E1662" s="536"/>
      <c r="F1662" s="536"/>
      <c r="G1662" s="536"/>
      <c r="H1662" s="536"/>
      <c r="I1662" s="537"/>
      <c r="J1662" s="536"/>
      <c r="K1662" s="471"/>
    </row>
    <row r="1663" spans="1:12" hidden="1">
      <c r="A1663" s="463"/>
      <c r="B1663" s="538" t="s">
        <v>952</v>
      </c>
      <c r="C1663" s="539"/>
      <c r="D1663" s="536"/>
      <c r="E1663" s="540" t="e">
        <f>CRONOGRAMA!#REF!</f>
        <v>#REF!</v>
      </c>
      <c r="F1663" s="541" t="s">
        <v>956</v>
      </c>
      <c r="G1663" s="519"/>
      <c r="H1663" s="519"/>
      <c r="I1663" s="542" t="s">
        <v>953</v>
      </c>
      <c r="J1663" s="514">
        <f>J1653+J1661</f>
        <v>256.49053818181818</v>
      </c>
      <c r="K1663" s="471"/>
    </row>
    <row r="1664" spans="1:12" hidden="1">
      <c r="A1664" s="463"/>
      <c r="B1664" s="543"/>
      <c r="C1664" s="536"/>
      <c r="D1664" s="536"/>
      <c r="E1664" s="544"/>
      <c r="F1664" s="545"/>
      <c r="G1664" s="545"/>
      <c r="H1664" s="545"/>
      <c r="I1664" s="537"/>
      <c r="J1664" s="536"/>
      <c r="K1664" s="471"/>
    </row>
    <row r="1665" spans="1:12" ht="20.399999999999999" hidden="1">
      <c r="A1665" s="463"/>
      <c r="B1665" s="1493" t="s">
        <v>362</v>
      </c>
      <c r="C1665" s="1494"/>
      <c r="D1665" s="1494"/>
      <c r="E1665" s="1495"/>
      <c r="F1665" s="546" t="s">
        <v>688</v>
      </c>
      <c r="G1665" s="547" t="s">
        <v>371</v>
      </c>
      <c r="H1665" s="520" t="s">
        <v>942</v>
      </c>
      <c r="I1665" s="548" t="s">
        <v>361</v>
      </c>
      <c r="J1665" s="549" t="s">
        <v>363</v>
      </c>
      <c r="K1665" s="471"/>
    </row>
    <row r="1666" spans="1:12" hidden="1">
      <c r="A1666" s="463"/>
      <c r="B1666" s="823" t="str">
        <f>B1649</f>
        <v>Escavadeira hidráulica sobre esteira 22T</v>
      </c>
      <c r="C1666" s="532"/>
      <c r="D1666" s="532"/>
      <c r="E1666" s="822"/>
      <c r="F1666" s="553" t="str">
        <f>VLOOKUP(B1666,EQUIPAMENTOS!$A:$N,12,FALSE)</f>
        <v>Diesel S10</v>
      </c>
      <c r="G1666" s="554" t="s">
        <v>415</v>
      </c>
      <c r="H1666" s="560">
        <f>VLOOKUP(B1666,EQUIPAMENTOS!$A:$N,13,FALSE)</f>
        <v>0</v>
      </c>
      <c r="I1666" s="556">
        <f>VLOOKUP(B1666,EQUIPAMENTOS!$A:$N,14,FALSE)</f>
        <v>22</v>
      </c>
      <c r="J1666" s="505">
        <f>H1666*I1666*E1649*F1649</f>
        <v>0</v>
      </c>
      <c r="K1666" s="471"/>
    </row>
    <row r="1667" spans="1:12" hidden="1">
      <c r="A1667" s="463"/>
      <c r="B1667" s="823" t="str">
        <f>B1650</f>
        <v>SAPO COMPACTADOR</v>
      </c>
      <c r="C1667" s="531"/>
      <c r="D1667" s="531"/>
      <c r="E1667" s="500"/>
      <c r="F1667" s="553" t="str">
        <f>VLOOKUP(B1667,EQUIPAMENTOS!$A:$N,12,FALSE)</f>
        <v>Gasolina</v>
      </c>
      <c r="G1667" s="554" t="s">
        <v>415</v>
      </c>
      <c r="H1667" s="560">
        <f>VLOOKUP(B1667,EQUIPAMENTOS!$A:$N,13,FALSE)</f>
        <v>6.59</v>
      </c>
      <c r="I1667" s="556">
        <f>VLOOKUP(B1667,EQUIPAMENTOS!$A:$N,14,FALSE)</f>
        <v>3</v>
      </c>
      <c r="J1667" s="505">
        <f>H1667*I1667*E1650*F1650</f>
        <v>19.77</v>
      </c>
      <c r="K1667" s="471"/>
    </row>
    <row r="1668" spans="1:12" hidden="1">
      <c r="A1668" s="463"/>
      <c r="B1668" s="823"/>
      <c r="C1668" s="539"/>
      <c r="D1668" s="539"/>
      <c r="E1668" s="507"/>
      <c r="F1668" s="869"/>
      <c r="G1668" s="736"/>
      <c r="H1668" s="560"/>
      <c r="I1668" s="556"/>
      <c r="J1668" s="505"/>
      <c r="K1668" s="471"/>
    </row>
    <row r="1669" spans="1:12" hidden="1">
      <c r="A1669" s="463"/>
      <c r="B1669" s="563" t="s">
        <v>946</v>
      </c>
      <c r="C1669" s="536"/>
      <c r="D1669" s="536"/>
      <c r="E1669" s="536"/>
      <c r="F1669" s="536"/>
      <c r="G1669" s="536"/>
      <c r="H1669" s="564"/>
      <c r="I1669" s="565" t="s">
        <v>175</v>
      </c>
      <c r="J1669" s="514">
        <f>SUM(J1666:J1668)</f>
        <v>19.77</v>
      </c>
      <c r="K1669" s="471"/>
      <c r="L1669" s="6" t="e">
        <f>J1669/E1663</f>
        <v>#REF!</v>
      </c>
    </row>
    <row r="1670" spans="1:12" hidden="1">
      <c r="A1670" s="463"/>
      <c r="B1670" s="566"/>
      <c r="C1670" s="539"/>
      <c r="D1670" s="539"/>
      <c r="E1670" s="567"/>
      <c r="F1670" s="568"/>
      <c r="G1670" s="519"/>
      <c r="H1670" s="519"/>
      <c r="I1670" s="542"/>
      <c r="J1670" s="567"/>
      <c r="K1670" s="471"/>
    </row>
    <row r="1671" spans="1:12" ht="20.399999999999999" hidden="1">
      <c r="A1671" s="463"/>
      <c r="B1671" s="1493" t="s">
        <v>955</v>
      </c>
      <c r="C1671" s="1494"/>
      <c r="D1671" s="1494"/>
      <c r="E1671" s="1494"/>
      <c r="F1671" s="1495"/>
      <c r="G1671" s="569" t="s">
        <v>372</v>
      </c>
      <c r="H1671" s="519" t="s">
        <v>956</v>
      </c>
      <c r="I1671" s="570" t="s">
        <v>942</v>
      </c>
      <c r="J1671" s="522" t="s">
        <v>363</v>
      </c>
      <c r="K1671" s="471"/>
    </row>
    <row r="1672" spans="1:12" hidden="1">
      <c r="A1672" s="463"/>
      <c r="B1672" s="571"/>
      <c r="C1672" s="572"/>
      <c r="D1672" s="573"/>
      <c r="E1672" s="573"/>
      <c r="F1672" s="574"/>
      <c r="G1672" s="502"/>
      <c r="H1672" s="502"/>
      <c r="I1672" s="575"/>
      <c r="J1672" s="505"/>
      <c r="K1672" s="471"/>
    </row>
    <row r="1673" spans="1:12" hidden="1">
      <c r="A1673" s="463"/>
      <c r="B1673" s="576"/>
      <c r="C1673" s="577"/>
      <c r="D1673" s="578"/>
      <c r="E1673" s="578"/>
      <c r="F1673" s="579"/>
      <c r="G1673" s="502"/>
      <c r="H1673" s="502"/>
      <c r="I1673" s="575"/>
      <c r="J1673" s="505"/>
      <c r="K1673" s="471"/>
    </row>
    <row r="1674" spans="1:12" hidden="1">
      <c r="A1674" s="463"/>
      <c r="B1674" s="1496" t="s">
        <v>175</v>
      </c>
      <c r="C1674" s="1496"/>
      <c r="D1674" s="1496"/>
      <c r="E1674" s="1496"/>
      <c r="F1674" s="1496"/>
      <c r="G1674" s="1496"/>
      <c r="H1674" s="1496"/>
      <c r="I1674" s="1496"/>
      <c r="J1674" s="514">
        <f>SUM(J1672:J1673)</f>
        <v>0</v>
      </c>
      <c r="K1674" s="471"/>
    </row>
    <row r="1675" spans="1:12" hidden="1">
      <c r="A1675" s="463"/>
      <c r="B1675" s="580"/>
      <c r="C1675" s="524"/>
      <c r="D1675" s="524"/>
      <c r="E1675" s="581"/>
      <c r="F1675" s="582"/>
      <c r="G1675" s="583"/>
      <c r="H1675" s="583"/>
      <c r="I1675" s="584"/>
      <c r="J1675" s="585"/>
      <c r="K1675" s="471"/>
    </row>
    <row r="1676" spans="1:12" hidden="1">
      <c r="A1676" s="463"/>
      <c r="B1676" s="586" t="s">
        <v>957</v>
      </c>
      <c r="C1676" s="586"/>
      <c r="D1676" s="563"/>
      <c r="E1676" s="536"/>
      <c r="F1676" s="536"/>
      <c r="G1676" s="536"/>
      <c r="H1676" s="587"/>
      <c r="I1676" s="588"/>
      <c r="J1676" s="514" t="e">
        <f>(J1663+J1669+J1674)/E1663</f>
        <v>#REF!</v>
      </c>
      <c r="K1676" s="471"/>
    </row>
    <row r="1677" spans="1:12" hidden="1">
      <c r="A1677" s="463"/>
      <c r="B1677" s="566"/>
      <c r="C1677" s="539"/>
      <c r="D1677" s="539"/>
      <c r="E1677" s="567"/>
      <c r="F1677" s="568"/>
      <c r="G1677" s="519"/>
      <c r="H1677" s="519"/>
      <c r="I1677" s="542"/>
      <c r="J1677" s="589"/>
      <c r="K1677" s="471"/>
    </row>
    <row r="1678" spans="1:12" ht="20.399999999999999" hidden="1">
      <c r="A1678" s="463"/>
      <c r="B1678" s="1493" t="s">
        <v>958</v>
      </c>
      <c r="C1678" s="1494"/>
      <c r="D1678" s="1494"/>
      <c r="E1678" s="1494"/>
      <c r="F1678" s="1495"/>
      <c r="G1678" s="569" t="s">
        <v>372</v>
      </c>
      <c r="H1678" s="519" t="s">
        <v>956</v>
      </c>
      <c r="I1678" s="570" t="s">
        <v>942</v>
      </c>
      <c r="J1678" s="522" t="s">
        <v>363</v>
      </c>
      <c r="K1678" s="471"/>
    </row>
    <row r="1679" spans="1:12" hidden="1">
      <c r="A1679" s="463"/>
      <c r="B1679" s="824" t="s">
        <v>1289</v>
      </c>
      <c r="C1679" s="577"/>
      <c r="D1679" s="578"/>
      <c r="E1679" s="578"/>
      <c r="F1679" s="579"/>
      <c r="G1679" s="502">
        <v>1120</v>
      </c>
      <c r="H1679" s="502" t="s">
        <v>956</v>
      </c>
      <c r="I1679" s="737">
        <v>1</v>
      </c>
      <c r="J1679" s="505">
        <f t="shared" ref="J1679:J1685" si="12">G1679*I1679</f>
        <v>1120</v>
      </c>
      <c r="K1679" s="471"/>
    </row>
    <row r="1680" spans="1:12" hidden="1">
      <c r="A1680" s="463"/>
      <c r="B1680" s="824" t="s">
        <v>1264</v>
      </c>
      <c r="C1680" s="577"/>
      <c r="D1680" s="578"/>
      <c r="E1680" s="578"/>
      <c r="F1680" s="579"/>
      <c r="G1680" s="502">
        <v>1.7</v>
      </c>
      <c r="H1680" s="502" t="s">
        <v>973</v>
      </c>
      <c r="I1680" s="737">
        <v>165</v>
      </c>
      <c r="J1680" s="505">
        <f t="shared" si="12"/>
        <v>280.5</v>
      </c>
      <c r="K1680" s="471"/>
    </row>
    <row r="1681" spans="1:11" hidden="1">
      <c r="A1681" s="463"/>
      <c r="B1681" s="576" t="s">
        <v>1299</v>
      </c>
      <c r="C1681" s="577"/>
      <c r="D1681" s="578"/>
      <c r="E1681" s="578"/>
      <c r="F1681" s="579"/>
      <c r="G1681" s="502">
        <v>3.1</v>
      </c>
      <c r="H1681" s="502" t="s">
        <v>973</v>
      </c>
      <c r="I1681" s="737">
        <v>165</v>
      </c>
      <c r="J1681" s="505">
        <f t="shared" si="12"/>
        <v>511.5</v>
      </c>
      <c r="K1681" s="471"/>
    </row>
    <row r="1682" spans="1:11" hidden="1">
      <c r="A1682" s="463"/>
      <c r="B1682" s="576" t="s">
        <v>1265</v>
      </c>
      <c r="C1682" s="577"/>
      <c r="D1682" s="578"/>
      <c r="E1682" s="578"/>
      <c r="F1682" s="579"/>
      <c r="G1682" s="502">
        <v>720</v>
      </c>
      <c r="H1682" s="502" t="s">
        <v>985</v>
      </c>
      <c r="I1682" s="737">
        <v>0.65</v>
      </c>
      <c r="J1682" s="505">
        <f t="shared" si="12"/>
        <v>468</v>
      </c>
      <c r="K1682" s="471"/>
    </row>
    <row r="1683" spans="1:11" hidden="1">
      <c r="A1683" s="463"/>
      <c r="B1683" s="576" t="s">
        <v>1300</v>
      </c>
      <c r="C1683" s="577"/>
      <c r="D1683" s="578"/>
      <c r="E1683" s="578"/>
      <c r="F1683" s="579"/>
      <c r="G1683" s="502">
        <v>0.54</v>
      </c>
      <c r="H1683" s="502" t="s">
        <v>984</v>
      </c>
      <c r="I1683" s="737">
        <v>4.87</v>
      </c>
      <c r="J1683" s="505">
        <f t="shared" si="12"/>
        <v>2.6298000000000004</v>
      </c>
      <c r="K1683" s="471"/>
    </row>
    <row r="1684" spans="1:11" hidden="1">
      <c r="A1684" s="463"/>
      <c r="B1684" s="576" t="s">
        <v>1301</v>
      </c>
      <c r="C1684" s="577"/>
      <c r="D1684" s="578"/>
      <c r="E1684" s="578"/>
      <c r="F1684" s="579"/>
      <c r="G1684" s="502">
        <v>88.55</v>
      </c>
      <c r="H1684" s="502" t="s">
        <v>985</v>
      </c>
      <c r="I1684" s="737">
        <v>8.5</v>
      </c>
      <c r="J1684" s="505">
        <f t="shared" si="12"/>
        <v>752.67499999999995</v>
      </c>
      <c r="K1684" s="471"/>
    </row>
    <row r="1685" spans="1:11" hidden="1">
      <c r="A1685" s="463"/>
      <c r="B1685" s="590"/>
      <c r="C1685" s="591"/>
      <c r="D1685" s="592"/>
      <c r="E1685" s="592"/>
      <c r="F1685" s="593"/>
      <c r="G1685" s="502"/>
      <c r="H1685" s="502"/>
      <c r="I1685" s="575"/>
      <c r="J1685" s="505">
        <f t="shared" si="12"/>
        <v>0</v>
      </c>
      <c r="K1685" s="471"/>
    </row>
    <row r="1686" spans="1:11" hidden="1">
      <c r="A1686" s="463"/>
      <c r="B1686" s="594"/>
      <c r="C1686" s="536"/>
      <c r="D1686" s="536"/>
      <c r="E1686" s="595"/>
      <c r="F1686" s="596"/>
      <c r="G1686" s="545"/>
      <c r="H1686" s="545"/>
      <c r="I1686" s="537" t="s">
        <v>175</v>
      </c>
      <c r="J1686" s="514">
        <f>SUM(J1679:J1685)</f>
        <v>3135.3047999999999</v>
      </c>
      <c r="K1686" s="471"/>
    </row>
    <row r="1687" spans="1:11" hidden="1">
      <c r="A1687" s="463"/>
      <c r="B1687" s="597"/>
      <c r="C1687" s="536"/>
      <c r="D1687" s="536"/>
      <c r="E1687" s="595"/>
      <c r="F1687" s="596"/>
      <c r="G1687" s="545"/>
      <c r="H1687" s="545"/>
      <c r="I1687" s="537"/>
      <c r="J1687" s="595"/>
      <c r="K1687" s="471"/>
    </row>
    <row r="1688" spans="1:11" ht="20.399999999999999" hidden="1">
      <c r="A1688" s="463"/>
      <c r="B1688" s="598" t="s">
        <v>959</v>
      </c>
      <c r="C1688" s="598"/>
      <c r="D1688" s="598"/>
      <c r="E1688" s="599"/>
      <c r="F1688" s="600" t="s">
        <v>372</v>
      </c>
      <c r="G1688" s="569" t="s">
        <v>960</v>
      </c>
      <c r="H1688" s="519" t="s">
        <v>942</v>
      </c>
      <c r="I1688" s="570" t="s">
        <v>361</v>
      </c>
      <c r="J1688" s="522" t="s">
        <v>363</v>
      </c>
      <c r="K1688" s="471"/>
    </row>
    <row r="1689" spans="1:11" hidden="1">
      <c r="A1689" s="463"/>
      <c r="B1689" s="571"/>
      <c r="C1689" s="572"/>
      <c r="D1689" s="573"/>
      <c r="E1689" s="574"/>
      <c r="F1689" s="502"/>
      <c r="G1689" s="502"/>
      <c r="H1689" s="624"/>
      <c r="I1689" s="575"/>
      <c r="J1689" s="505"/>
      <c r="K1689" s="471"/>
    </row>
    <row r="1690" spans="1:11" hidden="1">
      <c r="A1690" s="463"/>
      <c r="B1690" s="590" t="s">
        <v>946</v>
      </c>
      <c r="C1690" s="591"/>
      <c r="D1690" s="592"/>
      <c r="E1690" s="593" t="s">
        <v>946</v>
      </c>
      <c r="F1690" s="509">
        <v>0</v>
      </c>
      <c r="G1690" s="509">
        <v>0</v>
      </c>
      <c r="H1690" s="509">
        <v>0</v>
      </c>
      <c r="I1690" s="601">
        <v>0</v>
      </c>
      <c r="J1690" s="505">
        <f>I1690*H1690*G1690*F1690</f>
        <v>0</v>
      </c>
      <c r="K1690" s="471"/>
    </row>
    <row r="1691" spans="1:11" hidden="1">
      <c r="A1691" s="463"/>
      <c r="B1691" s="594"/>
      <c r="C1691" s="536"/>
      <c r="D1691" s="536"/>
      <c r="E1691" s="595"/>
      <c r="F1691" s="596"/>
      <c r="G1691" s="545"/>
      <c r="H1691" s="545"/>
      <c r="I1691" s="537" t="s">
        <v>175</v>
      </c>
      <c r="J1691" s="514">
        <f>SUM(J1689:J1690)</f>
        <v>0</v>
      </c>
      <c r="K1691" s="471"/>
    </row>
    <row r="1692" spans="1:11" hidden="1">
      <c r="A1692" s="463"/>
      <c r="B1692" s="536"/>
      <c r="C1692" s="536"/>
      <c r="D1692" s="536"/>
      <c r="E1692" s="536"/>
      <c r="F1692" s="536"/>
      <c r="G1692" s="536"/>
      <c r="H1692" s="536"/>
      <c r="I1692" s="537"/>
      <c r="J1692" s="536"/>
      <c r="K1692" s="471"/>
    </row>
    <row r="1693" spans="1:11" hidden="1">
      <c r="A1693" s="463"/>
      <c r="B1693" s="1481" t="s">
        <v>961</v>
      </c>
      <c r="C1693" s="1482"/>
      <c r="D1693" s="1482"/>
      <c r="E1693" s="1482"/>
      <c r="F1693" s="1482"/>
      <c r="G1693" s="1482"/>
      <c r="H1693" s="1482"/>
      <c r="I1693" s="1483"/>
      <c r="J1693" s="586" t="e">
        <f>J1691+J1686+J1676</f>
        <v>#REF!</v>
      </c>
      <c r="K1693" s="471"/>
    </row>
    <row r="1694" spans="1:11" hidden="1">
      <c r="A1694" s="463"/>
      <c r="B1694" s="536"/>
      <c r="C1694" s="536"/>
      <c r="D1694" s="536"/>
      <c r="E1694" s="536"/>
      <c r="F1694" s="536"/>
      <c r="G1694" s="536"/>
      <c r="H1694" s="536"/>
      <c r="I1694" s="537"/>
      <c r="J1694" s="536"/>
      <c r="K1694" s="471"/>
    </row>
    <row r="1695" spans="1:11" hidden="1">
      <c r="A1695" s="463"/>
      <c r="B1695" s="1481" t="s">
        <v>962</v>
      </c>
      <c r="C1695" s="1482"/>
      <c r="D1695" s="1482"/>
      <c r="E1695" s="1482"/>
      <c r="F1695" s="1482"/>
      <c r="G1695" s="1482"/>
      <c r="H1695" s="1482"/>
      <c r="I1695" s="1483"/>
      <c r="J1695" s="514" t="e">
        <f>J1693*0</f>
        <v>#REF!</v>
      </c>
      <c r="K1695" s="471"/>
    </row>
    <row r="1696" spans="1:11" hidden="1">
      <c r="A1696" s="463"/>
      <c r="B1696" s="536"/>
      <c r="C1696" s="536"/>
      <c r="D1696" s="536"/>
      <c r="E1696" s="536"/>
      <c r="F1696" s="536"/>
      <c r="G1696" s="536"/>
      <c r="H1696" s="536"/>
      <c r="I1696" s="537"/>
      <c r="J1696" s="536"/>
      <c r="K1696" s="471"/>
    </row>
    <row r="1697" spans="1:11" hidden="1">
      <c r="A1697" s="463"/>
      <c r="B1697" s="1481" t="s">
        <v>963</v>
      </c>
      <c r="C1697" s="1482"/>
      <c r="D1697" s="1482"/>
      <c r="E1697" s="1482"/>
      <c r="F1697" s="1482"/>
      <c r="G1697" s="1482"/>
      <c r="H1697" s="1482"/>
      <c r="I1697" s="1483"/>
      <c r="J1697" s="586" t="e">
        <f>J1693+J1695</f>
        <v>#REF!</v>
      </c>
      <c r="K1697" s="471"/>
    </row>
    <row r="1698" spans="1:11" hidden="1">
      <c r="A1698" s="463"/>
      <c r="B1698" s="524"/>
      <c r="C1698" s="524"/>
      <c r="D1698" s="524"/>
      <c r="E1698" s="524"/>
      <c r="F1698" s="524"/>
      <c r="G1698" s="524"/>
      <c r="H1698" s="524"/>
      <c r="I1698" s="584"/>
      <c r="J1698" s="524"/>
      <c r="K1698" s="471"/>
    </row>
    <row r="1699" spans="1:11" hidden="1">
      <c r="A1699" s="463"/>
      <c r="B1699" s="602"/>
      <c r="C1699" s="572"/>
      <c r="D1699" s="572"/>
      <c r="E1699" s="572"/>
      <c r="F1699" s="572"/>
      <c r="G1699" s="572"/>
      <c r="H1699" s="572"/>
      <c r="I1699" s="572"/>
      <c r="J1699" s="603"/>
      <c r="K1699" s="471"/>
    </row>
    <row r="1700" spans="1:11" hidden="1">
      <c r="A1700" s="463"/>
      <c r="B1700" s="604"/>
      <c r="C1700" s="605"/>
      <c r="D1700" s="606"/>
      <c r="E1700" s="606"/>
      <c r="F1700" s="607" t="s">
        <v>946</v>
      </c>
      <c r="G1700" s="608" t="s">
        <v>946</v>
      </c>
      <c r="H1700" s="605"/>
      <c r="I1700" s="605"/>
      <c r="J1700" s="609"/>
      <c r="K1700" s="471"/>
    </row>
    <row r="1701" spans="1:11" hidden="1">
      <c r="A1701" s="463"/>
      <c r="B1701" s="472"/>
      <c r="C1701" s="472"/>
      <c r="D1701" s="472"/>
      <c r="E1701" s="472"/>
      <c r="F1701" s="472"/>
      <c r="G1701" s="472"/>
      <c r="H1701" s="472"/>
      <c r="I1701" s="472"/>
      <c r="J1701" s="472"/>
      <c r="K1701" s="471"/>
    </row>
    <row r="1702" spans="1:11" hidden="1">
      <c r="A1702" s="463"/>
      <c r="B1702" s="610">
        <f>PLANEJAMENTO!E1322</f>
        <v>0</v>
      </c>
      <c r="C1702" s="611"/>
      <c r="D1702" s="611"/>
      <c r="E1702" s="611"/>
      <c r="F1702" s="612"/>
      <c r="G1702" s="613" t="s">
        <v>363</v>
      </c>
      <c r="H1702" s="515"/>
      <c r="I1702" s="515"/>
      <c r="J1702" s="518"/>
      <c r="K1702" s="471"/>
    </row>
    <row r="1703" spans="1:11" hidden="1">
      <c r="A1703" s="463"/>
      <c r="B1703" s="614">
        <f>PLANEJAMENTO!E1323</f>
        <v>0</v>
      </c>
      <c r="C1703" s="615"/>
      <c r="D1703" s="615"/>
      <c r="E1703" s="615"/>
      <c r="F1703" s="616"/>
      <c r="G1703" s="1484" t="s">
        <v>964</v>
      </c>
      <c r="H1703" s="1485"/>
      <c r="I1703" s="1485"/>
      <c r="J1703" s="1486"/>
      <c r="K1703" s="471"/>
    </row>
    <row r="1704" spans="1:11" hidden="1">
      <c r="A1704" s="463"/>
      <c r="B1704" s="617"/>
      <c r="C1704" s="618"/>
      <c r="D1704" s="618"/>
      <c r="E1704" s="618"/>
      <c r="F1704" s="619"/>
      <c r="G1704" s="620"/>
      <c r="H1704" s="1487"/>
      <c r="I1704" s="1488"/>
      <c r="J1704" s="1489"/>
      <c r="K1704" s="471"/>
    </row>
    <row r="1705" spans="1:11" ht="15" hidden="1" thickBot="1">
      <c r="A1705" s="621"/>
      <c r="B1705" s="622"/>
      <c r="C1705" s="622"/>
      <c r="D1705" s="622"/>
      <c r="E1705" s="622"/>
      <c r="F1705" s="622"/>
      <c r="G1705" s="622"/>
      <c r="H1705" s="622"/>
      <c r="I1705" s="622"/>
      <c r="J1705" s="622"/>
      <c r="K1705" s="623"/>
    </row>
    <row r="1706" spans="1:11" hidden="1">
      <c r="A1706" s="463"/>
      <c r="B1706" s="472"/>
      <c r="C1706" s="472"/>
      <c r="D1706" s="472"/>
      <c r="E1706" s="472"/>
      <c r="F1706" s="472"/>
      <c r="G1706" s="472"/>
      <c r="H1706" s="472"/>
      <c r="I1706" s="472"/>
      <c r="J1706" s="472"/>
      <c r="K1706" s="471"/>
    </row>
    <row r="1707" spans="1:11" hidden="1">
      <c r="A1707" s="463"/>
      <c r="B1707" s="464" t="s">
        <v>178</v>
      </c>
      <c r="C1707" s="465"/>
      <c r="D1707" s="466" t="s">
        <v>936</v>
      </c>
      <c r="E1707" s="467"/>
      <c r="F1707" s="468"/>
      <c r="G1707" s="468"/>
      <c r="H1707" s="469"/>
      <c r="I1707" s="469"/>
      <c r="J1707" s="470"/>
      <c r="K1707" s="471"/>
    </row>
    <row r="1708" spans="1:11" hidden="1">
      <c r="A1708" s="463"/>
      <c r="B1708" s="472"/>
      <c r="C1708" s="472"/>
      <c r="D1708" s="472"/>
      <c r="E1708" s="472"/>
      <c r="F1708" s="472"/>
      <c r="G1708" s="472"/>
      <c r="H1708" s="472"/>
      <c r="I1708" s="472"/>
      <c r="J1708" s="472"/>
      <c r="K1708" s="471"/>
    </row>
    <row r="1709" spans="1:11" hidden="1">
      <c r="A1709" s="463"/>
      <c r="B1709" s="473" t="s">
        <v>1295</v>
      </c>
      <c r="C1709" s="474" t="s">
        <v>937</v>
      </c>
      <c r="D1709" s="1497" t="s">
        <v>250</v>
      </c>
      <c r="E1709" s="1498"/>
      <c r="F1709" s="1498"/>
      <c r="G1709" s="1498"/>
      <c r="H1709" s="1498"/>
      <c r="I1709" s="1499"/>
      <c r="J1709" s="475" t="s">
        <v>267</v>
      </c>
      <c r="K1709" s="471"/>
    </row>
    <row r="1710" spans="1:11" hidden="1">
      <c r="A1710" s="463"/>
      <c r="B1710" s="476">
        <v>45500</v>
      </c>
      <c r="C1710" s="477">
        <f ca="1">TODAY()</f>
        <v>46140</v>
      </c>
      <c r="D1710" s="681" t="s">
        <v>1303</v>
      </c>
      <c r="E1710" s="479"/>
      <c r="F1710" s="479"/>
      <c r="G1710" s="479"/>
      <c r="H1710" s="479"/>
      <c r="I1710" s="480"/>
      <c r="J1710" s="481" t="str">
        <f>F1728</f>
        <v>UND</v>
      </c>
      <c r="K1710" s="471"/>
    </row>
    <row r="1711" spans="1:11" hidden="1">
      <c r="A1711" s="463"/>
      <c r="B1711" s="482"/>
      <c r="C1711" s="482"/>
      <c r="D1711" s="482"/>
      <c r="E1711" s="482"/>
      <c r="F1711" s="482"/>
      <c r="G1711" s="482"/>
      <c r="H1711" s="482"/>
      <c r="I1711" s="483"/>
      <c r="J1711" s="484"/>
      <c r="K1711" s="471"/>
    </row>
    <row r="1712" spans="1:11" hidden="1">
      <c r="A1712" s="463"/>
      <c r="B1712" s="1484" t="s">
        <v>938</v>
      </c>
      <c r="C1712" s="1486"/>
      <c r="D1712" s="1502" t="s">
        <v>688</v>
      </c>
      <c r="E1712" s="1504" t="s">
        <v>939</v>
      </c>
      <c r="F1712" s="485" t="s">
        <v>940</v>
      </c>
      <c r="G1712" s="486"/>
      <c r="H1712" s="485" t="s">
        <v>941</v>
      </c>
      <c r="I1712" s="486"/>
      <c r="J1712" s="487" t="s">
        <v>942</v>
      </c>
      <c r="K1712" s="471"/>
    </row>
    <row r="1713" spans="1:12" hidden="1">
      <c r="A1713" s="463"/>
      <c r="B1713" s="1500"/>
      <c r="C1713" s="1501"/>
      <c r="D1713" s="1503"/>
      <c r="E1713" s="1505"/>
      <c r="F1713" s="488" t="s">
        <v>943</v>
      </c>
      <c r="G1713" s="488" t="s">
        <v>944</v>
      </c>
      <c r="H1713" s="488" t="s">
        <v>943</v>
      </c>
      <c r="I1713" s="489" t="s">
        <v>944</v>
      </c>
      <c r="J1713" s="490" t="s">
        <v>945</v>
      </c>
      <c r="K1713" s="471"/>
    </row>
    <row r="1714" spans="1:12" hidden="1">
      <c r="A1714" s="463"/>
      <c r="B1714" s="491" t="s">
        <v>631</v>
      </c>
      <c r="C1714" s="492"/>
      <c r="D1714" s="493"/>
      <c r="E1714" s="494">
        <v>0.6</v>
      </c>
      <c r="F1714" s="494">
        <v>0.5</v>
      </c>
      <c r="G1714" s="495">
        <f>1-F1714</f>
        <v>0.5</v>
      </c>
      <c r="H1714" s="503">
        <f>VLOOKUP(B1714,EQUIPAMENTOS!$A:$J,10,FALSE)</f>
        <v>175</v>
      </c>
      <c r="I1714" s="504">
        <f>H1714</f>
        <v>175</v>
      </c>
      <c r="J1714" s="505">
        <f>H1714*F1714*E1714+I1714*G1714*E1714</f>
        <v>105</v>
      </c>
      <c r="K1714" s="471"/>
    </row>
    <row r="1715" spans="1:12" hidden="1">
      <c r="A1715" s="463"/>
      <c r="B1715" s="499" t="s">
        <v>398</v>
      </c>
      <c r="C1715" s="500"/>
      <c r="D1715" s="501"/>
      <c r="E1715" s="872">
        <v>1</v>
      </c>
      <c r="F1715" s="872">
        <v>1</v>
      </c>
      <c r="G1715" s="502">
        <f>1-F1715</f>
        <v>0</v>
      </c>
      <c r="H1715" s="503">
        <f>VLOOKUP(B1715,EQUIPAMENTOS!$A:$J,10,FALSE)</f>
        <v>10</v>
      </c>
      <c r="I1715" s="504">
        <f>H1715</f>
        <v>10</v>
      </c>
      <c r="J1715" s="505">
        <f>H1715*F1715*E1715+I1715*G1715*E1715</f>
        <v>10</v>
      </c>
      <c r="K1715" s="471"/>
    </row>
    <row r="1716" spans="1:12" hidden="1">
      <c r="A1716" s="463"/>
      <c r="B1716" s="499"/>
      <c r="C1716" s="500"/>
      <c r="D1716" s="501"/>
      <c r="E1716" s="872"/>
      <c r="F1716" s="872"/>
      <c r="G1716" s="502"/>
      <c r="H1716" s="503"/>
      <c r="I1716" s="504"/>
      <c r="J1716" s="505"/>
      <c r="K1716" s="471"/>
    </row>
    <row r="1717" spans="1:12" hidden="1">
      <c r="A1717" s="463"/>
      <c r="B1717" s="506"/>
      <c r="C1717" s="507"/>
      <c r="D1717" s="508"/>
      <c r="E1717" s="509"/>
      <c r="F1717" s="509"/>
      <c r="G1717" s="509"/>
      <c r="H1717" s="561"/>
      <c r="I1717" s="510"/>
      <c r="J1717" s="505"/>
      <c r="K1717" s="471"/>
    </row>
    <row r="1718" spans="1:12" hidden="1">
      <c r="A1718" s="463"/>
      <c r="B1718" s="512" t="s">
        <v>946</v>
      </c>
      <c r="C1718" s="482"/>
      <c r="D1718" s="482"/>
      <c r="E1718" s="482"/>
      <c r="F1718" s="482"/>
      <c r="G1718" s="482"/>
      <c r="H1718" s="482"/>
      <c r="I1718" s="513" t="s">
        <v>175</v>
      </c>
      <c r="J1718" s="514">
        <f>SUM(J1714:J1717)</f>
        <v>115</v>
      </c>
      <c r="K1718" s="471"/>
      <c r="L1718" s="6" t="e">
        <f>J1718/E1728</f>
        <v>#REF!</v>
      </c>
    </row>
    <row r="1719" spans="1:12" hidden="1">
      <c r="A1719" s="463"/>
      <c r="B1719" s="515"/>
      <c r="C1719" s="515"/>
      <c r="D1719" s="515"/>
      <c r="E1719" s="515"/>
      <c r="F1719" s="515"/>
      <c r="G1719" s="515"/>
      <c r="H1719" s="515"/>
      <c r="I1719" s="516"/>
      <c r="J1719" s="517"/>
      <c r="K1719" s="471"/>
    </row>
    <row r="1720" spans="1:12" ht="20.399999999999999" hidden="1">
      <c r="A1720" s="463"/>
      <c r="B1720" s="1490" t="s">
        <v>947</v>
      </c>
      <c r="C1720" s="1491"/>
      <c r="D1720" s="1491"/>
      <c r="E1720" s="1492"/>
      <c r="F1720" s="725" t="s">
        <v>688</v>
      </c>
      <c r="G1720" s="519"/>
      <c r="H1720" s="520" t="s">
        <v>427</v>
      </c>
      <c r="I1720" s="521" t="s">
        <v>948</v>
      </c>
      <c r="J1720" s="522" t="s">
        <v>949</v>
      </c>
      <c r="K1720" s="471"/>
    </row>
    <row r="1721" spans="1:12" hidden="1">
      <c r="A1721" s="463"/>
      <c r="B1721" s="523" t="s">
        <v>1305</v>
      </c>
      <c r="C1721" s="524"/>
      <c r="D1721" s="525"/>
      <c r="E1721" s="526"/>
      <c r="F1721" s="527"/>
      <c r="G1721" s="528"/>
      <c r="H1721" s="529">
        <f>E1714</f>
        <v>0.6</v>
      </c>
      <c r="I1721" s="534">
        <f>(VLOOKUP(B1721,'MÃO DE OBRA'!$A:$E,5,FALSE)/220)</f>
        <v>35.988199999999999</v>
      </c>
      <c r="J1721" s="505">
        <f>H1721*I1721</f>
        <v>21.592919999999999</v>
      </c>
      <c r="K1721" s="471"/>
    </row>
    <row r="1722" spans="1:12" hidden="1">
      <c r="A1722" s="463"/>
      <c r="B1722" s="530" t="s">
        <v>988</v>
      </c>
      <c r="C1722" s="531"/>
      <c r="D1722" s="472"/>
      <c r="E1722" s="500"/>
      <c r="F1722" s="501"/>
      <c r="G1722" s="532"/>
      <c r="H1722" s="533">
        <v>1</v>
      </c>
      <c r="I1722" s="534">
        <f>(VLOOKUP(B1722,'MÃO DE OBRA'!$A:$E,5,FALSE)/220)</f>
        <v>21.588799999999999</v>
      </c>
      <c r="J1722" s="505">
        <f>H1722*I1722</f>
        <v>21.588799999999999</v>
      </c>
      <c r="K1722" s="471"/>
    </row>
    <row r="1723" spans="1:12" hidden="1">
      <c r="A1723" s="463"/>
      <c r="B1723" s="530" t="s">
        <v>481</v>
      </c>
      <c r="C1723" s="531"/>
      <c r="D1723" s="472"/>
      <c r="E1723" s="500"/>
      <c r="F1723" s="501"/>
      <c r="G1723" s="532"/>
      <c r="H1723" s="533">
        <v>1</v>
      </c>
      <c r="I1723" s="534">
        <f>(VLOOKUP(B1723,'MÃO DE OBRA'!$A:$E,5,FALSE)/220)</f>
        <v>21.588799999999999</v>
      </c>
      <c r="J1723" s="505">
        <f>H1723*I1723</f>
        <v>21.588799999999999</v>
      </c>
      <c r="K1723" s="471"/>
    </row>
    <row r="1724" spans="1:12" hidden="1">
      <c r="A1724" s="463"/>
      <c r="B1724" s="530" t="s">
        <v>507</v>
      </c>
      <c r="C1724" s="531"/>
      <c r="D1724" s="472"/>
      <c r="E1724" s="500"/>
      <c r="F1724" s="501"/>
      <c r="G1724" s="532"/>
      <c r="H1724" s="533">
        <v>1</v>
      </c>
      <c r="I1724" s="534">
        <f>(VLOOKUP(B1724,'MÃO DE OBRA'!$A:$E,5,FALSE)/220)</f>
        <v>21.588799999999999</v>
      </c>
      <c r="J1724" s="505">
        <f>H1724*I1724</f>
        <v>21.588799999999999</v>
      </c>
      <c r="K1724" s="471"/>
    </row>
    <row r="1725" spans="1:12" hidden="1">
      <c r="A1725" s="463"/>
      <c r="B1725" s="530" t="s">
        <v>472</v>
      </c>
      <c r="C1725" s="531"/>
      <c r="D1725" s="472"/>
      <c r="E1725" s="500"/>
      <c r="F1725" s="501"/>
      <c r="G1725" s="532"/>
      <c r="H1725" s="533">
        <v>3</v>
      </c>
      <c r="I1725" s="534">
        <f>(VLOOKUP(B1725,'MÃO DE OBRA'!$A:$E,5,FALSE)/220)</f>
        <v>18.377072727272729</v>
      </c>
      <c r="J1725" s="505">
        <f>H1725*I1725</f>
        <v>55.131218181818184</v>
      </c>
      <c r="K1725" s="471"/>
    </row>
    <row r="1726" spans="1:12" hidden="1">
      <c r="A1726" s="463"/>
      <c r="B1726" s="512" t="s">
        <v>946</v>
      </c>
      <c r="C1726" s="515"/>
      <c r="D1726" s="515"/>
      <c r="E1726" s="515"/>
      <c r="F1726" s="515"/>
      <c r="G1726" s="515"/>
      <c r="H1726" s="515"/>
      <c r="I1726" s="535" t="s">
        <v>175</v>
      </c>
      <c r="J1726" s="514">
        <f>SUM(J1721:J1725)</f>
        <v>141.49053818181818</v>
      </c>
      <c r="K1726" s="471"/>
    </row>
    <row r="1727" spans="1:12" hidden="1">
      <c r="A1727" s="463"/>
      <c r="B1727" s="536"/>
      <c r="C1727" s="536"/>
      <c r="D1727" s="536"/>
      <c r="E1727" s="536"/>
      <c r="F1727" s="536"/>
      <c r="G1727" s="536"/>
      <c r="H1727" s="536"/>
      <c r="I1727" s="537"/>
      <c r="J1727" s="536"/>
      <c r="K1727" s="471"/>
    </row>
    <row r="1728" spans="1:12" hidden="1">
      <c r="A1728" s="463"/>
      <c r="B1728" s="538" t="s">
        <v>952</v>
      </c>
      <c r="C1728" s="539"/>
      <c r="D1728" s="536"/>
      <c r="E1728" s="540" t="e">
        <f>CRONOGRAMA!#REF!</f>
        <v>#REF!</v>
      </c>
      <c r="F1728" s="541" t="s">
        <v>956</v>
      </c>
      <c r="G1728" s="519"/>
      <c r="H1728" s="519"/>
      <c r="I1728" s="542" t="s">
        <v>953</v>
      </c>
      <c r="J1728" s="514">
        <f>J1718+J1726</f>
        <v>256.49053818181818</v>
      </c>
      <c r="K1728" s="471"/>
    </row>
    <row r="1729" spans="1:12" hidden="1">
      <c r="A1729" s="463"/>
      <c r="B1729" s="543"/>
      <c r="C1729" s="536"/>
      <c r="D1729" s="536"/>
      <c r="E1729" s="544"/>
      <c r="F1729" s="545"/>
      <c r="G1729" s="545"/>
      <c r="H1729" s="545"/>
      <c r="I1729" s="537"/>
      <c r="J1729" s="536"/>
      <c r="K1729" s="471"/>
    </row>
    <row r="1730" spans="1:12" ht="20.399999999999999" hidden="1">
      <c r="A1730" s="463"/>
      <c r="B1730" s="1493" t="s">
        <v>362</v>
      </c>
      <c r="C1730" s="1494"/>
      <c r="D1730" s="1494"/>
      <c r="E1730" s="1495"/>
      <c r="F1730" s="546" t="s">
        <v>688</v>
      </c>
      <c r="G1730" s="547" t="s">
        <v>371</v>
      </c>
      <c r="H1730" s="520" t="s">
        <v>942</v>
      </c>
      <c r="I1730" s="548" t="s">
        <v>361</v>
      </c>
      <c r="J1730" s="549" t="s">
        <v>363</v>
      </c>
      <c r="K1730" s="471"/>
    </row>
    <row r="1731" spans="1:12" hidden="1">
      <c r="A1731" s="463"/>
      <c r="B1731" s="823" t="str">
        <f>B1714</f>
        <v>Escavadeira hidráulica sobre esteira 22T</v>
      </c>
      <c r="C1731" s="532"/>
      <c r="D1731" s="532"/>
      <c r="E1731" s="822"/>
      <c r="F1731" s="553" t="str">
        <f>VLOOKUP(B1731,EQUIPAMENTOS!$A:$N,12,FALSE)</f>
        <v>Diesel S10</v>
      </c>
      <c r="G1731" s="554" t="s">
        <v>415</v>
      </c>
      <c r="H1731" s="560">
        <f>VLOOKUP(B1731,EQUIPAMENTOS!$A:$N,13,FALSE)</f>
        <v>0</v>
      </c>
      <c r="I1731" s="556">
        <f>VLOOKUP(B1731,EQUIPAMENTOS!$A:$N,14,FALSE)</f>
        <v>22</v>
      </c>
      <c r="J1731" s="505">
        <f>H1731*I1731*E1714*F1714</f>
        <v>0</v>
      </c>
      <c r="K1731" s="471"/>
    </row>
    <row r="1732" spans="1:12" hidden="1">
      <c r="A1732" s="463"/>
      <c r="B1732" s="823" t="str">
        <f>B1715</f>
        <v>SAPO COMPACTADOR</v>
      </c>
      <c r="C1732" s="531"/>
      <c r="D1732" s="531"/>
      <c r="E1732" s="500"/>
      <c r="F1732" s="553" t="str">
        <f>VLOOKUP(B1732,EQUIPAMENTOS!$A:$N,12,FALSE)</f>
        <v>Gasolina</v>
      </c>
      <c r="G1732" s="554" t="s">
        <v>415</v>
      </c>
      <c r="H1732" s="560">
        <f>VLOOKUP(B1732,EQUIPAMENTOS!$A:$N,13,FALSE)</f>
        <v>6.59</v>
      </c>
      <c r="I1732" s="556">
        <f>VLOOKUP(B1732,EQUIPAMENTOS!$A:$N,14,FALSE)</f>
        <v>3</v>
      </c>
      <c r="J1732" s="505">
        <f>H1732*I1732*E1715*F1715</f>
        <v>19.77</v>
      </c>
      <c r="K1732" s="471"/>
    </row>
    <row r="1733" spans="1:12" hidden="1">
      <c r="A1733" s="463"/>
      <c r="B1733" s="823"/>
      <c r="C1733" s="539"/>
      <c r="D1733" s="539"/>
      <c r="E1733" s="507"/>
      <c r="F1733" s="869"/>
      <c r="G1733" s="736"/>
      <c r="H1733" s="560"/>
      <c r="I1733" s="556"/>
      <c r="J1733" s="505"/>
      <c r="K1733" s="471"/>
    </row>
    <row r="1734" spans="1:12" hidden="1">
      <c r="A1734" s="463"/>
      <c r="B1734" s="563" t="s">
        <v>946</v>
      </c>
      <c r="C1734" s="536"/>
      <c r="D1734" s="536"/>
      <c r="E1734" s="536"/>
      <c r="F1734" s="536"/>
      <c r="G1734" s="536"/>
      <c r="H1734" s="564"/>
      <c r="I1734" s="565" t="s">
        <v>175</v>
      </c>
      <c r="J1734" s="514">
        <f>SUM(J1731:J1733)</f>
        <v>19.77</v>
      </c>
      <c r="K1734" s="471"/>
      <c r="L1734" s="6" t="e">
        <f>J1734/E1728</f>
        <v>#REF!</v>
      </c>
    </row>
    <row r="1735" spans="1:12" hidden="1">
      <c r="A1735" s="463"/>
      <c r="B1735" s="566"/>
      <c r="C1735" s="539"/>
      <c r="D1735" s="539"/>
      <c r="E1735" s="567"/>
      <c r="F1735" s="568"/>
      <c r="G1735" s="519"/>
      <c r="H1735" s="519"/>
      <c r="I1735" s="542"/>
      <c r="J1735" s="567"/>
      <c r="K1735" s="471"/>
    </row>
    <row r="1736" spans="1:12" ht="20.399999999999999" hidden="1">
      <c r="A1736" s="463"/>
      <c r="B1736" s="1493" t="s">
        <v>955</v>
      </c>
      <c r="C1736" s="1494"/>
      <c r="D1736" s="1494"/>
      <c r="E1736" s="1494"/>
      <c r="F1736" s="1495"/>
      <c r="G1736" s="569" t="s">
        <v>372</v>
      </c>
      <c r="H1736" s="519" t="s">
        <v>956</v>
      </c>
      <c r="I1736" s="570" t="s">
        <v>942</v>
      </c>
      <c r="J1736" s="522" t="s">
        <v>363</v>
      </c>
      <c r="K1736" s="471"/>
    </row>
    <row r="1737" spans="1:12" hidden="1">
      <c r="A1737" s="463"/>
      <c r="B1737" s="571"/>
      <c r="C1737" s="572"/>
      <c r="D1737" s="573"/>
      <c r="E1737" s="573"/>
      <c r="F1737" s="574"/>
      <c r="G1737" s="502"/>
      <c r="H1737" s="502"/>
      <c r="I1737" s="575"/>
      <c r="J1737" s="505"/>
      <c r="K1737" s="471"/>
    </row>
    <row r="1738" spans="1:12" hidden="1">
      <c r="A1738" s="463"/>
      <c r="B1738" s="576"/>
      <c r="C1738" s="577"/>
      <c r="D1738" s="578"/>
      <c r="E1738" s="578"/>
      <c r="F1738" s="579"/>
      <c r="G1738" s="502"/>
      <c r="H1738" s="502"/>
      <c r="I1738" s="575"/>
      <c r="J1738" s="505"/>
      <c r="K1738" s="471"/>
    </row>
    <row r="1739" spans="1:12" hidden="1">
      <c r="A1739" s="463"/>
      <c r="B1739" s="1496" t="s">
        <v>175</v>
      </c>
      <c r="C1739" s="1496"/>
      <c r="D1739" s="1496"/>
      <c r="E1739" s="1496"/>
      <c r="F1739" s="1496"/>
      <c r="G1739" s="1496"/>
      <c r="H1739" s="1496"/>
      <c r="I1739" s="1496"/>
      <c r="J1739" s="514">
        <f>SUM(J1737:J1738)</f>
        <v>0</v>
      </c>
      <c r="K1739" s="471"/>
    </row>
    <row r="1740" spans="1:12" hidden="1">
      <c r="A1740" s="463"/>
      <c r="B1740" s="580"/>
      <c r="C1740" s="524"/>
      <c r="D1740" s="524"/>
      <c r="E1740" s="581"/>
      <c r="F1740" s="582"/>
      <c r="G1740" s="583"/>
      <c r="H1740" s="583"/>
      <c r="I1740" s="584"/>
      <c r="J1740" s="585"/>
      <c r="K1740" s="471"/>
    </row>
    <row r="1741" spans="1:12" hidden="1">
      <c r="A1741" s="463"/>
      <c r="B1741" s="586" t="s">
        <v>957</v>
      </c>
      <c r="C1741" s="586"/>
      <c r="D1741" s="563"/>
      <c r="E1741" s="536"/>
      <c r="F1741" s="536"/>
      <c r="G1741" s="536"/>
      <c r="H1741" s="587"/>
      <c r="I1741" s="588"/>
      <c r="J1741" s="514" t="e">
        <f>(J1728+J1734+J1739)/E1728</f>
        <v>#REF!</v>
      </c>
      <c r="K1741" s="471"/>
    </row>
    <row r="1742" spans="1:12" hidden="1">
      <c r="A1742" s="463"/>
      <c r="B1742" s="566"/>
      <c r="C1742" s="539"/>
      <c r="D1742" s="539"/>
      <c r="E1742" s="567"/>
      <c r="F1742" s="568"/>
      <c r="G1742" s="519"/>
      <c r="H1742" s="519"/>
      <c r="I1742" s="542"/>
      <c r="J1742" s="589"/>
      <c r="K1742" s="471"/>
    </row>
    <row r="1743" spans="1:12" ht="20.399999999999999" hidden="1">
      <c r="A1743" s="463"/>
      <c r="B1743" s="1493" t="s">
        <v>958</v>
      </c>
      <c r="C1743" s="1494"/>
      <c r="D1743" s="1494"/>
      <c r="E1743" s="1494"/>
      <c r="F1743" s="1495"/>
      <c r="G1743" s="569" t="s">
        <v>372</v>
      </c>
      <c r="H1743" s="519" t="s">
        <v>956</v>
      </c>
      <c r="I1743" s="570" t="s">
        <v>942</v>
      </c>
      <c r="J1743" s="522" t="s">
        <v>363</v>
      </c>
      <c r="K1743" s="471"/>
    </row>
    <row r="1744" spans="1:12" hidden="1">
      <c r="A1744" s="463"/>
      <c r="B1744" s="824" t="s">
        <v>1289</v>
      </c>
      <c r="C1744" s="577"/>
      <c r="D1744" s="578"/>
      <c r="E1744" s="578"/>
      <c r="F1744" s="579"/>
      <c r="G1744" s="502">
        <v>1240</v>
      </c>
      <c r="H1744" s="502" t="s">
        <v>956</v>
      </c>
      <c r="I1744" s="737">
        <v>1</v>
      </c>
      <c r="J1744" s="505">
        <f t="shared" ref="J1744:J1750" si="13">G1744*I1744</f>
        <v>1240</v>
      </c>
      <c r="K1744" s="471"/>
    </row>
    <row r="1745" spans="1:11" hidden="1">
      <c r="A1745" s="463"/>
      <c r="B1745" s="824" t="s">
        <v>1264</v>
      </c>
      <c r="C1745" s="577"/>
      <c r="D1745" s="578"/>
      <c r="E1745" s="578"/>
      <c r="F1745" s="579"/>
      <c r="G1745" s="502">
        <v>2</v>
      </c>
      <c r="H1745" s="502" t="s">
        <v>973</v>
      </c>
      <c r="I1745" s="737">
        <v>165</v>
      </c>
      <c r="J1745" s="505">
        <f t="shared" si="13"/>
        <v>330</v>
      </c>
      <c r="K1745" s="471"/>
    </row>
    <row r="1746" spans="1:11" hidden="1">
      <c r="A1746" s="463"/>
      <c r="B1746" s="576" t="s">
        <v>1299</v>
      </c>
      <c r="C1746" s="577"/>
      <c r="D1746" s="578"/>
      <c r="E1746" s="578"/>
      <c r="F1746" s="579"/>
      <c r="G1746" s="502">
        <v>3.6</v>
      </c>
      <c r="H1746" s="502" t="s">
        <v>973</v>
      </c>
      <c r="I1746" s="737">
        <v>165</v>
      </c>
      <c r="J1746" s="505">
        <f t="shared" si="13"/>
        <v>594</v>
      </c>
      <c r="K1746" s="471"/>
    </row>
    <row r="1747" spans="1:11" hidden="1">
      <c r="A1747" s="463"/>
      <c r="B1747" s="576" t="s">
        <v>1265</v>
      </c>
      <c r="C1747" s="577"/>
      <c r="D1747" s="578"/>
      <c r="E1747" s="578"/>
      <c r="F1747" s="579"/>
      <c r="G1747" s="502">
        <v>840</v>
      </c>
      <c r="H1747" s="502" t="s">
        <v>985</v>
      </c>
      <c r="I1747" s="737">
        <v>0.65</v>
      </c>
      <c r="J1747" s="505">
        <f t="shared" si="13"/>
        <v>546</v>
      </c>
      <c r="K1747" s="471"/>
    </row>
    <row r="1748" spans="1:11" hidden="1">
      <c r="A1748" s="463"/>
      <c r="B1748" s="576" t="s">
        <v>1300</v>
      </c>
      <c r="C1748" s="577"/>
      <c r="D1748" s="578"/>
      <c r="E1748" s="578"/>
      <c r="F1748" s="579"/>
      <c r="G1748" s="502">
        <v>0.59</v>
      </c>
      <c r="H1748" s="502" t="s">
        <v>984</v>
      </c>
      <c r="I1748" s="737">
        <v>4.87</v>
      </c>
      <c r="J1748" s="505">
        <f t="shared" si="13"/>
        <v>2.8733</v>
      </c>
      <c r="K1748" s="471"/>
    </row>
    <row r="1749" spans="1:11" hidden="1">
      <c r="A1749" s="463"/>
      <c r="B1749" s="576" t="s">
        <v>1301</v>
      </c>
      <c r="C1749" s="577"/>
      <c r="D1749" s="578"/>
      <c r="E1749" s="578"/>
      <c r="F1749" s="579"/>
      <c r="G1749" s="502">
        <v>119.6</v>
      </c>
      <c r="H1749" s="502" t="s">
        <v>985</v>
      </c>
      <c r="I1749" s="737">
        <v>8.5</v>
      </c>
      <c r="J1749" s="505">
        <f t="shared" si="13"/>
        <v>1016.5999999999999</v>
      </c>
      <c r="K1749" s="471"/>
    </row>
    <row r="1750" spans="1:11" hidden="1">
      <c r="A1750" s="463"/>
      <c r="B1750" s="590"/>
      <c r="C1750" s="591"/>
      <c r="D1750" s="592"/>
      <c r="E1750" s="592"/>
      <c r="F1750" s="593"/>
      <c r="G1750" s="502"/>
      <c r="H1750" s="502"/>
      <c r="I1750" s="575"/>
      <c r="J1750" s="505">
        <f t="shared" si="13"/>
        <v>0</v>
      </c>
      <c r="K1750" s="471"/>
    </row>
    <row r="1751" spans="1:11" hidden="1">
      <c r="A1751" s="463"/>
      <c r="B1751" s="594"/>
      <c r="C1751" s="536"/>
      <c r="D1751" s="536"/>
      <c r="E1751" s="595"/>
      <c r="F1751" s="596"/>
      <c r="G1751" s="545"/>
      <c r="H1751" s="545"/>
      <c r="I1751" s="537" t="s">
        <v>175</v>
      </c>
      <c r="J1751" s="514">
        <f>SUM(J1744:J1750)</f>
        <v>3729.4733000000001</v>
      </c>
      <c r="K1751" s="471"/>
    </row>
    <row r="1752" spans="1:11" hidden="1">
      <c r="A1752" s="463"/>
      <c r="B1752" s="597"/>
      <c r="C1752" s="536"/>
      <c r="D1752" s="536"/>
      <c r="E1752" s="595"/>
      <c r="F1752" s="596"/>
      <c r="G1752" s="545"/>
      <c r="H1752" s="545"/>
      <c r="I1752" s="537"/>
      <c r="J1752" s="595"/>
      <c r="K1752" s="471"/>
    </row>
    <row r="1753" spans="1:11" ht="20.399999999999999" hidden="1">
      <c r="A1753" s="463"/>
      <c r="B1753" s="598" t="s">
        <v>959</v>
      </c>
      <c r="C1753" s="598"/>
      <c r="D1753" s="598"/>
      <c r="E1753" s="599"/>
      <c r="F1753" s="600" t="s">
        <v>372</v>
      </c>
      <c r="G1753" s="569" t="s">
        <v>960</v>
      </c>
      <c r="H1753" s="519" t="s">
        <v>942</v>
      </c>
      <c r="I1753" s="570" t="s">
        <v>361</v>
      </c>
      <c r="J1753" s="522" t="s">
        <v>363</v>
      </c>
      <c r="K1753" s="471"/>
    </row>
    <row r="1754" spans="1:11" hidden="1">
      <c r="A1754" s="463"/>
      <c r="B1754" s="571"/>
      <c r="C1754" s="572"/>
      <c r="D1754" s="573"/>
      <c r="E1754" s="574"/>
      <c r="F1754" s="502"/>
      <c r="G1754" s="502"/>
      <c r="H1754" s="624"/>
      <c r="I1754" s="575"/>
      <c r="J1754" s="505"/>
      <c r="K1754" s="471"/>
    </row>
    <row r="1755" spans="1:11" hidden="1">
      <c r="A1755" s="463"/>
      <c r="B1755" s="590" t="s">
        <v>946</v>
      </c>
      <c r="C1755" s="591"/>
      <c r="D1755" s="592"/>
      <c r="E1755" s="593" t="s">
        <v>946</v>
      </c>
      <c r="F1755" s="509">
        <v>0</v>
      </c>
      <c r="G1755" s="509">
        <v>0</v>
      </c>
      <c r="H1755" s="509">
        <v>0</v>
      </c>
      <c r="I1755" s="601">
        <v>0</v>
      </c>
      <c r="J1755" s="505">
        <f>I1755*H1755*G1755*F1755</f>
        <v>0</v>
      </c>
      <c r="K1755" s="471"/>
    </row>
    <row r="1756" spans="1:11" hidden="1">
      <c r="A1756" s="463"/>
      <c r="B1756" s="594"/>
      <c r="C1756" s="536"/>
      <c r="D1756" s="536"/>
      <c r="E1756" s="595"/>
      <c r="F1756" s="596"/>
      <c r="G1756" s="545"/>
      <c r="H1756" s="545"/>
      <c r="I1756" s="537" t="s">
        <v>175</v>
      </c>
      <c r="J1756" s="514">
        <f>SUM(J1754:J1755)</f>
        <v>0</v>
      </c>
      <c r="K1756" s="471"/>
    </row>
    <row r="1757" spans="1:11" hidden="1">
      <c r="A1757" s="463"/>
      <c r="B1757" s="536"/>
      <c r="C1757" s="536"/>
      <c r="D1757" s="536"/>
      <c r="E1757" s="536"/>
      <c r="F1757" s="536"/>
      <c r="G1757" s="536"/>
      <c r="H1757" s="536"/>
      <c r="I1757" s="537"/>
      <c r="J1757" s="536"/>
      <c r="K1757" s="471"/>
    </row>
    <row r="1758" spans="1:11" hidden="1">
      <c r="A1758" s="463"/>
      <c r="B1758" s="1481" t="s">
        <v>961</v>
      </c>
      <c r="C1758" s="1482"/>
      <c r="D1758" s="1482"/>
      <c r="E1758" s="1482"/>
      <c r="F1758" s="1482"/>
      <c r="G1758" s="1482"/>
      <c r="H1758" s="1482"/>
      <c r="I1758" s="1483"/>
      <c r="J1758" s="586" t="e">
        <f>J1756+J1751+J1741</f>
        <v>#REF!</v>
      </c>
      <c r="K1758" s="471"/>
    </row>
    <row r="1759" spans="1:11" hidden="1">
      <c r="A1759" s="463"/>
      <c r="B1759" s="536"/>
      <c r="C1759" s="536"/>
      <c r="D1759" s="536"/>
      <c r="E1759" s="536"/>
      <c r="F1759" s="536"/>
      <c r="G1759" s="536"/>
      <c r="H1759" s="536"/>
      <c r="I1759" s="537"/>
      <c r="J1759" s="536"/>
      <c r="K1759" s="471"/>
    </row>
    <row r="1760" spans="1:11" hidden="1">
      <c r="A1760" s="463"/>
      <c r="B1760" s="1481" t="s">
        <v>962</v>
      </c>
      <c r="C1760" s="1482"/>
      <c r="D1760" s="1482"/>
      <c r="E1760" s="1482"/>
      <c r="F1760" s="1482"/>
      <c r="G1760" s="1482"/>
      <c r="H1760" s="1482"/>
      <c r="I1760" s="1483"/>
      <c r="J1760" s="514" t="e">
        <f>J1758*0</f>
        <v>#REF!</v>
      </c>
      <c r="K1760" s="471"/>
    </row>
    <row r="1761" spans="1:11" hidden="1">
      <c r="A1761" s="463"/>
      <c r="B1761" s="536"/>
      <c r="C1761" s="536"/>
      <c r="D1761" s="536"/>
      <c r="E1761" s="536"/>
      <c r="F1761" s="536"/>
      <c r="G1761" s="536"/>
      <c r="H1761" s="536"/>
      <c r="I1761" s="537"/>
      <c r="J1761" s="536"/>
      <c r="K1761" s="471"/>
    </row>
    <row r="1762" spans="1:11" hidden="1">
      <c r="A1762" s="463"/>
      <c r="B1762" s="1481" t="s">
        <v>963</v>
      </c>
      <c r="C1762" s="1482"/>
      <c r="D1762" s="1482"/>
      <c r="E1762" s="1482"/>
      <c r="F1762" s="1482"/>
      <c r="G1762" s="1482"/>
      <c r="H1762" s="1482"/>
      <c r="I1762" s="1483"/>
      <c r="J1762" s="586" t="e">
        <f>J1758+J1760</f>
        <v>#REF!</v>
      </c>
      <c r="K1762" s="471"/>
    </row>
    <row r="1763" spans="1:11" hidden="1">
      <c r="A1763" s="463"/>
      <c r="B1763" s="524"/>
      <c r="C1763" s="524"/>
      <c r="D1763" s="524"/>
      <c r="E1763" s="524"/>
      <c r="F1763" s="524"/>
      <c r="G1763" s="524"/>
      <c r="H1763" s="524"/>
      <c r="I1763" s="584"/>
      <c r="J1763" s="524"/>
      <c r="K1763" s="471"/>
    </row>
    <row r="1764" spans="1:11" hidden="1">
      <c r="A1764" s="463"/>
      <c r="B1764" s="602"/>
      <c r="C1764" s="572"/>
      <c r="D1764" s="572"/>
      <c r="E1764" s="572"/>
      <c r="F1764" s="572"/>
      <c r="G1764" s="572"/>
      <c r="H1764" s="572"/>
      <c r="I1764" s="572"/>
      <c r="J1764" s="603"/>
      <c r="K1764" s="471"/>
    </row>
    <row r="1765" spans="1:11" hidden="1">
      <c r="A1765" s="463"/>
      <c r="B1765" s="604"/>
      <c r="C1765" s="605"/>
      <c r="D1765" s="606"/>
      <c r="E1765" s="606"/>
      <c r="F1765" s="607" t="s">
        <v>946</v>
      </c>
      <c r="G1765" s="608" t="s">
        <v>946</v>
      </c>
      <c r="H1765" s="605"/>
      <c r="I1765" s="605"/>
      <c r="J1765" s="609"/>
      <c r="K1765" s="471"/>
    </row>
    <row r="1766" spans="1:11" hidden="1">
      <c r="A1766" s="463"/>
      <c r="B1766" s="472"/>
      <c r="C1766" s="472"/>
      <c r="D1766" s="472"/>
      <c r="E1766" s="472"/>
      <c r="F1766" s="472"/>
      <c r="G1766" s="472"/>
      <c r="H1766" s="472"/>
      <c r="I1766" s="472"/>
      <c r="J1766" s="472"/>
      <c r="K1766" s="471"/>
    </row>
    <row r="1767" spans="1:11" hidden="1">
      <c r="A1767" s="463"/>
      <c r="B1767" s="610">
        <f>PLANEJAMENTO!E1387</f>
        <v>0</v>
      </c>
      <c r="C1767" s="611"/>
      <c r="D1767" s="611"/>
      <c r="E1767" s="611"/>
      <c r="F1767" s="612"/>
      <c r="G1767" s="613" t="s">
        <v>363</v>
      </c>
      <c r="H1767" s="515"/>
      <c r="I1767" s="515"/>
      <c r="J1767" s="518"/>
      <c r="K1767" s="471"/>
    </row>
    <row r="1768" spans="1:11" hidden="1">
      <c r="A1768" s="463"/>
      <c r="B1768" s="614">
        <f>PLANEJAMENTO!E1388</f>
        <v>0</v>
      </c>
      <c r="C1768" s="615"/>
      <c r="D1768" s="615"/>
      <c r="E1768" s="615"/>
      <c r="F1768" s="616"/>
      <c r="G1768" s="1484" t="s">
        <v>964</v>
      </c>
      <c r="H1768" s="1485"/>
      <c r="I1768" s="1485"/>
      <c r="J1768" s="1486"/>
      <c r="K1768" s="471"/>
    </row>
    <row r="1769" spans="1:11" hidden="1">
      <c r="A1769" s="463"/>
      <c r="B1769" s="617"/>
      <c r="C1769" s="618"/>
      <c r="D1769" s="618"/>
      <c r="E1769" s="618"/>
      <c r="F1769" s="619"/>
      <c r="G1769" s="620"/>
      <c r="H1769" s="1487"/>
      <c r="I1769" s="1488"/>
      <c r="J1769" s="1489"/>
      <c r="K1769" s="471"/>
    </row>
    <row r="1770" spans="1:11" ht="15" hidden="1" thickBot="1">
      <c r="A1770" s="621"/>
      <c r="B1770" s="622"/>
      <c r="C1770" s="622"/>
      <c r="D1770" s="622"/>
      <c r="E1770" s="622"/>
      <c r="F1770" s="622"/>
      <c r="G1770" s="622"/>
      <c r="H1770" s="622"/>
      <c r="I1770" s="622"/>
      <c r="J1770" s="622"/>
      <c r="K1770" s="623"/>
    </row>
    <row r="1771" spans="1:11" hidden="1">
      <c r="A1771" s="463"/>
      <c r="B1771" s="472"/>
      <c r="C1771" s="472"/>
      <c r="D1771" s="472"/>
      <c r="E1771" s="472"/>
      <c r="F1771" s="472"/>
      <c r="G1771" s="472"/>
      <c r="H1771" s="472"/>
      <c r="I1771" s="472"/>
      <c r="J1771" s="472"/>
      <c r="K1771" s="471"/>
    </row>
    <row r="1772" spans="1:11" hidden="1">
      <c r="A1772" s="463"/>
      <c r="B1772" s="464" t="s">
        <v>178</v>
      </c>
      <c r="C1772" s="465"/>
      <c r="D1772" s="466" t="s">
        <v>936</v>
      </c>
      <c r="E1772" s="467"/>
      <c r="F1772" s="468"/>
      <c r="G1772" s="468"/>
      <c r="H1772" s="469"/>
      <c r="I1772" s="469"/>
      <c r="J1772" s="470"/>
      <c r="K1772" s="471"/>
    </row>
    <row r="1773" spans="1:11" hidden="1">
      <c r="A1773" s="463"/>
      <c r="B1773" s="472"/>
      <c r="C1773" s="472"/>
      <c r="D1773" s="472"/>
      <c r="E1773" s="472"/>
      <c r="F1773" s="472"/>
      <c r="G1773" s="472"/>
      <c r="H1773" s="472"/>
      <c r="I1773" s="472"/>
      <c r="J1773" s="472"/>
      <c r="K1773" s="471"/>
    </row>
    <row r="1774" spans="1:11" hidden="1">
      <c r="A1774" s="463"/>
      <c r="B1774" s="473" t="s">
        <v>1295</v>
      </c>
      <c r="C1774" s="474" t="s">
        <v>937</v>
      </c>
      <c r="D1774" s="1497" t="s">
        <v>250</v>
      </c>
      <c r="E1774" s="1498"/>
      <c r="F1774" s="1498"/>
      <c r="G1774" s="1498"/>
      <c r="H1774" s="1498"/>
      <c r="I1774" s="1499"/>
      <c r="J1774" s="475" t="s">
        <v>267</v>
      </c>
      <c r="K1774" s="471"/>
    </row>
    <row r="1775" spans="1:11" hidden="1">
      <c r="A1775" s="463"/>
      <c r="B1775" s="476">
        <v>45520</v>
      </c>
      <c r="C1775" s="477">
        <f ca="1">TODAY()</f>
        <v>46140</v>
      </c>
      <c r="D1775" s="681" t="s">
        <v>1304</v>
      </c>
      <c r="E1775" s="479"/>
      <c r="F1775" s="479"/>
      <c r="G1775" s="479"/>
      <c r="H1775" s="479"/>
      <c r="I1775" s="480"/>
      <c r="J1775" s="481" t="str">
        <f>F1793</f>
        <v>UND</v>
      </c>
      <c r="K1775" s="471"/>
    </row>
    <row r="1776" spans="1:11" hidden="1">
      <c r="A1776" s="463"/>
      <c r="B1776" s="482"/>
      <c r="C1776" s="482"/>
      <c r="D1776" s="482"/>
      <c r="E1776" s="482"/>
      <c r="F1776" s="482"/>
      <c r="G1776" s="482"/>
      <c r="H1776" s="482"/>
      <c r="I1776" s="483"/>
      <c r="J1776" s="484"/>
      <c r="K1776" s="471"/>
    </row>
    <row r="1777" spans="1:11" hidden="1">
      <c r="A1777" s="463"/>
      <c r="B1777" s="1484" t="s">
        <v>938</v>
      </c>
      <c r="C1777" s="1486"/>
      <c r="D1777" s="1502" t="s">
        <v>688</v>
      </c>
      <c r="E1777" s="1504" t="s">
        <v>939</v>
      </c>
      <c r="F1777" s="485" t="s">
        <v>940</v>
      </c>
      <c r="G1777" s="486"/>
      <c r="H1777" s="485" t="s">
        <v>941</v>
      </c>
      <c r="I1777" s="486"/>
      <c r="J1777" s="487" t="s">
        <v>942</v>
      </c>
      <c r="K1777" s="471"/>
    </row>
    <row r="1778" spans="1:11" hidden="1">
      <c r="A1778" s="463"/>
      <c r="B1778" s="1500"/>
      <c r="C1778" s="1501"/>
      <c r="D1778" s="1503"/>
      <c r="E1778" s="1505"/>
      <c r="F1778" s="488" t="s">
        <v>943</v>
      </c>
      <c r="G1778" s="488" t="s">
        <v>944</v>
      </c>
      <c r="H1778" s="488" t="s">
        <v>943</v>
      </c>
      <c r="I1778" s="489" t="s">
        <v>944</v>
      </c>
      <c r="J1778" s="490" t="s">
        <v>945</v>
      </c>
      <c r="K1778" s="471"/>
    </row>
    <row r="1779" spans="1:11" hidden="1">
      <c r="A1779" s="463"/>
      <c r="B1779" s="491" t="s">
        <v>631</v>
      </c>
      <c r="C1779" s="492"/>
      <c r="D1779" s="493"/>
      <c r="E1779" s="494">
        <v>0.6</v>
      </c>
      <c r="F1779" s="494">
        <v>0.5</v>
      </c>
      <c r="G1779" s="495">
        <f>1-F1779</f>
        <v>0.5</v>
      </c>
      <c r="H1779" s="503">
        <f>VLOOKUP(B1779,EQUIPAMENTOS!$A:$J,10,FALSE)</f>
        <v>175</v>
      </c>
      <c r="I1779" s="504">
        <f>H1779</f>
        <v>175</v>
      </c>
      <c r="J1779" s="505">
        <f>H1779*F1779*E1779+I1779*G1779*E1779</f>
        <v>105</v>
      </c>
      <c r="K1779" s="471"/>
    </row>
    <row r="1780" spans="1:11" hidden="1">
      <c r="A1780" s="463"/>
      <c r="B1780" s="499" t="s">
        <v>398</v>
      </c>
      <c r="C1780" s="500"/>
      <c r="D1780" s="501"/>
      <c r="E1780" s="872">
        <v>1</v>
      </c>
      <c r="F1780" s="872">
        <v>1</v>
      </c>
      <c r="G1780" s="502">
        <f>1-F1780</f>
        <v>0</v>
      </c>
      <c r="H1780" s="503">
        <f>VLOOKUP(B1780,EQUIPAMENTOS!$A:$J,10,FALSE)</f>
        <v>10</v>
      </c>
      <c r="I1780" s="504">
        <f>H1780</f>
        <v>10</v>
      </c>
      <c r="J1780" s="505">
        <f>H1780*F1780*E1780+I1780*G1780*E1780</f>
        <v>10</v>
      </c>
      <c r="K1780" s="471"/>
    </row>
    <row r="1781" spans="1:11" hidden="1">
      <c r="A1781" s="463"/>
      <c r="B1781" s="499"/>
      <c r="C1781" s="500"/>
      <c r="D1781" s="501"/>
      <c r="E1781" s="872"/>
      <c r="F1781" s="872"/>
      <c r="G1781" s="502"/>
      <c r="H1781" s="503"/>
      <c r="I1781" s="504"/>
      <c r="J1781" s="505"/>
      <c r="K1781" s="471"/>
    </row>
    <row r="1782" spans="1:11" hidden="1">
      <c r="A1782" s="463"/>
      <c r="B1782" s="506"/>
      <c r="C1782" s="507"/>
      <c r="D1782" s="508"/>
      <c r="E1782" s="509"/>
      <c r="F1782" s="509"/>
      <c r="G1782" s="509"/>
      <c r="H1782" s="561"/>
      <c r="I1782" s="510"/>
      <c r="J1782" s="505"/>
      <c r="K1782" s="471"/>
    </row>
    <row r="1783" spans="1:11" hidden="1">
      <c r="A1783" s="463"/>
      <c r="B1783" s="512" t="s">
        <v>946</v>
      </c>
      <c r="C1783" s="482"/>
      <c r="D1783" s="482"/>
      <c r="E1783" s="482"/>
      <c r="F1783" s="482"/>
      <c r="G1783" s="482"/>
      <c r="H1783" s="482"/>
      <c r="I1783" s="513" t="s">
        <v>175</v>
      </c>
      <c r="J1783" s="514">
        <f>SUM(J1779:J1782)</f>
        <v>115</v>
      </c>
      <c r="K1783" s="471"/>
    </row>
    <row r="1784" spans="1:11" hidden="1">
      <c r="A1784" s="463"/>
      <c r="B1784" s="515"/>
      <c r="C1784" s="515"/>
      <c r="D1784" s="515"/>
      <c r="E1784" s="515"/>
      <c r="F1784" s="515"/>
      <c r="G1784" s="515"/>
      <c r="H1784" s="515"/>
      <c r="I1784" s="516"/>
      <c r="J1784" s="517"/>
      <c r="K1784" s="471"/>
    </row>
    <row r="1785" spans="1:11" ht="20.399999999999999" hidden="1">
      <c r="A1785" s="463"/>
      <c r="B1785" s="1490" t="s">
        <v>947</v>
      </c>
      <c r="C1785" s="1491"/>
      <c r="D1785" s="1491"/>
      <c r="E1785" s="1492"/>
      <c r="F1785" s="725" t="s">
        <v>688</v>
      </c>
      <c r="G1785" s="519"/>
      <c r="H1785" s="520" t="s">
        <v>427</v>
      </c>
      <c r="I1785" s="521" t="s">
        <v>948</v>
      </c>
      <c r="J1785" s="522" t="s">
        <v>949</v>
      </c>
      <c r="K1785" s="471"/>
    </row>
    <row r="1786" spans="1:11" hidden="1">
      <c r="A1786" s="463"/>
      <c r="B1786" s="523" t="s">
        <v>974</v>
      </c>
      <c r="C1786" s="524"/>
      <c r="D1786" s="525"/>
      <c r="E1786" s="526"/>
      <c r="F1786" s="527"/>
      <c r="G1786" s="528"/>
      <c r="H1786" s="529">
        <f>E1779</f>
        <v>0.6</v>
      </c>
      <c r="I1786" s="534">
        <f>(VLOOKUP(B1786,'MÃO DE OBRA'!$A:$E,5,FALSE)/220)</f>
        <v>35.988199999999999</v>
      </c>
      <c r="J1786" s="505">
        <f>H1786*I1786</f>
        <v>21.592919999999999</v>
      </c>
      <c r="K1786" s="471"/>
    </row>
    <row r="1787" spans="1:11" hidden="1">
      <c r="A1787" s="463"/>
      <c r="B1787" s="530" t="s">
        <v>988</v>
      </c>
      <c r="C1787" s="531"/>
      <c r="D1787" s="472"/>
      <c r="E1787" s="500"/>
      <c r="F1787" s="501"/>
      <c r="G1787" s="532"/>
      <c r="H1787" s="533">
        <v>1</v>
      </c>
      <c r="I1787" s="534">
        <f>(VLOOKUP(B1787,'MÃO DE OBRA'!$A:$E,5,FALSE)/220)</f>
        <v>21.588799999999999</v>
      </c>
      <c r="J1787" s="505">
        <f>H1787*I1787</f>
        <v>21.588799999999999</v>
      </c>
      <c r="K1787" s="471"/>
    </row>
    <row r="1788" spans="1:11" hidden="1">
      <c r="A1788" s="463"/>
      <c r="B1788" s="530" t="s">
        <v>481</v>
      </c>
      <c r="C1788" s="531"/>
      <c r="D1788" s="472"/>
      <c r="E1788" s="500"/>
      <c r="F1788" s="501"/>
      <c r="G1788" s="532"/>
      <c r="H1788" s="533">
        <v>1</v>
      </c>
      <c r="I1788" s="534">
        <f>(VLOOKUP(B1788,'MÃO DE OBRA'!$A:$E,5,FALSE)/220)</f>
        <v>21.588799999999999</v>
      </c>
      <c r="J1788" s="505">
        <f>H1788*I1788</f>
        <v>21.588799999999999</v>
      </c>
      <c r="K1788" s="471"/>
    </row>
    <row r="1789" spans="1:11" hidden="1">
      <c r="A1789" s="463"/>
      <c r="B1789" s="530" t="s">
        <v>507</v>
      </c>
      <c r="C1789" s="531"/>
      <c r="D1789" s="472"/>
      <c r="E1789" s="500"/>
      <c r="F1789" s="501"/>
      <c r="G1789" s="532"/>
      <c r="H1789" s="533">
        <v>1</v>
      </c>
      <c r="I1789" s="534">
        <f>(VLOOKUP(B1789,'MÃO DE OBRA'!$A:$E,5,FALSE)/220)</f>
        <v>21.588799999999999</v>
      </c>
      <c r="J1789" s="505">
        <f>H1789*I1789</f>
        <v>21.588799999999999</v>
      </c>
      <c r="K1789" s="471"/>
    </row>
    <row r="1790" spans="1:11" hidden="1">
      <c r="A1790" s="463"/>
      <c r="B1790" s="530" t="s">
        <v>472</v>
      </c>
      <c r="C1790" s="531"/>
      <c r="D1790" s="472"/>
      <c r="E1790" s="500"/>
      <c r="F1790" s="501"/>
      <c r="G1790" s="532"/>
      <c r="H1790" s="533">
        <v>3</v>
      </c>
      <c r="I1790" s="534">
        <f>(VLOOKUP(B1790,'MÃO DE OBRA'!$A:$E,5,FALSE)/220)</f>
        <v>18.377072727272729</v>
      </c>
      <c r="J1790" s="505">
        <f>H1790*I1790</f>
        <v>55.131218181818184</v>
      </c>
      <c r="K1790" s="471"/>
    </row>
    <row r="1791" spans="1:11" hidden="1">
      <c r="A1791" s="463"/>
      <c r="B1791" s="512" t="s">
        <v>946</v>
      </c>
      <c r="C1791" s="515"/>
      <c r="D1791" s="515"/>
      <c r="E1791" s="515"/>
      <c r="F1791" s="515"/>
      <c r="G1791" s="515"/>
      <c r="H1791" s="515"/>
      <c r="I1791" s="535" t="s">
        <v>175</v>
      </c>
      <c r="J1791" s="514">
        <f>SUM(J1786:J1790)</f>
        <v>141.49053818181818</v>
      </c>
      <c r="K1791" s="471"/>
    </row>
    <row r="1792" spans="1:11" hidden="1">
      <c r="A1792" s="463"/>
      <c r="B1792" s="536"/>
      <c r="C1792" s="536"/>
      <c r="D1792" s="536"/>
      <c r="E1792" s="536"/>
      <c r="F1792" s="536"/>
      <c r="G1792" s="536"/>
      <c r="H1792" s="536"/>
      <c r="I1792" s="537"/>
      <c r="J1792" s="536"/>
      <c r="K1792" s="471"/>
    </row>
    <row r="1793" spans="1:12" hidden="1">
      <c r="A1793" s="463"/>
      <c r="B1793" s="538" t="s">
        <v>952</v>
      </c>
      <c r="C1793" s="539"/>
      <c r="D1793" s="536"/>
      <c r="E1793" s="540" t="e">
        <f>CRONOGRAMA!#REF!</f>
        <v>#REF!</v>
      </c>
      <c r="F1793" s="541" t="s">
        <v>956</v>
      </c>
      <c r="G1793" s="519"/>
      <c r="H1793" s="519"/>
      <c r="I1793" s="542" t="s">
        <v>953</v>
      </c>
      <c r="J1793" s="514">
        <f>J1783+J1791</f>
        <v>256.49053818181818</v>
      </c>
      <c r="K1793" s="471"/>
    </row>
    <row r="1794" spans="1:12" hidden="1">
      <c r="A1794" s="463"/>
      <c r="B1794" s="543"/>
      <c r="C1794" s="536"/>
      <c r="D1794" s="536"/>
      <c r="E1794" s="544"/>
      <c r="F1794" s="545"/>
      <c r="G1794" s="545"/>
      <c r="H1794" s="545"/>
      <c r="I1794" s="537"/>
      <c r="J1794" s="536"/>
      <c r="K1794" s="471"/>
    </row>
    <row r="1795" spans="1:12" ht="20.399999999999999" hidden="1">
      <c r="A1795" s="463"/>
      <c r="B1795" s="1493" t="s">
        <v>362</v>
      </c>
      <c r="C1795" s="1494"/>
      <c r="D1795" s="1494"/>
      <c r="E1795" s="1495"/>
      <c r="F1795" s="546" t="s">
        <v>688</v>
      </c>
      <c r="G1795" s="547" t="s">
        <v>371</v>
      </c>
      <c r="H1795" s="520" t="s">
        <v>942</v>
      </c>
      <c r="I1795" s="548" t="s">
        <v>361</v>
      </c>
      <c r="J1795" s="549" t="s">
        <v>363</v>
      </c>
      <c r="K1795" s="471"/>
    </row>
    <row r="1796" spans="1:12" hidden="1">
      <c r="A1796" s="463"/>
      <c r="B1796" s="823" t="str">
        <f>B1779</f>
        <v>Escavadeira hidráulica sobre esteira 22T</v>
      </c>
      <c r="C1796" s="532"/>
      <c r="D1796" s="532"/>
      <c r="E1796" s="822"/>
      <c r="F1796" s="553" t="str">
        <f>VLOOKUP(B1796,EQUIPAMENTOS!$A:$N,12,FALSE)</f>
        <v>Diesel S10</v>
      </c>
      <c r="G1796" s="554" t="s">
        <v>415</v>
      </c>
      <c r="H1796" s="560">
        <f>VLOOKUP(B1796,EQUIPAMENTOS!$A:$N,13,FALSE)</f>
        <v>0</v>
      </c>
      <c r="I1796" s="556">
        <f>VLOOKUP(B1796,EQUIPAMENTOS!$A:$N,14,FALSE)</f>
        <v>22</v>
      </c>
      <c r="J1796" s="505">
        <f>H1796*I1796*E1779*F1779</f>
        <v>0</v>
      </c>
      <c r="K1796" s="471"/>
    </row>
    <row r="1797" spans="1:12" hidden="1">
      <c r="A1797" s="463"/>
      <c r="B1797" s="823" t="str">
        <f>B1780</f>
        <v>SAPO COMPACTADOR</v>
      </c>
      <c r="C1797" s="531"/>
      <c r="D1797" s="531"/>
      <c r="E1797" s="500"/>
      <c r="F1797" s="553" t="str">
        <f>VLOOKUP(B1797,EQUIPAMENTOS!$A:$N,12,FALSE)</f>
        <v>Gasolina</v>
      </c>
      <c r="G1797" s="554" t="s">
        <v>415</v>
      </c>
      <c r="H1797" s="560">
        <f>VLOOKUP(B1797,EQUIPAMENTOS!$A:$N,13,FALSE)</f>
        <v>6.59</v>
      </c>
      <c r="I1797" s="556">
        <f>VLOOKUP(B1797,EQUIPAMENTOS!$A:$N,14,FALSE)</f>
        <v>3</v>
      </c>
      <c r="J1797" s="505">
        <f>H1797*I1797*E1780*F1780</f>
        <v>19.77</v>
      </c>
      <c r="K1797" s="471"/>
    </row>
    <row r="1798" spans="1:12" hidden="1">
      <c r="A1798" s="463"/>
      <c r="B1798" s="823"/>
      <c r="C1798" s="539"/>
      <c r="D1798" s="539"/>
      <c r="E1798" s="507"/>
      <c r="F1798" s="869"/>
      <c r="G1798" s="736"/>
      <c r="H1798" s="560"/>
      <c r="I1798" s="556"/>
      <c r="J1798" s="505"/>
      <c r="K1798" s="471"/>
    </row>
    <row r="1799" spans="1:12" hidden="1">
      <c r="A1799" s="463"/>
      <c r="B1799" s="563" t="s">
        <v>946</v>
      </c>
      <c r="C1799" s="536"/>
      <c r="D1799" s="536"/>
      <c r="E1799" s="536"/>
      <c r="F1799" s="536"/>
      <c r="G1799" s="536"/>
      <c r="H1799" s="564"/>
      <c r="I1799" s="565" t="s">
        <v>175</v>
      </c>
      <c r="J1799" s="514">
        <f>SUM(J1796:J1798)</f>
        <v>19.77</v>
      </c>
      <c r="K1799" s="471"/>
      <c r="L1799" s="6" t="e">
        <f>J1799/E1793</f>
        <v>#REF!</v>
      </c>
    </row>
    <row r="1800" spans="1:12" hidden="1">
      <c r="A1800" s="463"/>
      <c r="B1800" s="566"/>
      <c r="C1800" s="539"/>
      <c r="D1800" s="539"/>
      <c r="E1800" s="567"/>
      <c r="F1800" s="568"/>
      <c r="G1800" s="519"/>
      <c r="H1800" s="519"/>
      <c r="I1800" s="542"/>
      <c r="J1800" s="567"/>
      <c r="K1800" s="471"/>
    </row>
    <row r="1801" spans="1:12" ht="20.399999999999999" hidden="1">
      <c r="A1801" s="463"/>
      <c r="B1801" s="1493" t="s">
        <v>955</v>
      </c>
      <c r="C1801" s="1494"/>
      <c r="D1801" s="1494"/>
      <c r="E1801" s="1494"/>
      <c r="F1801" s="1495"/>
      <c r="G1801" s="569" t="s">
        <v>372</v>
      </c>
      <c r="H1801" s="519" t="s">
        <v>956</v>
      </c>
      <c r="I1801" s="570" t="s">
        <v>942</v>
      </c>
      <c r="J1801" s="522" t="s">
        <v>363</v>
      </c>
      <c r="K1801" s="471"/>
    </row>
    <row r="1802" spans="1:12" hidden="1">
      <c r="A1802" s="463"/>
      <c r="B1802" s="571"/>
      <c r="C1802" s="572"/>
      <c r="D1802" s="573"/>
      <c r="E1802" s="573"/>
      <c r="F1802" s="574"/>
      <c r="G1802" s="502"/>
      <c r="H1802" s="502"/>
      <c r="I1802" s="575"/>
      <c r="J1802" s="505"/>
      <c r="K1802" s="471"/>
    </row>
    <row r="1803" spans="1:12" hidden="1">
      <c r="A1803" s="463"/>
      <c r="B1803" s="576"/>
      <c r="C1803" s="577"/>
      <c r="D1803" s="578"/>
      <c r="E1803" s="578"/>
      <c r="F1803" s="579"/>
      <c r="G1803" s="502"/>
      <c r="H1803" s="502"/>
      <c r="I1803" s="575"/>
      <c r="J1803" s="505"/>
      <c r="K1803" s="471"/>
    </row>
    <row r="1804" spans="1:12" hidden="1">
      <c r="A1804" s="463"/>
      <c r="B1804" s="1496" t="s">
        <v>175</v>
      </c>
      <c r="C1804" s="1496"/>
      <c r="D1804" s="1496"/>
      <c r="E1804" s="1496"/>
      <c r="F1804" s="1496"/>
      <c r="G1804" s="1496"/>
      <c r="H1804" s="1496"/>
      <c r="I1804" s="1496"/>
      <c r="J1804" s="514">
        <f>SUM(J1802:J1803)</f>
        <v>0</v>
      </c>
      <c r="K1804" s="471"/>
    </row>
    <row r="1805" spans="1:12" hidden="1">
      <c r="A1805" s="463"/>
      <c r="B1805" s="580"/>
      <c r="C1805" s="524"/>
      <c r="D1805" s="524"/>
      <c r="E1805" s="581"/>
      <c r="F1805" s="582"/>
      <c r="G1805" s="583"/>
      <c r="H1805" s="583"/>
      <c r="I1805" s="584"/>
      <c r="J1805" s="585"/>
      <c r="K1805" s="471"/>
    </row>
    <row r="1806" spans="1:12" hidden="1">
      <c r="A1806" s="463"/>
      <c r="B1806" s="586" t="s">
        <v>957</v>
      </c>
      <c r="C1806" s="586"/>
      <c r="D1806" s="563"/>
      <c r="E1806" s="536"/>
      <c r="F1806" s="536"/>
      <c r="G1806" s="536"/>
      <c r="H1806" s="587"/>
      <c r="I1806" s="588"/>
      <c r="J1806" s="514" t="e">
        <f>(J1793+J1799+J1804)/E1793</f>
        <v>#REF!</v>
      </c>
      <c r="K1806" s="471"/>
    </row>
    <row r="1807" spans="1:12" hidden="1">
      <c r="A1807" s="463"/>
      <c r="B1807" s="566"/>
      <c r="C1807" s="539"/>
      <c r="D1807" s="539"/>
      <c r="E1807" s="567"/>
      <c r="F1807" s="568"/>
      <c r="G1807" s="519"/>
      <c r="H1807" s="519"/>
      <c r="I1807" s="542"/>
      <c r="J1807" s="589"/>
      <c r="K1807" s="471"/>
    </row>
    <row r="1808" spans="1:12" ht="20.399999999999999" hidden="1">
      <c r="A1808" s="463"/>
      <c r="B1808" s="1493" t="s">
        <v>958</v>
      </c>
      <c r="C1808" s="1494"/>
      <c r="D1808" s="1494"/>
      <c r="E1808" s="1494"/>
      <c r="F1808" s="1495"/>
      <c r="G1808" s="569" t="s">
        <v>372</v>
      </c>
      <c r="H1808" s="519" t="s">
        <v>956</v>
      </c>
      <c r="I1808" s="570" t="s">
        <v>942</v>
      </c>
      <c r="J1808" s="522" t="s">
        <v>363</v>
      </c>
      <c r="K1808" s="471"/>
    </row>
    <row r="1809" spans="1:11" hidden="1">
      <c r="A1809" s="463"/>
      <c r="B1809" s="824" t="s">
        <v>1289</v>
      </c>
      <c r="C1809" s="577"/>
      <c r="D1809" s="578"/>
      <c r="E1809" s="578"/>
      <c r="F1809" s="579"/>
      <c r="G1809" s="502">
        <v>1400</v>
      </c>
      <c r="H1809" s="502" t="s">
        <v>956</v>
      </c>
      <c r="I1809" s="737">
        <v>1</v>
      </c>
      <c r="J1809" s="505">
        <f t="shared" ref="J1809:J1815" si="14">G1809*I1809</f>
        <v>1400</v>
      </c>
      <c r="K1809" s="471"/>
    </row>
    <row r="1810" spans="1:11" hidden="1">
      <c r="A1810" s="463"/>
      <c r="B1810" s="824" t="s">
        <v>1264</v>
      </c>
      <c r="C1810" s="577"/>
      <c r="D1810" s="578"/>
      <c r="E1810" s="578"/>
      <c r="F1810" s="579"/>
      <c r="G1810" s="502">
        <v>2.8</v>
      </c>
      <c r="H1810" s="502" t="s">
        <v>973</v>
      </c>
      <c r="I1810" s="737">
        <v>165</v>
      </c>
      <c r="J1810" s="505">
        <f t="shared" si="14"/>
        <v>461.99999999999994</v>
      </c>
      <c r="K1810" s="471"/>
    </row>
    <row r="1811" spans="1:11" hidden="1">
      <c r="A1811" s="463"/>
      <c r="B1811" s="576" t="s">
        <v>1299</v>
      </c>
      <c r="C1811" s="577"/>
      <c r="D1811" s="578"/>
      <c r="E1811" s="578"/>
      <c r="F1811" s="579"/>
      <c r="G1811" s="502">
        <v>5.6</v>
      </c>
      <c r="H1811" s="502" t="s">
        <v>973</v>
      </c>
      <c r="I1811" s="737">
        <v>165</v>
      </c>
      <c r="J1811" s="505">
        <f t="shared" si="14"/>
        <v>923.99999999999989</v>
      </c>
      <c r="K1811" s="471"/>
    </row>
    <row r="1812" spans="1:11" hidden="1">
      <c r="A1812" s="463"/>
      <c r="B1812" s="576" t="s">
        <v>1265</v>
      </c>
      <c r="C1812" s="577"/>
      <c r="D1812" s="578"/>
      <c r="E1812" s="578"/>
      <c r="F1812" s="579"/>
      <c r="G1812" s="502">
        <v>1210</v>
      </c>
      <c r="H1812" s="502" t="s">
        <v>985</v>
      </c>
      <c r="I1812" s="737">
        <v>0.65</v>
      </c>
      <c r="J1812" s="505">
        <f t="shared" si="14"/>
        <v>786.5</v>
      </c>
      <c r="K1812" s="471"/>
    </row>
    <row r="1813" spans="1:11" hidden="1">
      <c r="A1813" s="463"/>
      <c r="B1813" s="576" t="s">
        <v>1300</v>
      </c>
      <c r="C1813" s="577"/>
      <c r="D1813" s="578"/>
      <c r="E1813" s="578"/>
      <c r="F1813" s="579"/>
      <c r="G1813" s="502">
        <v>0.75</v>
      </c>
      <c r="H1813" s="502" t="s">
        <v>984</v>
      </c>
      <c r="I1813" s="737">
        <v>4.87</v>
      </c>
      <c r="J1813" s="505">
        <f t="shared" si="14"/>
        <v>3.6524999999999999</v>
      </c>
      <c r="K1813" s="471"/>
    </row>
    <row r="1814" spans="1:11" hidden="1">
      <c r="A1814" s="463"/>
      <c r="B1814" s="576" t="s">
        <v>1301</v>
      </c>
      <c r="C1814" s="577"/>
      <c r="D1814" s="578"/>
      <c r="E1814" s="578"/>
      <c r="F1814" s="579"/>
      <c r="G1814" s="502">
        <v>264</v>
      </c>
      <c r="H1814" s="502" t="s">
        <v>985</v>
      </c>
      <c r="I1814" s="737">
        <v>8.5</v>
      </c>
      <c r="J1814" s="505">
        <f t="shared" si="14"/>
        <v>2244</v>
      </c>
      <c r="K1814" s="471"/>
    </row>
    <row r="1815" spans="1:11" hidden="1">
      <c r="A1815" s="463"/>
      <c r="B1815" s="590"/>
      <c r="C1815" s="591"/>
      <c r="D1815" s="592"/>
      <c r="E1815" s="592"/>
      <c r="F1815" s="593"/>
      <c r="G1815" s="502"/>
      <c r="H1815" s="502"/>
      <c r="I1815" s="575"/>
      <c r="J1815" s="505">
        <f t="shared" si="14"/>
        <v>0</v>
      </c>
      <c r="K1815" s="471"/>
    </row>
    <row r="1816" spans="1:11" hidden="1">
      <c r="A1816" s="463"/>
      <c r="B1816" s="594"/>
      <c r="C1816" s="536"/>
      <c r="D1816" s="536"/>
      <c r="E1816" s="595"/>
      <c r="F1816" s="596"/>
      <c r="G1816" s="545"/>
      <c r="H1816" s="545"/>
      <c r="I1816" s="537" t="s">
        <v>175</v>
      </c>
      <c r="J1816" s="514">
        <f>SUM(J1809:J1815)</f>
        <v>5820.1525000000001</v>
      </c>
      <c r="K1816" s="471"/>
    </row>
    <row r="1817" spans="1:11" hidden="1">
      <c r="A1817" s="463"/>
      <c r="B1817" s="597"/>
      <c r="C1817" s="536"/>
      <c r="D1817" s="536"/>
      <c r="E1817" s="595"/>
      <c r="F1817" s="596"/>
      <c r="G1817" s="545"/>
      <c r="H1817" s="545"/>
      <c r="I1817" s="537"/>
      <c r="J1817" s="595"/>
      <c r="K1817" s="471"/>
    </row>
    <row r="1818" spans="1:11" ht="20.399999999999999" hidden="1">
      <c r="A1818" s="463"/>
      <c r="B1818" s="598" t="s">
        <v>959</v>
      </c>
      <c r="C1818" s="598"/>
      <c r="D1818" s="598"/>
      <c r="E1818" s="599"/>
      <c r="F1818" s="600" t="s">
        <v>372</v>
      </c>
      <c r="G1818" s="569" t="s">
        <v>960</v>
      </c>
      <c r="H1818" s="519" t="s">
        <v>942</v>
      </c>
      <c r="I1818" s="570" t="s">
        <v>361</v>
      </c>
      <c r="J1818" s="522" t="s">
        <v>363</v>
      </c>
      <c r="K1818" s="471"/>
    </row>
    <row r="1819" spans="1:11" hidden="1">
      <c r="A1819" s="463"/>
      <c r="B1819" s="571"/>
      <c r="C1819" s="572"/>
      <c r="D1819" s="573"/>
      <c r="E1819" s="574"/>
      <c r="F1819" s="502"/>
      <c r="G1819" s="502"/>
      <c r="H1819" s="624"/>
      <c r="I1819" s="575"/>
      <c r="J1819" s="505"/>
      <c r="K1819" s="471"/>
    </row>
    <row r="1820" spans="1:11" hidden="1">
      <c r="A1820" s="463"/>
      <c r="B1820" s="590" t="s">
        <v>946</v>
      </c>
      <c r="C1820" s="591"/>
      <c r="D1820" s="592"/>
      <c r="E1820" s="593" t="s">
        <v>946</v>
      </c>
      <c r="F1820" s="509">
        <v>0</v>
      </c>
      <c r="G1820" s="509">
        <v>0</v>
      </c>
      <c r="H1820" s="509">
        <v>0</v>
      </c>
      <c r="I1820" s="601">
        <v>0</v>
      </c>
      <c r="J1820" s="505">
        <f>I1820*H1820*G1820*F1820</f>
        <v>0</v>
      </c>
      <c r="K1820" s="471"/>
    </row>
    <row r="1821" spans="1:11" hidden="1">
      <c r="A1821" s="463"/>
      <c r="B1821" s="594"/>
      <c r="C1821" s="536"/>
      <c r="D1821" s="536"/>
      <c r="E1821" s="595"/>
      <c r="F1821" s="596"/>
      <c r="G1821" s="545"/>
      <c r="H1821" s="545"/>
      <c r="I1821" s="537" t="s">
        <v>175</v>
      </c>
      <c r="J1821" s="514">
        <f>SUM(J1819:J1820)</f>
        <v>0</v>
      </c>
      <c r="K1821" s="471"/>
    </row>
    <row r="1822" spans="1:11" hidden="1">
      <c r="A1822" s="463"/>
      <c r="B1822" s="536"/>
      <c r="C1822" s="536"/>
      <c r="D1822" s="536"/>
      <c r="E1822" s="536"/>
      <c r="F1822" s="536"/>
      <c r="G1822" s="536"/>
      <c r="H1822" s="536"/>
      <c r="I1822" s="537"/>
      <c r="J1822" s="536"/>
      <c r="K1822" s="471"/>
    </row>
    <row r="1823" spans="1:11" hidden="1">
      <c r="A1823" s="463"/>
      <c r="B1823" s="1481" t="s">
        <v>961</v>
      </c>
      <c r="C1823" s="1482"/>
      <c r="D1823" s="1482"/>
      <c r="E1823" s="1482"/>
      <c r="F1823" s="1482"/>
      <c r="G1823" s="1482"/>
      <c r="H1823" s="1482"/>
      <c r="I1823" s="1483"/>
      <c r="J1823" s="586" t="e">
        <f>J1821+J1816+J1806</f>
        <v>#REF!</v>
      </c>
      <c r="K1823" s="471"/>
    </row>
    <row r="1824" spans="1:11" hidden="1">
      <c r="A1824" s="463"/>
      <c r="B1824" s="536"/>
      <c r="C1824" s="536"/>
      <c r="D1824" s="536"/>
      <c r="E1824" s="536"/>
      <c r="F1824" s="536"/>
      <c r="G1824" s="536"/>
      <c r="H1824" s="536"/>
      <c r="I1824" s="537"/>
      <c r="J1824" s="536"/>
      <c r="K1824" s="471"/>
    </row>
    <row r="1825" spans="1:11" hidden="1">
      <c r="A1825" s="463"/>
      <c r="B1825" s="1481" t="s">
        <v>962</v>
      </c>
      <c r="C1825" s="1482"/>
      <c r="D1825" s="1482"/>
      <c r="E1825" s="1482"/>
      <c r="F1825" s="1482"/>
      <c r="G1825" s="1482"/>
      <c r="H1825" s="1482"/>
      <c r="I1825" s="1483"/>
      <c r="J1825" s="514" t="e">
        <f>J1823*0</f>
        <v>#REF!</v>
      </c>
      <c r="K1825" s="471"/>
    </row>
    <row r="1826" spans="1:11" hidden="1">
      <c r="A1826" s="463"/>
      <c r="B1826" s="536"/>
      <c r="C1826" s="536"/>
      <c r="D1826" s="536"/>
      <c r="E1826" s="536"/>
      <c r="F1826" s="536"/>
      <c r="G1826" s="536"/>
      <c r="H1826" s="536"/>
      <c r="I1826" s="537"/>
      <c r="J1826" s="536"/>
      <c r="K1826" s="471"/>
    </row>
    <row r="1827" spans="1:11" hidden="1">
      <c r="A1827" s="463"/>
      <c r="B1827" s="1481" t="s">
        <v>963</v>
      </c>
      <c r="C1827" s="1482"/>
      <c r="D1827" s="1482"/>
      <c r="E1827" s="1482"/>
      <c r="F1827" s="1482"/>
      <c r="G1827" s="1482"/>
      <c r="H1827" s="1482"/>
      <c r="I1827" s="1483"/>
      <c r="J1827" s="586" t="e">
        <f>J1823+J1825</f>
        <v>#REF!</v>
      </c>
      <c r="K1827" s="471"/>
    </row>
    <row r="1828" spans="1:11" hidden="1">
      <c r="A1828" s="463"/>
      <c r="B1828" s="524"/>
      <c r="C1828" s="524"/>
      <c r="D1828" s="524"/>
      <c r="E1828" s="524"/>
      <c r="F1828" s="524"/>
      <c r="G1828" s="524"/>
      <c r="H1828" s="524"/>
      <c r="I1828" s="584"/>
      <c r="J1828" s="524"/>
      <c r="K1828" s="471"/>
    </row>
    <row r="1829" spans="1:11" hidden="1">
      <c r="A1829" s="463"/>
      <c r="B1829" s="602"/>
      <c r="C1829" s="572"/>
      <c r="D1829" s="572"/>
      <c r="E1829" s="572"/>
      <c r="F1829" s="572"/>
      <c r="G1829" s="572"/>
      <c r="H1829" s="572"/>
      <c r="I1829" s="572"/>
      <c r="J1829" s="603"/>
      <c r="K1829" s="471"/>
    </row>
    <row r="1830" spans="1:11" hidden="1">
      <c r="A1830" s="463"/>
      <c r="B1830" s="604"/>
      <c r="C1830" s="605"/>
      <c r="D1830" s="606"/>
      <c r="E1830" s="606"/>
      <c r="F1830" s="607" t="s">
        <v>946</v>
      </c>
      <c r="G1830" s="608" t="s">
        <v>946</v>
      </c>
      <c r="H1830" s="605"/>
      <c r="I1830" s="605"/>
      <c r="J1830" s="609"/>
      <c r="K1830" s="471"/>
    </row>
    <row r="1831" spans="1:11" hidden="1">
      <c r="A1831" s="463"/>
      <c r="B1831" s="472"/>
      <c r="C1831" s="472"/>
      <c r="D1831" s="472"/>
      <c r="E1831" s="472"/>
      <c r="F1831" s="472"/>
      <c r="G1831" s="472"/>
      <c r="H1831" s="472"/>
      <c r="I1831" s="472"/>
      <c r="J1831" s="472"/>
      <c r="K1831" s="471"/>
    </row>
    <row r="1832" spans="1:11" hidden="1">
      <c r="A1832" s="463"/>
      <c r="B1832" s="610">
        <f>PLANEJAMENTO!E1452</f>
        <v>0</v>
      </c>
      <c r="C1832" s="611"/>
      <c r="D1832" s="611"/>
      <c r="E1832" s="611"/>
      <c r="F1832" s="612"/>
      <c r="G1832" s="613" t="s">
        <v>363</v>
      </c>
      <c r="H1832" s="515"/>
      <c r="I1832" s="515"/>
      <c r="J1832" s="518"/>
      <c r="K1832" s="471"/>
    </row>
    <row r="1833" spans="1:11" hidden="1">
      <c r="A1833" s="463"/>
      <c r="B1833" s="614">
        <f>PLANEJAMENTO!E1453</f>
        <v>0</v>
      </c>
      <c r="C1833" s="615"/>
      <c r="D1833" s="615"/>
      <c r="E1833" s="615"/>
      <c r="F1833" s="616"/>
      <c r="G1833" s="1484" t="s">
        <v>964</v>
      </c>
      <c r="H1833" s="1485"/>
      <c r="I1833" s="1485"/>
      <c r="J1833" s="1486"/>
      <c r="K1833" s="471"/>
    </row>
    <row r="1834" spans="1:11" hidden="1">
      <c r="A1834" s="463"/>
      <c r="B1834" s="617"/>
      <c r="C1834" s="618"/>
      <c r="D1834" s="618"/>
      <c r="E1834" s="618"/>
      <c r="F1834" s="619"/>
      <c r="G1834" s="620"/>
      <c r="H1834" s="1487"/>
      <c r="I1834" s="1488"/>
      <c r="J1834" s="1489"/>
      <c r="K1834" s="471"/>
    </row>
    <row r="1835" spans="1:11" ht="15" hidden="1" thickBot="1">
      <c r="A1835" s="621"/>
      <c r="B1835" s="622"/>
      <c r="C1835" s="622"/>
      <c r="D1835" s="622"/>
      <c r="E1835" s="622"/>
      <c r="F1835" s="622"/>
      <c r="G1835" s="622"/>
      <c r="H1835" s="622"/>
      <c r="I1835" s="622"/>
      <c r="J1835" s="622"/>
      <c r="K1835" s="623"/>
    </row>
  </sheetData>
  <mergeCells count="370">
    <mergeCell ref="B112:I112"/>
    <mergeCell ref="B114:I114"/>
    <mergeCell ref="B116:I116"/>
    <mergeCell ref="G122:J122"/>
    <mergeCell ref="H123:J123"/>
    <mergeCell ref="B263:E263"/>
    <mergeCell ref="B235:I235"/>
    <mergeCell ref="B237:I237"/>
    <mergeCell ref="B239:I239"/>
    <mergeCell ref="G245:J245"/>
    <mergeCell ref="H246:J246"/>
    <mergeCell ref="D190:I190"/>
    <mergeCell ref="B193:C194"/>
    <mergeCell ref="D193:D194"/>
    <mergeCell ref="E193:E194"/>
    <mergeCell ref="B202:E202"/>
    <mergeCell ref="B210:E210"/>
    <mergeCell ref="B218:F218"/>
    <mergeCell ref="B221:I221"/>
    <mergeCell ref="B225:F225"/>
    <mergeCell ref="D128:I128"/>
    <mergeCell ref="B254:C255"/>
    <mergeCell ref="D254:D255"/>
    <mergeCell ref="E254:E255"/>
    <mergeCell ref="D66:I66"/>
    <mergeCell ref="B69:C70"/>
    <mergeCell ref="D69:D70"/>
    <mergeCell ref="E69:E70"/>
    <mergeCell ref="B78:E78"/>
    <mergeCell ref="B86:E86"/>
    <mergeCell ref="B93:F93"/>
    <mergeCell ref="B96:I96"/>
    <mergeCell ref="B100:F100"/>
    <mergeCell ref="B1808:F1808"/>
    <mergeCell ref="B1823:I1823"/>
    <mergeCell ref="B1825:I1825"/>
    <mergeCell ref="B1827:I1827"/>
    <mergeCell ref="G1833:J1833"/>
    <mergeCell ref="H1834:J1834"/>
    <mergeCell ref="H1769:J1769"/>
    <mergeCell ref="D1774:I1774"/>
    <mergeCell ref="B1777:C1778"/>
    <mergeCell ref="D1777:D1778"/>
    <mergeCell ref="E1777:E1778"/>
    <mergeCell ref="B1785:E1785"/>
    <mergeCell ref="B1795:E1795"/>
    <mergeCell ref="B1801:F1801"/>
    <mergeCell ref="B1804:I1804"/>
    <mergeCell ref="B1720:E1720"/>
    <mergeCell ref="B1730:E1730"/>
    <mergeCell ref="B1736:F1736"/>
    <mergeCell ref="B1739:I1739"/>
    <mergeCell ref="B1743:F1743"/>
    <mergeCell ref="B1758:I1758"/>
    <mergeCell ref="B1760:I1760"/>
    <mergeCell ref="B1762:I1762"/>
    <mergeCell ref="G1768:J1768"/>
    <mergeCell ref="B1678:F1678"/>
    <mergeCell ref="B1693:I1693"/>
    <mergeCell ref="B1695:I1695"/>
    <mergeCell ref="B1697:I1697"/>
    <mergeCell ref="G1703:J1703"/>
    <mergeCell ref="H1704:J1704"/>
    <mergeCell ref="D1709:I1709"/>
    <mergeCell ref="B1712:C1713"/>
    <mergeCell ref="D1712:D1713"/>
    <mergeCell ref="E1712:E1713"/>
    <mergeCell ref="H1639:J1639"/>
    <mergeCell ref="D1644:I1644"/>
    <mergeCell ref="B1647:C1648"/>
    <mergeCell ref="D1647:D1648"/>
    <mergeCell ref="E1647:E1648"/>
    <mergeCell ref="B1655:E1655"/>
    <mergeCell ref="B1665:E1665"/>
    <mergeCell ref="B1671:F1671"/>
    <mergeCell ref="B1674:I1674"/>
    <mergeCell ref="B1590:E1590"/>
    <mergeCell ref="B1600:E1600"/>
    <mergeCell ref="B1606:F1606"/>
    <mergeCell ref="B1609:I1609"/>
    <mergeCell ref="B1613:F1613"/>
    <mergeCell ref="B1628:I1628"/>
    <mergeCell ref="B1630:I1630"/>
    <mergeCell ref="B1632:I1632"/>
    <mergeCell ref="G1638:J1638"/>
    <mergeCell ref="B1563:I1563"/>
    <mergeCell ref="B1565:I1565"/>
    <mergeCell ref="B1567:I1567"/>
    <mergeCell ref="G1573:J1573"/>
    <mergeCell ref="H1574:J1574"/>
    <mergeCell ref="D1579:I1579"/>
    <mergeCell ref="B1582:C1583"/>
    <mergeCell ref="D1582:D1583"/>
    <mergeCell ref="E1582:E1583"/>
    <mergeCell ref="D1514:I1514"/>
    <mergeCell ref="B1517:C1518"/>
    <mergeCell ref="D1517:D1518"/>
    <mergeCell ref="E1517:E1518"/>
    <mergeCell ref="B1525:E1525"/>
    <mergeCell ref="B1535:E1535"/>
    <mergeCell ref="B1541:F1541"/>
    <mergeCell ref="B1544:I1544"/>
    <mergeCell ref="B1548:F1548"/>
    <mergeCell ref="B1373:I1373"/>
    <mergeCell ref="B1375:I1375"/>
    <mergeCell ref="B1377:I1377"/>
    <mergeCell ref="G1383:J1383"/>
    <mergeCell ref="D1389:I1389"/>
    <mergeCell ref="H1444:J1444"/>
    <mergeCell ref="B1400:E1400"/>
    <mergeCell ref="B1408:E1408"/>
    <mergeCell ref="B1414:F1414"/>
    <mergeCell ref="B1417:I1417"/>
    <mergeCell ref="B1421:F1421"/>
    <mergeCell ref="B1433:I1433"/>
    <mergeCell ref="B1435:I1435"/>
    <mergeCell ref="B1437:I1437"/>
    <mergeCell ref="G1443:J1443"/>
    <mergeCell ref="D1321:I1321"/>
    <mergeCell ref="B1324:C1325"/>
    <mergeCell ref="D1324:D1325"/>
    <mergeCell ref="E1324:E1325"/>
    <mergeCell ref="B1333:E1333"/>
    <mergeCell ref="B1342:E1342"/>
    <mergeCell ref="B1349:F1349"/>
    <mergeCell ref="B1352:I1352"/>
    <mergeCell ref="B1356:F1356"/>
    <mergeCell ref="D251:I251"/>
    <mergeCell ref="B271:E271"/>
    <mergeCell ref="B279:F279"/>
    <mergeCell ref="B282:I282"/>
    <mergeCell ref="G1315:J1315"/>
    <mergeCell ref="H1316:J1316"/>
    <mergeCell ref="B131:C132"/>
    <mergeCell ref="D131:D132"/>
    <mergeCell ref="E131:E132"/>
    <mergeCell ref="B140:E140"/>
    <mergeCell ref="G184:J184"/>
    <mergeCell ref="H185:J185"/>
    <mergeCell ref="B155:F155"/>
    <mergeCell ref="B158:I158"/>
    <mergeCell ref="B162:F162"/>
    <mergeCell ref="B174:I174"/>
    <mergeCell ref="B176:I176"/>
    <mergeCell ref="B178:I178"/>
    <mergeCell ref="B149:E149"/>
    <mergeCell ref="B286:F286"/>
    <mergeCell ref="B296:I296"/>
    <mergeCell ref="D312:I312"/>
    <mergeCell ref="B315:C316"/>
    <mergeCell ref="D315:D316"/>
    <mergeCell ref="E315:E316"/>
    <mergeCell ref="B323:E323"/>
    <mergeCell ref="B332:E332"/>
    <mergeCell ref="B339:F339"/>
    <mergeCell ref="B298:I298"/>
    <mergeCell ref="B300:I300"/>
    <mergeCell ref="G306:J306"/>
    <mergeCell ref="H307:J307"/>
    <mergeCell ref="B342:I342"/>
    <mergeCell ref="B346:F346"/>
    <mergeCell ref="B482:I482"/>
    <mergeCell ref="B484:I484"/>
    <mergeCell ref="B486:I486"/>
    <mergeCell ref="D560:I560"/>
    <mergeCell ref="B377:C378"/>
    <mergeCell ref="D377:D378"/>
    <mergeCell ref="E377:E378"/>
    <mergeCell ref="B358:I358"/>
    <mergeCell ref="B360:I360"/>
    <mergeCell ref="D374:I374"/>
    <mergeCell ref="B362:I362"/>
    <mergeCell ref="G368:J368"/>
    <mergeCell ref="B386:E386"/>
    <mergeCell ref="B395:E395"/>
    <mergeCell ref="B544:I544"/>
    <mergeCell ref="B546:I546"/>
    <mergeCell ref="B548:I548"/>
    <mergeCell ref="G554:J554"/>
    <mergeCell ref="G492:J492"/>
    <mergeCell ref="D498:I498"/>
    <mergeCell ref="B501:C502"/>
    <mergeCell ref="D501:D502"/>
    <mergeCell ref="B401:F401"/>
    <mergeCell ref="B606:I606"/>
    <mergeCell ref="B608:I608"/>
    <mergeCell ref="B610:I610"/>
    <mergeCell ref="G616:J616"/>
    <mergeCell ref="B581:E581"/>
    <mergeCell ref="B572:E572"/>
    <mergeCell ref="B587:F587"/>
    <mergeCell ref="B590:I590"/>
    <mergeCell ref="B594:F594"/>
    <mergeCell ref="B734:I734"/>
    <mergeCell ref="G740:J740"/>
    <mergeCell ref="D746:I746"/>
    <mergeCell ref="B749:C750"/>
    <mergeCell ref="D749:D750"/>
    <mergeCell ref="E749:E750"/>
    <mergeCell ref="B730:I730"/>
    <mergeCell ref="B732:I732"/>
    <mergeCell ref="B687:C688"/>
    <mergeCell ref="D687:D688"/>
    <mergeCell ref="E687:E688"/>
    <mergeCell ref="B696:E696"/>
    <mergeCell ref="B705:E705"/>
    <mergeCell ref="B711:F711"/>
    <mergeCell ref="B714:I714"/>
    <mergeCell ref="B718:F718"/>
    <mergeCell ref="B796:I796"/>
    <mergeCell ref="B798:I798"/>
    <mergeCell ref="B800:I800"/>
    <mergeCell ref="G806:J806"/>
    <mergeCell ref="H807:J807"/>
    <mergeCell ref="B758:E758"/>
    <mergeCell ref="B767:E767"/>
    <mergeCell ref="B774:F774"/>
    <mergeCell ref="B777:I777"/>
    <mergeCell ref="B781:F781"/>
    <mergeCell ref="B50:I50"/>
    <mergeCell ref="B52:I52"/>
    <mergeCell ref="B54:I54"/>
    <mergeCell ref="G60:J60"/>
    <mergeCell ref="H61:J61"/>
    <mergeCell ref="D4:I4"/>
    <mergeCell ref="B7:C8"/>
    <mergeCell ref="D7:D8"/>
    <mergeCell ref="E7:E8"/>
    <mergeCell ref="B16:E16"/>
    <mergeCell ref="B24:E24"/>
    <mergeCell ref="B31:F31"/>
    <mergeCell ref="B34:I34"/>
    <mergeCell ref="B38:F38"/>
    <mergeCell ref="B862:I862"/>
    <mergeCell ref="B864:I864"/>
    <mergeCell ref="B866:I866"/>
    <mergeCell ref="G872:J872"/>
    <mergeCell ref="H873:J873"/>
    <mergeCell ref="D812:I812"/>
    <mergeCell ref="B815:C816"/>
    <mergeCell ref="D815:D816"/>
    <mergeCell ref="E815:E816"/>
    <mergeCell ref="B824:E824"/>
    <mergeCell ref="B833:E833"/>
    <mergeCell ref="B840:F840"/>
    <mergeCell ref="B843:I843"/>
    <mergeCell ref="B847:F847"/>
    <mergeCell ref="D878:I878"/>
    <mergeCell ref="B881:C882"/>
    <mergeCell ref="D881:D882"/>
    <mergeCell ref="E881:E882"/>
    <mergeCell ref="B890:E890"/>
    <mergeCell ref="B899:E899"/>
    <mergeCell ref="B906:F906"/>
    <mergeCell ref="B909:I909"/>
    <mergeCell ref="B913:F913"/>
    <mergeCell ref="D1016:I1016"/>
    <mergeCell ref="B1019:C1020"/>
    <mergeCell ref="B929:I929"/>
    <mergeCell ref="B931:I931"/>
    <mergeCell ref="B933:I933"/>
    <mergeCell ref="G939:J939"/>
    <mergeCell ref="H940:J940"/>
    <mergeCell ref="D945:I945"/>
    <mergeCell ref="B948:C949"/>
    <mergeCell ref="D948:D949"/>
    <mergeCell ref="E948:E949"/>
    <mergeCell ref="H1011:J1011"/>
    <mergeCell ref="B957:E957"/>
    <mergeCell ref="B966:E966"/>
    <mergeCell ref="B973:F973"/>
    <mergeCell ref="B976:I976"/>
    <mergeCell ref="B980:F980"/>
    <mergeCell ref="B1000:I1000"/>
    <mergeCell ref="B1002:I1002"/>
    <mergeCell ref="B1004:I1004"/>
    <mergeCell ref="G1010:J1010"/>
    <mergeCell ref="D1019:D1020"/>
    <mergeCell ref="E1019:E1020"/>
    <mergeCell ref="B1028:E1028"/>
    <mergeCell ref="B1037:E1037"/>
    <mergeCell ref="B1044:F1044"/>
    <mergeCell ref="B1047:I1047"/>
    <mergeCell ref="B1051:F1051"/>
    <mergeCell ref="B1118:I1118"/>
    <mergeCell ref="B1122:F1122"/>
    <mergeCell ref="B1099:E1099"/>
    <mergeCell ref="B1108:E1108"/>
    <mergeCell ref="B1115:F1115"/>
    <mergeCell ref="B1071:I1071"/>
    <mergeCell ref="B1073:I1073"/>
    <mergeCell ref="B1075:I1075"/>
    <mergeCell ref="G1081:J1081"/>
    <mergeCell ref="H1082:J1082"/>
    <mergeCell ref="D1087:I1087"/>
    <mergeCell ref="B1090:C1091"/>
    <mergeCell ref="D1090:D1091"/>
    <mergeCell ref="E1090:E1091"/>
    <mergeCell ref="B1138:I1138"/>
    <mergeCell ref="B1140:I1140"/>
    <mergeCell ref="B1142:I1142"/>
    <mergeCell ref="G1148:J1148"/>
    <mergeCell ref="H1149:J1149"/>
    <mergeCell ref="D1449:I1449"/>
    <mergeCell ref="B1452:C1453"/>
    <mergeCell ref="D1452:D1453"/>
    <mergeCell ref="E1452:E1453"/>
    <mergeCell ref="B1392:C1393"/>
    <mergeCell ref="D1392:D1393"/>
    <mergeCell ref="E1392:E1393"/>
    <mergeCell ref="D1253:I1253"/>
    <mergeCell ref="B1256:C1257"/>
    <mergeCell ref="D1256:D1257"/>
    <mergeCell ref="E1256:E1257"/>
    <mergeCell ref="B1265:E1265"/>
    <mergeCell ref="B1274:E1274"/>
    <mergeCell ref="B1281:F1281"/>
    <mergeCell ref="B1284:I1284"/>
    <mergeCell ref="B1288:F1288"/>
    <mergeCell ref="B1305:I1305"/>
    <mergeCell ref="B1307:I1307"/>
    <mergeCell ref="B1309:I1309"/>
    <mergeCell ref="H1509:J1509"/>
    <mergeCell ref="B1460:E1460"/>
    <mergeCell ref="B1470:E1470"/>
    <mergeCell ref="B1476:F1476"/>
    <mergeCell ref="B1479:I1479"/>
    <mergeCell ref="B1483:F1483"/>
    <mergeCell ref="B1498:I1498"/>
    <mergeCell ref="B1500:I1500"/>
    <mergeCell ref="B1502:I1502"/>
    <mergeCell ref="G1508:J1508"/>
    <mergeCell ref="B404:I404"/>
    <mergeCell ref="B408:F408"/>
    <mergeCell ref="B420:I420"/>
    <mergeCell ref="B422:I422"/>
    <mergeCell ref="B424:I424"/>
    <mergeCell ref="G430:J430"/>
    <mergeCell ref="B457:E457"/>
    <mergeCell ref="B463:F463"/>
    <mergeCell ref="D436:I436"/>
    <mergeCell ref="B439:C440"/>
    <mergeCell ref="D439:D440"/>
    <mergeCell ref="E439:E440"/>
    <mergeCell ref="B448:E448"/>
    <mergeCell ref="B466:I466"/>
    <mergeCell ref="B470:F470"/>
    <mergeCell ref="B519:E519"/>
    <mergeCell ref="B525:F525"/>
    <mergeCell ref="B528:I528"/>
    <mergeCell ref="B532:F532"/>
    <mergeCell ref="B563:C564"/>
    <mergeCell ref="D563:D564"/>
    <mergeCell ref="E563:E564"/>
    <mergeCell ref="E501:E502"/>
    <mergeCell ref="B510:E510"/>
    <mergeCell ref="B670:I670"/>
    <mergeCell ref="B672:I672"/>
    <mergeCell ref="G678:J678"/>
    <mergeCell ref="D684:I684"/>
    <mergeCell ref="B668:I668"/>
    <mergeCell ref="D622:I622"/>
    <mergeCell ref="B625:C626"/>
    <mergeCell ref="D625:D626"/>
    <mergeCell ref="E625:E626"/>
    <mergeCell ref="B634:E634"/>
    <mergeCell ref="B643:E643"/>
    <mergeCell ref="B649:F649"/>
    <mergeCell ref="B652:I652"/>
    <mergeCell ref="B656:F656"/>
  </mergeCells>
  <phoneticPr fontId="45" type="noConversion"/>
  <pageMargins left="0.511811024" right="0.511811024" top="0.78740157499999996" bottom="0.78740157499999996" header="0.31496062000000002" footer="0.31496062000000002"/>
  <pageSetup paperSize="9" scale="57" orientation="portrait" r:id="rId1"/>
  <rowBreaks count="26" manualBreakCount="26">
    <brk id="62" max="10" man="1"/>
    <brk id="124" max="10" man="1"/>
    <brk id="186" max="10" man="1"/>
    <brk id="247" max="10" man="1"/>
    <brk id="308" max="10" man="1"/>
    <brk id="370" max="10" man="1"/>
    <brk id="432" max="10" man="1"/>
    <brk id="494" max="10" man="1"/>
    <brk id="556" max="10" man="1"/>
    <brk id="618" max="10" man="1"/>
    <brk id="680" max="10" man="1"/>
    <brk id="742" max="10" man="1"/>
    <brk id="808" max="10" man="1"/>
    <brk id="874" max="10" man="1"/>
    <brk id="941" max="10" man="1"/>
    <brk id="1012" max="10" man="1"/>
    <brk id="1083" max="10" man="1"/>
    <brk id="1249" max="10" man="1"/>
    <brk id="1317" max="10" man="1"/>
    <brk id="1385" max="10" man="1"/>
    <brk id="1445" max="10" man="1"/>
    <brk id="1510" max="10" man="1"/>
    <brk id="1575" max="10" man="1"/>
    <brk id="1640" max="10" man="1"/>
    <brk id="1705" max="10" man="1"/>
    <brk id="1770" max="10" man="1"/>
  </row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D3CF0-2E58-40AE-9353-CFFA76718D2B}">
  <sheetPr codeName="Planilha13">
    <tabColor rgb="FF00B050"/>
  </sheetPr>
  <dimension ref="B1:AR133"/>
  <sheetViews>
    <sheetView showGridLines="0" zoomScaleNormal="100" workbookViewId="0">
      <selection activeCell="E7" sqref="E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6.6640625" style="58" customWidth="1"/>
    <col min="6" max="6" width="6" style="58" bestFit="1" customWidth="1"/>
    <col min="7" max="7" width="4" style="58" bestFit="1" customWidth="1"/>
    <col min="8" max="8" width="6.6640625" style="58" customWidth="1"/>
    <col min="9" max="9" width="7.44140625" style="58" customWidth="1"/>
    <col min="10" max="10" width="5.88671875" style="58" customWidth="1"/>
    <col min="11" max="11" width="5.6640625" style="58" customWidth="1"/>
    <col min="12" max="12" width="2.6640625" style="58" customWidth="1"/>
    <col min="13" max="13" width="3.88671875" style="58" customWidth="1"/>
    <col min="14" max="15" width="3.109375" style="58" customWidth="1"/>
    <col min="16" max="16" width="2.6640625" style="58" customWidth="1"/>
    <col min="17" max="17" width="3.109375" style="58" customWidth="1"/>
    <col min="18" max="18" width="10.44140625" style="58" customWidth="1"/>
    <col min="19" max="19" width="3" style="58" customWidth="1"/>
    <col min="20" max="20" width="14.109375" style="58" customWidth="1"/>
    <col min="21" max="21" width="13.6640625" style="58" customWidth="1"/>
    <col min="22" max="22" width="17" style="58" customWidth="1"/>
    <col min="23" max="23" width="13.6640625" style="58" customWidth="1"/>
    <col min="24" max="24" width="13.109375" style="58" customWidth="1"/>
    <col min="25" max="25" width="14.6640625" style="58" bestFit="1" customWidth="1"/>
    <col min="26" max="26" width="13.5546875" style="58" customWidth="1"/>
    <col min="27" max="27" width="3.33203125" style="58" bestFit="1" customWidth="1"/>
    <col min="28" max="28" width="12.44140625" style="58" bestFit="1" customWidth="1"/>
    <col min="29" max="29" width="8.6640625" style="58" customWidth="1"/>
    <col min="30" max="30" width="2.88671875" style="58" customWidth="1"/>
    <col min="31" max="31" width="5" style="58" customWidth="1"/>
    <col min="32" max="32" width="9.109375" style="58"/>
    <col min="33" max="33" width="12.44140625" style="58" bestFit="1" customWidth="1"/>
    <col min="34" max="34" width="9.109375" style="58" customWidth="1"/>
    <col min="35" max="35" width="4.6640625" style="58" customWidth="1"/>
    <col min="36" max="36" width="3.33203125" style="58" bestFit="1" customWidth="1"/>
    <col min="37" max="37" width="9.109375" style="58"/>
    <col min="38" max="38" width="11" style="58" bestFit="1" customWidth="1"/>
    <col min="39" max="39" width="8.88671875" style="58" customWidth="1"/>
    <col min="40" max="40" width="7.44140625" style="58" customWidth="1"/>
    <col min="41" max="16384" width="9.109375" style="58"/>
  </cols>
  <sheetData>
    <row r="1" spans="2:28" ht="12.75" customHeight="1">
      <c r="W1" s="860" t="s">
        <v>1437</v>
      </c>
      <c r="X1" s="137">
        <f>U21+U57+U86</f>
        <v>145099.61499999999</v>
      </c>
      <c r="Y1" s="137">
        <f>X1*36</f>
        <v>5223586.1399999997</v>
      </c>
    </row>
    <row r="2" spans="2:28" ht="12.75" customHeight="1">
      <c r="W2" s="58" t="s">
        <v>1438</v>
      </c>
      <c r="X2" s="116">
        <f>H29+H65+H95</f>
        <v>515655</v>
      </c>
      <c r="Y2" s="137">
        <f t="shared" ref="Y2:Y3" si="0">X2*36</f>
        <v>18563580</v>
      </c>
      <c r="Z2" s="755"/>
      <c r="AA2" s="755"/>
    </row>
    <row r="3" spans="2:28" ht="12.75" customHeight="1">
      <c r="W3" s="58" t="s">
        <v>1439</v>
      </c>
      <c r="X3" s="116">
        <f>T29+T65+T95</f>
        <v>0</v>
      </c>
      <c r="Y3" s="137">
        <f t="shared" si="0"/>
        <v>0</v>
      </c>
      <c r="Z3" s="755"/>
      <c r="AA3" s="755"/>
    </row>
    <row r="4" spans="2:28" ht="12.75" customHeight="1">
      <c r="W4" s="116"/>
    </row>
    <row r="5" spans="2:28" ht="12.75" customHeight="1">
      <c r="W5" s="116"/>
    </row>
    <row r="6" spans="2:28" ht="12.75" customHeight="1">
      <c r="W6" s="116"/>
    </row>
    <row r="7" spans="2:28" ht="18.75" customHeight="1">
      <c r="B7" s="1044" t="s">
        <v>343</v>
      </c>
      <c r="C7" s="1044"/>
      <c r="D7" s="1044"/>
      <c r="E7" s="887" t="s">
        <v>1468</v>
      </c>
      <c r="W7" s="137"/>
    </row>
    <row r="8" spans="2:28" ht="12.75" customHeight="1">
      <c r="B8" s="71"/>
      <c r="C8" s="71"/>
      <c r="D8" s="71"/>
      <c r="E8" s="71"/>
      <c r="F8" s="71"/>
      <c r="G8" s="71"/>
      <c r="H8" s="71"/>
      <c r="I8" s="71"/>
      <c r="J8" s="71"/>
      <c r="K8" s="71"/>
      <c r="L8" s="71"/>
      <c r="M8" s="71"/>
      <c r="N8" s="71"/>
      <c r="O8" s="71"/>
      <c r="P8" s="71"/>
      <c r="Q8" s="71"/>
      <c r="R8" s="71"/>
      <c r="S8" s="71"/>
      <c r="T8" s="71"/>
      <c r="U8" s="71"/>
      <c r="V8" s="71"/>
      <c r="W8" s="987">
        <f>CRONOGRAMA!AJ7</f>
        <v>46111</v>
      </c>
      <c r="X8" s="987">
        <f>CRONOGRAMA!AQ7</f>
        <v>46138</v>
      </c>
      <c r="Y8" s="58">
        <f>X8-W8+3</f>
        <v>30</v>
      </c>
      <c r="Z8" s="920">
        <f>Y8/30</f>
        <v>1</v>
      </c>
      <c r="AA8" s="695"/>
      <c r="AB8" s="116"/>
    </row>
    <row r="9" spans="2:28" ht="24" customHeight="1">
      <c r="B9" s="71"/>
      <c r="C9" s="1045" t="s">
        <v>303</v>
      </c>
      <c r="D9" s="1045"/>
      <c r="E9" s="1046"/>
      <c r="F9" s="71"/>
      <c r="G9" s="71"/>
      <c r="H9" s="1039" t="s">
        <v>344</v>
      </c>
      <c r="I9" s="1039"/>
      <c r="J9" s="1040">
        <f>U21</f>
        <v>34496.262500000004</v>
      </c>
      <c r="K9" s="1040"/>
      <c r="L9" s="1040"/>
      <c r="M9" s="448"/>
      <c r="N9" s="447"/>
      <c r="O9" s="1047" t="s">
        <v>345</v>
      </c>
      <c r="P9" s="1047"/>
      <c r="Q9" s="1047"/>
      <c r="R9" s="1047"/>
      <c r="S9" s="1047"/>
      <c r="T9" s="1047"/>
      <c r="U9" s="1048" t="s">
        <v>346</v>
      </c>
      <c r="V9" s="1047"/>
      <c r="W9" s="1557" t="s">
        <v>1420</v>
      </c>
      <c r="X9" s="1557"/>
      <c r="Y9" s="137"/>
      <c r="Z9" s="137"/>
      <c r="AA9" s="116"/>
    </row>
    <row r="10" spans="2:28" ht="12.75" customHeight="1">
      <c r="B10" s="71"/>
      <c r="C10" s="446"/>
      <c r="D10" s="446"/>
      <c r="E10" s="1038">
        <f>J9+J10+J11</f>
        <v>200886.81805555557</v>
      </c>
      <c r="F10" s="71"/>
      <c r="G10" s="71"/>
      <c r="H10" s="1039" t="s">
        <v>347</v>
      </c>
      <c r="I10" s="1039"/>
      <c r="J10" s="1040">
        <f>V29</f>
        <v>156390.55555555556</v>
      </c>
      <c r="K10" s="1040"/>
      <c r="L10" s="1040"/>
      <c r="M10" s="449"/>
      <c r="N10" s="402"/>
      <c r="O10" s="1041">
        <f>Y8/30</f>
        <v>1</v>
      </c>
      <c r="P10" s="1041"/>
      <c r="Q10" s="1041"/>
      <c r="R10" s="1041"/>
      <c r="S10" s="1041"/>
      <c r="T10" s="1041"/>
      <c r="U10" s="1042">
        <f>E10*O10</f>
        <v>200886.81805555557</v>
      </c>
      <c r="V10" s="1043"/>
      <c r="W10" s="994"/>
      <c r="X10" s="755"/>
      <c r="Z10" s="137"/>
    </row>
    <row r="11" spans="2:28" ht="12.75" customHeight="1">
      <c r="B11" s="73"/>
      <c r="C11" s="446"/>
      <c r="D11" s="446"/>
      <c r="E11" s="1038"/>
      <c r="F11" s="71"/>
      <c r="G11" s="71"/>
      <c r="H11" s="1039" t="s">
        <v>348</v>
      </c>
      <c r="I11" s="1039"/>
      <c r="J11" s="1040">
        <f>Q39</f>
        <v>10000</v>
      </c>
      <c r="K11" s="1040"/>
      <c r="L11" s="1040"/>
      <c r="M11" s="449"/>
      <c r="N11" s="402"/>
      <c r="O11" s="1041"/>
      <c r="P11" s="1041"/>
      <c r="Q11" s="1041"/>
      <c r="R11" s="1041"/>
      <c r="S11" s="1041"/>
      <c r="T11" s="1041"/>
      <c r="U11" s="1042"/>
      <c r="V11" s="1043"/>
      <c r="W11" s="116">
        <f>U10/40000*0.75</f>
        <v>3.7666278385416669</v>
      </c>
    </row>
    <row r="12" spans="2:28" ht="12.75" customHeight="1">
      <c r="B12" s="71"/>
      <c r="C12" s="71"/>
      <c r="D12" s="71"/>
      <c r="E12" s="71"/>
      <c r="F12" s="71"/>
      <c r="G12" s="71"/>
      <c r="H12" s="71"/>
      <c r="I12" s="71"/>
      <c r="J12" s="71"/>
      <c r="K12" s="71"/>
      <c r="L12" s="71"/>
      <c r="M12" s="71"/>
      <c r="N12" s="71"/>
      <c r="O12" s="71"/>
      <c r="P12" s="71"/>
      <c r="Q12" s="71"/>
      <c r="R12" s="71"/>
      <c r="S12" s="71"/>
      <c r="T12" s="71"/>
      <c r="U12" s="71"/>
      <c r="V12" s="71"/>
    </row>
    <row r="14" spans="2:28" ht="12.75" customHeight="1">
      <c r="B14" s="1055" t="s">
        <v>344</v>
      </c>
      <c r="C14" s="1055"/>
      <c r="D14" s="1055"/>
      <c r="E14" s="1055"/>
      <c r="F14" s="1055"/>
      <c r="G14" s="1055"/>
      <c r="H14" s="1055"/>
      <c r="I14" s="1055"/>
      <c r="J14" s="1055"/>
      <c r="K14" s="1055"/>
      <c r="L14" s="1055"/>
      <c r="M14" s="1055"/>
      <c r="N14" s="1055"/>
      <c r="O14" s="1055"/>
      <c r="P14" s="1055"/>
      <c r="Q14" s="1055"/>
      <c r="R14" s="1055"/>
      <c r="S14" s="1055"/>
      <c r="T14" s="1055"/>
      <c r="U14" s="1055"/>
      <c r="V14" s="1055"/>
    </row>
    <row r="15" spans="2:28" ht="12.75" customHeight="1">
      <c r="B15" s="1056" t="s">
        <v>183</v>
      </c>
      <c r="C15" s="1057"/>
      <c r="D15" s="1060" t="s">
        <v>349</v>
      </c>
      <c r="E15" s="1060"/>
      <c r="F15" s="1060"/>
      <c r="G15" s="1060" t="s">
        <v>350</v>
      </c>
      <c r="H15" s="1060" t="s">
        <v>351</v>
      </c>
      <c r="I15" s="1060"/>
      <c r="J15" s="1060" t="s">
        <v>352</v>
      </c>
      <c r="K15" s="1060"/>
      <c r="L15" s="1060"/>
      <c r="M15" s="1060"/>
      <c r="N15" s="1544" t="s">
        <v>1366</v>
      </c>
      <c r="O15" s="1544"/>
      <c r="P15" s="1544"/>
      <c r="Q15" s="1544"/>
      <c r="R15" s="1544"/>
      <c r="S15" s="1061" t="s">
        <v>353</v>
      </c>
      <c r="T15" s="1061"/>
      <c r="U15" s="1062" t="s">
        <v>346</v>
      </c>
      <c r="V15" s="1060"/>
    </row>
    <row r="16" spans="2:28" ht="22.5" customHeight="1">
      <c r="B16" s="1058"/>
      <c r="C16" s="1059"/>
      <c r="D16" s="1060"/>
      <c r="E16" s="1060"/>
      <c r="F16" s="1060"/>
      <c r="G16" s="1060"/>
      <c r="H16" s="1060"/>
      <c r="I16" s="1060"/>
      <c r="J16" s="1060"/>
      <c r="K16" s="1060"/>
      <c r="L16" s="1060"/>
      <c r="M16" s="1060"/>
      <c r="N16" s="1544"/>
      <c r="O16" s="1544"/>
      <c r="P16" s="1544"/>
      <c r="Q16" s="1544"/>
      <c r="R16" s="1544"/>
      <c r="S16" s="1061"/>
      <c r="T16" s="1061"/>
      <c r="U16" s="1063"/>
      <c r="V16" s="1060"/>
    </row>
    <row r="17" spans="2:44" ht="15" customHeight="1">
      <c r="B17" s="74" t="str">
        <f>F17</f>
        <v>P0048</v>
      </c>
      <c r="C17" s="199"/>
      <c r="D17" s="75"/>
      <c r="E17" s="198" t="s">
        <v>1370</v>
      </c>
      <c r="F17" s="198" t="str">
        <f>VLOOKUP(E17,'MÃO DE OBRA'!$A:$B,2,FALSE)</f>
        <v>P0048</v>
      </c>
      <c r="G17" s="186">
        <v>1</v>
      </c>
      <c r="H17" s="1049">
        <f>IF(D17="h",VLOOKUP(B17,'MÃO DE OBRA'!$B$3:$D$97,3,0)*220,VLOOKUP(B17,'MÃO DE OBRA'!$B$3:$D$97,3,0))</f>
        <v>3813.8</v>
      </c>
      <c r="I17" s="1050"/>
      <c r="J17" s="76" t="s">
        <v>354</v>
      </c>
      <c r="K17" s="1051">
        <f>IF(J17="",0,IF(J17="D",H17*DADOS!$D$18,H17*DADOS!$D$19))</f>
        <v>953.45</v>
      </c>
      <c r="L17" s="1052"/>
      <c r="M17" s="1053"/>
      <c r="N17" s="186"/>
      <c r="O17" s="1051"/>
      <c r="P17" s="1052"/>
      <c r="Q17" s="1052"/>
      <c r="R17" s="1053"/>
      <c r="S17" s="1054">
        <f>IF(G17="",0,IF(C17="3º",0,IF(C17="PJ",0,((H17+K17)*DADOS!$D$7)+((H17+K17)*DADOS!$D$6))))</f>
        <v>2908.0225</v>
      </c>
      <c r="T17" s="1054"/>
      <c r="U17" s="450">
        <f>IF(G17="",0,SUM(H17,K17,,O17,V17,S17))</f>
        <v>7675.2725</v>
      </c>
      <c r="V17" s="451"/>
      <c r="W17" s="116"/>
      <c r="X17" s="116"/>
    </row>
    <row r="18" spans="2:44" ht="13.8">
      <c r="B18" s="75" t="str">
        <f t="shared" ref="B18:B20" si="1">F18</f>
        <v>P0032</v>
      </c>
      <c r="C18" s="199"/>
      <c r="D18" s="75"/>
      <c r="E18" s="198" t="s">
        <v>1174</v>
      </c>
      <c r="F18" s="198" t="str">
        <f>VLOOKUP(E18,'MÃO DE OBRA'!$A:$B,2,FALSE)</f>
        <v>P0032</v>
      </c>
      <c r="G18" s="186">
        <v>3</v>
      </c>
      <c r="H18" s="1049">
        <f>IF(D18="h",VLOOKUP(B18,'MÃO DE OBRA'!$B$3:$D$97,3,0)*220,VLOOKUP(B18,'MÃO DE OBRA'!$B$3:$D$97,3,0))</f>
        <v>2853</v>
      </c>
      <c r="I18" s="1050"/>
      <c r="J18" s="76" t="s">
        <v>354</v>
      </c>
      <c r="K18" s="1051">
        <f>IF(J18="",0,IF(J18="D",H18*DADOS!$D$18,H18*DADOS!$D$19))</f>
        <v>713.25</v>
      </c>
      <c r="L18" s="1052"/>
      <c r="M18" s="1053"/>
      <c r="N18" s="186"/>
      <c r="O18" s="1051"/>
      <c r="P18" s="1052"/>
      <c r="Q18" s="1052"/>
      <c r="R18" s="1053"/>
      <c r="S18" s="1054">
        <f>IF(G18="",0,IF(C18="3º",0,IF(C18="PJ",0,((H18+K18)*DADOS!$D$7)+((H18+K18)*DADOS!$D$6))))</f>
        <v>2175.4124999999999</v>
      </c>
      <c r="T18" s="1054"/>
      <c r="U18" s="450">
        <f t="shared" ref="U18:U20" si="2">IF(G18="",0,SUM(H18,K18,,O18,V18,S18))</f>
        <v>5741.6625000000004</v>
      </c>
      <c r="V18" s="451"/>
      <c r="W18" s="116"/>
      <c r="AD18" s="137"/>
    </row>
    <row r="19" spans="2:44" ht="13.8">
      <c r="B19" s="75" t="str">
        <f t="shared" si="1"/>
        <v>P0045</v>
      </c>
      <c r="C19" s="199"/>
      <c r="D19" s="75"/>
      <c r="E19" s="198" t="s">
        <v>1369</v>
      </c>
      <c r="F19" s="198" t="str">
        <f>VLOOKUP(E19,'MÃO DE OBRA'!$A:$B,2,FALSE)</f>
        <v>P0045</v>
      </c>
      <c r="G19" s="186">
        <v>1</v>
      </c>
      <c r="H19" s="1049">
        <f>IF(D19="h",VLOOKUP(B19,'MÃO DE OBRA'!$B$3:$D$97,3,0)*220,VLOOKUP(B19,'MÃO DE OBRA'!$B$3:$D$97,3,0))</f>
        <v>2805.6</v>
      </c>
      <c r="I19" s="1050"/>
      <c r="J19" s="76" t="s">
        <v>354</v>
      </c>
      <c r="K19" s="1051">
        <f>IF(J19="",0,IF(J19="D",H19*DADOS!$D$18,H19*DADOS!$D$19))</f>
        <v>701.4</v>
      </c>
      <c r="L19" s="1052"/>
      <c r="M19" s="1053"/>
      <c r="N19" s="186"/>
      <c r="O19" s="1051"/>
      <c r="P19" s="1052"/>
      <c r="Q19" s="1052"/>
      <c r="R19" s="1053"/>
      <c r="S19" s="1054">
        <f>IF(G19="",0,IF(C19="3º",0,IF(C19="PJ",0,((H19+K19)*DADOS!$D$7)+((H19+K19)*DADOS!$D$6))))</f>
        <v>2139.27</v>
      </c>
      <c r="T19" s="1054"/>
      <c r="U19" s="450">
        <f t="shared" si="2"/>
        <v>5646.27</v>
      </c>
      <c r="V19" s="451"/>
      <c r="AD19" s="137"/>
    </row>
    <row r="20" spans="2:44" ht="13.8">
      <c r="B20" s="75" t="str">
        <f t="shared" si="1"/>
        <v>P0001</v>
      </c>
      <c r="C20" s="199"/>
      <c r="D20" s="75"/>
      <c r="E20" s="198" t="s">
        <v>356</v>
      </c>
      <c r="F20" s="198" t="str">
        <f>VLOOKUP(E20,'MÃO DE OBRA'!$A:$B,2,FALSE)</f>
        <v>P0001</v>
      </c>
      <c r="G20" s="186">
        <v>1</v>
      </c>
      <c r="H20" s="1049">
        <f>IF(D20="h",VLOOKUP(B20,'MÃO DE OBRA'!$B$3:$D$97,3,0)*220,VLOOKUP(B20,'MÃO DE OBRA'!$B$3:$D$97,3,0))</f>
        <v>1962.6</v>
      </c>
      <c r="I20" s="1050"/>
      <c r="J20" s="76" t="s">
        <v>354</v>
      </c>
      <c r="K20" s="1051">
        <f>IF(J20="",0,IF(J20="D",H20*DADOS!$D$18,H20*DADOS!$D$19))</f>
        <v>490.65</v>
      </c>
      <c r="L20" s="1052"/>
      <c r="M20" s="1053"/>
      <c r="N20" s="186"/>
      <c r="O20" s="1051"/>
      <c r="P20" s="1052"/>
      <c r="Q20" s="1052"/>
      <c r="R20" s="1053"/>
      <c r="S20" s="1054">
        <f>IF(G20="",0,IF(C20="3º",0,IF(C20="PJ",0,((H20+K20)*DADOS!$D$7)+((H20+K20)*DADOS!$D$6))))</f>
        <v>1496.4825000000001</v>
      </c>
      <c r="T20" s="1054"/>
      <c r="U20" s="450">
        <f t="shared" si="2"/>
        <v>3949.7325000000001</v>
      </c>
      <c r="V20" s="451"/>
      <c r="W20" s="116"/>
    </row>
    <row r="21" spans="2:44" ht="13.8">
      <c r="B21" s="1064"/>
      <c r="C21" s="1065"/>
      <c r="D21" s="1066" t="s">
        <v>175</v>
      </c>
      <c r="E21" s="1066"/>
      <c r="F21" s="1066"/>
      <c r="G21" s="818">
        <f>SUM(G17:G20)</f>
        <v>6</v>
      </c>
      <c r="H21" s="1067">
        <f>SUMPRODUCT($G$17:$G$20,H17:H20)</f>
        <v>17141</v>
      </c>
      <c r="I21" s="1068"/>
      <c r="J21" s="1067">
        <f>SUMPRODUCT($G$17:$G$20,K17:K20)</f>
        <v>4285.25</v>
      </c>
      <c r="K21" s="1068"/>
      <c r="L21" s="1068"/>
      <c r="M21" s="1069"/>
      <c r="N21" s="1067">
        <f>SUMPRODUCT($G$17:$G$20,O17:O20)</f>
        <v>0</v>
      </c>
      <c r="O21" s="1068"/>
      <c r="P21" s="1068"/>
      <c r="Q21" s="1068"/>
      <c r="R21" s="1069"/>
      <c r="S21" s="1067">
        <f>SUMPRODUCT($G$17:$G$20,S17:S20)</f>
        <v>13070.012499999999</v>
      </c>
      <c r="T21" s="1069"/>
      <c r="U21" s="453">
        <f>SUMPRODUCT($G$17:$G$20,U17:U20)</f>
        <v>34496.262500000004</v>
      </c>
      <c r="V21" s="452"/>
      <c r="W21" s="116"/>
    </row>
    <row r="22" spans="2:44" ht="12.75" customHeight="1">
      <c r="R22" s="116"/>
    </row>
    <row r="23" spans="2:44" ht="12.75" customHeight="1">
      <c r="B23" s="1055" t="s">
        <v>347</v>
      </c>
      <c r="C23" s="1055"/>
      <c r="D23" s="1055"/>
      <c r="E23" s="1055"/>
      <c r="F23" s="1055"/>
      <c r="G23" s="1055"/>
      <c r="H23" s="1055"/>
      <c r="I23" s="1055"/>
      <c r="J23" s="1055"/>
      <c r="K23" s="1055"/>
      <c r="L23" s="1055"/>
      <c r="M23" s="1055"/>
      <c r="N23" s="1055"/>
      <c r="O23" s="1055"/>
      <c r="P23" s="1055"/>
      <c r="Q23" s="1055"/>
      <c r="R23" s="1055"/>
      <c r="S23" s="1055"/>
      <c r="T23" s="1055"/>
      <c r="U23" s="1055"/>
      <c r="V23" s="1055"/>
      <c r="Y23" s="116"/>
      <c r="AD23" s="693"/>
    </row>
    <row r="24" spans="2:44" ht="12.75" customHeight="1">
      <c r="B24" s="1056" t="s">
        <v>357</v>
      </c>
      <c r="C24" s="1088"/>
      <c r="D24" s="1088"/>
      <c r="E24" s="1088" t="s">
        <v>358</v>
      </c>
      <c r="F24" s="1088"/>
      <c r="G24" s="1089" t="s">
        <v>350</v>
      </c>
      <c r="H24" s="1056" t="s">
        <v>359</v>
      </c>
      <c r="I24" s="1088"/>
      <c r="J24" s="1057"/>
      <c r="K24" s="1089" t="s">
        <v>360</v>
      </c>
      <c r="L24" s="1091"/>
      <c r="M24" s="1091"/>
      <c r="N24" s="1091"/>
      <c r="O24" s="1092"/>
      <c r="P24" s="1056" t="s">
        <v>361</v>
      </c>
      <c r="Q24" s="1088"/>
      <c r="R24" s="1088"/>
      <c r="S24" s="1088"/>
      <c r="T24" s="1095" t="s">
        <v>362</v>
      </c>
      <c r="U24" s="1092" t="s">
        <v>363</v>
      </c>
      <c r="V24" s="1062" t="s">
        <v>364</v>
      </c>
      <c r="Y24" s="116"/>
    </row>
    <row r="25" spans="2:44" ht="13.8">
      <c r="B25" s="1058"/>
      <c r="C25" s="1075"/>
      <c r="D25" s="1075"/>
      <c r="E25" s="1075"/>
      <c r="F25" s="1075"/>
      <c r="G25" s="1090"/>
      <c r="H25" s="1058"/>
      <c r="I25" s="1075"/>
      <c r="J25" s="1059"/>
      <c r="K25" s="1090"/>
      <c r="L25" s="1093"/>
      <c r="M25" s="1093"/>
      <c r="N25" s="1093"/>
      <c r="O25" s="1094"/>
      <c r="P25" s="1058" t="s">
        <v>365</v>
      </c>
      <c r="Q25" s="1075"/>
      <c r="R25" s="1075"/>
      <c r="S25" s="1075"/>
      <c r="T25" s="1096"/>
      <c r="U25" s="1094"/>
      <c r="V25" s="1063"/>
    </row>
    <row r="26" spans="2:44" ht="13.8">
      <c r="B26" s="200" t="str">
        <f>F26</f>
        <v>E0022</v>
      </c>
      <c r="C26" s="456"/>
      <c r="D26" s="457"/>
      <c r="E26" s="200" t="s">
        <v>1371</v>
      </c>
      <c r="F26" s="198" t="str">
        <f>VLOOKUP($E26,EQUIPAMENTOS!$A:$B,2,FALSE)</f>
        <v>E0022</v>
      </c>
      <c r="G26" s="434">
        <f>G17</f>
        <v>1</v>
      </c>
      <c r="H26" s="1100">
        <f>VLOOKUP($B26,EQUIPAMENTOS!$B$3:$N$99,9,0)*200</f>
        <v>38516.666666666672</v>
      </c>
      <c r="I26" s="1101"/>
      <c r="J26" s="1101"/>
      <c r="K26" s="1082" t="s">
        <v>367</v>
      </c>
      <c r="L26" s="1083"/>
      <c r="M26" s="1084">
        <v>200</v>
      </c>
      <c r="N26" s="1084"/>
      <c r="O26" s="1084"/>
      <c r="P26" s="80" t="s">
        <v>380</v>
      </c>
      <c r="Q26" s="1085">
        <f>VLOOKUP($B26,EQUIPAMENTOS!$B$3:$N$99,13,0)</f>
        <v>16</v>
      </c>
      <c r="R26" s="1086"/>
      <c r="S26" s="1087"/>
      <c r="T26" s="441">
        <f>IF(Q26="","",IF(K26="km",M26/Q26,M26*Q26)*INDEX(DADOS!$1:$1048576,MATCH(P26,DADOS!D:D,0),5))</f>
        <v>0</v>
      </c>
      <c r="U26" s="202">
        <f>SUM(H26,T26)</f>
        <v>38516.666666666672</v>
      </c>
      <c r="V26" s="436">
        <f>U26*G26</f>
        <v>38516.666666666672</v>
      </c>
      <c r="W26" s="116"/>
    </row>
    <row r="27" spans="2:44" ht="13.8">
      <c r="B27" s="200" t="str">
        <f>F27</f>
        <v>E0033</v>
      </c>
      <c r="C27" s="456"/>
      <c r="D27" s="457"/>
      <c r="E27" s="200" t="s">
        <v>1372</v>
      </c>
      <c r="F27" s="198" t="str">
        <f>VLOOKUP($E27,EQUIPAMENTOS!$A:$B,2,FALSE)</f>
        <v>E0033</v>
      </c>
      <c r="G27" s="434">
        <v>1</v>
      </c>
      <c r="H27" s="1100">
        <f>VLOOKUP($B27,EQUIPAMENTOS!$B$3:$N$99,9,0)*200</f>
        <v>42873.888888888891</v>
      </c>
      <c r="I27" s="1101"/>
      <c r="J27" s="1101"/>
      <c r="K27" s="1082" t="s">
        <v>367</v>
      </c>
      <c r="L27" s="1083"/>
      <c r="M27" s="1084">
        <v>200</v>
      </c>
      <c r="N27" s="1084"/>
      <c r="O27" s="1084"/>
      <c r="P27" s="80" t="s">
        <v>380</v>
      </c>
      <c r="Q27" s="1085">
        <f>VLOOKUP($B27,EQUIPAMENTOS!$B$3:$N$99,13,0)</f>
        <v>26</v>
      </c>
      <c r="R27" s="1086"/>
      <c r="S27" s="1087"/>
      <c r="T27" s="441">
        <f>IF(Q27="","",IF(K27="km",M27/Q27,M27*Q27)*INDEX(DADOS!$1:$1048576,MATCH(P27,DADOS!D:D,0),5))</f>
        <v>0</v>
      </c>
      <c r="U27" s="202">
        <f>SUM(H27,T27)</f>
        <v>42873.888888888891</v>
      </c>
      <c r="V27" s="436">
        <f>U27*G27</f>
        <v>42873.888888888891</v>
      </c>
      <c r="AR27" s="116"/>
    </row>
    <row r="28" spans="2:44" ht="13.8">
      <c r="B28" s="200" t="str">
        <f>F28</f>
        <v>E0002</v>
      </c>
      <c r="C28" s="456"/>
      <c r="D28" s="457"/>
      <c r="E28" s="200" t="s">
        <v>1157</v>
      </c>
      <c r="F28" s="198" t="str">
        <f>VLOOKUP($E28,EQUIPAMENTOS!$A:$B,2,FALSE)</f>
        <v>E0002</v>
      </c>
      <c r="G28" s="434">
        <v>3</v>
      </c>
      <c r="H28" s="1100">
        <f>VLOOKUP($B28,EQUIPAMENTOS!$B$3:$N$99,9,0)*200</f>
        <v>25000</v>
      </c>
      <c r="I28" s="1101"/>
      <c r="J28" s="1101"/>
      <c r="K28" s="1528" t="s">
        <v>381</v>
      </c>
      <c r="L28" s="1119"/>
      <c r="M28" s="1120">
        <f>Y58*30*Z50*2</f>
        <v>3300.0000000000005</v>
      </c>
      <c r="N28" s="1120"/>
      <c r="O28" s="1120"/>
      <c r="P28" s="80" t="s">
        <v>380</v>
      </c>
      <c r="Q28" s="1085">
        <f>VLOOKUP($B28,EQUIPAMENTOS!$B$3:$N$99,13,0)</f>
        <v>2.5</v>
      </c>
      <c r="R28" s="1086"/>
      <c r="S28" s="1087"/>
      <c r="T28" s="441">
        <f>IF(Q28="","",IF(K28="km",M28/Q28,M28*Q28)*INDEX(DADOS!$1:$1048576,MATCH(P28,DADOS!D:D,0),5))</f>
        <v>0</v>
      </c>
      <c r="U28" s="202">
        <f>SUM(H28,T28)</f>
        <v>25000</v>
      </c>
      <c r="V28" s="436">
        <f>U28*G28</f>
        <v>75000</v>
      </c>
      <c r="X28" s="116"/>
    </row>
    <row r="29" spans="2:44" ht="12.75" customHeight="1">
      <c r="B29" s="1123"/>
      <c r="C29" s="1124"/>
      <c r="D29" s="1125"/>
      <c r="E29" s="1126" t="s">
        <v>175</v>
      </c>
      <c r="F29" s="1535"/>
      <c r="G29" s="435">
        <f>SUM(G26:G28)</f>
        <v>5</v>
      </c>
      <c r="H29" s="1532">
        <f>SUMPRODUCT(G26:$G$28,H26:H28)</f>
        <v>156390.55555555556</v>
      </c>
      <c r="I29" s="1533"/>
      <c r="J29" s="1534"/>
      <c r="K29" s="1129"/>
      <c r="L29" s="1130"/>
      <c r="M29" s="1130"/>
      <c r="N29" s="1130"/>
      <c r="O29" s="1131"/>
      <c r="P29" s="699"/>
      <c r="Q29" s="819"/>
      <c r="R29" s="819"/>
      <c r="S29" s="819"/>
      <c r="T29" s="665">
        <f>SUMPRODUCT($G26:G$28,T26:T28)</f>
        <v>0</v>
      </c>
      <c r="U29" s="665"/>
      <c r="V29" s="668">
        <f>SUM(V26:V28)</f>
        <v>156390.55555555556</v>
      </c>
      <c r="W29" s="116"/>
      <c r="X29" s="116"/>
    </row>
    <row r="30" spans="2:44" ht="12.75" customHeight="1">
      <c r="H30" s="1555">
        <f>H29*O10</f>
        <v>156390.55555555556</v>
      </c>
      <c r="I30" s="1555"/>
      <c r="J30" s="1555"/>
      <c r="T30" s="116">
        <f>T29*O10</f>
        <v>0</v>
      </c>
      <c r="W30" s="116"/>
      <c r="X30" s="116"/>
      <c r="Z30" s="116"/>
    </row>
    <row r="31" spans="2:44" ht="12.75" customHeight="1">
      <c r="W31" s="116"/>
      <c r="X31" s="116"/>
      <c r="Z31" s="116"/>
    </row>
    <row r="32" spans="2:44" ht="12.75" customHeight="1">
      <c r="B32" s="1529" t="s">
        <v>1334</v>
      </c>
      <c r="C32" s="1530"/>
      <c r="D32" s="1530"/>
      <c r="E32" s="1530"/>
      <c r="F32" s="1530"/>
      <c r="G32" s="1530"/>
      <c r="H32" s="1530"/>
      <c r="I32" s="1530"/>
      <c r="J32" s="1530"/>
      <c r="K32" s="1530"/>
      <c r="L32" s="1530"/>
      <c r="M32" s="1530"/>
      <c r="N32" s="1530"/>
      <c r="O32" s="1530"/>
      <c r="P32" s="1530"/>
      <c r="Q32" s="1530"/>
      <c r="R32" s="1530"/>
      <c r="S32" s="1530"/>
      <c r="T32" s="1530"/>
      <c r="U32" s="1530"/>
      <c r="V32" s="1531"/>
    </row>
    <row r="33" spans="2:43" ht="12.75" customHeight="1">
      <c r="B33" s="1112" t="s">
        <v>183</v>
      </c>
      <c r="C33" s="1114"/>
      <c r="D33" s="1112" t="s">
        <v>324</v>
      </c>
      <c r="E33" s="1113"/>
      <c r="F33" s="1114"/>
      <c r="G33" s="1112" t="s">
        <v>371</v>
      </c>
      <c r="H33" s="1114"/>
      <c r="I33" s="1115" t="s">
        <v>372</v>
      </c>
      <c r="J33" s="1132"/>
      <c r="K33" s="1116"/>
      <c r="L33" s="1115" t="s">
        <v>189</v>
      </c>
      <c r="M33" s="1132"/>
      <c r="N33" s="1132"/>
      <c r="O33" s="1132"/>
      <c r="P33" s="1116"/>
      <c r="Q33" s="1112" t="s">
        <v>373</v>
      </c>
      <c r="R33" s="1113"/>
      <c r="S33" s="1113"/>
      <c r="T33" s="1114"/>
      <c r="U33" s="1115"/>
      <c r="V33" s="1116"/>
    </row>
    <row r="34" spans="2:43" ht="12.75" customHeight="1">
      <c r="B34" s="186"/>
      <c r="C34" s="430"/>
      <c r="D34" s="1538" t="s">
        <v>426</v>
      </c>
      <c r="E34" s="1539"/>
      <c r="F34" s="1539"/>
      <c r="G34" s="1536" t="s">
        <v>412</v>
      </c>
      <c r="H34" s="1536"/>
      <c r="I34" s="1540">
        <f>G29</f>
        <v>5</v>
      </c>
      <c r="J34" s="1540"/>
      <c r="K34" s="1540"/>
      <c r="L34" s="1540">
        <v>2000</v>
      </c>
      <c r="M34" s="1540"/>
      <c r="N34" s="1540"/>
      <c r="O34" s="1540"/>
      <c r="P34" s="1540"/>
      <c r="Q34" s="1541">
        <f t="shared" ref="Q34:Q37" si="3">I34*L34</f>
        <v>10000</v>
      </c>
      <c r="R34" s="1541"/>
      <c r="S34" s="1541"/>
      <c r="T34" s="1541"/>
      <c r="U34" s="1536"/>
      <c r="V34" s="1537"/>
      <c r="W34" s="116"/>
    </row>
    <row r="35" spans="2:43" ht="12.75" customHeight="1">
      <c r="B35" s="186"/>
      <c r="C35" s="430"/>
      <c r="D35" s="1538"/>
      <c r="E35" s="1539"/>
      <c r="F35" s="1539"/>
      <c r="G35" s="1536"/>
      <c r="H35" s="1536"/>
      <c r="I35" s="1540"/>
      <c r="J35" s="1540"/>
      <c r="K35" s="1540"/>
      <c r="L35" s="1540"/>
      <c r="M35" s="1540"/>
      <c r="N35" s="1540"/>
      <c r="O35" s="1540"/>
      <c r="P35" s="1540"/>
      <c r="Q35" s="1541">
        <f t="shared" si="3"/>
        <v>0</v>
      </c>
      <c r="R35" s="1541"/>
      <c r="S35" s="1541"/>
      <c r="T35" s="1541"/>
      <c r="U35" s="1536"/>
      <c r="V35" s="1537"/>
      <c r="W35" s="116"/>
    </row>
    <row r="36" spans="2:43" ht="12.75" hidden="1" customHeight="1">
      <c r="B36" s="186"/>
      <c r="C36" s="430"/>
      <c r="D36" s="1538"/>
      <c r="E36" s="1539"/>
      <c r="F36" s="1539"/>
      <c r="G36" s="1536"/>
      <c r="H36" s="1536"/>
      <c r="I36" s="1540"/>
      <c r="J36" s="1540"/>
      <c r="K36" s="1540"/>
      <c r="L36" s="1540"/>
      <c r="M36" s="1540"/>
      <c r="N36" s="1540"/>
      <c r="O36" s="1540"/>
      <c r="P36" s="1540"/>
      <c r="Q36" s="1541">
        <f t="shared" si="3"/>
        <v>0</v>
      </c>
      <c r="R36" s="1541"/>
      <c r="S36" s="1541"/>
      <c r="T36" s="1541"/>
      <c r="U36" s="1536"/>
      <c r="V36" s="1537"/>
      <c r="W36" s="116"/>
    </row>
    <row r="37" spans="2:43" ht="12.75" hidden="1" customHeight="1">
      <c r="B37" s="186"/>
      <c r="C37" s="430"/>
      <c r="D37" s="1538"/>
      <c r="E37" s="1539"/>
      <c r="F37" s="1539"/>
      <c r="G37" s="1536"/>
      <c r="H37" s="1536"/>
      <c r="I37" s="1540"/>
      <c r="J37" s="1540"/>
      <c r="K37" s="1540"/>
      <c r="L37" s="1540"/>
      <c r="M37" s="1540"/>
      <c r="N37" s="1540"/>
      <c r="O37" s="1540"/>
      <c r="P37" s="1540"/>
      <c r="Q37" s="1541">
        <f t="shared" si="3"/>
        <v>0</v>
      </c>
      <c r="R37" s="1541"/>
      <c r="S37" s="1541"/>
      <c r="T37" s="1541"/>
      <c r="U37" s="1536"/>
      <c r="V37" s="1537"/>
      <c r="W37" s="116"/>
    </row>
    <row r="38" spans="2:43" ht="12.75" hidden="1" customHeight="1">
      <c r="B38" s="186"/>
      <c r="C38" s="430"/>
      <c r="D38" s="1538"/>
      <c r="E38" s="1539"/>
      <c r="F38" s="1539"/>
      <c r="G38" s="1536"/>
      <c r="H38" s="1536"/>
      <c r="I38" s="1120"/>
      <c r="J38" s="1120"/>
      <c r="K38" s="1120"/>
      <c r="L38" s="1120"/>
      <c r="M38" s="1120"/>
      <c r="N38" s="1120"/>
      <c r="O38" s="1120"/>
      <c r="P38" s="1120"/>
      <c r="Q38" s="1541"/>
      <c r="R38" s="1541"/>
      <c r="S38" s="1541"/>
      <c r="T38" s="1541"/>
      <c r="U38" s="1536"/>
      <c r="V38" s="1537"/>
    </row>
    <row r="39" spans="2:43" ht="12.75" customHeight="1">
      <c r="B39" s="1123"/>
      <c r="C39" s="1125"/>
      <c r="D39" s="1123"/>
      <c r="E39" s="1124"/>
      <c r="F39" s="1125"/>
      <c r="G39" s="1123"/>
      <c r="H39" s="1125"/>
      <c r="I39" s="1123"/>
      <c r="J39" s="1124"/>
      <c r="K39" s="1125"/>
      <c r="L39" s="1123"/>
      <c r="M39" s="1124"/>
      <c r="N39" s="1124"/>
      <c r="O39" s="1124"/>
      <c r="P39" s="1125"/>
      <c r="Q39" s="1545">
        <f>SUM(Q34:T38)</f>
        <v>10000</v>
      </c>
      <c r="R39" s="1546"/>
      <c r="S39" s="1546"/>
      <c r="T39" s="1547"/>
      <c r="U39" s="1123"/>
      <c r="V39" s="1125"/>
    </row>
    <row r="41" spans="2:43" ht="12.75" customHeight="1">
      <c r="Q41" s="58" t="s">
        <v>102</v>
      </c>
    </row>
    <row r="42" spans="2:43" ht="12.75" customHeight="1">
      <c r="X42" s="116"/>
    </row>
    <row r="43" spans="2:43" ht="12.75" customHeight="1">
      <c r="B43" s="1044" t="s">
        <v>343</v>
      </c>
      <c r="C43" s="1044"/>
      <c r="D43" s="1044"/>
      <c r="E43" s="887" t="s">
        <v>1467</v>
      </c>
      <c r="X43" s="116"/>
      <c r="Y43" s="116"/>
      <c r="Z43" s="116"/>
    </row>
    <row r="44" spans="2:43" s="988" customFormat="1" ht="24" customHeight="1">
      <c r="B44" s="986"/>
      <c r="C44" s="986"/>
      <c r="D44" s="986"/>
      <c r="E44" s="986"/>
      <c r="F44" s="986"/>
      <c r="G44" s="986"/>
      <c r="H44" s="986"/>
      <c r="I44" s="986"/>
      <c r="J44" s="986"/>
      <c r="K44" s="986"/>
      <c r="L44" s="986"/>
      <c r="M44" s="986"/>
      <c r="N44" s="986"/>
      <c r="O44" s="986"/>
      <c r="P44" s="986"/>
      <c r="Q44" s="986"/>
      <c r="R44" s="986"/>
      <c r="S44" s="986"/>
      <c r="T44" s="986"/>
      <c r="U44" s="986"/>
      <c r="V44" s="986"/>
      <c r="W44" s="987">
        <f>CRONOGRAMA!AP7</f>
        <v>46132</v>
      </c>
      <c r="X44" s="987">
        <f>CRONOGRAMA!AS7-1</f>
        <v>46144</v>
      </c>
      <c r="Y44" s="988">
        <f>X44-W44+3</f>
        <v>15</v>
      </c>
      <c r="Z44" s="989"/>
      <c r="AB44" s="162"/>
    </row>
    <row r="45" spans="2:43" ht="12.75" customHeight="1">
      <c r="B45" s="71"/>
      <c r="C45" s="1045" t="s">
        <v>303</v>
      </c>
      <c r="D45" s="1045"/>
      <c r="E45" s="1046"/>
      <c r="F45" s="71"/>
      <c r="G45" s="71"/>
      <c r="H45" s="1039" t="s">
        <v>344</v>
      </c>
      <c r="I45" s="1039"/>
      <c r="J45" s="1040">
        <f>U57</f>
        <v>34496.262500000004</v>
      </c>
      <c r="K45" s="1040"/>
      <c r="L45" s="1040"/>
      <c r="M45" s="448"/>
      <c r="N45" s="447"/>
      <c r="O45" s="1047" t="s">
        <v>345</v>
      </c>
      <c r="P45" s="1047"/>
      <c r="Q45" s="1047"/>
      <c r="R45" s="1047"/>
      <c r="S45" s="1047"/>
      <c r="T45" s="1047"/>
      <c r="U45" s="1048" t="s">
        <v>346</v>
      </c>
      <c r="V45" s="1047"/>
      <c r="W45" s="886"/>
      <c r="AA45"/>
      <c r="AB45" s="116"/>
    </row>
    <row r="46" spans="2:43" ht="12.75" customHeight="1" thickBot="1">
      <c r="B46" s="71"/>
      <c r="C46" s="446"/>
      <c r="D46" s="446"/>
      <c r="E46" s="1038">
        <f>J45+J46+J47</f>
        <v>190886.81805555557</v>
      </c>
      <c r="F46" s="71"/>
      <c r="G46" s="71"/>
      <c r="H46" s="1039" t="s">
        <v>347</v>
      </c>
      <c r="I46" s="1039"/>
      <c r="J46" s="1040">
        <f>V65</f>
        <v>156390.55555555556</v>
      </c>
      <c r="K46" s="1040"/>
      <c r="L46" s="1040"/>
      <c r="M46" s="449"/>
      <c r="N46" s="402"/>
      <c r="O46" s="1041">
        <f>Y44/30*2</f>
        <v>1</v>
      </c>
      <c r="P46" s="1041"/>
      <c r="Q46" s="1041"/>
      <c r="R46" s="1041"/>
      <c r="S46" s="1041"/>
      <c r="T46" s="1041"/>
      <c r="U46" s="1042">
        <f>E46*O46</f>
        <v>190886.81805555557</v>
      </c>
      <c r="V46" s="1043"/>
      <c r="W46" s="116">
        <f>U46/6000</f>
        <v>31.814469675925928</v>
      </c>
      <c r="AA46"/>
    </row>
    <row r="47" spans="2:43" ht="12.75" customHeight="1">
      <c r="B47" s="73"/>
      <c r="C47" s="446"/>
      <c r="D47" s="446"/>
      <c r="E47" s="1038"/>
      <c r="F47" s="71"/>
      <c r="G47" s="71"/>
      <c r="H47" s="1039" t="s">
        <v>348</v>
      </c>
      <c r="I47" s="1039"/>
      <c r="J47" s="1040"/>
      <c r="K47" s="1040"/>
      <c r="L47" s="1040"/>
      <c r="M47" s="449"/>
      <c r="N47" s="402"/>
      <c r="O47" s="1041"/>
      <c r="P47" s="1041"/>
      <c r="Q47" s="1041"/>
      <c r="R47" s="1041"/>
      <c r="S47" s="1041"/>
      <c r="T47" s="1041"/>
      <c r="U47" s="1042"/>
      <c r="V47" s="1043"/>
      <c r="X47" s="918">
        <f>PLANEJAMENTO!E12</f>
        <v>30</v>
      </c>
      <c r="Y47" s="913"/>
      <c r="Z47" s="913"/>
      <c r="AA47" s="921"/>
      <c r="AB47" s="918">
        <f>PLANEJAMENTO!E13</f>
        <v>40000</v>
      </c>
      <c r="AC47" s="913"/>
      <c r="AD47" s="913"/>
      <c r="AE47" s="921"/>
      <c r="AF47" s="921"/>
      <c r="AG47" s="918">
        <f>PLANEJAMENTO!E17</f>
        <v>50</v>
      </c>
      <c r="AH47" s="913"/>
      <c r="AI47" s="913"/>
      <c r="AJ47" s="921"/>
      <c r="AK47" s="921"/>
      <c r="AL47" s="918">
        <f>PLANEJAMENTO!E22</f>
        <v>1</v>
      </c>
      <c r="AM47" s="913"/>
      <c r="AN47" s="913"/>
      <c r="AO47" s="921"/>
      <c r="AP47" s="913"/>
      <c r="AQ47" s="914"/>
    </row>
    <row r="48" spans="2:43" ht="12.75" customHeight="1">
      <c r="B48" s="71"/>
      <c r="C48" s="71"/>
      <c r="D48" s="71"/>
      <c r="E48" s="71"/>
      <c r="F48" s="71"/>
      <c r="G48" s="71"/>
      <c r="H48" s="71"/>
      <c r="I48" s="71"/>
      <c r="J48" s="71"/>
      <c r="K48" s="71"/>
      <c r="L48" s="71"/>
      <c r="M48" s="71"/>
      <c r="N48" s="71"/>
      <c r="O48" s="71"/>
      <c r="P48" s="71"/>
      <c r="Q48" s="71"/>
      <c r="R48" s="71"/>
      <c r="S48" s="71"/>
      <c r="T48" s="71"/>
      <c r="U48" s="71"/>
      <c r="V48" s="71"/>
      <c r="X48" s="919">
        <f>X47</f>
        <v>30</v>
      </c>
      <c r="Y48" s="58" t="s">
        <v>931</v>
      </c>
      <c r="AB48" s="919">
        <f>AB47</f>
        <v>40000</v>
      </c>
      <c r="AC48" s="58" t="s">
        <v>931</v>
      </c>
      <c r="AG48" s="919">
        <f>AG47</f>
        <v>50</v>
      </c>
      <c r="AH48" s="58" t="s">
        <v>931</v>
      </c>
      <c r="AL48" s="919">
        <f>AL47</f>
        <v>1</v>
      </c>
      <c r="AM48" s="58" t="s">
        <v>931</v>
      </c>
      <c r="AQ48" s="916"/>
    </row>
    <row r="49" spans="2:43" ht="12.75" customHeight="1">
      <c r="X49" s="915">
        <v>60</v>
      </c>
      <c r="Y49" s="58" t="s">
        <v>1179</v>
      </c>
      <c r="Z49" s="58">
        <v>55</v>
      </c>
      <c r="AA49" s="58" t="s">
        <v>370</v>
      </c>
      <c r="AB49" s="915">
        <v>60</v>
      </c>
      <c r="AC49" s="58" t="s">
        <v>1179</v>
      </c>
      <c r="AD49" s="58">
        <v>55</v>
      </c>
      <c r="AE49" s="58" t="s">
        <v>370</v>
      </c>
      <c r="AG49" s="915">
        <v>60</v>
      </c>
      <c r="AH49" s="58" t="s">
        <v>1179</v>
      </c>
      <c r="AI49" s="58">
        <v>55</v>
      </c>
      <c r="AJ49" s="58" t="s">
        <v>370</v>
      </c>
      <c r="AL49" s="915">
        <v>60</v>
      </c>
      <c r="AM49" s="58" t="s">
        <v>1179</v>
      </c>
      <c r="AN49" s="58">
        <v>55</v>
      </c>
      <c r="AO49" s="58" t="s">
        <v>370</v>
      </c>
      <c r="AQ49" s="916"/>
    </row>
    <row r="50" spans="2:43" ht="12.75" customHeight="1">
      <c r="B50" s="1055" t="s">
        <v>344</v>
      </c>
      <c r="C50" s="1055"/>
      <c r="D50" s="1055"/>
      <c r="E50" s="1055"/>
      <c r="F50" s="1055"/>
      <c r="G50" s="1055"/>
      <c r="H50" s="1055"/>
      <c r="I50" s="1055"/>
      <c r="J50" s="1055"/>
      <c r="K50" s="1055"/>
      <c r="L50" s="1055"/>
      <c r="M50" s="1055"/>
      <c r="N50" s="1055"/>
      <c r="O50" s="1055"/>
      <c r="P50" s="1055"/>
      <c r="Q50" s="1055"/>
      <c r="R50" s="1055"/>
      <c r="S50" s="1055"/>
      <c r="T50" s="1055"/>
      <c r="U50" s="1055"/>
      <c r="V50" s="1055"/>
      <c r="X50" s="935">
        <f>X49*Z50/Z49</f>
        <v>1.0909090909090908</v>
      </c>
      <c r="Z50" s="58">
        <v>1</v>
      </c>
      <c r="AB50" s="935">
        <f>AB49*AD50/AD49</f>
        <v>1.6363636363636365</v>
      </c>
      <c r="AD50" s="58">
        <v>1.5</v>
      </c>
      <c r="AG50" s="935">
        <f>AG49*AI50/AI49</f>
        <v>2.1818181818181817</v>
      </c>
      <c r="AI50" s="58">
        <v>2</v>
      </c>
      <c r="AL50" s="935">
        <f>AL49*AN50/AN49</f>
        <v>2.7272727272727271</v>
      </c>
      <c r="AN50" s="58">
        <v>2.5</v>
      </c>
      <c r="AQ50" s="916"/>
    </row>
    <row r="51" spans="2:43" ht="12.75" customHeight="1">
      <c r="B51" s="1056" t="s">
        <v>183</v>
      </c>
      <c r="C51" s="1057"/>
      <c r="D51" s="1060" t="s">
        <v>349</v>
      </c>
      <c r="E51" s="1060"/>
      <c r="F51" s="1060"/>
      <c r="G51" s="1060" t="s">
        <v>350</v>
      </c>
      <c r="H51" s="1060" t="s">
        <v>351</v>
      </c>
      <c r="I51" s="1060"/>
      <c r="J51" s="1060" t="s">
        <v>352</v>
      </c>
      <c r="K51" s="1060"/>
      <c r="L51" s="1060"/>
      <c r="M51" s="1060"/>
      <c r="N51" s="1544" t="s">
        <v>1366</v>
      </c>
      <c r="O51" s="1544"/>
      <c r="P51" s="1544"/>
      <c r="Q51" s="1544"/>
      <c r="R51" s="1544"/>
      <c r="S51" s="1061" t="s">
        <v>353</v>
      </c>
      <c r="T51" s="1061"/>
      <c r="U51" s="1062" t="s">
        <v>346</v>
      </c>
      <c r="V51" s="1060"/>
      <c r="X51" s="915"/>
      <c r="AB51" s="915"/>
      <c r="AG51" s="915"/>
      <c r="AL51" s="915"/>
      <c r="AQ51" s="916"/>
    </row>
    <row r="52" spans="2:43" ht="12.75" customHeight="1">
      <c r="B52" s="1058"/>
      <c r="C52" s="1059"/>
      <c r="D52" s="1060"/>
      <c r="E52" s="1060"/>
      <c r="F52" s="1060"/>
      <c r="G52" s="1060"/>
      <c r="H52" s="1060"/>
      <c r="I52" s="1060"/>
      <c r="J52" s="1060"/>
      <c r="K52" s="1060"/>
      <c r="L52" s="1060"/>
      <c r="M52" s="1060"/>
      <c r="N52" s="1544"/>
      <c r="O52" s="1544"/>
      <c r="P52" s="1544"/>
      <c r="Q52" s="1544"/>
      <c r="R52" s="1544"/>
      <c r="S52" s="1061"/>
      <c r="T52" s="1061"/>
      <c r="U52" s="1063"/>
      <c r="V52" s="1060"/>
      <c r="X52" s="915"/>
      <c r="AB52" s="915"/>
      <c r="AG52" s="915"/>
      <c r="AL52" s="915"/>
      <c r="AP52" s="116"/>
      <c r="AQ52" s="916"/>
    </row>
    <row r="53" spans="2:43" ht="12.75" customHeight="1">
      <c r="B53" s="75" t="str">
        <f>F53</f>
        <v>P0048</v>
      </c>
      <c r="C53" s="199"/>
      <c r="D53" s="75"/>
      <c r="E53" s="198" t="s">
        <v>1370</v>
      </c>
      <c r="F53" s="198" t="str">
        <f>VLOOKUP(E53,'MÃO DE OBRA'!$A:$B,2,FALSE)</f>
        <v>P0048</v>
      </c>
      <c r="G53" s="861">
        <v>1</v>
      </c>
      <c r="H53" s="1049">
        <f>IF(D53="h",VLOOKUP(B53,'MÃO DE OBRA'!$B$3:$D$97,3,0)*220,VLOOKUP(B53,'MÃO DE OBRA'!$B$3:$D$97,3,0))</f>
        <v>3813.8</v>
      </c>
      <c r="I53" s="1050"/>
      <c r="J53" s="76" t="s">
        <v>354</v>
      </c>
      <c r="K53" s="1051">
        <f>IF(J53="",0,IF(J53="D",H53*DADOS!$D$18,H53*DADOS!$D$19))</f>
        <v>953.45</v>
      </c>
      <c r="L53" s="1052"/>
      <c r="M53" s="1053"/>
      <c r="N53" s="186"/>
      <c r="O53" s="1051"/>
      <c r="P53" s="1052"/>
      <c r="Q53" s="1052"/>
      <c r="R53" s="1053"/>
      <c r="S53" s="1054">
        <f>IF(G53="",0,IF(C53="3º",0,IF(C53="PJ",0,((H53+K53)*DADOS!$D$7)+((H53+K53)*DADOS!$D$6))))</f>
        <v>2908.0225</v>
      </c>
      <c r="T53" s="1054"/>
      <c r="U53" s="450">
        <f>IF(G53="",0,SUM(H53,K53,,O53,V53,S53))</f>
        <v>7675.2725</v>
      </c>
      <c r="V53" s="451"/>
      <c r="X53" s="915"/>
      <c r="Y53" s="887" t="s">
        <v>1184</v>
      </c>
      <c r="AB53" s="915"/>
      <c r="AC53" s="887" t="s">
        <v>1184</v>
      </c>
      <c r="AG53" s="915"/>
      <c r="AH53" s="887" t="s">
        <v>1184</v>
      </c>
      <c r="AL53" s="915"/>
      <c r="AM53" s="887" t="s">
        <v>1184</v>
      </c>
      <c r="AP53" s="887"/>
      <c r="AQ53" s="916"/>
    </row>
    <row r="54" spans="2:43" ht="12.75" customHeight="1">
      <c r="B54" s="75" t="str">
        <f>F54</f>
        <v>P0045</v>
      </c>
      <c r="C54" s="199"/>
      <c r="D54" s="75"/>
      <c r="E54" s="77" t="s">
        <v>1369</v>
      </c>
      <c r="F54" s="198" t="str">
        <f>VLOOKUP(E54,'MÃO DE OBRA'!$A:$B,2,FALSE)</f>
        <v>P0045</v>
      </c>
      <c r="G54" s="861">
        <v>1</v>
      </c>
      <c r="H54" s="1049">
        <f>IF(D54="h",VLOOKUP(B54,'MÃO DE OBRA'!$B$3:$D$97,3,0)*220,VLOOKUP(B54,'MÃO DE OBRA'!$B$3:$D$97,3,0))</f>
        <v>2805.6</v>
      </c>
      <c r="I54" s="1050"/>
      <c r="J54" s="76" t="s">
        <v>354</v>
      </c>
      <c r="K54" s="1051">
        <f>IF(J54="",0,IF(J54="D",H54*DADOS!$D$18,H54*DADOS!$D$19))</f>
        <v>701.4</v>
      </c>
      <c r="L54" s="1052"/>
      <c r="M54" s="1053"/>
      <c r="N54" s="186"/>
      <c r="O54" s="1051"/>
      <c r="P54" s="1052"/>
      <c r="Q54" s="1052"/>
      <c r="R54" s="1053"/>
      <c r="S54" s="1054">
        <f>IF(G54="",0,IF(C54="3º",0,IF(C54="PJ",0,((H54+K54)*DADOS!$D$7)+((H54+K54)*DADOS!$D$6))))</f>
        <v>2139.27</v>
      </c>
      <c r="T54" s="1054"/>
      <c r="U54" s="450">
        <f>IF(G54="",0,SUM(H54,K54,,O54,V54,S54))</f>
        <v>5646.27</v>
      </c>
      <c r="V54" s="451"/>
      <c r="W54" s="116">
        <f>U54*G54*O46</f>
        <v>5646.27</v>
      </c>
      <c r="X54" s="915"/>
      <c r="Y54" s="58">
        <f>Z50</f>
        <v>1</v>
      </c>
      <c r="Z54" s="58" t="s">
        <v>1217</v>
      </c>
      <c r="AB54" s="915"/>
      <c r="AC54" s="58">
        <f>AD50</f>
        <v>1.5</v>
      </c>
      <c r="AD54" s="58" t="s">
        <v>1217</v>
      </c>
      <c r="AG54" s="915"/>
      <c r="AH54" s="58">
        <f>AI50</f>
        <v>2</v>
      </c>
      <c r="AI54" s="58" t="s">
        <v>1217</v>
      </c>
      <c r="AL54" s="915"/>
      <c r="AM54" s="58">
        <f>AN50</f>
        <v>2.5</v>
      </c>
      <c r="AN54" s="58" t="s">
        <v>1217</v>
      </c>
      <c r="AP54" s="917"/>
      <c r="AQ54" s="916"/>
    </row>
    <row r="55" spans="2:43" ht="12.75" customHeight="1">
      <c r="B55" s="75" t="str">
        <f>F55</f>
        <v>P0001</v>
      </c>
      <c r="C55" s="199"/>
      <c r="D55" s="75"/>
      <c r="E55" s="198" t="s">
        <v>356</v>
      </c>
      <c r="F55" s="198" t="str">
        <f>VLOOKUP(E55,'MÃO DE OBRA'!$A:$B,2,FALSE)</f>
        <v>P0001</v>
      </c>
      <c r="G55" s="186">
        <v>1</v>
      </c>
      <c r="H55" s="1049">
        <f>IF(D55="h",VLOOKUP(B55,'MÃO DE OBRA'!$B$3:$D$97,3,0)*220,VLOOKUP(B55,'MÃO DE OBRA'!$B$3:$D$97,3,0))</f>
        <v>1962.6</v>
      </c>
      <c r="I55" s="1050"/>
      <c r="J55" s="76" t="s">
        <v>354</v>
      </c>
      <c r="K55" s="1051">
        <f>IF(J55="",0,IF(J55="D",H55*DADOS!$D$18,H55*DADOS!$D$19))</f>
        <v>490.65</v>
      </c>
      <c r="L55" s="1052"/>
      <c r="M55" s="1053"/>
      <c r="N55" s="186"/>
      <c r="O55" s="1051"/>
      <c r="P55" s="1052"/>
      <c r="Q55" s="1052"/>
      <c r="R55" s="1053"/>
      <c r="S55" s="1054">
        <f>IF(G55="",0,IF(C55="3º",0,IF(C55="PJ",0,((H55+K55)*DADOS!$D$7)+((H55+K55)*DADOS!$D$6))))</f>
        <v>1496.4825000000001</v>
      </c>
      <c r="T55" s="1054"/>
      <c r="U55" s="450">
        <f>IF(G55="",0,SUM(H55,K55,,O55,V55,S55))</f>
        <v>3949.7325000000001</v>
      </c>
      <c r="V55" s="451"/>
      <c r="W55" s="116">
        <f>U55*G55*O46</f>
        <v>3949.7325000000001</v>
      </c>
      <c r="X55" s="915"/>
      <c r="Y55" s="58">
        <f>Z49</f>
        <v>55</v>
      </c>
      <c r="Z55" s="58" t="s">
        <v>1180</v>
      </c>
      <c r="AB55" s="915"/>
      <c r="AC55" s="58">
        <f>AD49</f>
        <v>55</v>
      </c>
      <c r="AD55" s="58" t="s">
        <v>1180</v>
      </c>
      <c r="AG55" s="915"/>
      <c r="AH55" s="58">
        <f>AI49</f>
        <v>55</v>
      </c>
      <c r="AI55" s="58" t="s">
        <v>1180</v>
      </c>
      <c r="AL55" s="915"/>
      <c r="AM55" s="58">
        <f>AN49</f>
        <v>55</v>
      </c>
      <c r="AN55" s="58" t="s">
        <v>1180</v>
      </c>
      <c r="AP55" s="917"/>
      <c r="AQ55" s="916"/>
    </row>
    <row r="56" spans="2:43" ht="12.75" customHeight="1">
      <c r="B56" s="75" t="str">
        <f>F56</f>
        <v>P0032</v>
      </c>
      <c r="C56" s="199"/>
      <c r="D56" s="75"/>
      <c r="E56" s="198" t="s">
        <v>1174</v>
      </c>
      <c r="F56" s="198" t="str">
        <f>VLOOKUP(E56,'MÃO DE OBRA'!$A:$B,2,FALSE)</f>
        <v>P0032</v>
      </c>
      <c r="G56" s="186">
        <v>3</v>
      </c>
      <c r="H56" s="1049">
        <f>IF(D56="h",VLOOKUP(B56,'MÃO DE OBRA'!$B$3:$D$97,3,0)*220,VLOOKUP(B56,'MÃO DE OBRA'!$B$3:$D$97,3,0))</f>
        <v>2853</v>
      </c>
      <c r="I56" s="1050"/>
      <c r="J56" s="76" t="s">
        <v>354</v>
      </c>
      <c r="K56" s="1051">
        <f>IF(J56="",0,IF(J56="D",H56*DADOS!$D$18,H56*DADOS!$D$19))</f>
        <v>713.25</v>
      </c>
      <c r="L56" s="1052"/>
      <c r="M56" s="1053"/>
      <c r="N56" s="186"/>
      <c r="O56" s="1051"/>
      <c r="P56" s="1052"/>
      <c r="Q56" s="1052"/>
      <c r="R56" s="1053"/>
      <c r="S56" s="1054">
        <f>IF(G56="",0,IF(C56="3º",0,IF(C56="PJ",0,((H56+K56)*DADOS!$D$7)+((H56+K56)*DADOS!$D$6))))</f>
        <v>2175.4124999999999</v>
      </c>
      <c r="T56" s="1054"/>
      <c r="U56" s="450">
        <f>IF(G56="",0,SUM(H56,K56,,O56,V56,S56))</f>
        <v>5741.6625000000004</v>
      </c>
      <c r="V56" s="451"/>
      <c r="W56" s="116">
        <f>U56*G56*O46</f>
        <v>17224.987500000003</v>
      </c>
      <c r="X56" s="915"/>
      <c r="Y56" s="58">
        <v>6</v>
      </c>
      <c r="Z56" s="58" t="s">
        <v>1181</v>
      </c>
      <c r="AB56" s="915"/>
      <c r="AC56" s="58">
        <v>6</v>
      </c>
      <c r="AD56" s="58" t="s">
        <v>1181</v>
      </c>
      <c r="AG56" s="915"/>
      <c r="AH56" s="58">
        <v>6</v>
      </c>
      <c r="AI56" s="58" t="s">
        <v>1181</v>
      </c>
      <c r="AL56" s="915"/>
      <c r="AM56" s="58">
        <v>6</v>
      </c>
      <c r="AN56" s="58" t="s">
        <v>1181</v>
      </c>
      <c r="AP56" s="116"/>
      <c r="AQ56" s="916"/>
    </row>
    <row r="57" spans="2:43" ht="12.75" customHeight="1">
      <c r="B57" s="1064"/>
      <c r="C57" s="1065"/>
      <c r="D57" s="1066" t="s">
        <v>175</v>
      </c>
      <c r="E57" s="1066"/>
      <c r="F57" s="1066"/>
      <c r="G57" s="818">
        <f>SUM(G53:G56)</f>
        <v>6</v>
      </c>
      <c r="H57" s="1067">
        <f>SUMPRODUCT($G$53:$G$56,H53:H56)</f>
        <v>17141</v>
      </c>
      <c r="I57" s="1068"/>
      <c r="J57" s="1067">
        <f>SUMPRODUCT($G$53:$G$56,K53:K56)</f>
        <v>4285.25</v>
      </c>
      <c r="K57" s="1068"/>
      <c r="L57" s="1068"/>
      <c r="M57" s="1069"/>
      <c r="N57" s="1067"/>
      <c r="O57" s="1068"/>
      <c r="P57" s="1068"/>
      <c r="Q57" s="1068"/>
      <c r="R57" s="1069"/>
      <c r="S57" s="1067">
        <f>SUMPRODUCT($G$53:$G$56,S53:S56)</f>
        <v>13070.012499999999</v>
      </c>
      <c r="T57" s="1069"/>
      <c r="U57" s="453">
        <f>SUMPRODUCT($G$53:$G$56,U53:U56)</f>
        <v>34496.262500000004</v>
      </c>
      <c r="V57" s="452"/>
      <c r="W57" s="116">
        <f>U57*O46</f>
        <v>34496.262500000004</v>
      </c>
      <c r="X57" s="915"/>
      <c r="Y57" s="137">
        <f>Y56+X50+Y56</f>
        <v>13.09090909090909</v>
      </c>
      <c r="Z57" s="58" t="s">
        <v>1182</v>
      </c>
      <c r="AB57" s="915"/>
      <c r="AC57" s="137">
        <f>AC56+AB50+AB50</f>
        <v>9.2727272727272734</v>
      </c>
      <c r="AD57" s="58" t="s">
        <v>1182</v>
      </c>
      <c r="AG57" s="915"/>
      <c r="AH57" s="137">
        <f>AH56+AG50+AG50</f>
        <v>10.363636363636363</v>
      </c>
      <c r="AI57" s="58" t="s">
        <v>1182</v>
      </c>
      <c r="AL57" s="915"/>
      <c r="AM57" s="137">
        <f>AM56+AL50+AL50</f>
        <v>11.454545454545453</v>
      </c>
      <c r="AN57" s="58" t="s">
        <v>1182</v>
      </c>
      <c r="AQ57" s="916"/>
    </row>
    <row r="58" spans="2:43" ht="12.75" customHeight="1">
      <c r="X58" s="915"/>
      <c r="Y58" s="116">
        <f>X49*12/Y57</f>
        <v>55.000000000000007</v>
      </c>
      <c r="Z58" s="58" t="s">
        <v>1185</v>
      </c>
      <c r="AB58" s="915"/>
      <c r="AC58" s="116">
        <f>AB49*12/AC57</f>
        <v>77.647058823529406</v>
      </c>
      <c r="AD58" s="58" t="s">
        <v>1185</v>
      </c>
      <c r="AG58" s="915"/>
      <c r="AH58" s="116">
        <f>AG49*12/AH57</f>
        <v>69.473684210526315</v>
      </c>
      <c r="AI58" s="58" t="s">
        <v>1185</v>
      </c>
      <c r="AL58" s="915"/>
      <c r="AM58" s="116">
        <f>AL49*12/AM57</f>
        <v>62.857142857142861</v>
      </c>
      <c r="AN58" s="58" t="s">
        <v>1185</v>
      </c>
      <c r="AP58" s="116"/>
      <c r="AQ58" s="916"/>
    </row>
    <row r="59" spans="2:43" ht="12.75" customHeight="1">
      <c r="B59" s="1055" t="s">
        <v>347</v>
      </c>
      <c r="C59" s="1055"/>
      <c r="D59" s="1055"/>
      <c r="E59" s="1055"/>
      <c r="F59" s="1055"/>
      <c r="G59" s="1055"/>
      <c r="H59" s="1055"/>
      <c r="I59" s="1055"/>
      <c r="J59" s="1055"/>
      <c r="K59" s="1055"/>
      <c r="L59" s="1055"/>
      <c r="M59" s="1055"/>
      <c r="N59" s="1055"/>
      <c r="O59" s="1055"/>
      <c r="P59" s="1055"/>
      <c r="Q59" s="1055"/>
      <c r="R59" s="1055"/>
      <c r="S59" s="1055"/>
      <c r="T59" s="1055"/>
      <c r="U59" s="1055"/>
      <c r="V59" s="1055"/>
      <c r="X59" s="915"/>
      <c r="Y59" s="917"/>
      <c r="AB59" s="915"/>
      <c r="AC59" s="917"/>
      <c r="AG59" s="915"/>
      <c r="AH59" s="917"/>
      <c r="AL59" s="915"/>
      <c r="AM59" s="917"/>
      <c r="AQ59" s="916"/>
    </row>
    <row r="60" spans="2:43" ht="12.75" customHeight="1">
      <c r="B60" s="1056" t="s">
        <v>357</v>
      </c>
      <c r="C60" s="1088"/>
      <c r="D60" s="1088"/>
      <c r="E60" s="1088" t="s">
        <v>358</v>
      </c>
      <c r="F60" s="1088"/>
      <c r="G60" s="1089" t="s">
        <v>350</v>
      </c>
      <c r="H60" s="1056" t="s">
        <v>359</v>
      </c>
      <c r="I60" s="1088"/>
      <c r="J60" s="1057"/>
      <c r="K60" s="1089" t="s">
        <v>360</v>
      </c>
      <c r="L60" s="1091"/>
      <c r="M60" s="1091"/>
      <c r="N60" s="1091"/>
      <c r="O60" s="1092"/>
      <c r="P60" s="1056" t="s">
        <v>361</v>
      </c>
      <c r="Q60" s="1088"/>
      <c r="R60" s="1088"/>
      <c r="S60" s="1088"/>
      <c r="T60" s="1095" t="s">
        <v>362</v>
      </c>
      <c r="U60" s="1092" t="s">
        <v>363</v>
      </c>
      <c r="V60" s="1062" t="s">
        <v>364</v>
      </c>
      <c r="X60" s="915"/>
      <c r="Y60" s="116">
        <f>X48/(Y58*20)</f>
        <v>2.7272727272727268E-2</v>
      </c>
      <c r="Z60" s="58" t="s">
        <v>1183</v>
      </c>
      <c r="AB60" s="915"/>
      <c r="AC60" s="116">
        <f>AB48/(AC58*20)</f>
        <v>25.757575757575761</v>
      </c>
      <c r="AD60" s="58" t="s">
        <v>1183</v>
      </c>
      <c r="AG60" s="915"/>
      <c r="AH60" s="116">
        <f>AG48/(AH58*20)</f>
        <v>3.5984848484848488E-2</v>
      </c>
      <c r="AI60" s="58" t="s">
        <v>1183</v>
      </c>
      <c r="AL60" s="915"/>
      <c r="AM60" s="116">
        <f>AL48/(AM58*20)</f>
        <v>7.9545454545454537E-4</v>
      </c>
      <c r="AN60" s="58" t="s">
        <v>1183</v>
      </c>
      <c r="AP60" s="917"/>
      <c r="AQ60" s="916"/>
    </row>
    <row r="61" spans="2:43" ht="12.75" customHeight="1">
      <c r="B61" s="1058"/>
      <c r="C61" s="1075"/>
      <c r="D61" s="1075"/>
      <c r="E61" s="1075"/>
      <c r="F61" s="1075"/>
      <c r="G61" s="1090"/>
      <c r="H61" s="1058"/>
      <c r="I61" s="1075"/>
      <c r="J61" s="1059"/>
      <c r="K61" s="1090"/>
      <c r="L61" s="1093"/>
      <c r="M61" s="1093"/>
      <c r="N61" s="1093"/>
      <c r="O61" s="1094"/>
      <c r="P61" s="1058" t="s">
        <v>365</v>
      </c>
      <c r="Q61" s="1075"/>
      <c r="R61" s="1075"/>
      <c r="S61" s="1075"/>
      <c r="T61" s="1096"/>
      <c r="U61" s="1094"/>
      <c r="V61" s="1063"/>
      <c r="X61" s="915"/>
      <c r="Y61" s="116">
        <f>Y60/30</f>
        <v>9.0909090909090898E-4</v>
      </c>
      <c r="Z61" s="58" t="s">
        <v>1186</v>
      </c>
      <c r="AB61" s="915"/>
      <c r="AC61" s="116">
        <f>AC60/30</f>
        <v>0.85858585858585867</v>
      </c>
      <c r="AD61" s="58" t="s">
        <v>1186</v>
      </c>
      <c r="AG61" s="915"/>
      <c r="AH61" s="116">
        <f>AH60/30</f>
        <v>1.1994949494949496E-3</v>
      </c>
      <c r="AI61" s="58" t="s">
        <v>1186</v>
      </c>
      <c r="AL61" s="915"/>
      <c r="AM61" s="116">
        <f>AM60/30</f>
        <v>2.6515151515151512E-5</v>
      </c>
      <c r="AN61" s="58" t="s">
        <v>1186</v>
      </c>
      <c r="AQ61" s="916"/>
    </row>
    <row r="62" spans="2:43" s="59" customFormat="1" ht="14.4" customHeight="1" thickBot="1">
      <c r="B62" s="1004" t="str">
        <f>F62</f>
        <v>E0033</v>
      </c>
      <c r="C62" s="198"/>
      <c r="D62" s="199"/>
      <c r="E62" s="77" t="s">
        <v>1372</v>
      </c>
      <c r="F62" s="198" t="str">
        <f>VLOOKUP($E62,EQUIPAMENTOS!$A:$B,2,FALSE)</f>
        <v>E0033</v>
      </c>
      <c r="G62" s="186">
        <v>1</v>
      </c>
      <c r="H62" s="1548">
        <f>VLOOKUP($B62,EQUIPAMENTOS!$B$3:$N$99,9,0)*200</f>
        <v>42873.888888888891</v>
      </c>
      <c r="I62" s="1549"/>
      <c r="J62" s="1549"/>
      <c r="K62" s="1528" t="s">
        <v>1466</v>
      </c>
      <c r="L62" s="1119"/>
      <c r="M62" s="1120">
        <v>200</v>
      </c>
      <c r="N62" s="1120"/>
      <c r="O62" s="1120"/>
      <c r="P62" s="75" t="s">
        <v>368</v>
      </c>
      <c r="Q62" s="1543">
        <f>VLOOKUP($B62,EQUIPAMENTOS!$B$3:$N$99,13,0)</f>
        <v>26</v>
      </c>
      <c r="R62" s="1052"/>
      <c r="S62" s="1053"/>
      <c r="T62" s="1005">
        <f>IF(Q62="","",IF(K62="km",M62/Q62,200*Q62)*INDEX(DADOS!$1:$1048576,MATCH(P62,DADOS!D:D,0),5))</f>
        <v>0</v>
      </c>
      <c r="U62" s="450">
        <f>SUM(H62,T62)</f>
        <v>42873.888888888891</v>
      </c>
      <c r="V62" s="977">
        <f>U62*G62</f>
        <v>42873.888888888891</v>
      </c>
      <c r="X62" s="1006"/>
      <c r="Y62" s="1007">
        <f>Y61/G63</f>
        <v>9.0909090909090898E-4</v>
      </c>
      <c r="Z62" s="1008"/>
      <c r="AA62" s="1008"/>
      <c r="AB62" s="1006"/>
      <c r="AC62" s="1007">
        <f>AC61/G63</f>
        <v>0.85858585858585867</v>
      </c>
      <c r="AD62" s="1008"/>
      <c r="AE62" s="1008"/>
      <c r="AF62" s="1008"/>
      <c r="AG62" s="1006"/>
      <c r="AH62" s="1007">
        <f>AH61/G63</f>
        <v>1.1994949494949496E-3</v>
      </c>
      <c r="AI62" s="1008"/>
      <c r="AJ62" s="1008"/>
      <c r="AK62" s="1008"/>
      <c r="AL62" s="1006"/>
      <c r="AM62" s="1007">
        <f>AM61/G63</f>
        <v>2.6515151515151512E-5</v>
      </c>
      <c r="AN62" s="1008"/>
      <c r="AO62" s="1008"/>
      <c r="AP62" s="1008"/>
      <c r="AQ62" s="1009"/>
    </row>
    <row r="63" spans="2:43" s="59" customFormat="1" ht="14.4" customHeight="1">
      <c r="B63" s="1004" t="str">
        <f>F63</f>
        <v>E0022</v>
      </c>
      <c r="C63" s="198"/>
      <c r="D63" s="199"/>
      <c r="E63" s="77" t="s">
        <v>1371</v>
      </c>
      <c r="F63" s="198" t="str">
        <f>VLOOKUP($E63,EQUIPAMENTOS!$A:$B,2,FALSE)</f>
        <v>E0022</v>
      </c>
      <c r="G63" s="186">
        <v>1</v>
      </c>
      <c r="H63" s="1548">
        <f>VLOOKUP($B63,EQUIPAMENTOS!$B$3:$N$99,9,0)*200</f>
        <v>38516.666666666672</v>
      </c>
      <c r="I63" s="1549"/>
      <c r="J63" s="1549"/>
      <c r="K63" s="1528" t="s">
        <v>1466</v>
      </c>
      <c r="L63" s="1119"/>
      <c r="M63" s="1120">
        <v>200</v>
      </c>
      <c r="N63" s="1120"/>
      <c r="O63" s="1120"/>
      <c r="P63" s="75" t="s">
        <v>368</v>
      </c>
      <c r="Q63" s="1543">
        <f>VLOOKUP($B63,EQUIPAMENTOS!$B$3:$N$99,13,0)</f>
        <v>16</v>
      </c>
      <c r="R63" s="1052"/>
      <c r="S63" s="1053"/>
      <c r="T63" s="1005">
        <f>IF(Q63="","",IF(K63="km",M63/Q63,200*Q63)*INDEX(DADOS!$1:$1048576,MATCH(P63,DADOS!D:D,0),5))</f>
        <v>0</v>
      </c>
      <c r="U63" s="450">
        <f>SUM(H63,T63)</f>
        <v>38516.666666666672</v>
      </c>
      <c r="V63" s="977">
        <f>U63*G63</f>
        <v>38516.666666666672</v>
      </c>
      <c r="W63" s="65">
        <f>H63/(12*30)</f>
        <v>106.99074074074075</v>
      </c>
      <c r="Y63" s="1010">
        <f>Y62/($Y$62+$AC$62+$AH$62+$AM$62)</f>
        <v>1.0561970159500417E-3</v>
      </c>
      <c r="AB63" s="65"/>
      <c r="AC63" s="1010">
        <f>AC62/($Y$62+$AC$62+$AH$62+$AM$62)</f>
        <v>0.99751940395281735</v>
      </c>
      <c r="AH63" s="1010">
        <f>AH62/($Y$62+$AC$62+$AH$62+$AM$62)</f>
        <v>1.3935932849340831E-3</v>
      </c>
      <c r="AM63" s="1010">
        <f>AM62/($Y$62+$AC$62+$AH$62+$AM$62)</f>
        <v>3.0805746298542883E-5</v>
      </c>
    </row>
    <row r="64" spans="2:43" s="59" customFormat="1" ht="14.4" customHeight="1">
      <c r="B64" s="1004" t="str">
        <f>F64</f>
        <v>E0002</v>
      </c>
      <c r="C64" s="198"/>
      <c r="D64" s="199"/>
      <c r="E64" s="77" t="s">
        <v>1157</v>
      </c>
      <c r="F64" s="198" t="str">
        <f>VLOOKUP($E64,EQUIPAMENTOS!$A:$B,2,FALSE)</f>
        <v>E0002</v>
      </c>
      <c r="G64" s="186">
        <v>3</v>
      </c>
      <c r="H64" s="1548">
        <f>VLOOKUP($B64,EQUIPAMENTOS!$B$3:$N$99,9,0)*200</f>
        <v>25000</v>
      </c>
      <c r="I64" s="1549"/>
      <c r="J64" s="1549"/>
      <c r="K64" s="1528" t="s">
        <v>381</v>
      </c>
      <c r="L64" s="1119"/>
      <c r="M64" s="1120">
        <f>Y58*30*Z50*2</f>
        <v>3300.0000000000005</v>
      </c>
      <c r="N64" s="1120"/>
      <c r="O64" s="1120"/>
      <c r="P64" s="75" t="s">
        <v>368</v>
      </c>
      <c r="Q64" s="1543">
        <f>VLOOKUP($B64,EQUIPAMENTOS!$B$3:$N$99,13,0)</f>
        <v>2.5</v>
      </c>
      <c r="R64" s="1052"/>
      <c r="S64" s="1053"/>
      <c r="T64" s="1005">
        <f>IF(Q64="","",IF(K64="km",M64/Q64,200*Q64)*INDEX(DADOS!$1:$1048576,MATCH(P64,DADOS!D:D,0),5))</f>
        <v>0</v>
      </c>
      <c r="U64" s="450">
        <f>SUM(H64,T64)</f>
        <v>25000</v>
      </c>
      <c r="V64" s="977">
        <f>U64*G64</f>
        <v>75000</v>
      </c>
      <c r="X64" s="1553">
        <f>Y63*$U$46</f>
        <v>201.61408761447635</v>
      </c>
      <c r="Y64" s="1553"/>
      <c r="AB64" s="1553">
        <f>AC63*$U$46</f>
        <v>190413.3049692277</v>
      </c>
      <c r="AC64" s="1553"/>
      <c r="AG64" s="1553">
        <f>AH63*$U$46</f>
        <v>266.01858782465632</v>
      </c>
      <c r="AH64" s="1553"/>
      <c r="AL64" s="1553">
        <f>AM63*$U$46</f>
        <v>5.8804108887555602</v>
      </c>
      <c r="AM64" s="1553"/>
    </row>
    <row r="65" spans="2:39" ht="12.75" customHeight="1">
      <c r="B65" s="1123"/>
      <c r="C65" s="1124"/>
      <c r="D65" s="1125"/>
      <c r="E65" s="1126" t="s">
        <v>175</v>
      </c>
      <c r="F65" s="1127"/>
      <c r="G65" s="435">
        <f>SUM(G62:G64)</f>
        <v>5</v>
      </c>
      <c r="H65" s="1550">
        <f>SUMPRODUCT(G62:$G$64,H62:H64)</f>
        <v>156390.55555555556</v>
      </c>
      <c r="I65" s="1550"/>
      <c r="J65" s="1550"/>
      <c r="K65" s="1129"/>
      <c r="L65" s="1130"/>
      <c r="M65" s="1130"/>
      <c r="N65" s="1130"/>
      <c r="O65" s="1131"/>
      <c r="P65" s="699"/>
      <c r="Q65" s="819"/>
      <c r="R65" s="819"/>
      <c r="S65" s="819"/>
      <c r="T65" s="665">
        <f>SUMPRODUCT($G62:G$64,T62:T64)</f>
        <v>0</v>
      </c>
      <c r="U65" s="665"/>
      <c r="V65" s="668">
        <f>SUM(V62:V64)</f>
        <v>156390.55555555556</v>
      </c>
      <c r="W65" s="116">
        <f>V65*O46</f>
        <v>156390.55555555556</v>
      </c>
      <c r="X65" s="1554">
        <f>$T$65*$O$46*Y63</f>
        <v>0</v>
      </c>
      <c r="Y65" s="1554">
        <f>$T$65*$O$46*Y63</f>
        <v>0</v>
      </c>
      <c r="AB65" s="1554">
        <f>$T$65*$O$46*AC63</f>
        <v>0</v>
      </c>
      <c r="AC65" s="1554">
        <f>$T$65*$O$46*AC63</f>
        <v>0</v>
      </c>
      <c r="AG65" s="1554">
        <f>$T$65*$O$46*AH63</f>
        <v>0</v>
      </c>
      <c r="AH65" s="1554">
        <f>$T$65*$O$46*AH63</f>
        <v>0</v>
      </c>
      <c r="AL65" s="1554">
        <f>$T$65*$O$46*AM63</f>
        <v>0</v>
      </c>
      <c r="AM65" s="1554">
        <f>$T$65*$O$46*AM63</f>
        <v>0</v>
      </c>
    </row>
    <row r="66" spans="2:39" ht="12.75" customHeight="1">
      <c r="H66" s="1555">
        <f>H65*O46</f>
        <v>156390.55555555556</v>
      </c>
      <c r="I66" s="1555"/>
      <c r="N66" s="1555"/>
      <c r="O66" s="1555"/>
      <c r="P66" s="1555"/>
      <c r="Q66" s="1555"/>
      <c r="T66" s="116">
        <f>T65*O46</f>
        <v>0</v>
      </c>
      <c r="AB66" s="116"/>
    </row>
    <row r="67" spans="2:39" ht="12.75" customHeight="1">
      <c r="Y67" s="116"/>
      <c r="AC67" s="116"/>
      <c r="AH67" s="116"/>
      <c r="AM67" s="116"/>
    </row>
    <row r="68" spans="2:39" ht="12.75" customHeight="1">
      <c r="Y68" s="137"/>
      <c r="Z68" s="137"/>
      <c r="AA68" s="137"/>
      <c r="AB68" s="137"/>
      <c r="AC68" s="137"/>
      <c r="AD68" s="137"/>
      <c r="AE68" s="137"/>
      <c r="AF68" s="137"/>
      <c r="AG68" s="137"/>
      <c r="AH68" s="137"/>
      <c r="AI68" s="137"/>
      <c r="AJ68" s="137"/>
      <c r="AK68" s="137"/>
      <c r="AL68" s="137"/>
      <c r="AM68" s="137"/>
    </row>
    <row r="69" spans="2:39" ht="12.75" customHeight="1">
      <c r="B69" s="1044" t="s">
        <v>343</v>
      </c>
      <c r="C69" s="1044"/>
      <c r="D69" s="1044"/>
      <c r="E69" s="887" t="s">
        <v>1473</v>
      </c>
    </row>
    <row r="70" spans="2:39" ht="23.25" customHeight="1">
      <c r="B70" s="71"/>
      <c r="C70" s="71"/>
      <c r="D70" s="71"/>
      <c r="E70" s="71"/>
      <c r="F70" s="71"/>
      <c r="G70" s="71"/>
      <c r="H70" s="71"/>
      <c r="I70" s="71"/>
      <c r="J70" s="71"/>
      <c r="K70" s="71"/>
      <c r="L70" s="71"/>
      <c r="M70" s="71"/>
      <c r="N70" s="71"/>
      <c r="O70" s="71"/>
      <c r="P70" s="71"/>
      <c r="Q70" s="71"/>
      <c r="R70" s="71"/>
      <c r="S70" s="71"/>
      <c r="T70" s="71"/>
      <c r="U70" s="71"/>
      <c r="V70" s="71"/>
      <c r="W70" s="987">
        <f>CRONOGRAMA!AT7+2</f>
        <v>46148</v>
      </c>
      <c r="X70" s="987">
        <f>CRONOGRAMA!CK7-1</f>
        <v>46298</v>
      </c>
      <c r="Y70" s="988">
        <f>X70-W70</f>
        <v>150</v>
      </c>
    </row>
    <row r="71" spans="2:39" ht="12.75" customHeight="1">
      <c r="B71" s="71"/>
      <c r="C71" s="1045" t="s">
        <v>303</v>
      </c>
      <c r="D71" s="1045"/>
      <c r="E71" s="1046"/>
      <c r="F71" s="71"/>
      <c r="G71" s="71"/>
      <c r="H71" s="1039" t="s">
        <v>344</v>
      </c>
      <c r="I71" s="1039"/>
      <c r="J71" s="1040">
        <f>U86</f>
        <v>76107.09</v>
      </c>
      <c r="K71" s="1040"/>
      <c r="L71" s="1040"/>
      <c r="M71" s="448"/>
      <c r="N71" s="447"/>
      <c r="O71" s="1047" t="s">
        <v>345</v>
      </c>
      <c r="P71" s="1047"/>
      <c r="Q71" s="1047"/>
      <c r="R71" s="1047"/>
      <c r="S71" s="1047"/>
      <c r="T71" s="1047"/>
      <c r="U71" s="1048" t="s">
        <v>346</v>
      </c>
      <c r="V71" s="1047"/>
      <c r="W71" s="991"/>
      <c r="Y71" s="116"/>
    </row>
    <row r="72" spans="2:39" ht="12.75" customHeight="1">
      <c r="B72" s="71"/>
      <c r="C72" s="446"/>
      <c r="D72" s="446"/>
      <c r="E72" s="1038">
        <f>J71+J72+J73</f>
        <v>325647.64555555553</v>
      </c>
      <c r="F72" s="71"/>
      <c r="G72" s="71"/>
      <c r="H72" s="1039" t="s">
        <v>347</v>
      </c>
      <c r="I72" s="1039"/>
      <c r="J72" s="1040">
        <f>V95</f>
        <v>202873.88888888888</v>
      </c>
      <c r="K72" s="1040"/>
      <c r="L72" s="1040"/>
      <c r="M72" s="449"/>
      <c r="N72" s="402"/>
      <c r="O72" s="1041">
        <f>Y70/30</f>
        <v>5</v>
      </c>
      <c r="P72" s="1041"/>
      <c r="Q72" s="1041"/>
      <c r="R72" s="1041"/>
      <c r="S72" s="1041"/>
      <c r="T72" s="1041"/>
      <c r="U72" s="1042">
        <f>E72*O72</f>
        <v>1628238.2277777777</v>
      </c>
      <c r="V72" s="1043"/>
      <c r="Y72" s="116"/>
    </row>
    <row r="73" spans="2:39" ht="12.75" customHeight="1">
      <c r="B73" s="73"/>
      <c r="C73" s="446"/>
      <c r="D73" s="446"/>
      <c r="E73" s="1038"/>
      <c r="F73" s="71"/>
      <c r="G73" s="71"/>
      <c r="H73" s="1039" t="s">
        <v>348</v>
      </c>
      <c r="I73" s="1039"/>
      <c r="J73" s="1040">
        <f>Q104</f>
        <v>46666.666666666672</v>
      </c>
      <c r="K73" s="1040"/>
      <c r="L73" s="1040"/>
      <c r="M73" s="449"/>
      <c r="N73" s="402"/>
      <c r="O73" s="1041"/>
      <c r="P73" s="1041"/>
      <c r="Q73" s="1041"/>
      <c r="R73" s="1041"/>
      <c r="S73" s="1041"/>
      <c r="T73" s="1041"/>
      <c r="U73" s="1042"/>
      <c r="V73" s="1043"/>
      <c r="W73" s="116">
        <f>U72/160000</f>
        <v>10.17648892361111</v>
      </c>
    </row>
    <row r="74" spans="2:39" ht="12.75" customHeight="1">
      <c r="B74" s="71"/>
      <c r="C74" s="71"/>
      <c r="D74" s="71"/>
      <c r="E74" s="71"/>
      <c r="F74" s="71"/>
      <c r="G74" s="71"/>
      <c r="H74" s="71"/>
      <c r="I74" s="71"/>
      <c r="J74" s="71"/>
      <c r="K74" s="71"/>
      <c r="L74" s="71"/>
      <c r="M74" s="71"/>
      <c r="N74" s="71"/>
      <c r="O74" s="71"/>
      <c r="P74" s="71"/>
      <c r="Q74" s="71"/>
      <c r="R74" s="71"/>
      <c r="S74" s="71"/>
      <c r="T74" s="71"/>
      <c r="U74" s="71"/>
      <c r="V74" s="71"/>
      <c r="X74" s="889"/>
    </row>
    <row r="76" spans="2:39" ht="12.75" customHeight="1">
      <c r="B76" s="1055" t="s">
        <v>344</v>
      </c>
      <c r="C76" s="1055"/>
      <c r="D76" s="1055"/>
      <c r="E76" s="1055"/>
      <c r="F76" s="1055"/>
      <c r="G76" s="1055"/>
      <c r="H76" s="1055"/>
      <c r="I76" s="1055"/>
      <c r="J76" s="1055"/>
      <c r="K76" s="1055"/>
      <c r="L76" s="1055"/>
      <c r="M76" s="1055"/>
      <c r="N76" s="1055"/>
      <c r="O76" s="1055"/>
      <c r="P76" s="1055"/>
      <c r="Q76" s="1055"/>
      <c r="R76" s="1055"/>
      <c r="S76" s="1055"/>
      <c r="T76" s="1055"/>
      <c r="U76" s="1055"/>
      <c r="V76" s="1055"/>
    </row>
    <row r="77" spans="2:39" ht="12.75" customHeight="1">
      <c r="B77" s="1056" t="s">
        <v>183</v>
      </c>
      <c r="C77" s="1057"/>
      <c r="D77" s="1060" t="s">
        <v>349</v>
      </c>
      <c r="E77" s="1060"/>
      <c r="F77" s="1060"/>
      <c r="G77" s="1060" t="s">
        <v>350</v>
      </c>
      <c r="H77" s="1060" t="s">
        <v>351</v>
      </c>
      <c r="I77" s="1060"/>
      <c r="J77" s="1060" t="s">
        <v>352</v>
      </c>
      <c r="K77" s="1060"/>
      <c r="L77" s="1060"/>
      <c r="M77" s="1060"/>
      <c r="N77" s="1544" t="s">
        <v>1366</v>
      </c>
      <c r="O77" s="1544"/>
      <c r="P77" s="1544"/>
      <c r="Q77" s="1544"/>
      <c r="R77" s="1544"/>
      <c r="S77" s="1061" t="s">
        <v>353</v>
      </c>
      <c r="T77" s="1061"/>
      <c r="U77" s="1062" t="s">
        <v>346</v>
      </c>
      <c r="V77" s="1060"/>
    </row>
    <row r="78" spans="2:39" ht="12.75" customHeight="1">
      <c r="B78" s="1058"/>
      <c r="C78" s="1059"/>
      <c r="D78" s="1060"/>
      <c r="E78" s="1060"/>
      <c r="F78" s="1060"/>
      <c r="G78" s="1060"/>
      <c r="H78" s="1060"/>
      <c r="I78" s="1060"/>
      <c r="J78" s="1060"/>
      <c r="K78" s="1060"/>
      <c r="L78" s="1060"/>
      <c r="M78" s="1060"/>
      <c r="N78" s="1544"/>
      <c r="O78" s="1544"/>
      <c r="P78" s="1544"/>
      <c r="Q78" s="1544"/>
      <c r="R78" s="1544"/>
      <c r="S78" s="1061"/>
      <c r="T78" s="1061"/>
      <c r="U78" s="1063"/>
      <c r="V78" s="1060"/>
    </row>
    <row r="79" spans="2:39" ht="12.75" customHeight="1">
      <c r="B79" s="75" t="str">
        <f t="shared" ref="B79:B85" si="4">F79</f>
        <v>P0048</v>
      </c>
      <c r="C79" s="199"/>
      <c r="D79" s="75"/>
      <c r="E79" s="77" t="s">
        <v>1370</v>
      </c>
      <c r="F79" s="198" t="str">
        <f>VLOOKUP(E79,'MÃO DE OBRA'!$A:$B,2,FALSE)</f>
        <v>P0048</v>
      </c>
      <c r="G79" s="186">
        <v>1</v>
      </c>
      <c r="H79" s="1049">
        <f>IF(D79="h",VLOOKUP(B79,'MÃO DE OBRA'!$B$3:$D$97,3,0)*220,VLOOKUP(B79,'MÃO DE OBRA'!$B$3:$D$97,3,0))</f>
        <v>3813.8</v>
      </c>
      <c r="I79" s="1050"/>
      <c r="J79" s="76" t="s">
        <v>354</v>
      </c>
      <c r="K79" s="1051">
        <f>IF(J79="",0,IF(J79="D",H79*DADOS!$D$18,H79*DADOS!$D$19))</f>
        <v>953.45</v>
      </c>
      <c r="L79" s="1052"/>
      <c r="M79" s="1053"/>
      <c r="N79" s="186" t="s">
        <v>404</v>
      </c>
      <c r="O79" s="1051">
        <f>IF(N79="C",(DADOS!$E$9+DADOS!$E$10)*30,IF(N79="J",(DADOS!$E$9+DADOS!$E$10+DADOS!$E$11)*30,IF(C79="PJ",DADOS!$E$12,0)))+DADOS!$E$24+DADOS!$E$25+DADOS!$E$26</f>
        <v>1020</v>
      </c>
      <c r="P79" s="1052"/>
      <c r="Q79" s="1052"/>
      <c r="R79" s="1053"/>
      <c r="S79" s="1054">
        <f>IF(G79="",0,IF(C79="3º",0,IF(C79="PJ",0,((H79+K79)*DADOS!$D$7)+((H79+K79)*DADOS!$D$6))))</f>
        <v>2908.0225</v>
      </c>
      <c r="T79" s="1054"/>
      <c r="U79" s="450">
        <f>IF(G79="",0,SUM(H79,K79,,O79,V79,S79))</f>
        <v>8695.2724999999991</v>
      </c>
      <c r="V79" s="451"/>
      <c r="W79" s="116">
        <f>U79*G79*$O$72</f>
        <v>43476.362499999996</v>
      </c>
    </row>
    <row r="80" spans="2:39" ht="12.75" customHeight="1">
      <c r="B80" s="75" t="str">
        <f t="shared" si="4"/>
        <v>P0040</v>
      </c>
      <c r="C80" s="199"/>
      <c r="D80" s="75"/>
      <c r="E80" s="198" t="s">
        <v>355</v>
      </c>
      <c r="F80" s="198" t="str">
        <f>VLOOKUP(E80,'MÃO DE OBRA'!$A:$B,2,FALSE)</f>
        <v>P0040</v>
      </c>
      <c r="G80" s="186">
        <v>1</v>
      </c>
      <c r="H80" s="1049">
        <f>IF(D80="h",VLOOKUP(B80,'MÃO DE OBRA'!$B$3:$D$97,3,0)*220,VLOOKUP(B80,'MÃO DE OBRA'!$B$3:$D$97,3,0))</f>
        <v>3843.4</v>
      </c>
      <c r="I80" s="1542"/>
      <c r="J80" s="76" t="s">
        <v>354</v>
      </c>
      <c r="K80" s="1051">
        <f>IF(J80="",0,IF(J80="D",H80*DADOS!$D$18,H80*DADOS!$D$19))</f>
        <v>960.85</v>
      </c>
      <c r="L80" s="1052"/>
      <c r="M80" s="1053"/>
      <c r="N80" s="186" t="s">
        <v>404</v>
      </c>
      <c r="O80" s="1051">
        <f>IF(N80="C",(DADOS!$E$9+DADOS!$E$10)*30,IF(N80="J",(DADOS!$E$9+DADOS!$E$10+DADOS!$E$11)*30,IF(C80="PJ",DADOS!$E$12,0)))+DADOS!$E$24+DADOS!$E$25+DADOS!$E$26</f>
        <v>1020</v>
      </c>
      <c r="P80" s="1052"/>
      <c r="Q80" s="1052"/>
      <c r="R80" s="1053"/>
      <c r="S80" s="1054">
        <f>IF(G80="",0,IF(C80="3º",0,IF(C80="PJ",0,((H80+K80)*DADOS!$D$7)+((H80+K80)*DADOS!$D$6))))</f>
        <v>2930.5924999999997</v>
      </c>
      <c r="T80" s="1054"/>
      <c r="U80" s="450">
        <f>IF(G80="",0,SUM(H80,K80,,O80,V80,S80))</f>
        <v>8754.8424999999988</v>
      </c>
      <c r="V80" s="451"/>
      <c r="W80" s="116">
        <f t="shared" ref="W80:W85" si="5">U80*G80*$O$72</f>
        <v>43774.212499999994</v>
      </c>
    </row>
    <row r="81" spans="2:25" ht="12.75" customHeight="1">
      <c r="B81" s="75" t="str">
        <f t="shared" si="4"/>
        <v>P0032</v>
      </c>
      <c r="C81" s="199"/>
      <c r="D81" s="75"/>
      <c r="E81" s="77" t="s">
        <v>1174</v>
      </c>
      <c r="F81" s="198" t="str">
        <f>VLOOKUP(E81,'MÃO DE OBRA'!$A:$B,2,FALSE)</f>
        <v>P0032</v>
      </c>
      <c r="G81" s="186">
        <v>5</v>
      </c>
      <c r="H81" s="1049">
        <f>IF(D81="h",VLOOKUP(B81,'MÃO DE OBRA'!$B$3:$D$97,3,0)*220,VLOOKUP(B81,'MÃO DE OBRA'!$B$3:$D$97,3,0))</f>
        <v>2853</v>
      </c>
      <c r="I81" s="1542"/>
      <c r="J81" s="76" t="s">
        <v>354</v>
      </c>
      <c r="K81" s="1051">
        <f>IF(J81="",0,IF(J81="D",H81*DADOS!$D$18,H81*DADOS!$D$19))</f>
        <v>713.25</v>
      </c>
      <c r="L81" s="1052"/>
      <c r="M81" s="1053"/>
      <c r="N81" s="186" t="s">
        <v>404</v>
      </c>
      <c r="O81" s="1051">
        <f>IF(N81="C",(DADOS!$E$9+DADOS!$E$10)*30,IF(N81="J",(DADOS!$E$9+DADOS!$E$10+DADOS!$E$11)*30,IF(C81="PJ",DADOS!$E$12,0)))+DADOS!$E$24+DADOS!$E$25+DADOS!$E$26</f>
        <v>1020</v>
      </c>
      <c r="P81" s="1052"/>
      <c r="Q81" s="1052"/>
      <c r="R81" s="1053"/>
      <c r="S81" s="1054">
        <f>IF(G81="",0,IF(C81="3º",0,IF(C81="PJ",0,((H81+K81)*DADOS!$D$7)+((H81+K81)*DADOS!$D$6))))</f>
        <v>2175.4124999999999</v>
      </c>
      <c r="T81" s="1054"/>
      <c r="U81" s="450">
        <f t="shared" ref="U81:U82" si="6">IF(G81="",0,SUM(H81,K81,,O81,V81,S81))</f>
        <v>6761.6625000000004</v>
      </c>
      <c r="V81" s="451"/>
      <c r="W81" s="116">
        <f t="shared" si="5"/>
        <v>169041.5625</v>
      </c>
    </row>
    <row r="82" spans="2:25" ht="12.75" customHeight="1">
      <c r="B82" s="75" t="str">
        <f t="shared" si="4"/>
        <v>P0046</v>
      </c>
      <c r="C82" s="199"/>
      <c r="D82" s="75"/>
      <c r="E82" s="77" t="s">
        <v>377</v>
      </c>
      <c r="F82" s="198" t="str">
        <f>VLOOKUP(E82,'MÃO DE OBRA'!$A:$B,2,FALSE)</f>
        <v>P0046</v>
      </c>
      <c r="G82" s="186"/>
      <c r="H82" s="1049">
        <f>IF(D82="h",VLOOKUP(B82,'MÃO DE OBRA'!$B$3:$D$97,3,0)*220,VLOOKUP(B82,'MÃO DE OBRA'!$B$3:$D$97,3,0))</f>
        <v>2305.6</v>
      </c>
      <c r="I82" s="1542"/>
      <c r="J82" s="76" t="s">
        <v>354</v>
      </c>
      <c r="K82" s="1051">
        <f>IF(J82="",0,IF(J82="D",H82*DADOS!$D$18,H82*DADOS!$D$19))</f>
        <v>576.4</v>
      </c>
      <c r="L82" s="1052"/>
      <c r="M82" s="1053"/>
      <c r="N82" s="186" t="s">
        <v>404</v>
      </c>
      <c r="O82" s="1051">
        <f>IF(N82="C",(DADOS!$E$9+DADOS!$E$10)*30,IF(N82="J",(DADOS!$E$9+DADOS!$E$10+DADOS!$E$11)*30,IF(C82="PJ",DADOS!$E$12,0)))+DADOS!$E$24+DADOS!$E$25+DADOS!$E$26</f>
        <v>1020</v>
      </c>
      <c r="P82" s="1052"/>
      <c r="Q82" s="1052"/>
      <c r="R82" s="1053"/>
      <c r="S82" s="1054">
        <f>IF(G82="",0,IF(C82="3º",0,IF(C82="PJ",0,((H82+K82)*DADOS!$D$7)+((H82+K82)*DADOS!$D$6))))</f>
        <v>0</v>
      </c>
      <c r="T82" s="1054"/>
      <c r="U82" s="450">
        <f t="shared" si="6"/>
        <v>0</v>
      </c>
      <c r="V82" s="451"/>
      <c r="W82" s="116">
        <f t="shared" si="5"/>
        <v>0</v>
      </c>
    </row>
    <row r="83" spans="2:25" ht="12.75" customHeight="1">
      <c r="B83" s="75" t="str">
        <f t="shared" si="4"/>
        <v>P0044</v>
      </c>
      <c r="C83" s="199"/>
      <c r="D83" s="75"/>
      <c r="E83" s="198" t="s">
        <v>374</v>
      </c>
      <c r="F83" s="198" t="str">
        <f>VLOOKUP(E83,'MÃO DE OBRA'!$A:$B,2,FALSE)</f>
        <v>P0044</v>
      </c>
      <c r="G83" s="186"/>
      <c r="H83" s="1049">
        <f>IF(D83="h",VLOOKUP(B83,'MÃO DE OBRA'!$B$3:$D$97,3,0)*220,VLOOKUP(B83,'MÃO DE OBRA'!$B$3:$D$97,3,0))</f>
        <v>2813.8</v>
      </c>
      <c r="I83" s="1542"/>
      <c r="J83" s="76" t="s">
        <v>354</v>
      </c>
      <c r="K83" s="1051">
        <f>IF(J83="",0,IF(J83="D",H83*DADOS!$D$18,H83*DADOS!$D$19))</f>
        <v>703.45</v>
      </c>
      <c r="L83" s="1052"/>
      <c r="M83" s="1053"/>
      <c r="N83" s="186" t="s">
        <v>404</v>
      </c>
      <c r="O83" s="1051">
        <f>IF(N83="C",(DADOS!$E$9+DADOS!$E$10)*30,IF(N83="J",(DADOS!$E$9+DADOS!$E$10+DADOS!$E$11)*30,IF(C83="PJ",DADOS!$E$12,0)))+DADOS!$E$24+DADOS!$E$25+DADOS!$E$26</f>
        <v>1020</v>
      </c>
      <c r="P83" s="1052"/>
      <c r="Q83" s="1052"/>
      <c r="R83" s="1053"/>
      <c r="S83" s="1054">
        <f>IF(G83="",0,IF(C83="3º",0,IF(C83="PJ",0,((H83+K83)*DADOS!$D$7)+((H83+K83)*DADOS!$D$6))))</f>
        <v>0</v>
      </c>
      <c r="T83" s="1054"/>
      <c r="U83" s="450">
        <f t="shared" ref="U83" si="7">IF(G83="",0,SUM(H83,K83,,O83,V83,S83))</f>
        <v>0</v>
      </c>
      <c r="V83" s="451"/>
      <c r="W83" s="116">
        <f t="shared" si="5"/>
        <v>0</v>
      </c>
    </row>
    <row r="84" spans="2:25" ht="12.75" customHeight="1">
      <c r="B84" s="75" t="str">
        <f t="shared" si="4"/>
        <v>P0040</v>
      </c>
      <c r="C84" s="199"/>
      <c r="D84" s="75"/>
      <c r="E84" s="198" t="s">
        <v>355</v>
      </c>
      <c r="F84" s="198" t="str">
        <f>VLOOKUP(E84,'MÃO DE OBRA'!$A:$B,2,FALSE)</f>
        <v>P0040</v>
      </c>
      <c r="G84" s="186"/>
      <c r="H84" s="1049">
        <f>IF(D84="h",VLOOKUP(B84,'MÃO DE OBRA'!$B$3:$D$97,3,0)*220,VLOOKUP(B84,'MÃO DE OBRA'!$B$3:$D$97,3,0))</f>
        <v>3843.4</v>
      </c>
      <c r="I84" s="1542"/>
      <c r="J84" s="76" t="s">
        <v>354</v>
      </c>
      <c r="K84" s="1051">
        <f>IF(J84="",0,IF(J84="D",H84*DADOS!$D$18,H84*DADOS!$D$19))</f>
        <v>960.85</v>
      </c>
      <c r="L84" s="1052"/>
      <c r="M84" s="1053"/>
      <c r="N84" s="186" t="s">
        <v>404</v>
      </c>
      <c r="O84" s="1051">
        <f>IF(N84="C",(DADOS!$E$9+DADOS!$E$10)*30,IF(N84="J",(DADOS!$E$9+DADOS!$E$10+DADOS!$E$11)*30,IF(C84="PJ",DADOS!$E$12,0)))+DADOS!$E$24+DADOS!$E$25+DADOS!$E$26</f>
        <v>1020</v>
      </c>
      <c r="P84" s="1052"/>
      <c r="Q84" s="1052"/>
      <c r="R84" s="1053"/>
      <c r="S84" s="1054">
        <f>IF(G84="",0,IF(C84="3º",0,IF(C84="PJ",0,((H84+K84)*DADOS!$D$7)+((H84+K84)*DADOS!$D$6))))</f>
        <v>0</v>
      </c>
      <c r="T84" s="1054"/>
      <c r="U84" s="450">
        <f>IF(G84="",0,SUM(H84,K84,,O84,V84,S84))</f>
        <v>0</v>
      </c>
      <c r="V84" s="451"/>
      <c r="W84" s="116">
        <f t="shared" si="5"/>
        <v>0</v>
      </c>
    </row>
    <row r="85" spans="2:25" ht="12.75" customHeight="1">
      <c r="B85" s="75" t="str">
        <f t="shared" si="4"/>
        <v>P0001</v>
      </c>
      <c r="C85" s="199"/>
      <c r="D85" s="75"/>
      <c r="E85" s="198" t="s">
        <v>356</v>
      </c>
      <c r="F85" s="198" t="str">
        <f>VLOOKUP(E85,'MÃO DE OBRA'!$A:$B,2,FALSE)</f>
        <v>P0001</v>
      </c>
      <c r="G85" s="186">
        <v>5</v>
      </c>
      <c r="H85" s="1049">
        <f>IF(D85="h",VLOOKUP(B85,'MÃO DE OBRA'!$B$3:$D$97,3,0)*220,VLOOKUP(B85,'MÃO DE OBRA'!$B$3:$D$97,3,0))</f>
        <v>1962.6</v>
      </c>
      <c r="I85" s="1542"/>
      <c r="J85" s="76" t="s">
        <v>354</v>
      </c>
      <c r="K85" s="1051">
        <f>IF(J85="",0,IF(J85="D",H85*DADOS!$D$18,H85*DADOS!$D$19))</f>
        <v>490.65</v>
      </c>
      <c r="L85" s="1052"/>
      <c r="M85" s="1053"/>
      <c r="N85" s="186" t="s">
        <v>404</v>
      </c>
      <c r="O85" s="1051">
        <f>IF(N85="C",(DADOS!$E$9+DADOS!$E$10)*30,IF(N85="J",(DADOS!$E$9+DADOS!$E$10+DADOS!$E$11)*30,IF(C85="PJ",DADOS!$E$12,0)))+DADOS!$E$24+DADOS!$E$25+DADOS!$E$26</f>
        <v>1020</v>
      </c>
      <c r="P85" s="1052"/>
      <c r="Q85" s="1052"/>
      <c r="R85" s="1053"/>
      <c r="S85" s="1054">
        <f>IF(G85="",0,IF(C85="3º",0,IF(C85="PJ",0,((H85+K85)*DADOS!$D$7)+((H85+K85)*DADOS!$D$6))))</f>
        <v>1496.4825000000001</v>
      </c>
      <c r="T85" s="1054"/>
      <c r="U85" s="450">
        <f t="shared" ref="U85" si="8">IF(G85="",0,SUM(H85,K85,,O85,V85,S85))</f>
        <v>4969.7325000000001</v>
      </c>
      <c r="V85" s="451"/>
      <c r="W85" s="116">
        <f t="shared" si="5"/>
        <v>124243.3125</v>
      </c>
    </row>
    <row r="86" spans="2:25" ht="12.75" customHeight="1">
      <c r="B86" s="1064"/>
      <c r="C86" s="1065"/>
      <c r="D86" s="1066" t="s">
        <v>175</v>
      </c>
      <c r="E86" s="1066"/>
      <c r="F86" s="1066"/>
      <c r="G86" s="818">
        <f>SUM(G79:G85)</f>
        <v>12</v>
      </c>
      <c r="H86" s="1067">
        <f>SUMPRODUCT($G$79:$G$85,H79:H85)</f>
        <v>31735.200000000001</v>
      </c>
      <c r="I86" s="1068"/>
      <c r="J86" s="1067">
        <f>SUMPRODUCT($G$79:$G$85,K79:K85)</f>
        <v>7933.8</v>
      </c>
      <c r="K86" s="1068"/>
      <c r="L86" s="1068"/>
      <c r="M86" s="1069"/>
      <c r="N86" s="1067"/>
      <c r="O86" s="1068"/>
      <c r="P86" s="1068"/>
      <c r="Q86" s="1068"/>
      <c r="R86" s="1069"/>
      <c r="S86" s="1067">
        <f>SUMPRODUCT($G$79:$G$85,S79:S85)</f>
        <v>24198.089999999997</v>
      </c>
      <c r="T86" s="1069"/>
      <c r="U86" s="453">
        <f>SUMPRODUCT($G$79:$G$85,U79:U85)</f>
        <v>76107.09</v>
      </c>
      <c r="V86" s="452"/>
      <c r="W86" s="116">
        <f>U86*O72</f>
        <v>380535.44999999995</v>
      </c>
    </row>
    <row r="88" spans="2:25" ht="12.75" customHeight="1">
      <c r="B88" s="1055" t="s">
        <v>347</v>
      </c>
      <c r="C88" s="1055"/>
      <c r="D88" s="1055"/>
      <c r="E88" s="1055"/>
      <c r="F88" s="1055"/>
      <c r="G88" s="1055"/>
      <c r="H88" s="1055"/>
      <c r="I88" s="1055"/>
      <c r="J88" s="1055"/>
      <c r="K88" s="1055"/>
      <c r="L88" s="1055"/>
      <c r="M88" s="1055"/>
      <c r="N88" s="1055"/>
      <c r="O88" s="1055"/>
      <c r="P88" s="1055"/>
      <c r="Q88" s="1055"/>
      <c r="R88" s="1055"/>
      <c r="S88" s="1055"/>
      <c r="T88" s="1055"/>
      <c r="U88" s="1055"/>
      <c r="V88" s="1055"/>
      <c r="Y88" s="116"/>
    </row>
    <row r="89" spans="2:25" ht="12.75" customHeight="1">
      <c r="B89" s="1056" t="s">
        <v>357</v>
      </c>
      <c r="C89" s="1088"/>
      <c r="D89" s="1088"/>
      <c r="E89" s="1088" t="s">
        <v>358</v>
      </c>
      <c r="F89" s="1088"/>
      <c r="G89" s="1089" t="s">
        <v>350</v>
      </c>
      <c r="H89" s="1056" t="s">
        <v>359</v>
      </c>
      <c r="I89" s="1088"/>
      <c r="J89" s="1057"/>
      <c r="K89" s="1089" t="s">
        <v>360</v>
      </c>
      <c r="L89" s="1091"/>
      <c r="M89" s="1091"/>
      <c r="N89" s="1091"/>
      <c r="O89" s="1092"/>
      <c r="P89" s="1056" t="s">
        <v>361</v>
      </c>
      <c r="Q89" s="1088"/>
      <c r="R89" s="1088"/>
      <c r="S89" s="1088"/>
      <c r="T89" s="1095" t="s">
        <v>362</v>
      </c>
      <c r="U89" s="1092" t="s">
        <v>363</v>
      </c>
      <c r="V89" s="1062" t="s">
        <v>364</v>
      </c>
      <c r="Y89" s="137"/>
    </row>
    <row r="90" spans="2:25" ht="12.75" customHeight="1">
      <c r="B90" s="1058"/>
      <c r="C90" s="1075"/>
      <c r="D90" s="1075"/>
      <c r="E90" s="1075"/>
      <c r="F90" s="1075"/>
      <c r="G90" s="1090"/>
      <c r="H90" s="1058"/>
      <c r="I90" s="1075"/>
      <c r="J90" s="1059"/>
      <c r="K90" s="1090"/>
      <c r="L90" s="1093"/>
      <c r="M90" s="1093"/>
      <c r="N90" s="1093"/>
      <c r="O90" s="1094"/>
      <c r="P90" s="1058" t="s">
        <v>365</v>
      </c>
      <c r="Q90" s="1075"/>
      <c r="R90" s="1075"/>
      <c r="S90" s="1075"/>
      <c r="T90" s="1096"/>
      <c r="U90" s="1094"/>
      <c r="V90" s="1063"/>
      <c r="Y90" s="116"/>
    </row>
    <row r="91" spans="2:25" ht="12.75" customHeight="1">
      <c r="B91" s="200" t="str">
        <f t="shared" ref="B91" si="9">F91</f>
        <v>E0033</v>
      </c>
      <c r="C91" s="982"/>
      <c r="D91" s="983"/>
      <c r="E91" s="200" t="s">
        <v>1372</v>
      </c>
      <c r="F91" s="198" t="str">
        <f>VLOOKUP($E91,EQUIPAMENTOS!$A:$B,2,FALSE)</f>
        <v>E0033</v>
      </c>
      <c r="G91" s="434">
        <v>1</v>
      </c>
      <c r="H91" s="1100">
        <f>VLOOKUP($B91,EQUIPAMENTOS!$B$3:$N$99,9,0)*M91</f>
        <v>42873.888888888891</v>
      </c>
      <c r="I91" s="1101"/>
      <c r="J91" s="1101"/>
      <c r="K91" s="1082" t="s">
        <v>367</v>
      </c>
      <c r="L91" s="1083"/>
      <c r="M91" s="1084">
        <v>200</v>
      </c>
      <c r="N91" s="1084"/>
      <c r="O91" s="1084"/>
      <c r="P91" s="80" t="s">
        <v>380</v>
      </c>
      <c r="Q91" s="1085">
        <f>VLOOKUP($B91,EQUIPAMENTOS!$B$3:$N$99,13,0)</f>
        <v>26</v>
      </c>
      <c r="R91" s="1086"/>
      <c r="S91" s="1087"/>
      <c r="T91" s="441">
        <f>IF(Q91="","",IF(K91="km",M91/Q91,M91*Q91)*INDEX(DADOS!$1:$1048576,MATCH(P91,DADOS!D:D,0),5))</f>
        <v>0</v>
      </c>
      <c r="U91" s="202">
        <f>SUM(H91,T91)</f>
        <v>42873.888888888891</v>
      </c>
      <c r="V91" s="436">
        <f>U91*G91</f>
        <v>42873.888888888891</v>
      </c>
      <c r="W91" s="116">
        <f>(H91)/(12*30)</f>
        <v>119.09413580246914</v>
      </c>
      <c r="X91" s="116">
        <f>W91*200</f>
        <v>23818.827160493827</v>
      </c>
      <c r="Y91" s="116"/>
    </row>
    <row r="92" spans="2:25" ht="12.75" customHeight="1">
      <c r="B92" s="200" t="str">
        <f>F92</f>
        <v>E0002</v>
      </c>
      <c r="C92" s="982"/>
      <c r="D92" s="983"/>
      <c r="E92" s="200" t="s">
        <v>1157</v>
      </c>
      <c r="F92" s="198" t="str">
        <f>VLOOKUP($E92,EQUIPAMENTOS!$A:$B,2,FALSE)</f>
        <v>E0002</v>
      </c>
      <c r="G92" s="434">
        <v>5</v>
      </c>
      <c r="H92" s="1100">
        <f>VLOOKUP($B92,EQUIPAMENTOS!$B$3:$N$99,9,0)*200</f>
        <v>25000</v>
      </c>
      <c r="I92" s="1101"/>
      <c r="J92" s="1101"/>
      <c r="K92" s="1082" t="s">
        <v>367</v>
      </c>
      <c r="L92" s="1083"/>
      <c r="M92" s="1120">
        <f>Y58*30*Z50*2</f>
        <v>3300.0000000000005</v>
      </c>
      <c r="N92" s="1120"/>
      <c r="O92" s="1120"/>
      <c r="P92" s="80" t="s">
        <v>380</v>
      </c>
      <c r="Q92" s="1085">
        <f>VLOOKUP($B92,EQUIPAMENTOS!$B$3:$N$99,13,0)</f>
        <v>2.5</v>
      </c>
      <c r="R92" s="1086"/>
      <c r="S92" s="1087"/>
      <c r="T92" s="441">
        <f>IF(Q92="","",IF(K92="km",M92/Q92,M92*Q92)*INDEX(DADOS!$1:$1048576,MATCH(P92,DADOS!D:D,0),5))</f>
        <v>0</v>
      </c>
      <c r="U92" s="202">
        <f t="shared" ref="U92" si="10">SUM(H92,T92)</f>
        <v>25000</v>
      </c>
      <c r="V92" s="436">
        <f>U92*G92</f>
        <v>125000</v>
      </c>
      <c r="W92" s="116">
        <f>H92/(12*30)</f>
        <v>69.444444444444443</v>
      </c>
      <c r="X92" s="116">
        <f t="shared" ref="X92:X94" si="11">W92*200</f>
        <v>13888.888888888889</v>
      </c>
      <c r="Y92" s="116"/>
    </row>
    <row r="93" spans="2:25" ht="12.75" customHeight="1">
      <c r="B93" s="200" t="str">
        <f t="shared" ref="B93:B94" si="12">F93</f>
        <v>E0026</v>
      </c>
      <c r="C93" s="456"/>
      <c r="D93" s="457"/>
      <c r="E93" s="200" t="s">
        <v>655</v>
      </c>
      <c r="F93" s="198" t="str">
        <f>VLOOKUP($E93,EQUIPAMENTOS!$A:$B,2,FALSE)</f>
        <v>E0026</v>
      </c>
      <c r="G93" s="434"/>
      <c r="H93" s="1100">
        <f>VLOOKUP($B93,EQUIPAMENTOS!$B$3:$N$99,9,0)*M93</f>
        <v>29000</v>
      </c>
      <c r="I93" s="1101"/>
      <c r="J93" s="1101"/>
      <c r="K93" s="1082" t="s">
        <v>367</v>
      </c>
      <c r="L93" s="1083"/>
      <c r="M93" s="1084">
        <v>200</v>
      </c>
      <c r="N93" s="1084"/>
      <c r="O93" s="1084"/>
      <c r="P93" s="80" t="s">
        <v>380</v>
      </c>
      <c r="Q93" s="1085">
        <f>VLOOKUP($B93,EQUIPAMENTOS!$B$3:$N$99,13,0)</f>
        <v>16</v>
      </c>
      <c r="R93" s="1086"/>
      <c r="S93" s="1087"/>
      <c r="T93" s="441">
        <f>IF(Q93="","",IF(K93="km",M93/Q93,M93*Q93)*INDEX(DADOS!$1:$1048576,MATCH(P93,DADOS!D:D,0),5))</f>
        <v>0</v>
      </c>
      <c r="U93" s="202">
        <f>SUM(H93,T93)</f>
        <v>29000</v>
      </c>
      <c r="V93" s="436">
        <f>U93*G93</f>
        <v>0</v>
      </c>
      <c r="W93" s="116">
        <f t="shared" ref="W93:W94" si="13">H93/(12*30)</f>
        <v>80.555555555555557</v>
      </c>
      <c r="X93" s="116">
        <f t="shared" si="11"/>
        <v>16111.111111111111</v>
      </c>
    </row>
    <row r="94" spans="2:25" ht="12.75" customHeight="1">
      <c r="B94" s="200" t="str">
        <f t="shared" si="12"/>
        <v>E0012</v>
      </c>
      <c r="C94" s="456"/>
      <c r="D94" s="457"/>
      <c r="E94" s="200" t="s">
        <v>366</v>
      </c>
      <c r="F94" s="198" t="str">
        <f>VLOOKUP($E94,EQUIPAMENTOS!$A:$B,2,FALSE)</f>
        <v>E0012</v>
      </c>
      <c r="G94" s="434">
        <v>1</v>
      </c>
      <c r="H94" s="1100">
        <f>VLOOKUP($B94,EQUIPAMENTOS!$B$3:$N$99,9,0)*M94</f>
        <v>35000</v>
      </c>
      <c r="I94" s="1101"/>
      <c r="J94" s="1101"/>
      <c r="K94" s="1082" t="s">
        <v>367</v>
      </c>
      <c r="L94" s="1083"/>
      <c r="M94" s="1084">
        <v>200</v>
      </c>
      <c r="N94" s="1084"/>
      <c r="O94" s="1084"/>
      <c r="P94" s="80" t="s">
        <v>380</v>
      </c>
      <c r="Q94" s="1085">
        <f>VLOOKUP($B94,EQUIPAMENTOS!$B$3:$N$99,13,0)</f>
        <v>22</v>
      </c>
      <c r="R94" s="1086"/>
      <c r="S94" s="1087"/>
      <c r="T94" s="441">
        <f>IF(Q94="","",IF(K94="km",M94/Q94,M94*Q94)*INDEX(DADOS!$1:$1048576,MATCH(P94,DADOS!D:D,0),5))</f>
        <v>0</v>
      </c>
      <c r="U94" s="202">
        <f>SUM(H94,T94)</f>
        <v>35000</v>
      </c>
      <c r="V94" s="436">
        <f>U94*G94</f>
        <v>35000</v>
      </c>
      <c r="W94" s="116">
        <f t="shared" si="13"/>
        <v>97.222222222222229</v>
      </c>
      <c r="X94" s="116">
        <f t="shared" si="11"/>
        <v>19444.444444444445</v>
      </c>
    </row>
    <row r="95" spans="2:25" ht="12.75" customHeight="1">
      <c r="B95" s="1123"/>
      <c r="C95" s="1124"/>
      <c r="D95" s="1125"/>
      <c r="E95" s="1126" t="s">
        <v>175</v>
      </c>
      <c r="F95" s="1127"/>
      <c r="G95" s="435">
        <f>SUM(G91:G94)</f>
        <v>7</v>
      </c>
      <c r="H95" s="1550">
        <f>SUMPRODUCT(G$91:$G94,H91:H94)</f>
        <v>202873.88888888888</v>
      </c>
      <c r="I95" s="1550"/>
      <c r="J95" s="1550"/>
      <c r="K95" s="1129"/>
      <c r="L95" s="1130"/>
      <c r="M95" s="1130"/>
      <c r="N95" s="1130"/>
      <c r="O95" s="1131"/>
      <c r="P95" s="699"/>
      <c r="Q95" s="819"/>
      <c r="R95" s="819"/>
      <c r="S95" s="819"/>
      <c r="T95" s="665">
        <f>SUMPRODUCT($G$91:G94,T91:T94)</f>
        <v>0</v>
      </c>
      <c r="U95" s="665"/>
      <c r="V95" s="668">
        <f>SUM(V91:V94)</f>
        <v>202873.88888888888</v>
      </c>
      <c r="W95" s="116">
        <f>V95*O72</f>
        <v>1014369.4444444444</v>
      </c>
    </row>
    <row r="96" spans="2:25" ht="12.75" customHeight="1">
      <c r="H96" s="1555">
        <f>H95*O72</f>
        <v>1014369.4444444444</v>
      </c>
      <c r="I96" s="1556"/>
      <c r="J96" s="1556"/>
      <c r="T96" s="116">
        <f>T95*O72</f>
        <v>0</v>
      </c>
    </row>
    <row r="98" spans="2:26" ht="12.75" customHeight="1">
      <c r="B98" s="1055"/>
      <c r="C98" s="1055"/>
      <c r="D98" s="1055"/>
      <c r="E98" s="1055"/>
      <c r="F98" s="1055"/>
      <c r="G98" s="1055"/>
      <c r="H98" s="1055"/>
      <c r="I98" s="1055"/>
      <c r="J98" s="1055"/>
      <c r="K98" s="1055"/>
      <c r="L98" s="1055"/>
      <c r="M98" s="1055"/>
      <c r="N98" s="1055"/>
      <c r="O98" s="1055"/>
      <c r="P98" s="1055"/>
      <c r="Q98" s="1055"/>
      <c r="R98" s="1055"/>
      <c r="S98" s="1055"/>
      <c r="T98" s="1055"/>
      <c r="U98" s="1055"/>
      <c r="V98" s="1055"/>
    </row>
    <row r="99" spans="2:26" ht="12.75" customHeight="1">
      <c r="B99" s="1112" t="s">
        <v>183</v>
      </c>
      <c r="C99" s="1114"/>
      <c r="D99" s="1112" t="s">
        <v>324</v>
      </c>
      <c r="E99" s="1113"/>
      <c r="F99" s="1113"/>
      <c r="G99" s="1112" t="s">
        <v>1124</v>
      </c>
      <c r="H99" s="1114"/>
      <c r="I99" s="1115" t="s">
        <v>372</v>
      </c>
      <c r="J99" s="1132"/>
      <c r="K99" s="1116"/>
      <c r="L99" s="1115" t="s">
        <v>189</v>
      </c>
      <c r="M99" s="1132"/>
      <c r="N99" s="1132"/>
      <c r="O99" s="1132"/>
      <c r="P99" s="1116"/>
      <c r="Q99" s="1112" t="s">
        <v>373</v>
      </c>
      <c r="R99" s="1113"/>
      <c r="S99" s="1113"/>
      <c r="T99" s="1114"/>
      <c r="U99" s="1115"/>
      <c r="V99" s="1116"/>
    </row>
    <row r="100" spans="2:26" ht="12.75" customHeight="1">
      <c r="B100" s="186">
        <v>1</v>
      </c>
      <c r="C100" s="430"/>
      <c r="D100" s="1117" t="s">
        <v>426</v>
      </c>
      <c r="E100" s="1118"/>
      <c r="F100" s="1118"/>
      <c r="G100" s="1120">
        <v>1</v>
      </c>
      <c r="H100" s="1120"/>
      <c r="I100" s="1120">
        <f>G95</f>
        <v>7</v>
      </c>
      <c r="J100" s="1120"/>
      <c r="K100" s="1120"/>
      <c r="L100" s="1120">
        <f>L34*2</f>
        <v>4000</v>
      </c>
      <c r="M100" s="1120"/>
      <c r="N100" s="1120"/>
      <c r="O100" s="1120"/>
      <c r="P100" s="1120"/>
      <c r="Q100" s="1054">
        <f>I100*L100*G100</f>
        <v>28000</v>
      </c>
      <c r="R100" s="1054"/>
      <c r="S100" s="1054"/>
      <c r="T100" s="1054"/>
      <c r="U100" s="1121"/>
      <c r="V100" s="1122"/>
    </row>
    <row r="101" spans="2:26" ht="12.75" customHeight="1">
      <c r="B101" s="186">
        <v>2</v>
      </c>
      <c r="C101" s="430"/>
      <c r="D101" s="1117" t="s">
        <v>1440</v>
      </c>
      <c r="E101" s="1118"/>
      <c r="F101" s="1118"/>
      <c r="G101" s="1120">
        <v>1</v>
      </c>
      <c r="H101" s="1120"/>
      <c r="I101" s="1120">
        <v>1</v>
      </c>
      <c r="J101" s="1120"/>
      <c r="K101" s="1120"/>
      <c r="L101" s="1120">
        <f>560000/30</f>
        <v>18666.666666666668</v>
      </c>
      <c r="M101" s="1120"/>
      <c r="N101" s="1120"/>
      <c r="O101" s="1120"/>
      <c r="P101" s="1120"/>
      <c r="Q101" s="1054">
        <f>I101*L101*G101</f>
        <v>18666.666666666668</v>
      </c>
      <c r="R101" s="1054"/>
      <c r="S101" s="1054"/>
      <c r="T101" s="1054"/>
      <c r="U101" s="1133" t="s">
        <v>1442</v>
      </c>
      <c r="V101" s="1134"/>
    </row>
    <row r="102" spans="2:26" ht="12.75" customHeight="1">
      <c r="B102" s="186">
        <v>3</v>
      </c>
      <c r="C102" s="430"/>
      <c r="D102" s="1117"/>
      <c r="E102" s="1118"/>
      <c r="F102" s="1118"/>
      <c r="G102" s="1120"/>
      <c r="H102" s="1120"/>
      <c r="I102" s="1120"/>
      <c r="J102" s="1120"/>
      <c r="K102" s="1120"/>
      <c r="L102" s="1120"/>
      <c r="M102" s="1120"/>
      <c r="N102" s="1120"/>
      <c r="O102" s="1120"/>
      <c r="P102" s="1120"/>
      <c r="Q102" s="1054">
        <f>I102*L102*G102</f>
        <v>0</v>
      </c>
      <c r="R102" s="1054"/>
      <c r="S102" s="1054"/>
      <c r="T102" s="1054"/>
      <c r="U102" s="186"/>
      <c r="V102" s="430"/>
    </row>
    <row r="103" spans="2:26" ht="12.75" customHeight="1">
      <c r="B103" s="186">
        <v>4</v>
      </c>
      <c r="C103" s="430"/>
      <c r="D103" s="1117"/>
      <c r="E103" s="1118"/>
      <c r="F103" s="1118"/>
      <c r="G103" s="1120"/>
      <c r="H103" s="1120"/>
      <c r="I103" s="1120"/>
      <c r="J103" s="1120"/>
      <c r="K103" s="1120"/>
      <c r="L103" s="1120"/>
      <c r="M103" s="1120"/>
      <c r="N103" s="1120"/>
      <c r="O103" s="1120"/>
      <c r="P103" s="1120"/>
      <c r="Q103" s="1054">
        <f>I103*L103*G103</f>
        <v>0</v>
      </c>
      <c r="R103" s="1054"/>
      <c r="S103" s="1054"/>
      <c r="T103" s="1054"/>
      <c r="U103" s="1133"/>
      <c r="V103" s="1134"/>
    </row>
    <row r="104" spans="2:26" ht="12.75" customHeight="1">
      <c r="B104" s="1123"/>
      <c r="C104" s="1125"/>
      <c r="D104" s="1123"/>
      <c r="E104" s="1124"/>
      <c r="F104" s="1124"/>
      <c r="G104" s="1123"/>
      <c r="H104" s="1125"/>
      <c r="I104" s="1123"/>
      <c r="J104" s="1124"/>
      <c r="K104" s="1125"/>
      <c r="L104" s="1123"/>
      <c r="M104" s="1124"/>
      <c r="N104" s="1124"/>
      <c r="O104" s="1124"/>
      <c r="P104" s="1125"/>
      <c r="Q104" s="1136">
        <f>SUM(Q100:T103)</f>
        <v>46666.666666666672</v>
      </c>
      <c r="R104" s="1137"/>
      <c r="S104" s="1137"/>
      <c r="T104" s="1137"/>
      <c r="U104" s="1123"/>
      <c r="V104" s="1125"/>
    </row>
    <row r="106" spans="2:26" ht="12.75" hidden="1" customHeight="1">
      <c r="B106" s="1044" t="s">
        <v>343</v>
      </c>
      <c r="C106" s="1044"/>
      <c r="D106" s="1044"/>
      <c r="E106" s="887"/>
      <c r="W106" s="755"/>
      <c r="X106" s="755"/>
    </row>
    <row r="107" spans="2:26" ht="12.75" hidden="1" customHeight="1">
      <c r="B107" s="71"/>
      <c r="C107" s="71"/>
      <c r="D107" s="71"/>
      <c r="E107" s="71"/>
      <c r="F107" s="71"/>
      <c r="G107" s="71"/>
      <c r="H107" s="71"/>
      <c r="I107" s="71"/>
      <c r="J107" s="71"/>
      <c r="K107" s="71"/>
      <c r="L107" s="71"/>
      <c r="M107" s="71"/>
      <c r="N107" s="71"/>
      <c r="O107" s="71"/>
      <c r="P107" s="71"/>
      <c r="Q107" s="71"/>
      <c r="R107" s="71"/>
      <c r="S107" s="71"/>
      <c r="T107" s="71"/>
      <c r="U107" s="71"/>
      <c r="V107" s="71"/>
      <c r="W107" s="951"/>
      <c r="X107" s="951"/>
      <c r="Z107" s="137"/>
    </row>
    <row r="108" spans="2:26" ht="12.75" hidden="1" customHeight="1">
      <c r="B108" s="71"/>
      <c r="C108" s="1045" t="s">
        <v>303</v>
      </c>
      <c r="D108" s="1045"/>
      <c r="E108" s="1046"/>
      <c r="F108" s="71"/>
      <c r="G108" s="71"/>
      <c r="H108" s="1039" t="s">
        <v>344</v>
      </c>
      <c r="I108" s="1039"/>
      <c r="J108" s="1040">
        <f>U123</f>
        <v>0</v>
      </c>
      <c r="K108" s="1040"/>
      <c r="L108" s="1040"/>
      <c r="M108" s="448"/>
      <c r="N108" s="447"/>
      <c r="O108" s="1047" t="s">
        <v>345</v>
      </c>
      <c r="P108" s="1047"/>
      <c r="Q108" s="1047"/>
      <c r="R108" s="1047"/>
      <c r="S108" s="1047"/>
      <c r="T108" s="1047"/>
      <c r="U108" s="1048" t="s">
        <v>346</v>
      </c>
      <c r="V108" s="1047"/>
      <c r="W108" s="891"/>
      <c r="X108" s="755"/>
    </row>
    <row r="109" spans="2:26" ht="12.75" hidden="1" customHeight="1">
      <c r="B109" s="71"/>
      <c r="C109" s="446"/>
      <c r="D109" s="446"/>
      <c r="E109" s="1038">
        <f>J108+J109+J110</f>
        <v>0</v>
      </c>
      <c r="F109" s="71"/>
      <c r="G109" s="71"/>
      <c r="H109" s="1039" t="s">
        <v>347</v>
      </c>
      <c r="I109" s="1039"/>
      <c r="J109" s="1040">
        <f>V133</f>
        <v>0</v>
      </c>
      <c r="K109" s="1040"/>
      <c r="L109" s="1040"/>
      <c r="M109" s="449"/>
      <c r="N109" s="402"/>
      <c r="O109" s="1041"/>
      <c r="P109" s="1041"/>
      <c r="Q109" s="1041"/>
      <c r="R109" s="1041"/>
      <c r="S109" s="1041"/>
      <c r="T109" s="1041"/>
      <c r="U109" s="1042">
        <f>E109*O109</f>
        <v>0</v>
      </c>
      <c r="V109" s="1043"/>
    </row>
    <row r="110" spans="2:26" ht="12.75" hidden="1" customHeight="1">
      <c r="B110" s="73"/>
      <c r="C110" s="446"/>
      <c r="D110" s="446"/>
      <c r="E110" s="1038"/>
      <c r="F110" s="71"/>
      <c r="G110" s="71"/>
      <c r="H110" s="1039" t="s">
        <v>348</v>
      </c>
      <c r="I110" s="1039"/>
      <c r="J110" s="1040"/>
      <c r="K110" s="1040"/>
      <c r="L110" s="1040"/>
      <c r="M110" s="449"/>
      <c r="N110" s="402"/>
      <c r="O110" s="1041"/>
      <c r="P110" s="1041"/>
      <c r="Q110" s="1041"/>
      <c r="R110" s="1041"/>
      <c r="S110" s="1041"/>
      <c r="T110" s="1041"/>
      <c r="U110" s="1042"/>
      <c r="V110" s="1043"/>
    </row>
    <row r="111" spans="2:26" ht="12.75" hidden="1" customHeight="1">
      <c r="B111" s="71"/>
      <c r="C111" s="71"/>
      <c r="D111" s="71"/>
      <c r="E111" s="71"/>
      <c r="F111" s="71"/>
      <c r="G111" s="71"/>
      <c r="H111" s="71"/>
      <c r="I111" s="71"/>
      <c r="J111" s="71"/>
      <c r="K111" s="71"/>
      <c r="L111" s="71"/>
      <c r="M111" s="71"/>
      <c r="N111" s="71"/>
      <c r="O111" s="71"/>
      <c r="P111" s="71"/>
      <c r="Q111" s="71"/>
      <c r="R111" s="71"/>
      <c r="S111" s="71"/>
      <c r="T111" s="71"/>
      <c r="U111" s="71"/>
      <c r="V111" s="71"/>
    </row>
    <row r="112" spans="2:26" ht="12.75" hidden="1" customHeight="1"/>
    <row r="113" spans="2:25" ht="12.75" hidden="1" customHeight="1">
      <c r="B113" s="1055" t="s">
        <v>344</v>
      </c>
      <c r="C113" s="1055"/>
      <c r="D113" s="1055"/>
      <c r="E113" s="1055"/>
      <c r="F113" s="1055"/>
      <c r="G113" s="1055"/>
      <c r="H113" s="1055"/>
      <c r="I113" s="1055"/>
      <c r="J113" s="1055"/>
      <c r="K113" s="1055"/>
      <c r="L113" s="1055"/>
      <c r="M113" s="1055"/>
      <c r="N113" s="1055"/>
      <c r="O113" s="1055"/>
      <c r="P113" s="1055"/>
      <c r="Q113" s="1055"/>
      <c r="R113" s="1055"/>
      <c r="S113" s="1055"/>
      <c r="T113" s="1055"/>
      <c r="U113" s="1055"/>
      <c r="V113" s="1055"/>
    </row>
    <row r="114" spans="2:25" ht="12.75" hidden="1" customHeight="1">
      <c r="B114" s="1056" t="s">
        <v>183</v>
      </c>
      <c r="C114" s="1057"/>
      <c r="D114" s="1060" t="s">
        <v>349</v>
      </c>
      <c r="E114" s="1060"/>
      <c r="F114" s="1060"/>
      <c r="G114" s="1060" t="s">
        <v>350</v>
      </c>
      <c r="H114" s="1060" t="s">
        <v>351</v>
      </c>
      <c r="I114" s="1060"/>
      <c r="J114" s="1060" t="s">
        <v>352</v>
      </c>
      <c r="K114" s="1060"/>
      <c r="L114" s="1060"/>
      <c r="M114" s="1060"/>
      <c r="N114" s="1060"/>
      <c r="O114" s="1060"/>
      <c r="P114" s="1060"/>
      <c r="Q114" s="1060"/>
      <c r="R114" s="1060"/>
      <c r="S114" s="1061" t="s">
        <v>353</v>
      </c>
      <c r="T114" s="1061"/>
      <c r="U114" s="1062" t="s">
        <v>346</v>
      </c>
      <c r="V114" s="1060"/>
    </row>
    <row r="115" spans="2:25" ht="12.75" hidden="1" customHeight="1">
      <c r="B115" s="1058"/>
      <c r="C115" s="1059"/>
      <c r="D115" s="1060"/>
      <c r="E115" s="1060"/>
      <c r="F115" s="1060"/>
      <c r="G115" s="1060"/>
      <c r="H115" s="1060"/>
      <c r="I115" s="1060"/>
      <c r="J115" s="1060"/>
      <c r="K115" s="1060"/>
      <c r="L115" s="1060"/>
      <c r="M115" s="1060"/>
      <c r="N115" s="1060"/>
      <c r="O115" s="1060"/>
      <c r="P115" s="1060"/>
      <c r="Q115" s="1060"/>
      <c r="R115" s="1060"/>
      <c r="S115" s="1061"/>
      <c r="T115" s="1061"/>
      <c r="U115" s="1063"/>
      <c r="V115" s="1060"/>
    </row>
    <row r="116" spans="2:25" ht="12.75" hidden="1" customHeight="1">
      <c r="B116" s="75" t="str">
        <f t="shared" ref="B116:B121" si="14">F116</f>
        <v>P0043</v>
      </c>
      <c r="C116" s="199"/>
      <c r="D116" s="75"/>
      <c r="E116" s="198" t="s">
        <v>378</v>
      </c>
      <c r="F116" s="198" t="str">
        <f>VLOOKUP(E116,'MÃO DE OBRA'!$A:$B,2,FALSE)</f>
        <v>P0043</v>
      </c>
      <c r="G116" s="186"/>
      <c r="H116" s="1049">
        <f>IF(D116="h",VLOOKUP(B116,'MÃO DE OBRA'!$B$3:$D$97,3,0)*220,VLOOKUP(B116,'MÃO DE OBRA'!$B$3:$D$97,3,0))</f>
        <v>3843.4</v>
      </c>
      <c r="I116" s="1050"/>
      <c r="J116" s="76" t="s">
        <v>354</v>
      </c>
      <c r="K116" s="1051">
        <f>IF(J116="",0,IF(J116="D",H116*DADOS!$D$18,H116*DADOS!$D$19))</f>
        <v>960.85</v>
      </c>
      <c r="L116" s="1052"/>
      <c r="M116" s="1053"/>
      <c r="N116" s="186"/>
      <c r="O116" s="1051"/>
      <c r="P116" s="1052"/>
      <c r="Q116" s="1052"/>
      <c r="R116" s="1053"/>
      <c r="S116" s="1054">
        <f>IF(G116="",0,IF(C116="3º",0,IF(C116="PJ",0,((H116+K116)*DADOS!$D$7)+((H116+K116)*DADOS!$D$6))))</f>
        <v>0</v>
      </c>
      <c r="T116" s="1054"/>
      <c r="U116" s="450">
        <f t="shared" ref="U116:U121" si="15">IF(G116="",0,SUM(H116,K116,,O116,V116,S116))</f>
        <v>0</v>
      </c>
      <c r="V116" s="451"/>
    </row>
    <row r="117" spans="2:25" ht="12.75" hidden="1" customHeight="1">
      <c r="B117" s="75" t="str">
        <f t="shared" si="14"/>
        <v>P0049</v>
      </c>
      <c r="C117" s="199"/>
      <c r="D117" s="75"/>
      <c r="E117" s="77" t="s">
        <v>393</v>
      </c>
      <c r="F117" s="198" t="str">
        <f>VLOOKUP(E117,'MÃO DE OBRA'!$A:$B,2,FALSE)</f>
        <v>P0049</v>
      </c>
      <c r="G117" s="186"/>
      <c r="H117" s="1049">
        <f>IF(D117="h",VLOOKUP(B117,'MÃO DE OBRA'!$B$3:$D$97,3,0)*220,VLOOKUP(B117,'MÃO DE OBRA'!$B$3:$D$97,3,0))</f>
        <v>2305.6</v>
      </c>
      <c r="I117" s="1050"/>
      <c r="J117" s="76" t="s">
        <v>354</v>
      </c>
      <c r="K117" s="1051">
        <f>IF(J117="",0,IF(J117="D",H117*DADOS!$D$18,H117*DADOS!$D$19))</f>
        <v>576.4</v>
      </c>
      <c r="L117" s="1052"/>
      <c r="M117" s="1053"/>
      <c r="N117" s="186"/>
      <c r="O117" s="761"/>
      <c r="P117" s="762"/>
      <c r="Q117" s="762"/>
      <c r="R117" s="763"/>
      <c r="S117" s="1054">
        <f>IF(G117="",0,IF(C117="3º",0,IF(C117="PJ",0,((H117+K117)*DADOS!$D$7)+((H117+K117)*DADOS!$D$6))))</f>
        <v>0</v>
      </c>
      <c r="T117" s="1054"/>
      <c r="U117" s="450">
        <f t="shared" si="15"/>
        <v>0</v>
      </c>
      <c r="V117" s="451"/>
    </row>
    <row r="118" spans="2:25" ht="12.75" hidden="1" customHeight="1">
      <c r="B118" s="75" t="str">
        <f t="shared" si="14"/>
        <v>P0033</v>
      </c>
      <c r="C118" s="199"/>
      <c r="D118" s="75"/>
      <c r="E118" s="77" t="s">
        <v>394</v>
      </c>
      <c r="F118" s="198" t="str">
        <f>VLOOKUP(E118,'MÃO DE OBRA'!$A:$B,2,FALSE)</f>
        <v>P0033</v>
      </c>
      <c r="G118" s="186"/>
      <c r="H118" s="1049">
        <f>IF(D118="h",VLOOKUP(B118,'MÃO DE OBRA'!$B$3:$D$97,3,0)*220,VLOOKUP(B118,'MÃO DE OBRA'!$B$3:$D$97,3,0))</f>
        <v>2956.5</v>
      </c>
      <c r="I118" s="1050"/>
      <c r="J118" s="76" t="s">
        <v>354</v>
      </c>
      <c r="K118" s="1051">
        <f>IF(J118="",0,IF(J118="D",H118*DADOS!$D$18,H118*DADOS!$D$19))</f>
        <v>739.125</v>
      </c>
      <c r="L118" s="1052"/>
      <c r="M118" s="1053"/>
      <c r="N118" s="186"/>
      <c r="O118" s="761"/>
      <c r="P118" s="762"/>
      <c r="Q118" s="762"/>
      <c r="R118" s="763"/>
      <c r="S118" s="1054">
        <f>IF(G118="",0,IF(C118="3º",0,IF(C118="PJ",0,((H118+K118)*DADOS!$D$7)+((H118+K118)*DADOS!$D$6))))</f>
        <v>0</v>
      </c>
      <c r="T118" s="1054"/>
      <c r="U118" s="450">
        <f t="shared" si="15"/>
        <v>0</v>
      </c>
      <c r="V118" s="451"/>
    </row>
    <row r="119" spans="2:25" ht="12.75" hidden="1" customHeight="1">
      <c r="B119" s="75" t="str">
        <f t="shared" si="14"/>
        <v>P0046</v>
      </c>
      <c r="C119" s="199"/>
      <c r="D119" s="75"/>
      <c r="E119" s="77" t="s">
        <v>377</v>
      </c>
      <c r="F119" s="198" t="str">
        <f>VLOOKUP(E119,'MÃO DE OBRA'!$A:$B,2,FALSE)</f>
        <v>P0046</v>
      </c>
      <c r="G119" s="186"/>
      <c r="H119" s="1049">
        <f>IF(D119="h",VLOOKUP(B119,'MÃO DE OBRA'!$B$3:$D$97,3,0)*220,VLOOKUP(B119,'MÃO DE OBRA'!$B$3:$D$97,3,0))</f>
        <v>2305.6</v>
      </c>
      <c r="I119" s="1050"/>
      <c r="J119" s="76" t="s">
        <v>354</v>
      </c>
      <c r="K119" s="1051">
        <f>IF(J119="",0,IF(J119="D",H119*DADOS!$D$18,H119*DADOS!$D$19))</f>
        <v>576.4</v>
      </c>
      <c r="L119" s="1052"/>
      <c r="M119" s="1053"/>
      <c r="N119" s="186"/>
      <c r="O119" s="761"/>
      <c r="P119" s="762"/>
      <c r="Q119" s="762"/>
      <c r="R119" s="763"/>
      <c r="S119" s="1054">
        <f>IF(G119="",0,IF(C119="3º",0,IF(C119="PJ",0,((H119+K119)*DADOS!$D$7)+((H119+K119)*DADOS!$D$6))))</f>
        <v>0</v>
      </c>
      <c r="T119" s="1054"/>
      <c r="U119" s="450">
        <f t="shared" si="15"/>
        <v>0</v>
      </c>
      <c r="V119" s="451"/>
    </row>
    <row r="120" spans="2:25" ht="12.75" hidden="1" customHeight="1">
      <c r="B120" s="75" t="str">
        <f t="shared" si="14"/>
        <v>P0001</v>
      </c>
      <c r="C120" s="199"/>
      <c r="D120" s="75"/>
      <c r="E120" s="198" t="s">
        <v>356</v>
      </c>
      <c r="F120" s="198" t="str">
        <f>VLOOKUP(E120,'MÃO DE OBRA'!$A:$B,2,FALSE)</f>
        <v>P0001</v>
      </c>
      <c r="G120" s="186"/>
      <c r="H120" s="1049">
        <f>IF(D120="h",VLOOKUP(B120,'MÃO DE OBRA'!$B$3:$D$97,3,0)*220,VLOOKUP(B120,'MÃO DE OBRA'!$B$3:$D$97,3,0))</f>
        <v>1962.6</v>
      </c>
      <c r="I120" s="1050"/>
      <c r="J120" s="76" t="s">
        <v>354</v>
      </c>
      <c r="K120" s="1051">
        <f>IF(J120="",0,IF(J120="D",H120*DADOS!$D$18,H120*DADOS!$D$19))</f>
        <v>490.65</v>
      </c>
      <c r="L120" s="1052"/>
      <c r="M120" s="1053"/>
      <c r="N120" s="186"/>
      <c r="O120" s="761"/>
      <c r="P120" s="762"/>
      <c r="Q120" s="762"/>
      <c r="R120" s="763"/>
      <c r="S120" s="1054">
        <f>IF(G120="",0,IF(C120="3º",0,IF(C120="PJ",0,((H120+K120)*DADOS!$D$7)+((H120+K120)*DADOS!$D$6))))</f>
        <v>0</v>
      </c>
      <c r="T120" s="1054"/>
      <c r="U120" s="450">
        <f t="shared" si="15"/>
        <v>0</v>
      </c>
      <c r="V120" s="451"/>
    </row>
    <row r="121" spans="2:25" ht="12.75" hidden="1" customHeight="1">
      <c r="B121" s="75" t="str">
        <f t="shared" si="14"/>
        <v>P0029</v>
      </c>
      <c r="C121" s="199"/>
      <c r="D121" s="75"/>
      <c r="E121" s="198" t="s">
        <v>382</v>
      </c>
      <c r="F121" s="198" t="str">
        <f>VLOOKUP(E121,'MÃO DE OBRA'!$A:$B,2,FALSE)</f>
        <v>P0029</v>
      </c>
      <c r="G121" s="186"/>
      <c r="H121" s="1049">
        <f>IF(D121="h",VLOOKUP(B121,'MÃO DE OBRA'!$B$3:$D$97,3,0)*220,VLOOKUP(B121,'MÃO DE OBRA'!$B$3:$D$97,3,0))</f>
        <v>2305.6</v>
      </c>
      <c r="I121" s="1050"/>
      <c r="J121" s="76" t="s">
        <v>354</v>
      </c>
      <c r="K121" s="1051">
        <f>IF(J121="",0,IF(J121="D",H121*DADOS!$D$18,H121*DADOS!$D$19))</f>
        <v>576.4</v>
      </c>
      <c r="L121" s="1052"/>
      <c r="M121" s="1053"/>
      <c r="N121" s="186"/>
      <c r="O121" s="761"/>
      <c r="P121" s="762"/>
      <c r="Q121" s="762"/>
      <c r="R121" s="763"/>
      <c r="S121" s="1054">
        <f>IF(G121="",0,IF(C121="3º",0,IF(C121="PJ",0,((H121+K121)*DADOS!$D$7)+((H121+K121)*DADOS!$D$6))))</f>
        <v>0</v>
      </c>
      <c r="T121" s="1054"/>
      <c r="U121" s="450">
        <f t="shared" si="15"/>
        <v>0</v>
      </c>
      <c r="V121" s="451"/>
    </row>
    <row r="122" spans="2:25" ht="12.75" hidden="1" customHeight="1">
      <c r="B122" s="75"/>
      <c r="C122" s="199"/>
      <c r="D122" s="75"/>
      <c r="E122" s="198"/>
      <c r="F122" s="198"/>
      <c r="G122" s="186"/>
      <c r="H122" s="1049"/>
      <c r="I122" s="1050"/>
      <c r="J122" s="76"/>
      <c r="K122" s="1051"/>
      <c r="L122" s="1052"/>
      <c r="M122" s="1053"/>
      <c r="N122" s="186"/>
      <c r="O122" s="1051"/>
      <c r="P122" s="1052"/>
      <c r="Q122" s="1052"/>
      <c r="R122" s="1053"/>
      <c r="S122" s="1054"/>
      <c r="T122" s="1054"/>
      <c r="U122" s="450"/>
      <c r="V122" s="451"/>
    </row>
    <row r="123" spans="2:25" ht="12.75" hidden="1" customHeight="1">
      <c r="B123" s="1064"/>
      <c r="C123" s="1065"/>
      <c r="D123" s="1066" t="s">
        <v>175</v>
      </c>
      <c r="E123" s="1066"/>
      <c r="F123" s="1066"/>
      <c r="G123" s="818">
        <f>SUM(G116:G122)</f>
        <v>0</v>
      </c>
      <c r="H123" s="1067">
        <f>SUMPRODUCT($G$116:$G$122,H116:H122)</f>
        <v>0</v>
      </c>
      <c r="I123" s="1068"/>
      <c r="J123" s="1067">
        <f>SUMPRODUCT($G$116:$G$122,K116:K122)</f>
        <v>0</v>
      </c>
      <c r="K123" s="1068"/>
      <c r="L123" s="1068"/>
      <c r="M123" s="1069"/>
      <c r="N123" s="1067"/>
      <c r="O123" s="1068"/>
      <c r="P123" s="1068"/>
      <c r="Q123" s="1068"/>
      <c r="R123" s="1069"/>
      <c r="S123" s="1067">
        <f>SUMPRODUCT($G$116:$G$122,S116:S122)</f>
        <v>0</v>
      </c>
      <c r="T123" s="1069"/>
      <c r="U123" s="453">
        <f>SUMPRODUCT($G$116:$G$122,U116:U122)</f>
        <v>0</v>
      </c>
      <c r="V123" s="452"/>
      <c r="W123" s="116"/>
    </row>
    <row r="124" spans="2:25" ht="12.75" hidden="1" customHeight="1"/>
    <row r="125" spans="2:25" ht="12.75" hidden="1" customHeight="1">
      <c r="B125" s="1055" t="s">
        <v>347</v>
      </c>
      <c r="C125" s="1055"/>
      <c r="D125" s="1055"/>
      <c r="E125" s="1055"/>
      <c r="F125" s="1055"/>
      <c r="G125" s="1055"/>
      <c r="H125" s="1055"/>
      <c r="I125" s="1055"/>
      <c r="J125" s="1055"/>
      <c r="K125" s="1055"/>
      <c r="L125" s="1055"/>
      <c r="M125" s="1055"/>
      <c r="N125" s="1055"/>
      <c r="O125" s="1055"/>
      <c r="P125" s="1055"/>
      <c r="Q125" s="1055"/>
      <c r="R125" s="1055"/>
      <c r="S125" s="1055"/>
      <c r="T125" s="1055"/>
      <c r="U125" s="1055"/>
      <c r="V125" s="1055"/>
    </row>
    <row r="126" spans="2:25" ht="12.75" hidden="1" customHeight="1">
      <c r="B126" s="1056" t="s">
        <v>357</v>
      </c>
      <c r="C126" s="1088"/>
      <c r="D126" s="1088"/>
      <c r="E126" s="1088" t="s">
        <v>358</v>
      </c>
      <c r="F126" s="1088"/>
      <c r="G126" s="1089" t="s">
        <v>350</v>
      </c>
      <c r="H126" s="1056" t="s">
        <v>359</v>
      </c>
      <c r="I126" s="1088"/>
      <c r="J126" s="1057"/>
      <c r="K126" s="1089" t="s">
        <v>360</v>
      </c>
      <c r="L126" s="1091"/>
      <c r="M126" s="1091"/>
      <c r="N126" s="1091"/>
      <c r="O126" s="1092"/>
      <c r="P126" s="1056" t="s">
        <v>361</v>
      </c>
      <c r="Q126" s="1088"/>
      <c r="R126" s="1088"/>
      <c r="S126" s="1088"/>
      <c r="T126" s="1095" t="s">
        <v>362</v>
      </c>
      <c r="U126" s="1092" t="s">
        <v>363</v>
      </c>
      <c r="V126" s="1062" t="s">
        <v>364</v>
      </c>
    </row>
    <row r="127" spans="2:25" ht="12.75" hidden="1" customHeight="1">
      <c r="B127" s="1058"/>
      <c r="C127" s="1075"/>
      <c r="D127" s="1075"/>
      <c r="E127" s="1075"/>
      <c r="F127" s="1075"/>
      <c r="G127" s="1090"/>
      <c r="H127" s="1058"/>
      <c r="I127" s="1075"/>
      <c r="J127" s="1059"/>
      <c r="K127" s="1090"/>
      <c r="L127" s="1093"/>
      <c r="M127" s="1093"/>
      <c r="N127" s="1093"/>
      <c r="O127" s="1094"/>
      <c r="P127" s="1058" t="s">
        <v>365</v>
      </c>
      <c r="Q127" s="1075"/>
      <c r="R127" s="1075"/>
      <c r="S127" s="1075"/>
      <c r="T127" s="1096"/>
      <c r="U127" s="1094"/>
      <c r="V127" s="1063"/>
    </row>
    <row r="128" spans="2:25" ht="12.75" hidden="1" customHeight="1">
      <c r="B128" s="75" t="str">
        <f>F128</f>
        <v>E0019</v>
      </c>
      <c r="C128" s="454"/>
      <c r="D128" s="455"/>
      <c r="E128" s="201" t="s">
        <v>379</v>
      </c>
      <c r="F128" s="198" t="str">
        <f>VLOOKUP($E128,EQUIPAMENTOS!$A:$B,2,FALSE)</f>
        <v>E0019</v>
      </c>
      <c r="G128" s="433">
        <f>G116</f>
        <v>0</v>
      </c>
      <c r="H128" s="1100">
        <f>VLOOKUP($B128,EQUIPAMENTOS!$B$3:$N$99,9,0)*200</f>
        <v>38000</v>
      </c>
      <c r="I128" s="1101"/>
      <c r="J128" s="1101"/>
      <c r="K128" s="1082" t="s">
        <v>367</v>
      </c>
      <c r="L128" s="1083"/>
      <c r="M128" s="1084">
        <v>200</v>
      </c>
      <c r="N128" s="1084"/>
      <c r="O128" s="1084"/>
      <c r="P128" s="80" t="s">
        <v>368</v>
      </c>
      <c r="Q128" s="1085">
        <f>VLOOKUP($B128,EQUIPAMENTOS!$B$3:$N$99,13,0)</f>
        <v>28</v>
      </c>
      <c r="R128" s="1086"/>
      <c r="S128" s="1087"/>
      <c r="T128" s="441">
        <f>IF(Q128="","",IF(K128="km",M128/Q128,200*Q128)*INDEX(DADOS!$1:$1048576,MATCH(P128,DADOS!D:D,0),5))</f>
        <v>0</v>
      </c>
      <c r="U128" s="202">
        <f>SUM(H128,T128)</f>
        <v>38000</v>
      </c>
      <c r="V128" s="436">
        <f>G128*U128</f>
        <v>0</v>
      </c>
      <c r="X128" s="116"/>
      <c r="Y128" s="116"/>
    </row>
    <row r="129" spans="2:22" ht="12.75" hidden="1" customHeight="1">
      <c r="B129" s="75" t="str">
        <f>F129</f>
        <v>E0032</v>
      </c>
      <c r="C129" s="456"/>
      <c r="D129" s="457"/>
      <c r="E129" s="200" t="s">
        <v>1177</v>
      </c>
      <c r="F129" s="198" t="str">
        <f>VLOOKUP($E129,EQUIPAMENTOS!$A:$B,2,FALSE)</f>
        <v>E0032</v>
      </c>
      <c r="G129" s="434">
        <f>G117</f>
        <v>0</v>
      </c>
      <c r="H129" s="1100">
        <f>VLOOKUP($B129,EQUIPAMENTOS!$B$3:$N$99,9,0)*200</f>
        <v>26810.555555555555</v>
      </c>
      <c r="I129" s="1101"/>
      <c r="J129" s="1101"/>
      <c r="K129" s="1082" t="s">
        <v>367</v>
      </c>
      <c r="L129" s="1083"/>
      <c r="M129" s="1084">
        <v>200</v>
      </c>
      <c r="N129" s="1084"/>
      <c r="O129" s="1084"/>
      <c r="P129" s="80" t="s">
        <v>368</v>
      </c>
      <c r="Q129" s="1085">
        <f>VLOOKUP($B129,EQUIPAMENTOS!$B$3:$N$99,13,0)</f>
        <v>18</v>
      </c>
      <c r="R129" s="1086"/>
      <c r="S129" s="1087"/>
      <c r="T129" s="441">
        <f>IF(Q129="","",IF(K129="km",M129/Q129,200*Q129)*INDEX(DADOS!$1:$1048576,MATCH(P129,DADOS!D:D,0),5))</f>
        <v>0</v>
      </c>
      <c r="U129" s="202">
        <f>SUM(H129,T129)</f>
        <v>26810.555555555555</v>
      </c>
      <c r="V129" s="436">
        <f>G129*U129</f>
        <v>0</v>
      </c>
    </row>
    <row r="130" spans="2:22" ht="12.75" hidden="1" customHeight="1">
      <c r="B130" s="75" t="str">
        <f>F130</f>
        <v>E0011</v>
      </c>
      <c r="C130" s="456"/>
      <c r="D130" s="457"/>
      <c r="E130" s="200" t="s">
        <v>1374</v>
      </c>
      <c r="F130" s="198" t="str">
        <f>VLOOKUP($E130,EQUIPAMENTOS!$A:$B,2,FALSE)</f>
        <v>E0011</v>
      </c>
      <c r="G130" s="434">
        <f>G118</f>
        <v>0</v>
      </c>
      <c r="H130" s="1100">
        <f>VLOOKUP($B130,EQUIPAMENTOS!$B$3:$N$99,9,0)*200</f>
        <v>25000</v>
      </c>
      <c r="I130" s="1101"/>
      <c r="J130" s="1101"/>
      <c r="K130" s="1082" t="s">
        <v>370</v>
      </c>
      <c r="L130" s="1083"/>
      <c r="M130" s="1084">
        <f>25*120</f>
        <v>3000</v>
      </c>
      <c r="N130" s="1084"/>
      <c r="O130" s="1084"/>
      <c r="P130" s="80" t="s">
        <v>368</v>
      </c>
      <c r="Q130" s="1085">
        <f>VLOOKUP($B130,EQUIPAMENTOS!$B$3:$N$99,13,0)</f>
        <v>7</v>
      </c>
      <c r="R130" s="1086"/>
      <c r="S130" s="1087"/>
      <c r="T130" s="441">
        <f>IF(Q130="","",IF(K130="km",M130/Q130,200*Q130)*INDEX(DADOS!$1:$1048576,MATCH(P130,DADOS!D:D,0),5))</f>
        <v>0</v>
      </c>
      <c r="U130" s="202">
        <f>SUM(H130,T130)</f>
        <v>25000</v>
      </c>
      <c r="V130" s="436">
        <f>G130*U130</f>
        <v>0</v>
      </c>
    </row>
    <row r="131" spans="2:22" ht="12.75" hidden="1" customHeight="1">
      <c r="B131" s="75" t="str">
        <f>F131</f>
        <v>E0026</v>
      </c>
      <c r="C131" s="456"/>
      <c r="D131" s="457"/>
      <c r="E131" s="200" t="s">
        <v>384</v>
      </c>
      <c r="F131" s="198" t="str">
        <f>VLOOKUP($E131,EQUIPAMENTOS!$A:$B,2,FALSE)</f>
        <v>E0026</v>
      </c>
      <c r="G131" s="434">
        <f>G119</f>
        <v>0</v>
      </c>
      <c r="H131" s="1100">
        <f>VLOOKUP($B131,EQUIPAMENTOS!$B$3:$N$99,9,0)*200</f>
        <v>29000</v>
      </c>
      <c r="I131" s="1101"/>
      <c r="J131" s="1101"/>
      <c r="K131" s="1082" t="s">
        <v>367</v>
      </c>
      <c r="L131" s="1083"/>
      <c r="M131" s="1084">
        <v>200</v>
      </c>
      <c r="N131" s="1084"/>
      <c r="O131" s="1084"/>
      <c r="P131" s="80" t="s">
        <v>368</v>
      </c>
      <c r="Q131" s="1085">
        <f>VLOOKUP($B131,EQUIPAMENTOS!$B$3:$N$99,13,0)</f>
        <v>16</v>
      </c>
      <c r="R131" s="1086"/>
      <c r="S131" s="1087"/>
      <c r="T131" s="441">
        <f>IF(Q131="","",IF(K131="km",M131/Q131,200*Q131)*INDEX(DADOS!$1:$1048576,MATCH(P131,DADOS!D:D,0),5))</f>
        <v>0</v>
      </c>
      <c r="U131" s="202">
        <f>SUM(H131,T131)</f>
        <v>29000</v>
      </c>
      <c r="V131" s="436">
        <f>G131*U131</f>
        <v>0</v>
      </c>
    </row>
    <row r="132" spans="2:22" ht="12.75" hidden="1" customHeight="1">
      <c r="B132" s="1102"/>
      <c r="C132" s="1103"/>
      <c r="D132" s="1104"/>
      <c r="E132" s="1105"/>
      <c r="F132" s="1106"/>
      <c r="G132" s="432"/>
      <c r="H132" s="1551"/>
      <c r="I132" s="1552"/>
      <c r="J132" s="1552"/>
      <c r="K132" s="1108"/>
      <c r="L132" s="1107"/>
      <c r="M132" s="1109"/>
      <c r="N132" s="1109"/>
      <c r="O132" s="1109"/>
      <c r="P132" s="81"/>
      <c r="Q132" s="1085"/>
      <c r="R132" s="1086"/>
      <c r="S132" s="1087"/>
      <c r="T132" s="437"/>
      <c r="U132" s="666"/>
      <c r="V132" s="441"/>
    </row>
    <row r="133" spans="2:22" ht="12.75" hidden="1" customHeight="1">
      <c r="B133" s="1123"/>
      <c r="C133" s="1124"/>
      <c r="D133" s="1125"/>
      <c r="E133" s="1126" t="s">
        <v>175</v>
      </c>
      <c r="F133" s="1127"/>
      <c r="G133" s="435">
        <f>SUM(G128:G132)</f>
        <v>0</v>
      </c>
      <c r="H133" s="1550">
        <f>SUMPRODUCT(G$128:$G132,H128:H132)</f>
        <v>0</v>
      </c>
      <c r="I133" s="1550"/>
      <c r="J133" s="1550"/>
      <c r="K133" s="1129"/>
      <c r="L133" s="1130"/>
      <c r="M133" s="1130"/>
      <c r="N133" s="1130"/>
      <c r="O133" s="1131"/>
      <c r="P133" s="699"/>
      <c r="Q133" s="819"/>
      <c r="R133" s="819"/>
      <c r="S133" s="819"/>
      <c r="T133" s="665">
        <f>SUMPRODUCT($G$128:G132,T128:T132)</f>
        <v>0</v>
      </c>
      <c r="U133" s="665"/>
      <c r="V133" s="668">
        <f>SUM(V128:V132)</f>
        <v>0</v>
      </c>
    </row>
  </sheetData>
  <mergeCells count="417">
    <mergeCell ref="B77:C78"/>
    <mergeCell ref="D77:F78"/>
    <mergeCell ref="G77:G78"/>
    <mergeCell ref="K80:M80"/>
    <mergeCell ref="AB64:AC64"/>
    <mergeCell ref="AG64:AH64"/>
    <mergeCell ref="W9:X9"/>
    <mergeCell ref="H66:I66"/>
    <mergeCell ref="H30:J30"/>
    <mergeCell ref="U46:V47"/>
    <mergeCell ref="H47:I47"/>
    <mergeCell ref="J47:L47"/>
    <mergeCell ref="U45:V45"/>
    <mergeCell ref="E46:E47"/>
    <mergeCell ref="H46:I46"/>
    <mergeCell ref="J46:L46"/>
    <mergeCell ref="D21:F21"/>
    <mergeCell ref="H21:I21"/>
    <mergeCell ref="P24:S24"/>
    <mergeCell ref="P25:S25"/>
    <mergeCell ref="B24:D25"/>
    <mergeCell ref="N21:R21"/>
    <mergeCell ref="O10:T11"/>
    <mergeCell ref="J10:L10"/>
    <mergeCell ref="H96:J96"/>
    <mergeCell ref="N66:Q66"/>
    <mergeCell ref="H94:J94"/>
    <mergeCell ref="K94:L94"/>
    <mergeCell ref="M94:O94"/>
    <mergeCell ref="Q94:S94"/>
    <mergeCell ref="X64:Y64"/>
    <mergeCell ref="B88:V88"/>
    <mergeCell ref="B89:D90"/>
    <mergeCell ref="E89:F90"/>
    <mergeCell ref="G89:G90"/>
    <mergeCell ref="H89:J90"/>
    <mergeCell ref="B65:D65"/>
    <mergeCell ref="E65:F65"/>
    <mergeCell ref="U72:V73"/>
    <mergeCell ref="H73:I73"/>
    <mergeCell ref="J73:L73"/>
    <mergeCell ref="B76:V76"/>
    <mergeCell ref="O83:R83"/>
    <mergeCell ref="K81:M81"/>
    <mergeCell ref="O81:R81"/>
    <mergeCell ref="S81:T81"/>
    <mergeCell ref="H82:I82"/>
    <mergeCell ref="K82:M82"/>
    <mergeCell ref="AL64:AM64"/>
    <mergeCell ref="H85:I85"/>
    <mergeCell ref="K85:M85"/>
    <mergeCell ref="O85:R85"/>
    <mergeCell ref="S85:T85"/>
    <mergeCell ref="AB65:AC65"/>
    <mergeCell ref="X65:Y65"/>
    <mergeCell ref="AG65:AH65"/>
    <mergeCell ref="AL65:AM65"/>
    <mergeCell ref="H84:I84"/>
    <mergeCell ref="K84:M84"/>
    <mergeCell ref="O84:R84"/>
    <mergeCell ref="S84:T84"/>
    <mergeCell ref="H65:J65"/>
    <mergeCell ref="K65:O65"/>
    <mergeCell ref="J71:L71"/>
    <mergeCell ref="O71:T71"/>
    <mergeCell ref="U71:V71"/>
    <mergeCell ref="S83:T83"/>
    <mergeCell ref="O80:R80"/>
    <mergeCell ref="S80:T80"/>
    <mergeCell ref="H77:I78"/>
    <mergeCell ref="H64:J64"/>
    <mergeCell ref="K64:L64"/>
    <mergeCell ref="B132:D132"/>
    <mergeCell ref="E132:F132"/>
    <mergeCell ref="H132:J132"/>
    <mergeCell ref="K132:L132"/>
    <mergeCell ref="M132:O132"/>
    <mergeCell ref="Q132:S132"/>
    <mergeCell ref="H129:J129"/>
    <mergeCell ref="K129:L129"/>
    <mergeCell ref="M129:O129"/>
    <mergeCell ref="Q129:S129"/>
    <mergeCell ref="H130:J130"/>
    <mergeCell ref="K130:L130"/>
    <mergeCell ref="M130:O130"/>
    <mergeCell ref="Q130:S130"/>
    <mergeCell ref="B123:C123"/>
    <mergeCell ref="D123:F123"/>
    <mergeCell ref="H123:I123"/>
    <mergeCell ref="J123:M123"/>
    <mergeCell ref="N123:R123"/>
    <mergeCell ref="S123:T123"/>
    <mergeCell ref="H116:I116"/>
    <mergeCell ref="E133:F133"/>
    <mergeCell ref="H133:J133"/>
    <mergeCell ref="K133:O133"/>
    <mergeCell ref="B125:V125"/>
    <mergeCell ref="B126:D127"/>
    <mergeCell ref="E126:F127"/>
    <mergeCell ref="G126:G127"/>
    <mergeCell ref="H126:J127"/>
    <mergeCell ref="K126:O127"/>
    <mergeCell ref="P126:S126"/>
    <mergeCell ref="T126:T127"/>
    <mergeCell ref="U126:U127"/>
    <mergeCell ref="V126:V127"/>
    <mergeCell ref="P127:S127"/>
    <mergeCell ref="H128:J128"/>
    <mergeCell ref="K128:L128"/>
    <mergeCell ref="M128:O128"/>
    <mergeCell ref="Q128:S128"/>
    <mergeCell ref="H131:J131"/>
    <mergeCell ref="K131:L131"/>
    <mergeCell ref="M131:O131"/>
    <mergeCell ref="Q131:S131"/>
    <mergeCell ref="B133:D133"/>
    <mergeCell ref="K116:M116"/>
    <mergeCell ref="O116:R116"/>
    <mergeCell ref="S116:T116"/>
    <mergeCell ref="H119:I119"/>
    <mergeCell ref="K119:M119"/>
    <mergeCell ref="S119:T119"/>
    <mergeCell ref="H122:I122"/>
    <mergeCell ref="K122:M122"/>
    <mergeCell ref="O122:R122"/>
    <mergeCell ref="S122:T122"/>
    <mergeCell ref="H117:I117"/>
    <mergeCell ref="H118:I118"/>
    <mergeCell ref="K117:M117"/>
    <mergeCell ref="K118:M118"/>
    <mergeCell ref="S117:T117"/>
    <mergeCell ref="S118:T118"/>
    <mergeCell ref="H120:I120"/>
    <mergeCell ref="H121:I121"/>
    <mergeCell ref="K120:M120"/>
    <mergeCell ref="K121:M121"/>
    <mergeCell ref="S120:T120"/>
    <mergeCell ref="S121:T121"/>
    <mergeCell ref="E109:E110"/>
    <mergeCell ref="H109:I109"/>
    <mergeCell ref="J109:L109"/>
    <mergeCell ref="O109:T110"/>
    <mergeCell ref="U109:V110"/>
    <mergeCell ref="H110:I110"/>
    <mergeCell ref="J110:L110"/>
    <mergeCell ref="B113:V113"/>
    <mergeCell ref="B114:C115"/>
    <mergeCell ref="D114:F115"/>
    <mergeCell ref="G114:G115"/>
    <mergeCell ref="H114:I115"/>
    <mergeCell ref="J114:M115"/>
    <mergeCell ref="N114:R115"/>
    <mergeCell ref="S114:T115"/>
    <mergeCell ref="U114:U115"/>
    <mergeCell ref="V114:V115"/>
    <mergeCell ref="U108:V108"/>
    <mergeCell ref="B86:C86"/>
    <mergeCell ref="D86:F86"/>
    <mergeCell ref="H86:I86"/>
    <mergeCell ref="J86:M86"/>
    <mergeCell ref="N86:R86"/>
    <mergeCell ref="S86:T86"/>
    <mergeCell ref="B106:D106"/>
    <mergeCell ref="C108:E108"/>
    <mergeCell ref="H108:I108"/>
    <mergeCell ref="J108:L108"/>
    <mergeCell ref="O108:T108"/>
    <mergeCell ref="H95:J95"/>
    <mergeCell ref="K95:O95"/>
    <mergeCell ref="B104:C104"/>
    <mergeCell ref="D104:F104"/>
    <mergeCell ref="G104:H104"/>
    <mergeCell ref="I104:K104"/>
    <mergeCell ref="L104:P104"/>
    <mergeCell ref="Q104:T104"/>
    <mergeCell ref="H92:J92"/>
    <mergeCell ref="K92:L92"/>
    <mergeCell ref="M92:O92"/>
    <mergeCell ref="Q92:S92"/>
    <mergeCell ref="H81:I81"/>
    <mergeCell ref="K55:M55"/>
    <mergeCell ref="O55:R55"/>
    <mergeCell ref="S55:T55"/>
    <mergeCell ref="H56:I56"/>
    <mergeCell ref="K56:M56"/>
    <mergeCell ref="O56:R56"/>
    <mergeCell ref="S56:T56"/>
    <mergeCell ref="V24:V25"/>
    <mergeCell ref="H55:I55"/>
    <mergeCell ref="H54:I54"/>
    <mergeCell ref="K54:M54"/>
    <mergeCell ref="O54:R54"/>
    <mergeCell ref="S54:T54"/>
    <mergeCell ref="S51:T52"/>
    <mergeCell ref="U51:U52"/>
    <mergeCell ref="V51:V52"/>
    <mergeCell ref="H62:J62"/>
    <mergeCell ref="K62:L62"/>
    <mergeCell ref="M62:O62"/>
    <mergeCell ref="Q62:S62"/>
    <mergeCell ref="H63:J63"/>
    <mergeCell ref="K63:L63"/>
    <mergeCell ref="M63:O63"/>
    <mergeCell ref="G24:G25"/>
    <mergeCell ref="H24:J25"/>
    <mergeCell ref="K24:O25"/>
    <mergeCell ref="U24:U25"/>
    <mergeCell ref="H20:I20"/>
    <mergeCell ref="K20:M20"/>
    <mergeCell ref="O17:R17"/>
    <mergeCell ref="S17:T17"/>
    <mergeCell ref="H17:I17"/>
    <mergeCell ref="K17:M17"/>
    <mergeCell ref="E24:F25"/>
    <mergeCell ref="Q26:S26"/>
    <mergeCell ref="J21:M21"/>
    <mergeCell ref="B39:C39"/>
    <mergeCell ref="Q39:T39"/>
    <mergeCell ref="H53:I53"/>
    <mergeCell ref="K53:M53"/>
    <mergeCell ref="O53:R53"/>
    <mergeCell ref="S53:T53"/>
    <mergeCell ref="B43:D43"/>
    <mergeCell ref="C45:E45"/>
    <mergeCell ref="H45:I45"/>
    <mergeCell ref="J45:L45"/>
    <mergeCell ref="O45:T45"/>
    <mergeCell ref="O46:T47"/>
    <mergeCell ref="B50:V50"/>
    <mergeCell ref="B51:C52"/>
    <mergeCell ref="D51:F52"/>
    <mergeCell ref="G51:G52"/>
    <mergeCell ref="H51:I52"/>
    <mergeCell ref="J51:M52"/>
    <mergeCell ref="N51:R52"/>
    <mergeCell ref="B21:C21"/>
    <mergeCell ref="B23:V23"/>
    <mergeCell ref="B7:D7"/>
    <mergeCell ref="N15:R16"/>
    <mergeCell ref="U15:U16"/>
    <mergeCell ref="V15:V16"/>
    <mergeCell ref="S15:T16"/>
    <mergeCell ref="D15:F16"/>
    <mergeCell ref="G15:G16"/>
    <mergeCell ref="H15:I16"/>
    <mergeCell ref="J15:M16"/>
    <mergeCell ref="U9:V9"/>
    <mergeCell ref="O9:T9"/>
    <mergeCell ref="C9:E9"/>
    <mergeCell ref="H9:I9"/>
    <mergeCell ref="J9:L9"/>
    <mergeCell ref="H10:I10"/>
    <mergeCell ref="H11:I11"/>
    <mergeCell ref="U10:V11"/>
    <mergeCell ref="J11:L11"/>
    <mergeCell ref="B14:V14"/>
    <mergeCell ref="E10:E11"/>
    <mergeCell ref="B15:C16"/>
    <mergeCell ref="B57:C57"/>
    <mergeCell ref="D57:F57"/>
    <mergeCell ref="H57:I57"/>
    <mergeCell ref="J57:M57"/>
    <mergeCell ref="N57:R57"/>
    <mergeCell ref="S57:T57"/>
    <mergeCell ref="B59:V59"/>
    <mergeCell ref="B60:D61"/>
    <mergeCell ref="E60:F61"/>
    <mergeCell ref="G60:G61"/>
    <mergeCell ref="H60:J61"/>
    <mergeCell ref="K60:O61"/>
    <mergeCell ref="P60:S60"/>
    <mergeCell ref="T60:T61"/>
    <mergeCell ref="U60:U61"/>
    <mergeCell ref="V60:V61"/>
    <mergeCell ref="P61:S61"/>
    <mergeCell ref="Q63:S63"/>
    <mergeCell ref="H79:I79"/>
    <mergeCell ref="K79:M79"/>
    <mergeCell ref="O79:R79"/>
    <mergeCell ref="S79:T79"/>
    <mergeCell ref="J77:M78"/>
    <mergeCell ref="N77:R78"/>
    <mergeCell ref="S77:T78"/>
    <mergeCell ref="H71:I71"/>
    <mergeCell ref="M64:O64"/>
    <mergeCell ref="Q64:S64"/>
    <mergeCell ref="U104:V104"/>
    <mergeCell ref="D103:F103"/>
    <mergeCell ref="G103:H103"/>
    <mergeCell ref="I103:K103"/>
    <mergeCell ref="L103:P103"/>
    <mergeCell ref="Q103:T103"/>
    <mergeCell ref="U103:V103"/>
    <mergeCell ref="E72:E73"/>
    <mergeCell ref="H72:I72"/>
    <mergeCell ref="J72:L72"/>
    <mergeCell ref="O72:T73"/>
    <mergeCell ref="H93:J93"/>
    <mergeCell ref="K93:L93"/>
    <mergeCell ref="M93:O93"/>
    <mergeCell ref="Q93:S93"/>
    <mergeCell ref="U77:U78"/>
    <mergeCell ref="V77:V78"/>
    <mergeCell ref="U89:U90"/>
    <mergeCell ref="V89:V90"/>
    <mergeCell ref="H91:J91"/>
    <mergeCell ref="K91:L91"/>
    <mergeCell ref="M91:O91"/>
    <mergeCell ref="Q91:S91"/>
    <mergeCell ref="P90:S90"/>
    <mergeCell ref="B69:D69"/>
    <mergeCell ref="O82:R82"/>
    <mergeCell ref="U100:V100"/>
    <mergeCell ref="D101:F101"/>
    <mergeCell ref="G101:H101"/>
    <mergeCell ref="I101:K101"/>
    <mergeCell ref="L101:P101"/>
    <mergeCell ref="Q101:T101"/>
    <mergeCell ref="U101:V101"/>
    <mergeCell ref="B95:D95"/>
    <mergeCell ref="E95:F95"/>
    <mergeCell ref="B98:V98"/>
    <mergeCell ref="B99:C99"/>
    <mergeCell ref="D99:F99"/>
    <mergeCell ref="G99:H99"/>
    <mergeCell ref="I99:K99"/>
    <mergeCell ref="L99:P99"/>
    <mergeCell ref="Q99:T99"/>
    <mergeCell ref="U99:V99"/>
    <mergeCell ref="C71:E71"/>
    <mergeCell ref="S82:T82"/>
    <mergeCell ref="H83:I83"/>
    <mergeCell ref="K83:M83"/>
    <mergeCell ref="H80:I80"/>
    <mergeCell ref="U38:V38"/>
    <mergeCell ref="D37:F37"/>
    <mergeCell ref="G37:H37"/>
    <mergeCell ref="I37:K37"/>
    <mergeCell ref="L37:P37"/>
    <mergeCell ref="Q37:T37"/>
    <mergeCell ref="U37:V37"/>
    <mergeCell ref="L36:P36"/>
    <mergeCell ref="D102:F102"/>
    <mergeCell ref="G102:H102"/>
    <mergeCell ref="I102:K102"/>
    <mergeCell ref="L102:P102"/>
    <mergeCell ref="Q102:T102"/>
    <mergeCell ref="L39:P39"/>
    <mergeCell ref="I39:K39"/>
    <mergeCell ref="G39:H39"/>
    <mergeCell ref="D39:F39"/>
    <mergeCell ref="D100:F100"/>
    <mergeCell ref="G100:H100"/>
    <mergeCell ref="I100:K100"/>
    <mergeCell ref="L100:P100"/>
    <mergeCell ref="Q100:T100"/>
    <mergeCell ref="K89:O90"/>
    <mergeCell ref="P89:S89"/>
    <mergeCell ref="U33:V33"/>
    <mergeCell ref="U36:V36"/>
    <mergeCell ref="D35:F35"/>
    <mergeCell ref="G35:H35"/>
    <mergeCell ref="I35:K35"/>
    <mergeCell ref="L35:P35"/>
    <mergeCell ref="Q35:T35"/>
    <mergeCell ref="U35:V35"/>
    <mergeCell ref="U39:V39"/>
    <mergeCell ref="D34:F34"/>
    <mergeCell ref="G34:H34"/>
    <mergeCell ref="I34:K34"/>
    <mergeCell ref="Q34:T34"/>
    <mergeCell ref="U34:V34"/>
    <mergeCell ref="Q36:T36"/>
    <mergeCell ref="D36:F36"/>
    <mergeCell ref="G36:H36"/>
    <mergeCell ref="I36:K36"/>
    <mergeCell ref="L34:P34"/>
    <mergeCell ref="D38:F38"/>
    <mergeCell ref="G38:H38"/>
    <mergeCell ref="I38:K38"/>
    <mergeCell ref="L38:P38"/>
    <mergeCell ref="Q38:T38"/>
    <mergeCell ref="M27:O27"/>
    <mergeCell ref="K27:L27"/>
    <mergeCell ref="M28:O28"/>
    <mergeCell ref="K28:L28"/>
    <mergeCell ref="H27:J27"/>
    <mergeCell ref="H28:J28"/>
    <mergeCell ref="B32:V32"/>
    <mergeCell ref="K29:O29"/>
    <mergeCell ref="H29:J29"/>
    <mergeCell ref="B29:D29"/>
    <mergeCell ref="E29:F29"/>
    <mergeCell ref="B33:C33"/>
    <mergeCell ref="D33:F33"/>
    <mergeCell ref="G33:H33"/>
    <mergeCell ref="I33:K33"/>
    <mergeCell ref="L33:P33"/>
    <mergeCell ref="Q33:T33"/>
    <mergeCell ref="T89:T90"/>
    <mergeCell ref="H18:I18"/>
    <mergeCell ref="K18:M18"/>
    <mergeCell ref="O18:R18"/>
    <mergeCell ref="S18:T18"/>
    <mergeCell ref="H19:I19"/>
    <mergeCell ref="K19:M19"/>
    <mergeCell ref="O19:R19"/>
    <mergeCell ref="S19:T19"/>
    <mergeCell ref="H26:J26"/>
    <mergeCell ref="K26:L26"/>
    <mergeCell ref="M26:O26"/>
    <mergeCell ref="T24:T25"/>
    <mergeCell ref="S21:T21"/>
    <mergeCell ref="O20:R20"/>
    <mergeCell ref="S20:T20"/>
    <mergeCell ref="Q27:S27"/>
    <mergeCell ref="Q28:S28"/>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6146" r:id="rId3" name="Label1">
          <controlPr defaultSize="0" autoLine="0" autoPict="0" r:id="rId4">
            <anchor moveWithCells="1">
              <from>
                <xdr:col>11</xdr:col>
                <xdr:colOff>121920</xdr:colOff>
                <xdr:row>0</xdr:row>
                <xdr:rowOff>38100</xdr:rowOff>
              </from>
              <to>
                <xdr:col>20</xdr:col>
                <xdr:colOff>609600</xdr:colOff>
                <xdr:row>1</xdr:row>
                <xdr:rowOff>22860</xdr:rowOff>
              </to>
            </anchor>
          </controlPr>
        </control>
      </mc:Choice>
      <mc:Fallback>
        <control shapeId="6146" r:id="rId3" name="Label1"/>
      </mc:Fallback>
    </mc:AlternateContent>
    <mc:AlternateContent xmlns:mc="http://schemas.openxmlformats.org/markup-compatibility/2006">
      <mc:Choice Requires="x14">
        <control shapeId="6145" r:id="rId5" name="ComboBox13">
          <controlPr defaultSize="0" autoLine="0" autoPict="0" r:id="rId6">
            <anchor moveWithCells="1">
              <from>
                <xdr:col>12</xdr:col>
                <xdr:colOff>7620</xdr:colOff>
                <xdr:row>2</xdr:row>
                <xdr:rowOff>7620</xdr:rowOff>
              </from>
              <to>
                <xdr:col>20</xdr:col>
                <xdr:colOff>883920</xdr:colOff>
                <xdr:row>3</xdr:row>
                <xdr:rowOff>83820</xdr:rowOff>
              </to>
            </anchor>
          </controlPr>
        </control>
      </mc:Choice>
      <mc:Fallback>
        <control shapeId="6145" r:id="rId5" name="ComboBox13"/>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3B5BE-02F8-48B4-A02B-0611068D059C}">
  <sheetPr codeName="Planilha22">
    <tabColor rgb="FF00B050"/>
  </sheetPr>
  <dimension ref="B6:AC100"/>
  <sheetViews>
    <sheetView showGridLines="0" zoomScaleNormal="100" workbookViewId="0">
      <selection activeCell="H59" sqref="H59:I59"/>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1.66406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3.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9" ht="18.75" customHeight="1">
      <c r="B6" s="1044" t="s">
        <v>343</v>
      </c>
      <c r="C6" s="1044"/>
      <c r="D6" s="1044"/>
      <c r="E6" s="70" t="s">
        <v>219</v>
      </c>
      <c r="X6" s="733"/>
      <c r="Y6" s="733"/>
    </row>
    <row r="7" spans="2:29" ht="12.75" customHeight="1">
      <c r="B7" s="71"/>
      <c r="C7" s="71"/>
      <c r="D7" s="71"/>
      <c r="E7" s="71"/>
      <c r="F7" s="71"/>
      <c r="G7" s="71"/>
      <c r="H7" s="71"/>
      <c r="I7" s="71"/>
      <c r="J7" s="71"/>
      <c r="K7" s="71"/>
      <c r="L7" s="71"/>
      <c r="M7" s="71"/>
      <c r="N7" s="71"/>
      <c r="O7" s="71"/>
      <c r="P7" s="71"/>
      <c r="Q7" s="71"/>
      <c r="R7" s="71"/>
      <c r="S7" s="71"/>
      <c r="T7" s="71"/>
      <c r="U7" s="71"/>
      <c r="V7" s="71"/>
    </row>
    <row r="8" spans="2:29" ht="12.75" customHeight="1">
      <c r="B8" s="71"/>
      <c r="C8" s="1045" t="s">
        <v>303</v>
      </c>
      <c r="D8" s="1045"/>
      <c r="E8" s="1046"/>
      <c r="F8" s="71"/>
      <c r="G8" s="71"/>
      <c r="H8" s="1039" t="s">
        <v>344</v>
      </c>
      <c r="I8" s="1039"/>
      <c r="J8" s="1040">
        <f>U22</f>
        <v>0</v>
      </c>
      <c r="K8" s="1040"/>
      <c r="L8" s="1040"/>
      <c r="M8" s="448"/>
      <c r="N8" s="447"/>
      <c r="O8" s="1047" t="s">
        <v>345</v>
      </c>
      <c r="P8" s="1047"/>
      <c r="Q8" s="1047"/>
      <c r="R8" s="1047"/>
      <c r="S8" s="1047"/>
      <c r="T8" s="1047"/>
      <c r="U8" s="1048" t="s">
        <v>346</v>
      </c>
      <c r="V8" s="1047"/>
    </row>
    <row r="9" spans="2:29" ht="12.75" customHeight="1">
      <c r="B9" s="71"/>
      <c r="C9" s="446"/>
      <c r="D9" s="446"/>
      <c r="E9" s="1038">
        <f>SUM(J8:L10)</f>
        <v>0</v>
      </c>
      <c r="F9" s="71"/>
      <c r="G9" s="71"/>
      <c r="H9" s="1039" t="s">
        <v>347</v>
      </c>
      <c r="I9" s="1039"/>
      <c r="J9" s="1040">
        <f>V32</f>
        <v>0</v>
      </c>
      <c r="K9" s="1040"/>
      <c r="L9" s="1040"/>
      <c r="M9" s="449"/>
      <c r="N9" s="402"/>
      <c r="O9" s="1041"/>
      <c r="P9" s="1041"/>
      <c r="Q9" s="1041"/>
      <c r="R9" s="1041"/>
      <c r="S9" s="1041"/>
      <c r="T9" s="1041"/>
      <c r="U9" s="1042">
        <f>E9*O9</f>
        <v>0</v>
      </c>
      <c r="V9" s="1043"/>
      <c r="X9" s="733"/>
      <c r="Y9" s="137"/>
      <c r="AA9" s="137"/>
    </row>
    <row r="10" spans="2:29" ht="12.75" customHeight="1">
      <c r="B10" s="73"/>
      <c r="C10" s="446"/>
      <c r="D10" s="446"/>
      <c r="E10" s="1038"/>
      <c r="F10" s="71"/>
      <c r="G10" s="71"/>
      <c r="H10" s="1039" t="s">
        <v>348</v>
      </c>
      <c r="I10" s="1039"/>
      <c r="J10" s="1040">
        <f>Q43</f>
        <v>0</v>
      </c>
      <c r="K10" s="1040"/>
      <c r="L10" s="1040"/>
      <c r="M10" s="449"/>
      <c r="N10" s="402"/>
      <c r="O10" s="1041"/>
      <c r="P10" s="1041"/>
      <c r="Q10" s="1041"/>
      <c r="R10" s="1041"/>
      <c r="S10" s="1041"/>
      <c r="T10" s="1041"/>
      <c r="U10" s="1042"/>
      <c r="V10" s="1043"/>
    </row>
    <row r="11" spans="2:29" ht="12.75" customHeight="1">
      <c r="B11" s="71"/>
      <c r="C11" s="71"/>
      <c r="D11" s="71"/>
      <c r="E11" s="71"/>
      <c r="F11" s="71"/>
      <c r="G11" s="71"/>
      <c r="H11" s="71"/>
      <c r="I11" s="71"/>
      <c r="J11" s="71"/>
      <c r="K11" s="71"/>
      <c r="L11" s="71"/>
      <c r="M11" s="71"/>
      <c r="N11" s="71"/>
      <c r="O11" s="71"/>
      <c r="P11" s="71"/>
      <c r="Q11" s="71"/>
      <c r="R11" s="71"/>
      <c r="S11" s="71"/>
      <c r="T11" s="71"/>
      <c r="U11" s="71"/>
      <c r="V11" s="71"/>
    </row>
    <row r="13" spans="2:29"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9" ht="12.75" customHeight="1">
      <c r="B14" s="1056" t="s">
        <v>183</v>
      </c>
      <c r="C14" s="1057"/>
      <c r="D14" s="1060" t="s">
        <v>349</v>
      </c>
      <c r="E14" s="1060"/>
      <c r="F14" s="1060"/>
      <c r="G14" s="1060" t="s">
        <v>350</v>
      </c>
      <c r="H14" s="1060" t="s">
        <v>351</v>
      </c>
      <c r="I14" s="1060"/>
      <c r="J14" s="1060" t="s">
        <v>352</v>
      </c>
      <c r="K14" s="1060"/>
      <c r="L14" s="1060"/>
      <c r="M14" s="1060"/>
      <c r="N14" s="1060"/>
      <c r="O14" s="1060"/>
      <c r="P14" s="1060"/>
      <c r="Q14" s="1060"/>
      <c r="R14" s="1060"/>
      <c r="S14" s="1061" t="s">
        <v>353</v>
      </c>
      <c r="T14" s="1061"/>
      <c r="U14" s="1062" t="s">
        <v>346</v>
      </c>
      <c r="V14" s="1060"/>
    </row>
    <row r="15" spans="2:29"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c r="AC15" s="733"/>
    </row>
    <row r="16" spans="2:29" ht="13.8">
      <c r="B16" s="74" t="str">
        <f t="shared" ref="B16:B21" si="0">F16</f>
        <v>P0015</v>
      </c>
      <c r="C16" s="199"/>
      <c r="D16" s="75"/>
      <c r="E16" s="198" t="s">
        <v>385</v>
      </c>
      <c r="F16" s="198" t="str">
        <f>VLOOKUP(E16,'MÃO DE OBRA'!$A:$B,2,FALSE)</f>
        <v>P0015</v>
      </c>
      <c r="G16" s="186"/>
      <c r="H16" s="1049">
        <f>IF(D16="h",VLOOKUP(B16,'MÃO DE OBRA'!$B$3:$D$97,3,0)*220,VLOOKUP(B16,'MÃO DE OBRA'!$B$3:$D$97,3,0))</f>
        <v>2305.6</v>
      </c>
      <c r="I16" s="1050"/>
      <c r="J16" s="76" t="s">
        <v>354</v>
      </c>
      <c r="K16" s="1051">
        <f>IF(J16="",0,IF(J16="D",H16*DADOS!$D$18,H16*DADOS!$D$19))</f>
        <v>576.4</v>
      </c>
      <c r="L16" s="1052"/>
      <c r="M16" s="1053"/>
      <c r="N16" s="186"/>
      <c r="O16" s="1051"/>
      <c r="P16" s="1052"/>
      <c r="Q16" s="1052"/>
      <c r="R16" s="1053"/>
      <c r="S16" s="1054">
        <f>IF(G16="",0,IF(C16="3º",0,IF(C16="PJ",0,((H16+K16)*DADOS!$D$7)+((H16+K16)*DADOS!$D$6))))</f>
        <v>0</v>
      </c>
      <c r="T16" s="1054"/>
      <c r="U16" s="450">
        <f t="shared" ref="U16:U21" si="1">IF(G16="",0,SUM(H16,K16,,O16,V16,S16))</f>
        <v>0</v>
      </c>
      <c r="V16" s="451"/>
      <c r="AC16" s="733"/>
    </row>
    <row r="17" spans="2:22" ht="13.8">
      <c r="B17" s="75" t="str">
        <f t="shared" si="0"/>
        <v>P0005</v>
      </c>
      <c r="C17" s="199"/>
      <c r="D17" s="75"/>
      <c r="E17" s="77" t="s">
        <v>386</v>
      </c>
      <c r="F17" s="198" t="str">
        <f>VLOOKUP(E17,'MÃO DE OBRA'!$A:$B,2,FALSE)</f>
        <v>P0005</v>
      </c>
      <c r="G17" s="186"/>
      <c r="H17" s="1049">
        <f>IF(D17="h",VLOOKUP(B17,'MÃO DE OBRA'!$B$3:$D$97,3,0)*220,VLOOKUP(B17,'MÃO DE OBRA'!$B$3:$D$97,3,0))</f>
        <v>2305.6</v>
      </c>
      <c r="I17" s="1050"/>
      <c r="J17" s="76" t="s">
        <v>354</v>
      </c>
      <c r="K17" s="1051">
        <f>IF(J17="",0,IF(J17="D",H17*DADOS!$D$18,H17*DADOS!$D$19))</f>
        <v>576.4</v>
      </c>
      <c r="L17" s="1052"/>
      <c r="M17" s="1053"/>
      <c r="N17" s="186"/>
      <c r="O17" s="1051"/>
      <c r="P17" s="1052"/>
      <c r="Q17" s="1052"/>
      <c r="R17" s="1053"/>
      <c r="S17" s="1054">
        <f>IF(G17="",0,IF(C17="3º",0,IF(C17="PJ",0,((H17+K17)*DADOS!$D$7)+((H17+K17)*DADOS!$D$6))))</f>
        <v>0</v>
      </c>
      <c r="T17" s="1054"/>
      <c r="U17" s="450">
        <f t="shared" si="1"/>
        <v>0</v>
      </c>
      <c r="V17" s="451"/>
    </row>
    <row r="18" spans="2:22" ht="13.8">
      <c r="B18" s="75" t="str">
        <f t="shared" si="0"/>
        <v>P0052</v>
      </c>
      <c r="C18" s="199"/>
      <c r="D18" s="75"/>
      <c r="E18" s="77" t="s">
        <v>383</v>
      </c>
      <c r="F18" s="198" t="str">
        <f>VLOOKUP(E18,'MÃO DE OBRA'!$A:$B,2,FALSE)</f>
        <v>P0052</v>
      </c>
      <c r="G18" s="186"/>
      <c r="H18" s="1049">
        <f>IF(D18="h",VLOOKUP(B18,'MÃO DE OBRA'!$B$3:$D$97,3,0)*220,VLOOKUP(B18,'MÃO DE OBRA'!$B$3:$D$97,3,0))</f>
        <v>2305.6</v>
      </c>
      <c r="I18" s="1050"/>
      <c r="J18" s="76" t="s">
        <v>354</v>
      </c>
      <c r="K18" s="1051">
        <f>IF(J18="",0,IF(J18="D",H18*DADOS!$D$18,H18*DADOS!$D$19))</f>
        <v>576.4</v>
      </c>
      <c r="L18" s="1052"/>
      <c r="M18" s="1053"/>
      <c r="N18" s="186"/>
      <c r="O18" s="1051"/>
      <c r="P18" s="1052"/>
      <c r="Q18" s="1052"/>
      <c r="R18" s="1053"/>
      <c r="S18" s="1054">
        <f>IF(G18="",0,IF(C18="3º",0,IF(C18="PJ",0,((H18+K18)*DADOS!$D$7)+((H18+K18)*DADOS!$D$6))))</f>
        <v>0</v>
      </c>
      <c r="T18" s="1054"/>
      <c r="U18" s="450">
        <f t="shared" si="1"/>
        <v>0</v>
      </c>
      <c r="V18" s="451"/>
    </row>
    <row r="19" spans="2:22" ht="13.8">
      <c r="B19" s="75" t="str">
        <f t="shared" si="0"/>
        <v>P0001</v>
      </c>
      <c r="C19" s="199"/>
      <c r="D19" s="75"/>
      <c r="E19" s="198" t="s">
        <v>356</v>
      </c>
      <c r="F19" s="198" t="str">
        <f>VLOOKUP(E19,'MÃO DE OBRA'!$A:$B,2,FALSE)</f>
        <v>P0001</v>
      </c>
      <c r="G19" s="186"/>
      <c r="H19" s="1049">
        <f>IF(D19="h",VLOOKUP(B19,'MÃO DE OBRA'!$B$3:$D$97,3,0)*220,VLOOKUP(B19,'MÃO DE OBRA'!$B$3:$D$97,3,0))</f>
        <v>1962.6</v>
      </c>
      <c r="I19" s="1050"/>
      <c r="J19" s="76" t="s">
        <v>354</v>
      </c>
      <c r="K19" s="1051">
        <f>IF(J19="",0,IF(J19="D",H19*DADOS!$D$18,H19*DADOS!$D$19))</f>
        <v>490.65</v>
      </c>
      <c r="L19" s="1052"/>
      <c r="M19" s="1053"/>
      <c r="N19" s="186"/>
      <c r="O19" s="1051"/>
      <c r="P19" s="1052"/>
      <c r="Q19" s="1052"/>
      <c r="R19" s="1053"/>
      <c r="S19" s="1054">
        <f>IF(G19="",0,IF(C19="3º",0,IF(C19="PJ",0,((H19+K19)*DADOS!$D$7)+((H19+K19)*DADOS!$D$6))))</f>
        <v>0</v>
      </c>
      <c r="T19" s="1054"/>
      <c r="U19" s="450">
        <f t="shared" si="1"/>
        <v>0</v>
      </c>
      <c r="V19" s="451"/>
    </row>
    <row r="20" spans="2:22" ht="12.75" hidden="1" customHeight="1">
      <c r="B20" s="75" t="str">
        <f t="shared" si="0"/>
        <v>P0037</v>
      </c>
      <c r="C20" s="199"/>
      <c r="D20" s="75"/>
      <c r="E20" s="198" t="s">
        <v>387</v>
      </c>
      <c r="F20" s="198" t="str">
        <f>VLOOKUP(E20,'MÃO DE OBRA'!$A:$B,2,FALSE)</f>
        <v>P0037</v>
      </c>
      <c r="G20" s="186"/>
      <c r="H20" s="1049">
        <f>IF(D20="h",VLOOKUP(B20,'MÃO DE OBRA'!$B$3:$D$97,3,0)*220,VLOOKUP(B20,'MÃO DE OBRA'!$B$3:$D$97,3,0))</f>
        <v>2035</v>
      </c>
      <c r="I20" s="1050"/>
      <c r="J20" s="76" t="s">
        <v>354</v>
      </c>
      <c r="K20" s="1051">
        <f>IF(J20="",0,IF(J20="D",H20*DADOS!$D$18,H20*DADOS!$D$19))</f>
        <v>508.75</v>
      </c>
      <c r="L20" s="1052"/>
      <c r="M20" s="1053"/>
      <c r="N20" s="186"/>
      <c r="O20" s="1051"/>
      <c r="P20" s="1052"/>
      <c r="Q20" s="1052"/>
      <c r="R20" s="1053"/>
      <c r="S20" s="1054">
        <f>IF(G20="",0,IF(C20="3º",0,IF(C20="PJ",0,((H20+K20)*DADOS!$D$7)+((H20+K20)*DADOS!$D$6))))</f>
        <v>0</v>
      </c>
      <c r="T20" s="1054"/>
      <c r="U20" s="450">
        <f t="shared" si="1"/>
        <v>0</v>
      </c>
      <c r="V20" s="451"/>
    </row>
    <row r="21" spans="2:22" ht="13.8">
      <c r="B21" s="75" t="str">
        <f t="shared" si="0"/>
        <v>P0037</v>
      </c>
      <c r="C21" s="197"/>
      <c r="D21" s="78"/>
      <c r="E21" s="196" t="s">
        <v>387</v>
      </c>
      <c r="F21" s="198" t="str">
        <f>VLOOKUP(E21,'MÃO DE OBRA'!$A:$B,2,FALSE)</f>
        <v>P0037</v>
      </c>
      <c r="G21" s="431"/>
      <c r="H21" s="1049">
        <f>IF(D21="h",VLOOKUP(B21,'MÃO DE OBRA'!$B$3:$D$97,3,0)*220,VLOOKUP(B21,'MÃO DE OBRA'!$B$3:$D$97,3,0))</f>
        <v>2035</v>
      </c>
      <c r="I21" s="1050"/>
      <c r="J21" s="79" t="s">
        <v>354</v>
      </c>
      <c r="K21" s="1072">
        <f>IF(J21="",0,IF(J21="D",H21*DADOS!$D$18,H21*DADOS!$D$19))</f>
        <v>508.75</v>
      </c>
      <c r="L21" s="1073"/>
      <c r="M21" s="1074"/>
      <c r="N21" s="186"/>
      <c r="O21" s="1051"/>
      <c r="P21" s="1052"/>
      <c r="Q21" s="1052"/>
      <c r="R21" s="1053"/>
      <c r="S21" s="1054">
        <f>IF(G21="",0,IF(C21="3º",0,IF(C21="PJ",0,((H21+K21)*DADOS!$D$7)+((H21+K21)*DADOS!$D$6))))</f>
        <v>0</v>
      </c>
      <c r="T21" s="1054"/>
      <c r="U21" s="450">
        <f t="shared" si="1"/>
        <v>0</v>
      </c>
      <c r="V21" s="451"/>
    </row>
    <row r="22" spans="2:22" ht="13.8">
      <c r="B22" s="1064"/>
      <c r="C22" s="1065"/>
      <c r="D22" s="1066" t="s">
        <v>175</v>
      </c>
      <c r="E22" s="1066"/>
      <c r="F22" s="1066"/>
      <c r="G22" s="818">
        <f>SUM(G16:G21)</f>
        <v>0</v>
      </c>
      <c r="H22" s="1067">
        <f>SUMPRODUCT($G$16:$G$21,H16:H21)</f>
        <v>0</v>
      </c>
      <c r="I22" s="1068"/>
      <c r="J22" s="1067">
        <f>SUMPRODUCT($G$16:$G$21,K16:K21)</f>
        <v>0</v>
      </c>
      <c r="K22" s="1068"/>
      <c r="L22" s="1068"/>
      <c r="M22" s="1069"/>
      <c r="N22" s="1067">
        <f>SUMPRODUCT($G$16:$G$21,O16:O21)</f>
        <v>0</v>
      </c>
      <c r="O22" s="1068"/>
      <c r="P22" s="1068"/>
      <c r="Q22" s="1068"/>
      <c r="R22" s="1069"/>
      <c r="S22" s="1067">
        <f>SUMPRODUCT($G$16:$G$21,S16:S21)</f>
        <v>0</v>
      </c>
      <c r="T22" s="1069"/>
      <c r="U22" s="453">
        <f>SUMPRODUCT($G$16:$G$21,U16:U21)</f>
        <v>0</v>
      </c>
      <c r="V22" s="452"/>
    </row>
    <row r="24" spans="2:22" ht="12.75" customHeight="1">
      <c r="B24" s="1055" t="s">
        <v>347</v>
      </c>
      <c r="C24" s="1055"/>
      <c r="D24" s="1055"/>
      <c r="E24" s="1055"/>
      <c r="F24" s="1055"/>
      <c r="G24" s="1055"/>
      <c r="H24" s="1055"/>
      <c r="I24" s="1055"/>
      <c r="J24" s="1055"/>
      <c r="K24" s="1055"/>
      <c r="L24" s="1055"/>
      <c r="M24" s="1055"/>
      <c r="N24" s="1055"/>
      <c r="O24" s="1055"/>
      <c r="P24" s="1055"/>
      <c r="Q24" s="1055"/>
      <c r="R24" s="1055"/>
      <c r="S24" s="1055"/>
      <c r="T24" s="1055"/>
      <c r="U24" s="1055"/>
      <c r="V24" s="1055"/>
    </row>
    <row r="25" spans="2:22" ht="12.75" customHeight="1">
      <c r="B25" s="1056" t="s">
        <v>357</v>
      </c>
      <c r="C25" s="1088"/>
      <c r="D25" s="1088"/>
      <c r="E25" s="1088" t="s">
        <v>358</v>
      </c>
      <c r="F25" s="1088"/>
      <c r="G25" s="1089" t="s">
        <v>350</v>
      </c>
      <c r="H25" s="1056" t="s">
        <v>359</v>
      </c>
      <c r="I25" s="1088"/>
      <c r="J25" s="1057"/>
      <c r="K25" s="1089" t="s">
        <v>360</v>
      </c>
      <c r="L25" s="1091"/>
      <c r="M25" s="1091"/>
      <c r="N25" s="1091"/>
      <c r="O25" s="1092"/>
      <c r="P25" s="1056" t="s">
        <v>361</v>
      </c>
      <c r="Q25" s="1088"/>
      <c r="R25" s="1088"/>
      <c r="S25" s="1088"/>
      <c r="T25" s="1095" t="s">
        <v>362</v>
      </c>
      <c r="U25" s="1092" t="s">
        <v>363</v>
      </c>
      <c r="V25" s="1062" t="s">
        <v>364</v>
      </c>
    </row>
    <row r="26" spans="2:22" ht="13.8">
      <c r="B26" s="1058"/>
      <c r="C26" s="1075"/>
      <c r="D26" s="1075"/>
      <c r="E26" s="1075"/>
      <c r="F26" s="1075"/>
      <c r="G26" s="1090"/>
      <c r="H26" s="1058"/>
      <c r="I26" s="1075"/>
      <c r="J26" s="1059"/>
      <c r="K26" s="1090"/>
      <c r="L26" s="1093"/>
      <c r="M26" s="1093"/>
      <c r="N26" s="1093"/>
      <c r="O26" s="1094"/>
      <c r="P26" s="1058" t="s">
        <v>365</v>
      </c>
      <c r="Q26" s="1075"/>
      <c r="R26" s="1075"/>
      <c r="S26" s="1075"/>
      <c r="T26" s="1096"/>
      <c r="U26" s="1094"/>
      <c r="V26" s="1063"/>
    </row>
    <row r="27" spans="2:22" ht="13.8">
      <c r="B27" s="1076" t="str">
        <f>F27</f>
        <v>E0001</v>
      </c>
      <c r="C27" s="1077"/>
      <c r="D27" s="1078"/>
      <c r="E27" s="201" t="str">
        <f>EQUIPAMENTOS!A3</f>
        <v>Betoneira com motor a gasolina com capacidade de 600 l - 10 kW</v>
      </c>
      <c r="F27" s="198" t="str">
        <f>VLOOKUP($E27,EQUIPAMENTOS!$A:$B,2,FALSE)</f>
        <v>E0001</v>
      </c>
      <c r="G27" s="433"/>
      <c r="H27" s="1100">
        <f>VLOOKUP($B27,EQUIPAMENTOS!$B$3:$N$99,9,0)*M27</f>
        <v>3402.0000000000005</v>
      </c>
      <c r="I27" s="1101"/>
      <c r="J27" s="1101"/>
      <c r="K27" s="1082" t="s">
        <v>367</v>
      </c>
      <c r="L27" s="1083"/>
      <c r="M27" s="1084">
        <v>200</v>
      </c>
      <c r="N27" s="1084"/>
      <c r="O27" s="1084"/>
      <c r="P27" s="80" t="s">
        <v>380</v>
      </c>
      <c r="Q27" s="1559">
        <f>VLOOKUP($B27,EQUIPAMENTOS!$B$3:$N$99,13,0)</f>
        <v>2</v>
      </c>
      <c r="R27" s="1560"/>
      <c r="S27" s="1561"/>
      <c r="T27" s="436">
        <f>IF(Q27="","",IF(K27="km",M27/Q27,100*Q27)*INDEX(DADOS!$1:$1048576,MATCH(P27,DADOS!D:D,0),5))</f>
        <v>0</v>
      </c>
      <c r="U27" s="202">
        <f>SUM(H27,T27)</f>
        <v>3402.0000000000005</v>
      </c>
      <c r="V27" s="203">
        <f>G27*U27</f>
        <v>0</v>
      </c>
    </row>
    <row r="28" spans="2:22" ht="13.8" hidden="1">
      <c r="B28" s="1097" t="str">
        <f>F28</f>
        <v>E0026</v>
      </c>
      <c r="C28" s="1098"/>
      <c r="D28" s="1099"/>
      <c r="E28" s="200" t="s">
        <v>384</v>
      </c>
      <c r="F28" s="198" t="str">
        <f>VLOOKUP($E28,EQUIPAMENTOS!$A:$B,2,FALSE)</f>
        <v>E0026</v>
      </c>
      <c r="G28" s="434"/>
      <c r="H28" s="1100">
        <f>VLOOKUP($B28,EQUIPAMENTOS!$B$3:$N$99,9,0)*M28</f>
        <v>29000</v>
      </c>
      <c r="I28" s="1101"/>
      <c r="J28" s="1101"/>
      <c r="K28" s="1082" t="s">
        <v>367</v>
      </c>
      <c r="L28" s="1083"/>
      <c r="M28" s="1084">
        <v>200</v>
      </c>
      <c r="N28" s="1084"/>
      <c r="O28" s="1084"/>
      <c r="P28" s="80" t="s">
        <v>380</v>
      </c>
      <c r="Q28" s="1085">
        <f>VLOOKUP($B28,EQUIPAMENTOS!$B$3:$N$99,13,0)</f>
        <v>16</v>
      </c>
      <c r="R28" s="1086"/>
      <c r="S28" s="1087"/>
      <c r="T28" s="436">
        <f>IF(Q28="","",IF(K28="km",M28/Q28,100*Q28)*INDEX(DADOS!$1:$1048576,MATCH(P28,DADOS!D:D,0),5))</f>
        <v>0</v>
      </c>
      <c r="U28" s="202">
        <f>SUM(H28,T28)</f>
        <v>29000</v>
      </c>
      <c r="V28" s="436">
        <f>U28*G28</f>
        <v>0</v>
      </c>
    </row>
    <row r="29" spans="2:22" ht="13.8" hidden="1">
      <c r="B29" s="1097" t="str">
        <f>F29</f>
        <v>E0019</v>
      </c>
      <c r="C29" s="1098"/>
      <c r="D29" s="1099"/>
      <c r="E29" s="200" t="s">
        <v>379</v>
      </c>
      <c r="F29" s="198" t="str">
        <f>VLOOKUP($E29,EQUIPAMENTOS!$A:$B,2,FALSE)</f>
        <v>E0019</v>
      </c>
      <c r="G29" s="434"/>
      <c r="H29" s="1100">
        <f>VLOOKUP($B29,EQUIPAMENTOS!$B$3:$N$99,9,0)*M29</f>
        <v>38000</v>
      </c>
      <c r="I29" s="1101"/>
      <c r="J29" s="1101"/>
      <c r="K29" s="1082" t="s">
        <v>367</v>
      </c>
      <c r="L29" s="1083"/>
      <c r="M29" s="1084">
        <v>200</v>
      </c>
      <c r="N29" s="1084"/>
      <c r="O29" s="1084"/>
      <c r="P29" s="80" t="s">
        <v>376</v>
      </c>
      <c r="Q29" s="1085">
        <f>VLOOKUP($B29,EQUIPAMENTOS!$B$3:$N$99,13,0)</f>
        <v>28</v>
      </c>
      <c r="R29" s="1086"/>
      <c r="S29" s="1087"/>
      <c r="T29" s="436">
        <f>IF(Q29="","",IF(K29="km",M29/Q29,100*Q29)*INDEX(DADOS!$1:$1048576,MATCH(P29,DADOS!D:D,0),5))</f>
        <v>18452</v>
      </c>
      <c r="U29" s="202">
        <f>SUM(H29,T29)</f>
        <v>56452</v>
      </c>
      <c r="V29" s="436">
        <f>U29*G29</f>
        <v>0</v>
      </c>
    </row>
    <row r="30" spans="2:22" ht="13.8" hidden="1">
      <c r="B30" s="1097"/>
      <c r="C30" s="1098"/>
      <c r="D30" s="1099"/>
      <c r="E30" s="1110"/>
      <c r="F30" s="1111"/>
      <c r="G30" s="434"/>
      <c r="H30" s="1101"/>
      <c r="I30" s="1101"/>
      <c r="J30" s="1101"/>
      <c r="K30" s="1082"/>
      <c r="L30" s="1083"/>
      <c r="M30" s="1084"/>
      <c r="N30" s="1084"/>
      <c r="O30" s="1084"/>
      <c r="P30" s="80"/>
      <c r="Q30" s="1085"/>
      <c r="R30" s="1086"/>
      <c r="S30" s="1087"/>
      <c r="T30" s="436" t="str">
        <f>IF(Q30="","",IF(K30="km",M30/Q30,200*Q30)*INDEX(DADOS!$1:$1048576,MATCH(P30,DADOS!D:D,0),5))</f>
        <v/>
      </c>
      <c r="U30" s="202">
        <f>SUM(H30,T30)</f>
        <v>0</v>
      </c>
      <c r="V30" s="436"/>
    </row>
    <row r="31" spans="2:22" ht="13.8">
      <c r="B31" s="1102"/>
      <c r="C31" s="1103"/>
      <c r="D31" s="1104"/>
      <c r="E31" s="1105"/>
      <c r="F31" s="1106"/>
      <c r="G31" s="432"/>
      <c r="H31" s="1107"/>
      <c r="I31" s="1107"/>
      <c r="J31" s="1107"/>
      <c r="K31" s="1108"/>
      <c r="L31" s="1107"/>
      <c r="M31" s="1109"/>
      <c r="N31" s="1109"/>
      <c r="O31" s="1109"/>
      <c r="P31" s="81"/>
      <c r="Q31" s="1085"/>
      <c r="R31" s="1086"/>
      <c r="S31" s="1087"/>
      <c r="T31" s="437" t="str">
        <f>IF(Q31="","",IF(K31="km",M31/Q31,200*Q31)*INDEX(DADOS!$1:$1048576,MATCH(P31,DADOS!D:D,0),5))</f>
        <v/>
      </c>
      <c r="U31" s="667">
        <f>SUM(H31,T31)</f>
        <v>0</v>
      </c>
      <c r="V31" s="437"/>
    </row>
    <row r="32" spans="2:22" ht="12.75" customHeight="1">
      <c r="B32" s="1123"/>
      <c r="C32" s="1124"/>
      <c r="D32" s="1125"/>
      <c r="E32" s="1126" t="s">
        <v>175</v>
      </c>
      <c r="F32" s="1127"/>
      <c r="G32" s="435">
        <f>SUM(G27:G31)</f>
        <v>0</v>
      </c>
      <c r="H32" s="1128">
        <f>SUMPRODUCT(G27:$G$31,H27:H31)</f>
        <v>0</v>
      </c>
      <c r="I32" s="1128"/>
      <c r="J32" s="1128"/>
      <c r="K32" s="1129"/>
      <c r="L32" s="1130"/>
      <c r="M32" s="1130"/>
      <c r="N32" s="1130"/>
      <c r="O32" s="1131"/>
      <c r="P32" s="699"/>
      <c r="Q32" s="819"/>
      <c r="R32" s="819"/>
      <c r="S32" s="819"/>
      <c r="T32" s="665">
        <f>SUMPRODUCT($G27:G$31,T27:T31)</f>
        <v>0</v>
      </c>
      <c r="U32" s="668"/>
      <c r="V32" s="665">
        <f>SUM(V27:V31)</f>
        <v>0</v>
      </c>
    </row>
    <row r="34" spans="2:22" ht="12.75" customHeight="1">
      <c r="B34" s="1055" t="s">
        <v>348</v>
      </c>
      <c r="C34" s="1055"/>
      <c r="D34" s="1055"/>
      <c r="E34" s="1055"/>
      <c r="F34" s="1055"/>
      <c r="G34" s="1055"/>
      <c r="H34" s="1055"/>
      <c r="I34" s="1055"/>
      <c r="J34" s="1055"/>
      <c r="K34" s="1055"/>
      <c r="L34" s="1055"/>
      <c r="M34" s="1055"/>
      <c r="N34" s="1055"/>
      <c r="O34" s="1055"/>
      <c r="P34" s="1055"/>
      <c r="Q34" s="1055"/>
      <c r="R34" s="1055"/>
      <c r="S34" s="1055"/>
      <c r="T34" s="1055"/>
      <c r="U34" s="1055"/>
      <c r="V34" s="1055"/>
    </row>
    <row r="35" spans="2:22" ht="13.8">
      <c r="B35" s="1112" t="s">
        <v>183</v>
      </c>
      <c r="C35" s="1114"/>
      <c r="D35" s="1112" t="s">
        <v>324</v>
      </c>
      <c r="E35" s="1113"/>
      <c r="F35" s="1113"/>
      <c r="G35" s="1112" t="s">
        <v>371</v>
      </c>
      <c r="H35" s="1114"/>
      <c r="I35" s="1115" t="s">
        <v>372</v>
      </c>
      <c r="J35" s="1132"/>
      <c r="K35" s="1116"/>
      <c r="L35" s="1115" t="s">
        <v>189</v>
      </c>
      <c r="M35" s="1132"/>
      <c r="N35" s="1132"/>
      <c r="O35" s="1132"/>
      <c r="P35" s="1116"/>
      <c r="Q35" s="1112" t="s">
        <v>373</v>
      </c>
      <c r="R35" s="1113"/>
      <c r="S35" s="1113"/>
      <c r="T35" s="1114"/>
      <c r="U35" s="1115"/>
      <c r="V35" s="1116"/>
    </row>
    <row r="36" spans="2:22" ht="13.8">
      <c r="B36" s="186" t="str">
        <f>IF(I36="","",COUNT($I$36:I36))</f>
        <v/>
      </c>
      <c r="C36" s="430"/>
      <c r="D36" s="1117"/>
      <c r="E36" s="1118"/>
      <c r="F36" s="1118"/>
      <c r="G36" s="1119"/>
      <c r="H36" s="1119"/>
      <c r="I36" s="1120"/>
      <c r="J36" s="1120"/>
      <c r="K36" s="1120"/>
      <c r="L36" s="1120"/>
      <c r="M36" s="1120"/>
      <c r="N36" s="1120"/>
      <c r="O36" s="1120"/>
      <c r="P36" s="1120"/>
      <c r="Q36" s="1054">
        <f t="shared" ref="Q36:Q42" si="2">I36*L36</f>
        <v>0</v>
      </c>
      <c r="R36" s="1054"/>
      <c r="S36" s="1054"/>
      <c r="T36" s="1054"/>
      <c r="U36" s="1121"/>
      <c r="V36" s="1122"/>
    </row>
    <row r="37" spans="2:22" ht="12.75" customHeight="1">
      <c r="B37" s="186"/>
      <c r="C37" s="430"/>
      <c r="D37" s="1117"/>
      <c r="E37" s="1118"/>
      <c r="F37" s="1118"/>
      <c r="G37" s="1119"/>
      <c r="H37" s="1119"/>
      <c r="I37" s="1120"/>
      <c r="J37" s="1120"/>
      <c r="K37" s="1120"/>
      <c r="L37" s="1120"/>
      <c r="M37" s="1120"/>
      <c r="N37" s="1120"/>
      <c r="O37" s="1120"/>
      <c r="P37" s="1120"/>
      <c r="Q37" s="1054">
        <f t="shared" si="2"/>
        <v>0</v>
      </c>
      <c r="R37" s="1054"/>
      <c r="S37" s="1054"/>
      <c r="T37" s="1054"/>
      <c r="U37" s="1133"/>
      <c r="V37" s="1134"/>
    </row>
    <row r="38" spans="2:22" ht="12.75" customHeight="1">
      <c r="B38" s="186"/>
      <c r="C38" s="430"/>
      <c r="D38" s="1117"/>
      <c r="E38" s="1118"/>
      <c r="F38" s="1118"/>
      <c r="G38" s="1119"/>
      <c r="H38" s="1119"/>
      <c r="I38" s="1120"/>
      <c r="J38" s="1120"/>
      <c r="K38" s="1120"/>
      <c r="L38" s="1120"/>
      <c r="M38" s="1120"/>
      <c r="N38" s="1120"/>
      <c r="O38" s="1120"/>
      <c r="P38" s="1120"/>
      <c r="Q38" s="1054">
        <f t="shared" si="2"/>
        <v>0</v>
      </c>
      <c r="R38" s="1054"/>
      <c r="S38" s="1054"/>
      <c r="T38" s="1054"/>
      <c r="U38" s="1133"/>
      <c r="V38" s="1134"/>
    </row>
    <row r="39" spans="2:22" ht="12.75" customHeight="1">
      <c r="B39" s="186"/>
      <c r="C39" s="430"/>
      <c r="D39" s="1117"/>
      <c r="E39" s="1118"/>
      <c r="F39" s="1118"/>
      <c r="G39" s="1119"/>
      <c r="H39" s="1119"/>
      <c r="I39" s="1120"/>
      <c r="J39" s="1120"/>
      <c r="K39" s="1120"/>
      <c r="L39" s="1558"/>
      <c r="M39" s="1120"/>
      <c r="N39" s="1120"/>
      <c r="O39" s="1120"/>
      <c r="P39" s="1120"/>
      <c r="Q39" s="1054">
        <f t="shared" si="2"/>
        <v>0</v>
      </c>
      <c r="R39" s="1054"/>
      <c r="S39" s="1054"/>
      <c r="T39" s="1054"/>
      <c r="U39" s="1133"/>
      <c r="V39" s="1134"/>
    </row>
    <row r="40" spans="2:22" ht="12.75" customHeight="1">
      <c r="B40" s="186"/>
      <c r="C40" s="430"/>
      <c r="D40" s="1117"/>
      <c r="E40" s="1118"/>
      <c r="F40" s="1118"/>
      <c r="G40" s="1119"/>
      <c r="H40" s="1119"/>
      <c r="I40" s="1135"/>
      <c r="J40" s="1135"/>
      <c r="K40" s="1135"/>
      <c r="L40" s="1135"/>
      <c r="M40" s="1135"/>
      <c r="N40" s="1135"/>
      <c r="O40" s="1135"/>
      <c r="P40" s="1135"/>
      <c r="Q40" s="1054">
        <f t="shared" si="2"/>
        <v>0</v>
      </c>
      <c r="R40" s="1054"/>
      <c r="S40" s="1054"/>
      <c r="T40" s="1054"/>
      <c r="U40" s="1133"/>
      <c r="V40" s="1134"/>
    </row>
    <row r="41" spans="2:22" ht="12.75" customHeight="1">
      <c r="B41" s="186"/>
      <c r="C41" s="430"/>
      <c r="D41" s="1117"/>
      <c r="E41" s="1118"/>
      <c r="F41" s="1118"/>
      <c r="G41" s="1119"/>
      <c r="H41" s="1119"/>
      <c r="I41" s="1120"/>
      <c r="J41" s="1120"/>
      <c r="K41" s="1120"/>
      <c r="L41" s="1120"/>
      <c r="M41" s="1120"/>
      <c r="N41" s="1120"/>
      <c r="O41" s="1120"/>
      <c r="P41" s="1120"/>
      <c r="Q41" s="1054">
        <f t="shared" si="2"/>
        <v>0</v>
      </c>
      <c r="R41" s="1054"/>
      <c r="S41" s="1054"/>
      <c r="T41" s="1054"/>
      <c r="U41" s="1133"/>
      <c r="V41" s="1134"/>
    </row>
    <row r="42" spans="2:22" ht="12.75" customHeight="1">
      <c r="B42" s="186" t="str">
        <f>IF(I42="","",COUNT($I$36:I42))</f>
        <v/>
      </c>
      <c r="C42" s="430"/>
      <c r="D42" s="1117"/>
      <c r="E42" s="1118"/>
      <c r="F42" s="1118"/>
      <c r="G42" s="1138"/>
      <c r="H42" s="1138"/>
      <c r="I42" s="1139"/>
      <c r="J42" s="1139"/>
      <c r="K42" s="1139"/>
      <c r="L42" s="1139"/>
      <c r="M42" s="1139"/>
      <c r="N42" s="1139"/>
      <c r="O42" s="1139"/>
      <c r="P42" s="1139"/>
      <c r="Q42" s="1054">
        <f t="shared" si="2"/>
        <v>0</v>
      </c>
      <c r="R42" s="1054"/>
      <c r="S42" s="1054"/>
      <c r="T42" s="1054"/>
      <c r="U42" s="1140"/>
      <c r="V42" s="1141"/>
    </row>
    <row r="43" spans="2:22" ht="12.75" customHeight="1">
      <c r="B43" s="1123"/>
      <c r="C43" s="1125"/>
      <c r="D43" s="1123"/>
      <c r="E43" s="1124"/>
      <c r="F43" s="1124"/>
      <c r="G43" s="1123"/>
      <c r="H43" s="1125"/>
      <c r="I43" s="1123"/>
      <c r="J43" s="1124"/>
      <c r="K43" s="1125"/>
      <c r="L43" s="1123"/>
      <c r="M43" s="1124"/>
      <c r="N43" s="1124"/>
      <c r="O43" s="1124"/>
      <c r="P43" s="1125"/>
      <c r="Q43" s="1136">
        <f>SUM(Q36:T42)</f>
        <v>0</v>
      </c>
      <c r="R43" s="1137"/>
      <c r="S43" s="1137"/>
      <c r="T43" s="1137"/>
      <c r="U43" s="1123"/>
      <c r="V43" s="1125"/>
    </row>
    <row r="48" spans="2:22" ht="12.75" customHeight="1">
      <c r="B48" s="1044" t="s">
        <v>343</v>
      </c>
      <c r="C48" s="1044"/>
      <c r="D48" s="1044"/>
      <c r="E48" s="70"/>
    </row>
    <row r="49" spans="2:25" ht="12.75" customHeight="1">
      <c r="B49" s="71"/>
      <c r="C49" s="71"/>
      <c r="D49" s="71"/>
      <c r="E49" s="71"/>
      <c r="F49" s="71"/>
      <c r="G49" s="71"/>
      <c r="H49" s="71"/>
      <c r="I49" s="71"/>
      <c r="J49" s="71"/>
      <c r="K49" s="71"/>
      <c r="L49" s="71"/>
      <c r="M49" s="71"/>
      <c r="N49" s="71"/>
      <c r="O49" s="71"/>
      <c r="P49" s="71"/>
      <c r="Q49" s="71"/>
      <c r="R49" s="71"/>
      <c r="S49" s="71"/>
      <c r="T49" s="71"/>
      <c r="U49" s="71"/>
      <c r="V49" s="71"/>
      <c r="X49" s="733"/>
      <c r="Y49" s="733"/>
    </row>
    <row r="50" spans="2:25" ht="12.75" customHeight="1">
      <c r="B50" s="71"/>
      <c r="C50" s="1045" t="s">
        <v>303</v>
      </c>
      <c r="D50" s="1045"/>
      <c r="E50" s="1046"/>
      <c r="F50" s="71"/>
      <c r="G50" s="71"/>
      <c r="H50" s="1039" t="s">
        <v>344</v>
      </c>
      <c r="I50" s="1039"/>
      <c r="J50" s="1040">
        <f>U61</f>
        <v>0</v>
      </c>
      <c r="K50" s="1040"/>
      <c r="L50" s="1040"/>
      <c r="M50" s="448"/>
      <c r="N50" s="447"/>
      <c r="O50" s="1047" t="s">
        <v>345</v>
      </c>
      <c r="P50" s="1047"/>
      <c r="Q50" s="1047"/>
      <c r="R50" s="1047"/>
      <c r="S50" s="1047"/>
      <c r="T50" s="1047"/>
      <c r="U50" s="1048" t="s">
        <v>346</v>
      </c>
      <c r="V50" s="1047"/>
    </row>
    <row r="51" spans="2:25" ht="12.75" customHeight="1">
      <c r="B51" s="71"/>
      <c r="C51" s="446"/>
      <c r="D51" s="446"/>
      <c r="E51" s="1038">
        <f>SUM(J50:L52)</f>
        <v>0</v>
      </c>
      <c r="F51" s="71"/>
      <c r="G51" s="71"/>
      <c r="H51" s="1039" t="s">
        <v>347</v>
      </c>
      <c r="I51" s="1039"/>
      <c r="J51" s="1040">
        <f>V71</f>
        <v>0</v>
      </c>
      <c r="K51" s="1040"/>
      <c r="L51" s="1040"/>
      <c r="M51" s="449"/>
      <c r="N51" s="402"/>
      <c r="O51" s="1041"/>
      <c r="P51" s="1041"/>
      <c r="Q51" s="1041"/>
      <c r="R51" s="1041"/>
      <c r="S51" s="1041"/>
      <c r="T51" s="1041"/>
      <c r="U51" s="1042">
        <f>E51*O51</f>
        <v>0</v>
      </c>
      <c r="V51" s="1043"/>
    </row>
    <row r="52" spans="2:25" ht="12.75" customHeight="1">
      <c r="B52" s="73"/>
      <c r="C52" s="446"/>
      <c r="D52" s="446"/>
      <c r="E52" s="1038"/>
      <c r="F52" s="71"/>
      <c r="G52" s="71"/>
      <c r="H52" s="1039" t="s">
        <v>348</v>
      </c>
      <c r="I52" s="1039"/>
      <c r="J52" s="1040">
        <f>Q82</f>
        <v>0</v>
      </c>
      <c r="K52" s="1040"/>
      <c r="L52" s="1040"/>
      <c r="M52" s="449"/>
      <c r="N52" s="402"/>
      <c r="O52" s="1041"/>
      <c r="P52" s="1041"/>
      <c r="Q52" s="1041"/>
      <c r="R52" s="1041"/>
      <c r="S52" s="1041"/>
      <c r="T52" s="1041"/>
      <c r="U52" s="1042"/>
      <c r="V52" s="1043"/>
    </row>
    <row r="53" spans="2:25" ht="12.75" customHeight="1">
      <c r="B53" s="71"/>
      <c r="C53" s="71"/>
      <c r="D53" s="71"/>
      <c r="E53" s="71"/>
      <c r="F53" s="71"/>
      <c r="G53" s="71"/>
      <c r="H53" s="71"/>
      <c r="I53" s="71"/>
      <c r="J53" s="71"/>
      <c r="K53" s="71"/>
      <c r="L53" s="71"/>
      <c r="M53" s="71"/>
      <c r="N53" s="71"/>
      <c r="O53" s="71"/>
      <c r="P53" s="71"/>
      <c r="Q53" s="71"/>
      <c r="R53" s="71"/>
      <c r="S53" s="71"/>
      <c r="T53" s="71"/>
      <c r="U53" s="71"/>
      <c r="V53" s="71"/>
    </row>
    <row r="55" spans="2:25" ht="12.75" customHeight="1">
      <c r="B55" s="1055" t="s">
        <v>344</v>
      </c>
      <c r="C55" s="1055"/>
      <c r="D55" s="1055"/>
      <c r="E55" s="1055"/>
      <c r="F55" s="1055"/>
      <c r="G55" s="1055"/>
      <c r="H55" s="1055"/>
      <c r="I55" s="1055"/>
      <c r="J55" s="1055"/>
      <c r="K55" s="1055"/>
      <c r="L55" s="1055"/>
      <c r="M55" s="1055"/>
      <c r="N55" s="1055"/>
      <c r="O55" s="1055"/>
      <c r="P55" s="1055"/>
      <c r="Q55" s="1055"/>
      <c r="R55" s="1055"/>
      <c r="S55" s="1055"/>
      <c r="T55" s="1055"/>
      <c r="U55" s="1055"/>
      <c r="V55" s="1055"/>
    </row>
    <row r="56" spans="2:25" ht="12.75" customHeight="1">
      <c r="B56" s="1056" t="s">
        <v>183</v>
      </c>
      <c r="C56" s="1057"/>
      <c r="D56" s="1060" t="s">
        <v>349</v>
      </c>
      <c r="E56" s="1060"/>
      <c r="F56" s="1060"/>
      <c r="G56" s="1060" t="s">
        <v>350</v>
      </c>
      <c r="H56" s="1060" t="s">
        <v>351</v>
      </c>
      <c r="I56" s="1060"/>
      <c r="J56" s="1060" t="s">
        <v>352</v>
      </c>
      <c r="K56" s="1060"/>
      <c r="L56" s="1060"/>
      <c r="M56" s="1060"/>
      <c r="N56" s="1060"/>
      <c r="O56" s="1060"/>
      <c r="P56" s="1060"/>
      <c r="Q56" s="1060"/>
      <c r="R56" s="1060"/>
      <c r="S56" s="1061" t="s">
        <v>353</v>
      </c>
      <c r="T56" s="1061"/>
      <c r="U56" s="1062" t="s">
        <v>346</v>
      </c>
      <c r="V56" s="1060"/>
    </row>
    <row r="57" spans="2:25" ht="12.75" customHeight="1">
      <c r="B57" s="1058"/>
      <c r="C57" s="1059"/>
      <c r="D57" s="1060"/>
      <c r="E57" s="1060"/>
      <c r="F57" s="1060"/>
      <c r="G57" s="1060"/>
      <c r="H57" s="1060"/>
      <c r="I57" s="1060"/>
      <c r="J57" s="1060"/>
      <c r="K57" s="1060"/>
      <c r="L57" s="1060"/>
      <c r="M57" s="1060"/>
      <c r="N57" s="1060"/>
      <c r="O57" s="1060"/>
      <c r="P57" s="1060"/>
      <c r="Q57" s="1060"/>
      <c r="R57" s="1060"/>
      <c r="S57" s="1061"/>
      <c r="T57" s="1061"/>
      <c r="U57" s="1063"/>
      <c r="V57" s="1060"/>
    </row>
    <row r="58" spans="2:25" ht="12.75" customHeight="1">
      <c r="B58" s="75" t="str">
        <f>F58</f>
        <v>P0001</v>
      </c>
      <c r="C58" s="199"/>
      <c r="D58" s="75"/>
      <c r="E58" s="198" t="s">
        <v>356</v>
      </c>
      <c r="F58" s="198" t="str">
        <f>VLOOKUP(E58,'MÃO DE OBRA'!$A:$B,2,FALSE)</f>
        <v>P0001</v>
      </c>
      <c r="G58" s="186"/>
      <c r="H58" s="1049">
        <f>IF(D58="h",VLOOKUP(B58,'MÃO DE OBRA'!$B$3:$D$97,3,0)*220,VLOOKUP(B58,'MÃO DE OBRA'!$B$3:$D$97,3,0))</f>
        <v>1962.6</v>
      </c>
      <c r="I58" s="1050"/>
      <c r="J58" s="76" t="s">
        <v>354</v>
      </c>
      <c r="K58" s="1051">
        <f>IF(J58="",0,IF(J58="D",H58*DADOS!$D$18,H58*DADOS!$D$19))</f>
        <v>490.65</v>
      </c>
      <c r="L58" s="1052"/>
      <c r="M58" s="1053"/>
      <c r="N58" s="186"/>
      <c r="O58" s="1051"/>
      <c r="P58" s="1052"/>
      <c r="Q58" s="1052"/>
      <c r="R58" s="1053"/>
      <c r="S58" s="1054">
        <f>IF(G58="",0,IF(C58="3º",0,IF(C58="PJ",0,((H58+K58)*DADOS!$D$7)+((H58+K58)*DADOS!$D$6))))</f>
        <v>0</v>
      </c>
      <c r="T58" s="1054"/>
      <c r="U58" s="450">
        <f>IF(G58="",0,SUM(H58,K58,,O58,V58,S58))</f>
        <v>0</v>
      </c>
      <c r="V58" s="451"/>
    </row>
    <row r="59" spans="2:25" ht="12.75" customHeight="1">
      <c r="B59" s="75"/>
      <c r="C59" s="199"/>
      <c r="D59" s="75"/>
      <c r="E59" s="198"/>
      <c r="F59" s="198"/>
      <c r="G59" s="186"/>
      <c r="H59" s="1049"/>
      <c r="I59" s="1050"/>
      <c r="J59" s="76"/>
      <c r="K59" s="1051"/>
      <c r="L59" s="1052"/>
      <c r="M59" s="1053"/>
      <c r="N59" s="186"/>
      <c r="O59" s="1051"/>
      <c r="P59" s="1052"/>
      <c r="Q59" s="1052"/>
      <c r="R59" s="1053"/>
      <c r="S59" s="1054"/>
      <c r="T59" s="1054"/>
      <c r="U59" s="450"/>
      <c r="V59" s="451"/>
    </row>
    <row r="60" spans="2:25" ht="12.75" customHeight="1">
      <c r="B60" s="75"/>
      <c r="C60" s="197"/>
      <c r="D60" s="78"/>
      <c r="E60" s="196"/>
      <c r="F60" s="198"/>
      <c r="G60" s="431"/>
      <c r="H60" s="1049"/>
      <c r="I60" s="1050"/>
      <c r="J60" s="79"/>
      <c r="K60" s="1072"/>
      <c r="L60" s="1073"/>
      <c r="M60" s="1074"/>
      <c r="N60" s="186"/>
      <c r="O60" s="1051"/>
      <c r="P60" s="1052"/>
      <c r="Q60" s="1052"/>
      <c r="R60" s="1053"/>
      <c r="S60" s="1054"/>
      <c r="T60" s="1054"/>
      <c r="U60" s="450"/>
      <c r="V60" s="451"/>
    </row>
    <row r="61" spans="2:25" ht="12.75" customHeight="1">
      <c r="B61" s="1064"/>
      <c r="C61" s="1065"/>
      <c r="D61" s="1066" t="s">
        <v>175</v>
      </c>
      <c r="E61" s="1066"/>
      <c r="F61" s="1066"/>
      <c r="G61" s="818">
        <f>SUM(G58:G60)</f>
        <v>0</v>
      </c>
      <c r="H61" s="1067">
        <f>SUMPRODUCT($G$58:$G$60,H58:H60)</f>
        <v>0</v>
      </c>
      <c r="I61" s="1068"/>
      <c r="J61" s="1067">
        <f>SUMPRODUCT($G$58:$G$60,K58:K60)</f>
        <v>0</v>
      </c>
      <c r="K61" s="1068"/>
      <c r="L61" s="1068"/>
      <c r="M61" s="1069"/>
      <c r="N61" s="1067"/>
      <c r="O61" s="1068"/>
      <c r="P61" s="1068"/>
      <c r="Q61" s="1068"/>
      <c r="R61" s="1069"/>
      <c r="S61" s="1067">
        <f>SUMPRODUCT($G$58:$G$60,S58:S60)</f>
        <v>0</v>
      </c>
      <c r="T61" s="1069"/>
      <c r="U61" s="453">
        <f>SUMPRODUCT($G$58:$G$60,U58:U60)</f>
        <v>0</v>
      </c>
      <c r="V61" s="452"/>
    </row>
    <row r="63" spans="2:25" ht="12.75" hidden="1" customHeight="1">
      <c r="B63" s="1055" t="s">
        <v>347</v>
      </c>
      <c r="C63" s="1055"/>
      <c r="D63" s="1055"/>
      <c r="E63" s="1055"/>
      <c r="F63" s="1055"/>
      <c r="G63" s="1055"/>
      <c r="H63" s="1055"/>
      <c r="I63" s="1055"/>
      <c r="J63" s="1055"/>
      <c r="K63" s="1055"/>
      <c r="L63" s="1055"/>
      <c r="M63" s="1055"/>
      <c r="N63" s="1055"/>
      <c r="O63" s="1055"/>
      <c r="P63" s="1055"/>
      <c r="Q63" s="1055"/>
      <c r="R63" s="1055"/>
      <c r="S63" s="1055"/>
      <c r="T63" s="1055"/>
      <c r="U63" s="1055"/>
      <c r="V63" s="1055"/>
    </row>
    <row r="64" spans="2:25" ht="12.75" hidden="1" customHeight="1">
      <c r="B64" s="1056" t="s">
        <v>357</v>
      </c>
      <c r="C64" s="1088"/>
      <c r="D64" s="1088"/>
      <c r="E64" s="1088" t="s">
        <v>358</v>
      </c>
      <c r="F64" s="1088"/>
      <c r="G64" s="1089" t="s">
        <v>350</v>
      </c>
      <c r="H64" s="1056" t="s">
        <v>359</v>
      </c>
      <c r="I64" s="1088"/>
      <c r="J64" s="1057"/>
      <c r="K64" s="1089" t="s">
        <v>360</v>
      </c>
      <c r="L64" s="1091"/>
      <c r="M64" s="1091"/>
      <c r="N64" s="1091"/>
      <c r="O64" s="1092"/>
      <c r="P64" s="1056" t="s">
        <v>361</v>
      </c>
      <c r="Q64" s="1088"/>
      <c r="R64" s="1088"/>
      <c r="S64" s="1088"/>
      <c r="T64" s="1095" t="s">
        <v>362</v>
      </c>
      <c r="U64" s="1092" t="s">
        <v>363</v>
      </c>
      <c r="V64" s="1062" t="s">
        <v>364</v>
      </c>
    </row>
    <row r="65" spans="2:22" ht="12.75" hidden="1" customHeight="1">
      <c r="B65" s="1058"/>
      <c r="C65" s="1075"/>
      <c r="D65" s="1075"/>
      <c r="E65" s="1075"/>
      <c r="F65" s="1075"/>
      <c r="G65" s="1090"/>
      <c r="H65" s="1058"/>
      <c r="I65" s="1075"/>
      <c r="J65" s="1059"/>
      <c r="K65" s="1090"/>
      <c r="L65" s="1093"/>
      <c r="M65" s="1093"/>
      <c r="N65" s="1093"/>
      <c r="O65" s="1094"/>
      <c r="P65" s="1058" t="s">
        <v>365</v>
      </c>
      <c r="Q65" s="1075"/>
      <c r="R65" s="1075"/>
      <c r="S65" s="1075"/>
      <c r="T65" s="1096"/>
      <c r="U65" s="1094"/>
      <c r="V65" s="1063"/>
    </row>
    <row r="66" spans="2:22" ht="12.75" hidden="1" customHeight="1">
      <c r="B66" s="1076"/>
      <c r="C66" s="1077"/>
      <c r="D66" s="1078"/>
      <c r="E66" s="201"/>
      <c r="F66" s="198"/>
      <c r="G66" s="433"/>
      <c r="H66" s="1100"/>
      <c r="I66" s="1101"/>
      <c r="J66" s="1101"/>
      <c r="K66" s="1082"/>
      <c r="L66" s="1083"/>
      <c r="M66" s="1084"/>
      <c r="N66" s="1084"/>
      <c r="O66" s="1084"/>
      <c r="P66" s="80"/>
      <c r="Q66" s="1559"/>
      <c r="R66" s="1560"/>
      <c r="S66" s="1561"/>
      <c r="T66" s="436"/>
      <c r="U66" s="202"/>
      <c r="V66" s="203"/>
    </row>
    <row r="67" spans="2:22" ht="12.75" hidden="1" customHeight="1">
      <c r="B67" s="1097"/>
      <c r="C67" s="1098"/>
      <c r="D67" s="1099"/>
      <c r="E67" s="200"/>
      <c r="F67" s="198"/>
      <c r="G67" s="434"/>
      <c r="H67" s="1100"/>
      <c r="I67" s="1101"/>
      <c r="J67" s="1101"/>
      <c r="K67" s="1082"/>
      <c r="L67" s="1083"/>
      <c r="M67" s="1084"/>
      <c r="N67" s="1084"/>
      <c r="O67" s="1084"/>
      <c r="P67" s="80"/>
      <c r="Q67" s="1085"/>
      <c r="R67" s="1086"/>
      <c r="S67" s="1087"/>
      <c r="T67" s="436"/>
      <c r="U67" s="202"/>
      <c r="V67" s="436"/>
    </row>
    <row r="68" spans="2:22" ht="12.75" hidden="1" customHeight="1">
      <c r="B68" s="1097"/>
      <c r="C68" s="1098"/>
      <c r="D68" s="1099"/>
      <c r="E68" s="200"/>
      <c r="F68" s="198"/>
      <c r="G68" s="434"/>
      <c r="H68" s="1100"/>
      <c r="I68" s="1101"/>
      <c r="J68" s="1101"/>
      <c r="K68" s="1082"/>
      <c r="L68" s="1083"/>
      <c r="M68" s="1084"/>
      <c r="N68" s="1084"/>
      <c r="O68" s="1084"/>
      <c r="P68" s="80"/>
      <c r="Q68" s="1085"/>
      <c r="R68" s="1086"/>
      <c r="S68" s="1087"/>
      <c r="T68" s="436"/>
      <c r="U68" s="202"/>
      <c r="V68" s="436"/>
    </row>
    <row r="69" spans="2:22" ht="12.75" hidden="1" customHeight="1">
      <c r="B69" s="1097"/>
      <c r="C69" s="1098"/>
      <c r="D69" s="1099"/>
      <c r="E69" s="1110"/>
      <c r="F69" s="1111"/>
      <c r="G69" s="434"/>
      <c r="H69" s="1101"/>
      <c r="I69" s="1101"/>
      <c r="J69" s="1101"/>
      <c r="K69" s="1082"/>
      <c r="L69" s="1083"/>
      <c r="M69" s="1084"/>
      <c r="N69" s="1084"/>
      <c r="O69" s="1084"/>
      <c r="P69" s="80"/>
      <c r="Q69" s="1085"/>
      <c r="R69" s="1086"/>
      <c r="S69" s="1087"/>
      <c r="T69" s="436" t="str">
        <f>IF(Q69="","",IF(K69="km",M69/Q69,200*Q69)*INDEX(DADOS!$1:$1048576,MATCH(P69,DADOS!D:D,0),5))</f>
        <v/>
      </c>
      <c r="U69" s="202">
        <f>SUM(H69,T69)</f>
        <v>0</v>
      </c>
      <c r="V69" s="436"/>
    </row>
    <row r="70" spans="2:22" ht="12.75" hidden="1" customHeight="1">
      <c r="B70" s="1102"/>
      <c r="C70" s="1103"/>
      <c r="D70" s="1104"/>
      <c r="E70" s="1105"/>
      <c r="F70" s="1106"/>
      <c r="G70" s="432"/>
      <c r="H70" s="1107"/>
      <c r="I70" s="1107"/>
      <c r="J70" s="1107"/>
      <c r="K70" s="1108"/>
      <c r="L70" s="1107"/>
      <c r="M70" s="1109"/>
      <c r="N70" s="1109"/>
      <c r="O70" s="1109"/>
      <c r="P70" s="81"/>
      <c r="Q70" s="1085"/>
      <c r="R70" s="1086"/>
      <c r="S70" s="1087"/>
      <c r="T70" s="437" t="str">
        <f>IF(Q70="","",IF(K70="km",M70/Q70,200*Q70)*INDEX(DADOS!$1:$1048576,MATCH(P70,DADOS!D:D,0),5))</f>
        <v/>
      </c>
      <c r="U70" s="667">
        <f>SUM(H70,T70)</f>
        <v>0</v>
      </c>
      <c r="V70" s="437"/>
    </row>
    <row r="71" spans="2:22" ht="12.75" hidden="1" customHeight="1">
      <c r="B71" s="1123"/>
      <c r="C71" s="1124"/>
      <c r="D71" s="1125"/>
      <c r="E71" s="1126" t="s">
        <v>175</v>
      </c>
      <c r="F71" s="1127"/>
      <c r="G71" s="435">
        <f>SUM(G66:G70)</f>
        <v>0</v>
      </c>
      <c r="H71" s="1128"/>
      <c r="I71" s="1128"/>
      <c r="J71" s="1128"/>
      <c r="K71" s="1129"/>
      <c r="L71" s="1130"/>
      <c r="M71" s="1130"/>
      <c r="N71" s="1130"/>
      <c r="O71" s="1131"/>
      <c r="P71" s="699"/>
      <c r="Q71" s="819"/>
      <c r="R71" s="819"/>
      <c r="S71" s="819"/>
      <c r="T71" s="665"/>
      <c r="U71" s="668"/>
      <c r="V71" s="665">
        <f>SUM(V66:V70)</f>
        <v>0</v>
      </c>
    </row>
    <row r="74" spans="2:22" ht="12.75" customHeight="1">
      <c r="B74" s="1044" t="s">
        <v>343</v>
      </c>
      <c r="C74" s="1044"/>
      <c r="D74" s="1044"/>
      <c r="E74" s="70" t="s">
        <v>388</v>
      </c>
    </row>
    <row r="75" spans="2:22" ht="12.75" customHeight="1">
      <c r="B75" s="71"/>
      <c r="C75" s="71"/>
      <c r="D75" s="71"/>
      <c r="E75" s="71"/>
      <c r="F75" s="71"/>
      <c r="G75" s="71"/>
      <c r="H75" s="71"/>
      <c r="I75" s="71"/>
      <c r="J75" s="71"/>
      <c r="K75" s="71"/>
      <c r="L75" s="71"/>
      <c r="M75" s="71"/>
      <c r="N75" s="71"/>
      <c r="O75" s="71"/>
      <c r="P75" s="71"/>
      <c r="Q75" s="71"/>
      <c r="R75" s="71"/>
      <c r="S75" s="71"/>
      <c r="T75" s="71"/>
      <c r="U75" s="71"/>
      <c r="V75" s="71"/>
    </row>
    <row r="76" spans="2:22" ht="12.75" customHeight="1">
      <c r="B76" s="71"/>
      <c r="C76" s="1045" t="s">
        <v>303</v>
      </c>
      <c r="D76" s="1045"/>
      <c r="E76" s="1046"/>
      <c r="F76" s="71"/>
      <c r="G76" s="71"/>
      <c r="H76" s="1039" t="s">
        <v>344</v>
      </c>
      <c r="I76" s="1039"/>
      <c r="J76" s="1040">
        <f>U90</f>
        <v>0</v>
      </c>
      <c r="K76" s="1040"/>
      <c r="L76" s="1040"/>
      <c r="M76" s="448"/>
      <c r="N76" s="447"/>
      <c r="O76" s="1047" t="s">
        <v>345</v>
      </c>
      <c r="P76" s="1047"/>
      <c r="Q76" s="1047"/>
      <c r="R76" s="1047"/>
      <c r="S76" s="1047"/>
      <c r="T76" s="1047"/>
      <c r="U76" s="1048" t="s">
        <v>346</v>
      </c>
      <c r="V76" s="1047"/>
    </row>
    <row r="77" spans="2:22" ht="12.75" customHeight="1">
      <c r="B77" s="71"/>
      <c r="C77" s="446"/>
      <c r="D77" s="446"/>
      <c r="E77" s="1038">
        <f>SUM(J76:L78)</f>
        <v>0</v>
      </c>
      <c r="F77" s="71"/>
      <c r="G77" s="71"/>
      <c r="H77" s="1039" t="s">
        <v>347</v>
      </c>
      <c r="I77" s="1039"/>
      <c r="J77" s="1040">
        <f>V100</f>
        <v>0</v>
      </c>
      <c r="K77" s="1040"/>
      <c r="L77" s="1040"/>
      <c r="M77" s="449"/>
      <c r="N77" s="402"/>
      <c r="O77" s="1041"/>
      <c r="P77" s="1041"/>
      <c r="Q77" s="1041"/>
      <c r="R77" s="1041"/>
      <c r="S77" s="1041"/>
      <c r="T77" s="1041"/>
      <c r="U77" s="1042">
        <f>E77*O77</f>
        <v>0</v>
      </c>
      <c r="V77" s="1043"/>
    </row>
    <row r="78" spans="2:22" ht="12.75" customHeight="1">
      <c r="B78" s="73"/>
      <c r="C78" s="446"/>
      <c r="D78" s="446"/>
      <c r="E78" s="1038"/>
      <c r="F78" s="71"/>
      <c r="G78" s="71"/>
      <c r="H78" s="1039" t="s">
        <v>348</v>
      </c>
      <c r="I78" s="1039"/>
      <c r="J78" s="1040">
        <f>Q111</f>
        <v>0</v>
      </c>
      <c r="K78" s="1040"/>
      <c r="L78" s="1040"/>
      <c r="M78" s="449"/>
      <c r="N78" s="402"/>
      <c r="O78" s="1041"/>
      <c r="P78" s="1041"/>
      <c r="Q78" s="1041"/>
      <c r="R78" s="1041"/>
      <c r="S78" s="1041"/>
      <c r="T78" s="1041"/>
      <c r="U78" s="1042"/>
      <c r="V78" s="1043"/>
    </row>
    <row r="79" spans="2:22" ht="12.75" customHeight="1">
      <c r="B79" s="71"/>
      <c r="C79" s="71"/>
      <c r="D79" s="71"/>
      <c r="E79" s="71"/>
      <c r="F79" s="71"/>
      <c r="G79" s="71"/>
      <c r="H79" s="71"/>
      <c r="I79" s="71"/>
      <c r="J79" s="71"/>
      <c r="K79" s="71"/>
      <c r="L79" s="71"/>
      <c r="M79" s="71"/>
      <c r="N79" s="71"/>
      <c r="O79" s="71"/>
      <c r="P79" s="71"/>
      <c r="Q79" s="71"/>
      <c r="R79" s="71"/>
      <c r="S79" s="71"/>
      <c r="T79" s="71"/>
      <c r="U79" s="71"/>
      <c r="V79" s="71"/>
    </row>
    <row r="81" spans="2:22" ht="12.75" customHeight="1">
      <c r="B81" s="1055" t="s">
        <v>344</v>
      </c>
      <c r="C81" s="1055"/>
      <c r="D81" s="1055"/>
      <c r="E81" s="1055"/>
      <c r="F81" s="1055"/>
      <c r="G81" s="1055"/>
      <c r="H81" s="1055"/>
      <c r="I81" s="1055"/>
      <c r="J81" s="1055"/>
      <c r="K81" s="1055"/>
      <c r="L81" s="1055"/>
      <c r="M81" s="1055"/>
      <c r="N81" s="1055"/>
      <c r="O81" s="1055"/>
      <c r="P81" s="1055"/>
      <c r="Q81" s="1055"/>
      <c r="R81" s="1055"/>
      <c r="S81" s="1055"/>
      <c r="T81" s="1055"/>
      <c r="U81" s="1055"/>
      <c r="V81" s="1055"/>
    </row>
    <row r="82" spans="2:22" ht="12.75" customHeight="1">
      <c r="B82" s="1056" t="s">
        <v>183</v>
      </c>
      <c r="C82" s="1057"/>
      <c r="D82" s="1060" t="s">
        <v>349</v>
      </c>
      <c r="E82" s="1060"/>
      <c r="F82" s="1060"/>
      <c r="G82" s="1060" t="s">
        <v>350</v>
      </c>
      <c r="H82" s="1060" t="s">
        <v>351</v>
      </c>
      <c r="I82" s="1060"/>
      <c r="J82" s="1060" t="s">
        <v>352</v>
      </c>
      <c r="K82" s="1060"/>
      <c r="L82" s="1060"/>
      <c r="M82" s="1060"/>
      <c r="N82" s="1060"/>
      <c r="O82" s="1060"/>
      <c r="P82" s="1060"/>
      <c r="Q82" s="1060"/>
      <c r="R82" s="1060"/>
      <c r="S82" s="1061" t="s">
        <v>353</v>
      </c>
      <c r="T82" s="1061"/>
      <c r="U82" s="1062" t="s">
        <v>346</v>
      </c>
      <c r="V82" s="1060"/>
    </row>
    <row r="83" spans="2:22" ht="12.75" customHeight="1">
      <c r="B83" s="1058"/>
      <c r="C83" s="1059"/>
      <c r="D83" s="1060"/>
      <c r="E83" s="1060"/>
      <c r="F83" s="1060"/>
      <c r="G83" s="1060"/>
      <c r="H83" s="1060"/>
      <c r="I83" s="1060"/>
      <c r="J83" s="1060"/>
      <c r="K83" s="1060"/>
      <c r="L83" s="1060"/>
      <c r="M83" s="1060"/>
      <c r="N83" s="1060"/>
      <c r="O83" s="1060"/>
      <c r="P83" s="1060"/>
      <c r="Q83" s="1060"/>
      <c r="R83" s="1060"/>
      <c r="S83" s="1061"/>
      <c r="T83" s="1061"/>
      <c r="U83" s="1063"/>
      <c r="V83" s="1060"/>
    </row>
    <row r="84" spans="2:22" ht="12.75" hidden="1" customHeight="1">
      <c r="B84" s="74" t="str">
        <f t="shared" ref="B84:B89" si="3">F84</f>
        <v>P0015</v>
      </c>
      <c r="C84" s="199"/>
      <c r="D84" s="75"/>
      <c r="E84" s="198" t="s">
        <v>385</v>
      </c>
      <c r="F84" s="198" t="str">
        <f>VLOOKUP(E84,'MÃO DE OBRA'!$A:$B,2,FALSE)</f>
        <v>P0015</v>
      </c>
      <c r="G84" s="186"/>
      <c r="H84" s="1049">
        <f>IF(D84="h",VLOOKUP(B84,'MÃO DE OBRA'!$B$3:$D$97,3,0)*220,VLOOKUP(B84,'MÃO DE OBRA'!$B$3:$D$97,3,0))*1.2</f>
        <v>2766.72</v>
      </c>
      <c r="I84" s="1050"/>
      <c r="J84" s="76" t="s">
        <v>354</v>
      </c>
      <c r="K84" s="1051">
        <f>IF(J84="",0,IF(J84="D",H84*DADOS!$D$18,H84*DADOS!$D$19))</f>
        <v>691.68</v>
      </c>
      <c r="L84" s="1052"/>
      <c r="M84" s="1053"/>
      <c r="N84" s="186"/>
      <c r="O84" s="1051"/>
      <c r="P84" s="1052"/>
      <c r="Q84" s="1052"/>
      <c r="R84" s="1053"/>
      <c r="S84" s="1054">
        <f>IF(G84="",0,IF(C84="3º",0,IF(C84="PJ",0,((H84+K84)*DADOS!$D$7)+((H84+K84)*DADOS!$D$6))))</f>
        <v>0</v>
      </c>
      <c r="T84" s="1054"/>
      <c r="U84" s="450">
        <f t="shared" ref="U84:U89" si="4">IF(G84="",0,SUM(H84,K84,,O84,V84,S84))</f>
        <v>0</v>
      </c>
      <c r="V84" s="451"/>
    </row>
    <row r="85" spans="2:22" ht="12.75" hidden="1" customHeight="1">
      <c r="B85" s="75" t="str">
        <f t="shared" si="3"/>
        <v>P0005</v>
      </c>
      <c r="C85" s="199"/>
      <c r="D85" s="75"/>
      <c r="E85" s="77" t="s">
        <v>386</v>
      </c>
      <c r="F85" s="198" t="str">
        <f>VLOOKUP(E85,'MÃO DE OBRA'!$A:$B,2,FALSE)</f>
        <v>P0005</v>
      </c>
      <c r="G85" s="186"/>
      <c r="H85" s="1049">
        <f>IF(D85="h",VLOOKUP(B85,'MÃO DE OBRA'!$B$3:$D$97,3,0)*220,VLOOKUP(B85,'MÃO DE OBRA'!$B$3:$D$97,3,0))*1.2</f>
        <v>2766.72</v>
      </c>
      <c r="I85" s="1050"/>
      <c r="J85" s="76" t="s">
        <v>354</v>
      </c>
      <c r="K85" s="1051">
        <f>IF(J85="",0,IF(J85="D",H85*DADOS!$D$18,H85*DADOS!$D$19))</f>
        <v>691.68</v>
      </c>
      <c r="L85" s="1052"/>
      <c r="M85" s="1053"/>
      <c r="N85" s="186"/>
      <c r="O85" s="1051"/>
      <c r="P85" s="1052"/>
      <c r="Q85" s="1052"/>
      <c r="R85" s="1053"/>
      <c r="S85" s="1054">
        <f>IF(G85="",0,IF(C85="3º",0,IF(C85="PJ",0,((H85+K85)*DADOS!$D$7)+((H85+K85)*DADOS!$D$6))))</f>
        <v>0</v>
      </c>
      <c r="T85" s="1054"/>
      <c r="U85" s="450">
        <f t="shared" si="4"/>
        <v>0</v>
      </c>
      <c r="V85" s="451"/>
    </row>
    <row r="86" spans="2:22" ht="12.75" hidden="1" customHeight="1">
      <c r="B86" s="75" t="str">
        <f t="shared" si="3"/>
        <v>P0052</v>
      </c>
      <c r="C86" s="199"/>
      <c r="D86" s="75"/>
      <c r="E86" s="77" t="s">
        <v>383</v>
      </c>
      <c r="F86" s="198" t="str">
        <f>VLOOKUP(E86,'MÃO DE OBRA'!$A:$B,2,FALSE)</f>
        <v>P0052</v>
      </c>
      <c r="G86" s="186"/>
      <c r="H86" s="1049">
        <f>IF(D86="h",VLOOKUP(B86,'MÃO DE OBRA'!$B$3:$D$97,3,0)*220,VLOOKUP(B86,'MÃO DE OBRA'!$B$3:$D$97,3,0))*1.2</f>
        <v>2766.72</v>
      </c>
      <c r="I86" s="1050"/>
      <c r="J86" s="76" t="s">
        <v>354</v>
      </c>
      <c r="K86" s="1051">
        <f>IF(J86="",0,IF(J86="D",H86*DADOS!$D$18,H86*DADOS!$D$19))</f>
        <v>691.68</v>
      </c>
      <c r="L86" s="1052"/>
      <c r="M86" s="1053"/>
      <c r="N86" s="186"/>
      <c r="O86" s="1051"/>
      <c r="P86" s="1052"/>
      <c r="Q86" s="1052"/>
      <c r="R86" s="1053"/>
      <c r="S86" s="1054">
        <f>IF(G86="",0,IF(C86="3º",0,IF(C86="PJ",0,((H86+K86)*DADOS!$D$7)+((H86+K86)*DADOS!$D$6))))</f>
        <v>0</v>
      </c>
      <c r="T86" s="1054"/>
      <c r="U86" s="450">
        <f t="shared" si="4"/>
        <v>0</v>
      </c>
      <c r="V86" s="451"/>
    </row>
    <row r="87" spans="2:22" ht="12.75" hidden="1" customHeight="1">
      <c r="B87" s="75" t="str">
        <f t="shared" si="3"/>
        <v>P0001</v>
      </c>
      <c r="C87" s="199"/>
      <c r="D87" s="75"/>
      <c r="E87" s="198" t="s">
        <v>356</v>
      </c>
      <c r="F87" s="198" t="str">
        <f>VLOOKUP(E87,'MÃO DE OBRA'!$A:$B,2,FALSE)</f>
        <v>P0001</v>
      </c>
      <c r="G87" s="186"/>
      <c r="H87" s="1049">
        <f>IF(D87="h",VLOOKUP(B87,'MÃO DE OBRA'!$B$3:$D$97,3,0)*220,VLOOKUP(B87,'MÃO DE OBRA'!$B$3:$D$97,3,0))*1.2</f>
        <v>2355.12</v>
      </c>
      <c r="I87" s="1050"/>
      <c r="J87" s="76" t="s">
        <v>354</v>
      </c>
      <c r="K87" s="1051">
        <f>IF(J87="",0,IF(J87="D",H87*DADOS!$D$18,H87*DADOS!$D$19))</f>
        <v>588.78</v>
      </c>
      <c r="L87" s="1052"/>
      <c r="M87" s="1053"/>
      <c r="N87" s="186"/>
      <c r="O87" s="1051"/>
      <c r="P87" s="1052"/>
      <c r="Q87" s="1052"/>
      <c r="R87" s="1053"/>
      <c r="S87" s="1054">
        <f>IF(G87="",0,IF(C87="3º",0,IF(C87="PJ",0,((H87+K87)*DADOS!$D$7)+((H87+K87)*DADOS!$D$6))))</f>
        <v>0</v>
      </c>
      <c r="T87" s="1054"/>
      <c r="U87" s="450">
        <f t="shared" si="4"/>
        <v>0</v>
      </c>
      <c r="V87" s="451"/>
    </row>
    <row r="88" spans="2:22" ht="12.75" hidden="1" customHeight="1">
      <c r="B88" s="75" t="str">
        <f t="shared" si="3"/>
        <v>P0037</v>
      </c>
      <c r="C88" s="199"/>
      <c r="D88" s="75"/>
      <c r="E88" s="198" t="s">
        <v>387</v>
      </c>
      <c r="F88" s="198" t="str">
        <f>VLOOKUP(E88,'MÃO DE OBRA'!$A:$B,2,FALSE)</f>
        <v>P0037</v>
      </c>
      <c r="G88" s="186"/>
      <c r="H88" s="1049">
        <f>IF(D88="h",VLOOKUP(B88,'MÃO DE OBRA'!$B$3:$D$97,3,0)*220,VLOOKUP(B88,'MÃO DE OBRA'!$B$3:$D$97,3,0))*1.2</f>
        <v>2442</v>
      </c>
      <c r="I88" s="1050"/>
      <c r="J88" s="76" t="s">
        <v>354</v>
      </c>
      <c r="K88" s="1051">
        <f>IF(J88="",0,IF(J88="D",H88*DADOS!$D$18,H88*DADOS!$D$19))</f>
        <v>610.5</v>
      </c>
      <c r="L88" s="1052"/>
      <c r="M88" s="1053"/>
      <c r="N88" s="186"/>
      <c r="O88" s="1051"/>
      <c r="P88" s="1052"/>
      <c r="Q88" s="1052"/>
      <c r="R88" s="1053"/>
      <c r="S88" s="1054">
        <f>IF(G88="",0,IF(C88="3º",0,IF(C88="PJ",0,((H88+K88)*DADOS!$D$7)+((H88+K88)*DADOS!$D$6))))</f>
        <v>0</v>
      </c>
      <c r="T88" s="1054"/>
      <c r="U88" s="450">
        <f t="shared" si="4"/>
        <v>0</v>
      </c>
      <c r="V88" s="451"/>
    </row>
    <row r="89" spans="2:22" ht="12.75" hidden="1" customHeight="1">
      <c r="B89" s="75" t="str">
        <f t="shared" si="3"/>
        <v>P0046</v>
      </c>
      <c r="C89" s="197"/>
      <c r="D89" s="78"/>
      <c r="E89" s="196" t="s">
        <v>377</v>
      </c>
      <c r="F89" s="198" t="str">
        <f>VLOOKUP(E89,'MÃO DE OBRA'!$A:$B,2,FALSE)</f>
        <v>P0046</v>
      </c>
      <c r="G89" s="431"/>
      <c r="H89" s="1049">
        <f>IF(D89="h",VLOOKUP(B89,'MÃO DE OBRA'!$B$3:$D$97,3,0)*220,VLOOKUP(B89,'MÃO DE OBRA'!$B$3:$D$97,3,0))*1.2</f>
        <v>2766.72</v>
      </c>
      <c r="I89" s="1050"/>
      <c r="J89" s="79" t="s">
        <v>354</v>
      </c>
      <c r="K89" s="1072">
        <f>IF(J89="",0,IF(J89="D",H89*DADOS!$D$18,H89*DADOS!$D$19))</f>
        <v>691.68</v>
      </c>
      <c r="L89" s="1073"/>
      <c r="M89" s="1074"/>
      <c r="N89" s="186"/>
      <c r="O89" s="1051"/>
      <c r="P89" s="1052"/>
      <c r="Q89" s="1052"/>
      <c r="R89" s="1053"/>
      <c r="S89" s="1054">
        <f>IF(G89="",0,IF(C89="3º",0,IF(C89="PJ",0,((H89+K89)*DADOS!$D$7)+((H89+K89)*DADOS!$D$6))))</f>
        <v>0</v>
      </c>
      <c r="T89" s="1054"/>
      <c r="U89" s="450">
        <f t="shared" si="4"/>
        <v>0</v>
      </c>
      <c r="V89" s="451"/>
    </row>
    <row r="90" spans="2:22" ht="12.75" customHeight="1">
      <c r="B90" s="1064"/>
      <c r="C90" s="1065"/>
      <c r="D90" s="1066" t="s">
        <v>175</v>
      </c>
      <c r="E90" s="1066"/>
      <c r="F90" s="1066"/>
      <c r="G90" s="818"/>
      <c r="H90" s="1067">
        <f>SUMPRODUCT($G$84:$G$89,H84:H89)</f>
        <v>0</v>
      </c>
      <c r="I90" s="1068"/>
      <c r="J90" s="1067">
        <f>SUMPRODUCT($G$84:$G$89,K84:K89)</f>
        <v>0</v>
      </c>
      <c r="K90" s="1068"/>
      <c r="L90" s="1068"/>
      <c r="M90" s="1069"/>
      <c r="N90" s="1067">
        <f>SUMPRODUCT($G$16:$G$21,O84:O89)</f>
        <v>0</v>
      </c>
      <c r="O90" s="1068"/>
      <c r="P90" s="1068"/>
      <c r="Q90" s="1068"/>
      <c r="R90" s="1069"/>
      <c r="S90" s="1067">
        <f>SUMPRODUCT($G$16:$G$21,S84:S89)</f>
        <v>0</v>
      </c>
      <c r="T90" s="1069"/>
      <c r="U90" s="453">
        <f>SUMPRODUCT($G$16:$G$21,U84:U89)</f>
        <v>0</v>
      </c>
      <c r="V90" s="452"/>
    </row>
    <row r="91" spans="2:22" ht="12.75" customHeight="1">
      <c r="H91" s="58" t="s">
        <v>389</v>
      </c>
    </row>
    <row r="92" spans="2:22" ht="12.75" customHeight="1">
      <c r="B92" s="1055" t="s">
        <v>347</v>
      </c>
      <c r="C92" s="1055"/>
      <c r="D92" s="1055"/>
      <c r="E92" s="1055"/>
      <c r="F92" s="1055"/>
      <c r="G92" s="1055"/>
      <c r="H92" s="1055"/>
      <c r="I92" s="1055"/>
      <c r="J92" s="1055"/>
      <c r="K92" s="1055"/>
      <c r="L92" s="1055"/>
      <c r="M92" s="1055"/>
      <c r="N92" s="1055"/>
      <c r="O92" s="1055"/>
      <c r="P92" s="1055"/>
      <c r="Q92" s="1055"/>
      <c r="R92" s="1055"/>
      <c r="S92" s="1055"/>
      <c r="T92" s="1055"/>
      <c r="U92" s="1055"/>
      <c r="V92" s="1055"/>
    </row>
    <row r="93" spans="2:22" ht="12.75" customHeight="1">
      <c r="B93" s="1056" t="s">
        <v>357</v>
      </c>
      <c r="C93" s="1088"/>
      <c r="D93" s="1088"/>
      <c r="E93" s="1088" t="s">
        <v>358</v>
      </c>
      <c r="F93" s="1088"/>
      <c r="G93" s="1089" t="s">
        <v>350</v>
      </c>
      <c r="H93" s="1056" t="s">
        <v>359</v>
      </c>
      <c r="I93" s="1088"/>
      <c r="J93" s="1057"/>
      <c r="K93" s="1089" t="s">
        <v>360</v>
      </c>
      <c r="L93" s="1091"/>
      <c r="M93" s="1091"/>
      <c r="N93" s="1091"/>
      <c r="O93" s="1092"/>
      <c r="P93" s="1056" t="s">
        <v>361</v>
      </c>
      <c r="Q93" s="1088"/>
      <c r="R93" s="1088"/>
      <c r="S93" s="1088"/>
      <c r="T93" s="1095" t="s">
        <v>362</v>
      </c>
      <c r="U93" s="1092" t="s">
        <v>363</v>
      </c>
      <c r="V93" s="1062" t="s">
        <v>364</v>
      </c>
    </row>
    <row r="94" spans="2:22" ht="12.75" customHeight="1">
      <c r="B94" s="1058"/>
      <c r="C94" s="1075"/>
      <c r="D94" s="1075"/>
      <c r="E94" s="1075"/>
      <c r="F94" s="1075"/>
      <c r="G94" s="1090"/>
      <c r="H94" s="1058"/>
      <c r="I94" s="1075"/>
      <c r="J94" s="1059"/>
      <c r="K94" s="1090"/>
      <c r="L94" s="1093"/>
      <c r="M94" s="1093"/>
      <c r="N94" s="1093"/>
      <c r="O94" s="1094"/>
      <c r="P94" s="1058" t="s">
        <v>365</v>
      </c>
      <c r="Q94" s="1075"/>
      <c r="R94" s="1075"/>
      <c r="S94" s="1075"/>
      <c r="T94" s="1096"/>
      <c r="U94" s="1094"/>
      <c r="V94" s="1063"/>
    </row>
    <row r="95" spans="2:22" ht="12.75" customHeight="1">
      <c r="B95" s="1076">
        <f>F95</f>
        <v>0</v>
      </c>
      <c r="C95" s="1077"/>
      <c r="D95" s="1078"/>
      <c r="E95" s="201" t="s">
        <v>390</v>
      </c>
      <c r="F95" s="198"/>
      <c r="G95" s="433"/>
      <c r="H95" s="1100">
        <v>30000</v>
      </c>
      <c r="I95" s="1101"/>
      <c r="J95" s="1101"/>
      <c r="K95" s="1082" t="s">
        <v>367</v>
      </c>
      <c r="L95" s="1083"/>
      <c r="M95" s="1084">
        <v>200</v>
      </c>
      <c r="N95" s="1084"/>
      <c r="O95" s="1084"/>
      <c r="P95" s="80"/>
      <c r="Q95" s="1559"/>
      <c r="R95" s="1560"/>
      <c r="S95" s="1561"/>
      <c r="T95" s="436"/>
      <c r="U95" s="202">
        <f>SUM(H95,T95)</f>
        <v>30000</v>
      </c>
      <c r="V95" s="203">
        <f>G95*U95</f>
        <v>0</v>
      </c>
    </row>
    <row r="96" spans="2:22" ht="12.75" customHeight="1">
      <c r="B96" s="1097">
        <f>F96</f>
        <v>0</v>
      </c>
      <c r="C96" s="1098"/>
      <c r="D96" s="1099"/>
      <c r="E96" s="200" t="s">
        <v>391</v>
      </c>
      <c r="F96" s="198"/>
      <c r="G96" s="434"/>
      <c r="H96" s="1100">
        <v>15000</v>
      </c>
      <c r="I96" s="1101"/>
      <c r="J96" s="1101"/>
      <c r="K96" s="1082" t="s">
        <v>367</v>
      </c>
      <c r="L96" s="1083"/>
      <c r="M96" s="1084">
        <v>200</v>
      </c>
      <c r="N96" s="1084"/>
      <c r="O96" s="1084"/>
      <c r="P96" s="80"/>
      <c r="Q96" s="1085"/>
      <c r="R96" s="1086"/>
      <c r="S96" s="1087"/>
      <c r="T96" s="436"/>
      <c r="U96" s="202">
        <f>SUM(H96,T96)</f>
        <v>15000</v>
      </c>
      <c r="V96" s="436">
        <f>U96*G96</f>
        <v>0</v>
      </c>
    </row>
    <row r="97" spans="2:22" ht="12.75" customHeight="1">
      <c r="B97" s="1097"/>
      <c r="C97" s="1098"/>
      <c r="D97" s="1099"/>
      <c r="E97" s="200"/>
      <c r="F97" s="198"/>
      <c r="G97" s="434"/>
      <c r="H97" s="1100"/>
      <c r="I97" s="1101"/>
      <c r="J97" s="1101"/>
      <c r="K97" s="1082"/>
      <c r="L97" s="1083"/>
      <c r="M97" s="1084"/>
      <c r="N97" s="1084"/>
      <c r="O97" s="1084"/>
      <c r="P97" s="80"/>
      <c r="Q97" s="1085"/>
      <c r="R97" s="1086"/>
      <c r="S97" s="1087"/>
      <c r="T97" s="436"/>
      <c r="U97" s="202"/>
      <c r="V97" s="436"/>
    </row>
    <row r="98" spans="2:22" ht="12.75" customHeight="1">
      <c r="B98" s="1097"/>
      <c r="C98" s="1098"/>
      <c r="D98" s="1099"/>
      <c r="E98" s="1110"/>
      <c r="F98" s="1111"/>
      <c r="G98" s="434"/>
      <c r="H98" s="1101"/>
      <c r="I98" s="1101"/>
      <c r="J98" s="1101"/>
      <c r="K98" s="1082"/>
      <c r="L98" s="1083"/>
      <c r="M98" s="1084"/>
      <c r="N98" s="1084"/>
      <c r="O98" s="1084"/>
      <c r="P98" s="80"/>
      <c r="Q98" s="1085"/>
      <c r="R98" s="1086"/>
      <c r="S98" s="1087"/>
      <c r="T98" s="436" t="str">
        <f>IF(Q98="","",IF(K98="km",M98/Q98,200*Q98)*INDEX(DADOS!$1:$1048576,MATCH(P98,DADOS!D:D,0),5))</f>
        <v/>
      </c>
      <c r="U98" s="202">
        <f>SUM(H98,T98)</f>
        <v>0</v>
      </c>
      <c r="V98" s="436"/>
    </row>
    <row r="99" spans="2:22" ht="12.75" customHeight="1">
      <c r="B99" s="1102"/>
      <c r="C99" s="1103"/>
      <c r="D99" s="1104"/>
      <c r="E99" s="1105"/>
      <c r="F99" s="1106"/>
      <c r="G99" s="432"/>
      <c r="H99" s="1107"/>
      <c r="I99" s="1107"/>
      <c r="J99" s="1107"/>
      <c r="K99" s="1108"/>
      <c r="L99" s="1107"/>
      <c r="M99" s="1109"/>
      <c r="N99" s="1109"/>
      <c r="O99" s="1109"/>
      <c r="P99" s="81"/>
      <c r="Q99" s="1085"/>
      <c r="R99" s="1086"/>
      <c r="S99" s="1087"/>
      <c r="T99" s="437" t="str">
        <f>IF(Q99="","",IF(K99="km",M99/Q99,200*Q99)*INDEX(DADOS!$1:$1048576,MATCH(P99,DADOS!D:D,0),5))</f>
        <v/>
      </c>
      <c r="U99" s="667">
        <f>SUM(H99,T99)</f>
        <v>0</v>
      </c>
      <c r="V99" s="437"/>
    </row>
    <row r="100" spans="2:22" ht="12.75" customHeight="1">
      <c r="B100" s="1123"/>
      <c r="C100" s="1124"/>
      <c r="D100" s="1125"/>
      <c r="E100" s="1126" t="s">
        <v>175</v>
      </c>
      <c r="F100" s="1127"/>
      <c r="G100" s="435">
        <f>SUM(G95:G99)</f>
        <v>0</v>
      </c>
      <c r="H100" s="1128">
        <f>SUMPRODUCT(G$95:$G99,H95:H99)</f>
        <v>0</v>
      </c>
      <c r="I100" s="1128"/>
      <c r="J100" s="1128"/>
      <c r="K100" s="1129"/>
      <c r="L100" s="1130"/>
      <c r="M100" s="1130"/>
      <c r="N100" s="1130"/>
      <c r="O100" s="1131"/>
      <c r="P100" s="699"/>
      <c r="Q100" s="819"/>
      <c r="R100" s="819"/>
      <c r="S100" s="819"/>
      <c r="T100" s="665"/>
      <c r="U100" s="668"/>
      <c r="V100" s="665">
        <f>SUM(V95:V99)</f>
        <v>0</v>
      </c>
    </row>
  </sheetData>
  <mergeCells count="330">
    <mergeCell ref="B99:D99"/>
    <mergeCell ref="E99:F99"/>
    <mergeCell ref="H99:J99"/>
    <mergeCell ref="K99:L99"/>
    <mergeCell ref="M99:O99"/>
    <mergeCell ref="Q99:S99"/>
    <mergeCell ref="B100:D100"/>
    <mergeCell ref="E100:F100"/>
    <mergeCell ref="H100:J100"/>
    <mergeCell ref="K100:O100"/>
    <mergeCell ref="B97:D97"/>
    <mergeCell ref="H97:J97"/>
    <mergeCell ref="K97:L97"/>
    <mergeCell ref="M97:O97"/>
    <mergeCell ref="Q97:S97"/>
    <mergeCell ref="B98:D98"/>
    <mergeCell ref="E98:F98"/>
    <mergeCell ref="H98:J98"/>
    <mergeCell ref="K98:L98"/>
    <mergeCell ref="M98:O98"/>
    <mergeCell ref="Q98:S98"/>
    <mergeCell ref="B95:D95"/>
    <mergeCell ref="H95:J95"/>
    <mergeCell ref="K95:L95"/>
    <mergeCell ref="M95:O95"/>
    <mergeCell ref="Q95:S95"/>
    <mergeCell ref="B96:D96"/>
    <mergeCell ref="H96:J96"/>
    <mergeCell ref="K96:L96"/>
    <mergeCell ref="M96:O96"/>
    <mergeCell ref="Q96:S96"/>
    <mergeCell ref="B90:C90"/>
    <mergeCell ref="D90:F90"/>
    <mergeCell ref="H90:I90"/>
    <mergeCell ref="J90:M90"/>
    <mergeCell ref="N90:R90"/>
    <mergeCell ref="S90:T90"/>
    <mergeCell ref="B92:V92"/>
    <mergeCell ref="B93:D94"/>
    <mergeCell ref="E93:F94"/>
    <mergeCell ref="G93:G94"/>
    <mergeCell ref="H93:J94"/>
    <mergeCell ref="K93:O94"/>
    <mergeCell ref="P93:S93"/>
    <mergeCell ref="T93:T94"/>
    <mergeCell ref="U93:U94"/>
    <mergeCell ref="V93:V94"/>
    <mergeCell ref="P94:S94"/>
    <mergeCell ref="H87:I87"/>
    <mergeCell ref="K87:M87"/>
    <mergeCell ref="O87:R87"/>
    <mergeCell ref="S87:T87"/>
    <mergeCell ref="H88:I88"/>
    <mergeCell ref="K88:M88"/>
    <mergeCell ref="O88:R88"/>
    <mergeCell ref="S88:T88"/>
    <mergeCell ref="H89:I89"/>
    <mergeCell ref="K89:M89"/>
    <mergeCell ref="O89:R89"/>
    <mergeCell ref="S89:T89"/>
    <mergeCell ref="H84:I84"/>
    <mergeCell ref="K84:M84"/>
    <mergeCell ref="O84:R84"/>
    <mergeCell ref="S84:T84"/>
    <mergeCell ref="H85:I85"/>
    <mergeCell ref="K85:M85"/>
    <mergeCell ref="O85:R85"/>
    <mergeCell ref="S85:T85"/>
    <mergeCell ref="H86:I86"/>
    <mergeCell ref="K86:M86"/>
    <mergeCell ref="O86:R86"/>
    <mergeCell ref="S86:T86"/>
    <mergeCell ref="B81:V81"/>
    <mergeCell ref="B82:C83"/>
    <mergeCell ref="D82:F83"/>
    <mergeCell ref="G82:G83"/>
    <mergeCell ref="H82:I83"/>
    <mergeCell ref="J82:M83"/>
    <mergeCell ref="N82:R83"/>
    <mergeCell ref="S82:T83"/>
    <mergeCell ref="U82:U83"/>
    <mergeCell ref="V82:V83"/>
    <mergeCell ref="B74:D74"/>
    <mergeCell ref="C76:E76"/>
    <mergeCell ref="H76:I76"/>
    <mergeCell ref="J76:L76"/>
    <mergeCell ref="O76:T76"/>
    <mergeCell ref="U76:V76"/>
    <mergeCell ref="E77:E78"/>
    <mergeCell ref="H77:I77"/>
    <mergeCell ref="J77:L77"/>
    <mergeCell ref="O77:T78"/>
    <mergeCell ref="U77:V78"/>
    <mergeCell ref="H78:I78"/>
    <mergeCell ref="J78:L78"/>
    <mergeCell ref="B70:D70"/>
    <mergeCell ref="E70:F70"/>
    <mergeCell ref="H70:J70"/>
    <mergeCell ref="K70:L70"/>
    <mergeCell ref="M70:O70"/>
    <mergeCell ref="Q70:S70"/>
    <mergeCell ref="B71:D71"/>
    <mergeCell ref="E71:F71"/>
    <mergeCell ref="H71:J71"/>
    <mergeCell ref="K71:O71"/>
    <mergeCell ref="B68:D68"/>
    <mergeCell ref="H68:J68"/>
    <mergeCell ref="K68:L68"/>
    <mergeCell ref="M68:O68"/>
    <mergeCell ref="Q68:S68"/>
    <mergeCell ref="B69:D69"/>
    <mergeCell ref="E69:F69"/>
    <mergeCell ref="H69:J69"/>
    <mergeCell ref="K69:L69"/>
    <mergeCell ref="M69:O69"/>
    <mergeCell ref="Q69:S69"/>
    <mergeCell ref="B66:D66"/>
    <mergeCell ref="H66:J66"/>
    <mergeCell ref="K66:L66"/>
    <mergeCell ref="M66:O66"/>
    <mergeCell ref="Q66:S66"/>
    <mergeCell ref="B67:D67"/>
    <mergeCell ref="H67:J67"/>
    <mergeCell ref="K67:L67"/>
    <mergeCell ref="M67:O67"/>
    <mergeCell ref="Q67:S67"/>
    <mergeCell ref="B61:C61"/>
    <mergeCell ref="D61:F61"/>
    <mergeCell ref="H61:I61"/>
    <mergeCell ref="J61:M61"/>
    <mergeCell ref="N61:R61"/>
    <mergeCell ref="S61:T61"/>
    <mergeCell ref="B63:V63"/>
    <mergeCell ref="B64:D65"/>
    <mergeCell ref="E64:F65"/>
    <mergeCell ref="G64:G65"/>
    <mergeCell ref="H64:J65"/>
    <mergeCell ref="K64:O65"/>
    <mergeCell ref="P64:S64"/>
    <mergeCell ref="T64:T65"/>
    <mergeCell ref="U64:U65"/>
    <mergeCell ref="V64:V65"/>
    <mergeCell ref="P65:S65"/>
    <mergeCell ref="H58:I58"/>
    <mergeCell ref="K58:M58"/>
    <mergeCell ref="O58:R58"/>
    <mergeCell ref="S58:T58"/>
    <mergeCell ref="H59:I59"/>
    <mergeCell ref="K59:M59"/>
    <mergeCell ref="O59:R59"/>
    <mergeCell ref="S59:T59"/>
    <mergeCell ref="H60:I60"/>
    <mergeCell ref="K60:M60"/>
    <mergeCell ref="O60:R60"/>
    <mergeCell ref="S60:T60"/>
    <mergeCell ref="B55:V55"/>
    <mergeCell ref="B56:C57"/>
    <mergeCell ref="D56:F57"/>
    <mergeCell ref="G56:G57"/>
    <mergeCell ref="H56:I57"/>
    <mergeCell ref="J56:M57"/>
    <mergeCell ref="N56:R57"/>
    <mergeCell ref="S56:T57"/>
    <mergeCell ref="U56:U57"/>
    <mergeCell ref="V56:V57"/>
    <mergeCell ref="B48:D48"/>
    <mergeCell ref="C50:E50"/>
    <mergeCell ref="H50:I50"/>
    <mergeCell ref="J50:L50"/>
    <mergeCell ref="O50:T50"/>
    <mergeCell ref="U50:V50"/>
    <mergeCell ref="E51:E52"/>
    <mergeCell ref="H51:I51"/>
    <mergeCell ref="J51:L51"/>
    <mergeCell ref="O51:T52"/>
    <mergeCell ref="U51:V52"/>
    <mergeCell ref="H52:I52"/>
    <mergeCell ref="J52:L52"/>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H19:I19"/>
    <mergeCell ref="K19:M19"/>
    <mergeCell ref="O19:R19"/>
    <mergeCell ref="S19:T19"/>
    <mergeCell ref="B22:C22"/>
    <mergeCell ref="D22:F22"/>
    <mergeCell ref="H22:I22"/>
    <mergeCell ref="J22:M22"/>
    <mergeCell ref="N22:R22"/>
    <mergeCell ref="S22:T22"/>
    <mergeCell ref="H21:I21"/>
    <mergeCell ref="K21:M21"/>
    <mergeCell ref="O21:R21"/>
    <mergeCell ref="S21:T21"/>
    <mergeCell ref="H20:I20"/>
    <mergeCell ref="K20:M20"/>
    <mergeCell ref="O20:R20"/>
    <mergeCell ref="S20:T20"/>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B28:D28"/>
    <mergeCell ref="H28:J28"/>
    <mergeCell ref="K28:L28"/>
    <mergeCell ref="M28:O28"/>
    <mergeCell ref="Q28:S28"/>
    <mergeCell ref="B29:D29"/>
    <mergeCell ref="H29:J29"/>
    <mergeCell ref="K29:L29"/>
    <mergeCell ref="M29:O29"/>
    <mergeCell ref="B31:D31"/>
    <mergeCell ref="E31:F31"/>
    <mergeCell ref="H31:J31"/>
    <mergeCell ref="K31:L31"/>
    <mergeCell ref="M31:O31"/>
    <mergeCell ref="Q31:S31"/>
    <mergeCell ref="Q29:S29"/>
    <mergeCell ref="B30:D30"/>
    <mergeCell ref="E30:F30"/>
    <mergeCell ref="H30:J30"/>
    <mergeCell ref="K30:L30"/>
    <mergeCell ref="M30:O30"/>
    <mergeCell ref="Q30:S30"/>
    <mergeCell ref="B32:D32"/>
    <mergeCell ref="E32:F32"/>
    <mergeCell ref="H32:J32"/>
    <mergeCell ref="K32:O32"/>
    <mergeCell ref="B34:V34"/>
    <mergeCell ref="B35:C35"/>
    <mergeCell ref="D35:F35"/>
    <mergeCell ref="G35:H35"/>
    <mergeCell ref="I35:K35"/>
    <mergeCell ref="L35:P35"/>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D39:F39"/>
    <mergeCell ref="G39:H39"/>
    <mergeCell ref="I39:K39"/>
    <mergeCell ref="L39:P39"/>
    <mergeCell ref="Q39:T39"/>
    <mergeCell ref="U39:V39"/>
    <mergeCell ref="D38:F38"/>
    <mergeCell ref="G38:H38"/>
    <mergeCell ref="I38:K38"/>
    <mergeCell ref="L38:P38"/>
    <mergeCell ref="Q38:T38"/>
    <mergeCell ref="U38:V38"/>
    <mergeCell ref="D41:F41"/>
    <mergeCell ref="G41:H41"/>
    <mergeCell ref="I41:K41"/>
    <mergeCell ref="L41:P41"/>
    <mergeCell ref="Q41:T41"/>
    <mergeCell ref="U41:V41"/>
    <mergeCell ref="D40:F40"/>
    <mergeCell ref="G40:H40"/>
    <mergeCell ref="I40:K40"/>
    <mergeCell ref="L40:P40"/>
    <mergeCell ref="Q40:T40"/>
    <mergeCell ref="U40:V40"/>
    <mergeCell ref="U43:V43"/>
    <mergeCell ref="B43:C43"/>
    <mergeCell ref="D43:F43"/>
    <mergeCell ref="G43:H43"/>
    <mergeCell ref="I43:K43"/>
    <mergeCell ref="L43:P43"/>
    <mergeCell ref="Q43:T43"/>
    <mergeCell ref="D42:F42"/>
    <mergeCell ref="G42:H42"/>
    <mergeCell ref="I42:K42"/>
    <mergeCell ref="L42:P42"/>
    <mergeCell ref="Q42:T42"/>
    <mergeCell ref="U42:V42"/>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6002" r:id="rId4" name="Label1">
          <controlPr defaultSize="0" autoLine="0" r:id="rId5">
            <anchor moveWithCells="1">
              <from>
                <xdr:col>12</xdr:col>
                <xdr:colOff>0</xdr:colOff>
                <xdr:row>0</xdr:row>
                <xdr:rowOff>99060</xdr:rowOff>
              </from>
              <to>
                <xdr:col>21</xdr:col>
                <xdr:colOff>350520</xdr:colOff>
                <xdr:row>1</xdr:row>
                <xdr:rowOff>68580</xdr:rowOff>
              </to>
            </anchor>
          </controlPr>
        </control>
      </mc:Choice>
      <mc:Fallback>
        <control shapeId="256002" r:id="rId4" name="Label1"/>
      </mc:Fallback>
    </mc:AlternateContent>
    <mc:AlternateContent xmlns:mc="http://schemas.openxmlformats.org/markup-compatibility/2006">
      <mc:Choice Requires="x14">
        <control shapeId="256001" r:id="rId6" name="ComboBox13">
          <controlPr defaultSize="0" autoLine="0" r:id="rId7">
            <anchor moveWithCells="1">
              <from>
                <xdr:col>12</xdr:col>
                <xdr:colOff>0</xdr:colOff>
                <xdr:row>1</xdr:row>
                <xdr:rowOff>83820</xdr:rowOff>
              </from>
              <to>
                <xdr:col>21</xdr:col>
                <xdr:colOff>518160</xdr:colOff>
                <xdr:row>3</xdr:row>
                <xdr:rowOff>0</xdr:rowOff>
              </to>
            </anchor>
          </controlPr>
        </control>
      </mc:Choice>
      <mc:Fallback>
        <control shapeId="256001" r:id="rId6" name="ComboBox13"/>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3A72-9FA4-4153-83E6-387C4FA99D9A}">
  <sheetPr codeName="Planilha23">
    <tabColor rgb="FF00B050"/>
  </sheetPr>
  <dimension ref="B6:V125"/>
  <sheetViews>
    <sheetView showGridLines="0" zoomScaleNormal="100" workbookViewId="0">
      <selection activeCell="H20" sqref="H20:I20"/>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1.6640625" style="58" customWidth="1"/>
    <col min="6" max="6" width="6" style="58" hidden="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3.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2" ht="18.75" customHeight="1">
      <c r="B6" s="1044" t="s">
        <v>343</v>
      </c>
      <c r="C6" s="1044"/>
      <c r="D6" s="1044"/>
      <c r="E6" s="70" t="s">
        <v>395</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045" t="s">
        <v>303</v>
      </c>
      <c r="D8" s="1045"/>
      <c r="E8" s="1046"/>
      <c r="F8" s="71"/>
      <c r="G8" s="71"/>
      <c r="H8" s="1039" t="s">
        <v>344</v>
      </c>
      <c r="I8" s="1039"/>
      <c r="J8" s="1040">
        <f>U23</f>
        <v>0</v>
      </c>
      <c r="K8" s="1040"/>
      <c r="L8" s="1040"/>
      <c r="M8" s="448"/>
      <c r="N8" s="447"/>
      <c r="O8" s="1047" t="s">
        <v>345</v>
      </c>
      <c r="P8" s="1047"/>
      <c r="Q8" s="1047"/>
      <c r="R8" s="1047"/>
      <c r="S8" s="1047"/>
      <c r="T8" s="1047"/>
      <c r="U8" s="1048" t="s">
        <v>346</v>
      </c>
      <c r="V8" s="1047"/>
    </row>
    <row r="9" spans="2:22" ht="12.75" customHeight="1">
      <c r="B9" s="71"/>
      <c r="C9" s="446"/>
      <c r="D9" s="446"/>
      <c r="E9" s="1038">
        <f>SUM(J8:L10)</f>
        <v>0</v>
      </c>
      <c r="F9" s="71"/>
      <c r="G9" s="71"/>
      <c r="H9" s="1039" t="s">
        <v>347</v>
      </c>
      <c r="I9" s="1039"/>
      <c r="J9" s="1040">
        <f>V33</f>
        <v>0</v>
      </c>
      <c r="K9" s="1040"/>
      <c r="L9" s="1040"/>
      <c r="M9" s="449"/>
      <c r="N9" s="402"/>
      <c r="O9" s="1041"/>
      <c r="P9" s="1041"/>
      <c r="Q9" s="1041"/>
      <c r="R9" s="1041"/>
      <c r="S9" s="1041"/>
      <c r="T9" s="1041"/>
      <c r="U9" s="1042">
        <f>E9*O9</f>
        <v>0</v>
      </c>
      <c r="V9" s="1043"/>
    </row>
    <row r="10" spans="2:22" ht="12.75" customHeight="1">
      <c r="B10" s="73"/>
      <c r="C10" s="446"/>
      <c r="D10" s="446"/>
      <c r="E10" s="1038"/>
      <c r="F10" s="71"/>
      <c r="G10" s="71"/>
      <c r="H10" s="1039" t="s">
        <v>348</v>
      </c>
      <c r="I10" s="1039"/>
      <c r="J10" s="1040">
        <f>Q39</f>
        <v>0</v>
      </c>
      <c r="K10" s="1040"/>
      <c r="L10" s="1040"/>
      <c r="M10" s="449"/>
      <c r="N10" s="402"/>
      <c r="O10" s="1041"/>
      <c r="P10" s="1041"/>
      <c r="Q10" s="1041"/>
      <c r="R10" s="1041"/>
      <c r="S10" s="1041"/>
      <c r="T10" s="1041"/>
      <c r="U10" s="1042"/>
      <c r="V10" s="1043"/>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2" ht="12.75" customHeight="1">
      <c r="B14" s="1056" t="s">
        <v>183</v>
      </c>
      <c r="C14" s="1057"/>
      <c r="D14" s="1060" t="s">
        <v>349</v>
      </c>
      <c r="E14" s="1060"/>
      <c r="F14" s="1060"/>
      <c r="G14" s="1060" t="s">
        <v>350</v>
      </c>
      <c r="H14" s="1060" t="s">
        <v>351</v>
      </c>
      <c r="I14" s="1060"/>
      <c r="J14" s="1060" t="s">
        <v>352</v>
      </c>
      <c r="K14" s="1060"/>
      <c r="L14" s="1060"/>
      <c r="M14" s="1060"/>
      <c r="N14" s="1060"/>
      <c r="O14" s="1060"/>
      <c r="P14" s="1060"/>
      <c r="Q14" s="1060"/>
      <c r="R14" s="1060"/>
      <c r="S14" s="1061" t="s">
        <v>353</v>
      </c>
      <c r="T14" s="1061"/>
      <c r="U14" s="1062" t="s">
        <v>346</v>
      </c>
      <c r="V14" s="1060"/>
    </row>
    <row r="15" spans="2:22"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2" ht="15" customHeight="1">
      <c r="B16" s="74" t="str">
        <f t="shared" ref="B16:B21" si="0">F16</f>
        <v>P0040</v>
      </c>
      <c r="C16" s="199"/>
      <c r="D16" s="75"/>
      <c r="E16" s="198" t="s">
        <v>355</v>
      </c>
      <c r="F16" s="198" t="str">
        <f>VLOOKUP(E16,'MÃO DE OBRA'!$A:$B,2,FALSE)</f>
        <v>P0040</v>
      </c>
      <c r="G16" s="186"/>
      <c r="H16" s="1049">
        <f>IF(D16="h",VLOOKUP(B16,'MÃO DE OBRA'!$B$3:$D$97,3,0)*220,VLOOKUP(B16,'MÃO DE OBRA'!$B$3:$D$97,3,0))</f>
        <v>3843.4</v>
      </c>
      <c r="I16" s="1050"/>
      <c r="J16" s="76" t="s">
        <v>354</v>
      </c>
      <c r="K16" s="1051">
        <f>IF(J16="",0,IF(J16="D",H16*DADOS!$D$18,H16*DADOS!$D$19))</f>
        <v>960.85</v>
      </c>
      <c r="L16" s="1052"/>
      <c r="M16" s="1053"/>
      <c r="N16" s="186"/>
      <c r="O16" s="1051"/>
      <c r="P16" s="1052"/>
      <c r="Q16" s="1052"/>
      <c r="R16" s="1053"/>
      <c r="S16" s="1054">
        <f>IF(G16="",0,IF(C16="3º",0,IF(C16="PJ",0,((H16+K16)*DADOS!$D$7)+((H16+K16)*DADOS!$D$6))))</f>
        <v>0</v>
      </c>
      <c r="T16" s="1054"/>
      <c r="U16" s="450">
        <f t="shared" ref="U16:U22" si="1">IF(G16="",0,SUM(H16,K16,,O16,V16,S16))</f>
        <v>0</v>
      </c>
      <c r="V16" s="451"/>
    </row>
    <row r="17" spans="2:22" ht="13.8">
      <c r="B17" s="75" t="str">
        <f t="shared" si="0"/>
        <v>P0046</v>
      </c>
      <c r="C17" s="199"/>
      <c r="D17" s="75"/>
      <c r="E17" s="77" t="s">
        <v>377</v>
      </c>
      <c r="F17" s="198" t="str">
        <f>VLOOKUP(E17,'MÃO DE OBRA'!$A:$B,2,FALSE)</f>
        <v>P0046</v>
      </c>
      <c r="G17" s="186"/>
      <c r="H17" s="1049">
        <f>IF(D17="h",VLOOKUP(B17,'MÃO DE OBRA'!$B$3:$D$97,3,0)*220,VLOOKUP(B17,'MÃO DE OBRA'!$B$3:$D$97,3,0))</f>
        <v>2305.6</v>
      </c>
      <c r="I17" s="1050"/>
      <c r="J17" s="76" t="s">
        <v>354</v>
      </c>
      <c r="K17" s="1051">
        <f>IF(J17="",0,IF(J17="D",H17*DADOS!$D$18,H17*DADOS!$D$19))</f>
        <v>576.4</v>
      </c>
      <c r="L17" s="1052"/>
      <c r="M17" s="1053"/>
      <c r="N17" s="186"/>
      <c r="O17" s="1051"/>
      <c r="P17" s="1052"/>
      <c r="Q17" s="1052"/>
      <c r="R17" s="1053"/>
      <c r="S17" s="1054">
        <f>IF(G17="",0,IF(C17="3º",0,IF(C17="PJ",0,((H17+K17)*DADOS!$D$7)+((H17+K17)*DADOS!$D$6))))</f>
        <v>0</v>
      </c>
      <c r="T17" s="1054"/>
      <c r="U17" s="450">
        <f t="shared" si="1"/>
        <v>0</v>
      </c>
      <c r="V17" s="451"/>
    </row>
    <row r="18" spans="2:22" ht="13.8">
      <c r="B18" s="75" t="str">
        <f t="shared" si="0"/>
        <v>P0052</v>
      </c>
      <c r="C18" s="199"/>
      <c r="D18" s="75"/>
      <c r="E18" s="77" t="s">
        <v>383</v>
      </c>
      <c r="F18" s="198" t="str">
        <f>VLOOKUP(E18,'MÃO DE OBRA'!$A:$B,2,FALSE)</f>
        <v>P0052</v>
      </c>
      <c r="G18" s="186"/>
      <c r="H18" s="1049">
        <f>IF(D18="h",VLOOKUP(B18,'MÃO DE OBRA'!$B$3:$D$97,3,0)*220,VLOOKUP(B18,'MÃO DE OBRA'!$B$3:$D$97,3,0))</f>
        <v>2305.6</v>
      </c>
      <c r="I18" s="1050"/>
      <c r="J18" s="76" t="s">
        <v>354</v>
      </c>
      <c r="K18" s="1051">
        <f>IF(J18="",0,IF(J18="D",H18*DADOS!$D$18,H18*DADOS!$D$19))</f>
        <v>576.4</v>
      </c>
      <c r="L18" s="1052"/>
      <c r="M18" s="1053"/>
      <c r="N18" s="186"/>
      <c r="O18" s="1051"/>
      <c r="P18" s="1052"/>
      <c r="Q18" s="1052"/>
      <c r="R18" s="1053"/>
      <c r="S18" s="1054">
        <f>IF(G18="",0,IF(C18="3º",0,IF(C18="PJ",0,((H18+K18)*DADOS!$D$7)+((H18+K18)*DADOS!$D$6))))</f>
        <v>0</v>
      </c>
      <c r="T18" s="1054"/>
      <c r="U18" s="450">
        <f t="shared" si="1"/>
        <v>0</v>
      </c>
      <c r="V18" s="451"/>
    </row>
    <row r="19" spans="2:22" ht="13.8">
      <c r="B19" s="75" t="str">
        <f t="shared" si="0"/>
        <v>P0001</v>
      </c>
      <c r="C19" s="199"/>
      <c r="D19" s="75"/>
      <c r="E19" s="198" t="s">
        <v>356</v>
      </c>
      <c r="F19" s="198" t="str">
        <f>VLOOKUP(E19,'MÃO DE OBRA'!$A:$B,2,FALSE)</f>
        <v>P0001</v>
      </c>
      <c r="G19" s="186"/>
      <c r="H19" s="1049">
        <f>IF(D19="h",VLOOKUP(B19,'MÃO DE OBRA'!$B$3:$D$97,3,0)*220,VLOOKUP(B19,'MÃO DE OBRA'!$B$3:$D$97,3,0))</f>
        <v>1962.6</v>
      </c>
      <c r="I19" s="1050"/>
      <c r="J19" s="76" t="s">
        <v>354</v>
      </c>
      <c r="K19" s="1051">
        <f>IF(J19="",0,IF(J19="D",H19*DADOS!$D$18,H19*DADOS!$D$19))</f>
        <v>490.65</v>
      </c>
      <c r="L19" s="1052"/>
      <c r="M19" s="1053"/>
      <c r="N19" s="186"/>
      <c r="O19" s="1051"/>
      <c r="P19" s="1052"/>
      <c r="Q19" s="1052"/>
      <c r="R19" s="1053"/>
      <c r="S19" s="1054">
        <f>IF(G19="",0,IF(C19="3º",0,IF(C19="PJ",0,((H19+K19)*DADOS!$D$7)+((H19+K19)*DADOS!$D$6))))</f>
        <v>0</v>
      </c>
      <c r="T19" s="1054"/>
      <c r="U19" s="450">
        <f t="shared" si="1"/>
        <v>0</v>
      </c>
      <c r="V19" s="451"/>
    </row>
    <row r="20" spans="2:22" ht="13.8">
      <c r="B20" s="75" t="str">
        <f t="shared" si="0"/>
        <v>P0038</v>
      </c>
      <c r="C20" s="199"/>
      <c r="D20" s="75"/>
      <c r="E20" s="198" t="s">
        <v>396</v>
      </c>
      <c r="F20" s="198" t="str">
        <f>VLOOKUP(E20,'MÃO DE OBRA'!$A:$B,2,FALSE)</f>
        <v>P0038</v>
      </c>
      <c r="G20" s="186"/>
      <c r="H20" s="1049">
        <f>IF(D20="h",VLOOKUP(B20,'MÃO DE OBRA'!$B$3:$D$97,3,0)*220,VLOOKUP(B20,'MÃO DE OBRA'!$B$3:$D$97,3,0))</f>
        <v>2035</v>
      </c>
      <c r="I20" s="1050"/>
      <c r="J20" s="76" t="s">
        <v>354</v>
      </c>
      <c r="K20" s="1051">
        <f>IF(J20="",0,IF(J20="D",H20*DADOS!$D$18,H20*DADOS!$D$19))</f>
        <v>508.75</v>
      </c>
      <c r="L20" s="1052"/>
      <c r="M20" s="1053"/>
      <c r="N20" s="186"/>
      <c r="O20" s="1051"/>
      <c r="P20" s="1052"/>
      <c r="Q20" s="1052"/>
      <c r="R20" s="1053"/>
      <c r="S20" s="1054">
        <f>IF(G20="",0,IF(C20="3º",0,IF(C20="PJ",0,((H20+K20)*DADOS!$D$7)+((H20+K20)*DADOS!$D$6))))</f>
        <v>0</v>
      </c>
      <c r="T20" s="1054"/>
      <c r="U20" s="450">
        <f t="shared" si="1"/>
        <v>0</v>
      </c>
      <c r="V20" s="451"/>
    </row>
    <row r="21" spans="2:22" ht="13.8">
      <c r="B21" s="75" t="str">
        <f t="shared" si="0"/>
        <v>P0072</v>
      </c>
      <c r="C21" s="199"/>
      <c r="D21" s="75"/>
      <c r="E21" s="198" t="s">
        <v>392</v>
      </c>
      <c r="F21" s="198" t="str">
        <f>VLOOKUP(E21,'MÃO DE OBRA'!$A:$B,2,FALSE)</f>
        <v>P0072</v>
      </c>
      <c r="G21" s="186"/>
      <c r="H21" s="1049">
        <f>IF(D21="h",VLOOKUP(B21,'MÃO DE OBRA'!$B$3:$D$97,3,0)*220,VLOOKUP(B21,'MÃO DE OBRA'!$B$3:$D$97,3,0))</f>
        <v>2754.2</v>
      </c>
      <c r="I21" s="1050"/>
      <c r="J21" s="76" t="s">
        <v>354</v>
      </c>
      <c r="K21" s="1051">
        <f>IF(J21="",0,IF(J21="D",H21*DADOS!$D$18,H21*DADOS!$D$19))</f>
        <v>688.55</v>
      </c>
      <c r="L21" s="1052"/>
      <c r="M21" s="1053"/>
      <c r="N21" s="186"/>
      <c r="O21" s="1051"/>
      <c r="P21" s="1052"/>
      <c r="Q21" s="1052"/>
      <c r="R21" s="1053"/>
      <c r="S21" s="1054">
        <f>IF(G21="",0,IF(C21="3º",0,IF(C21="PJ",0,((H21+K21)*DADOS!$D$7)+((H21+K21)*DADOS!$D$6))))</f>
        <v>0</v>
      </c>
      <c r="T21" s="1054"/>
      <c r="U21" s="450">
        <f t="shared" si="1"/>
        <v>0</v>
      </c>
      <c r="V21" s="451"/>
    </row>
    <row r="22" spans="2:22" ht="13.8">
      <c r="B22" s="445"/>
      <c r="C22" s="197"/>
      <c r="D22" s="78"/>
      <c r="E22" s="196"/>
      <c r="F22" s="198"/>
      <c r="G22" s="431"/>
      <c r="H22" s="1070"/>
      <c r="I22" s="1071"/>
      <c r="J22" s="79"/>
      <c r="K22" s="1072">
        <f>IF(J22="",0,IF(J22="D",H22*DADOS!$D$18,H22*DADOS!$D$19))</f>
        <v>0</v>
      </c>
      <c r="L22" s="1073"/>
      <c r="M22" s="1074"/>
      <c r="N22" s="186"/>
      <c r="O22" s="1051"/>
      <c r="P22" s="1052"/>
      <c r="Q22" s="1052"/>
      <c r="R22" s="1053"/>
      <c r="S22" s="1054">
        <f>IF(G22="",0,IF(C22="3º",0,IF(C22="PJ",0,((H22+K22)*DADOS!$D$7)+((H22+K22)*DADOS!$D$6))))</f>
        <v>0</v>
      </c>
      <c r="T22" s="1054"/>
      <c r="U22" s="450">
        <f t="shared" si="1"/>
        <v>0</v>
      </c>
      <c r="V22" s="451"/>
    </row>
    <row r="23" spans="2:22" ht="13.8">
      <c r="B23" s="1064"/>
      <c r="C23" s="1065"/>
      <c r="D23" s="1066" t="s">
        <v>175</v>
      </c>
      <c r="E23" s="1066"/>
      <c r="F23" s="1066"/>
      <c r="G23" s="818">
        <f>SUM(G16:G22)</f>
        <v>0</v>
      </c>
      <c r="H23" s="1067">
        <f>SUMPRODUCT($G$16:$G$22,H16:H22)</f>
        <v>0</v>
      </c>
      <c r="I23" s="1068"/>
      <c r="J23" s="1067">
        <f>SUMPRODUCT($G$16:$G$22,K16:K22)</f>
        <v>0</v>
      </c>
      <c r="K23" s="1068"/>
      <c r="L23" s="1068"/>
      <c r="M23" s="1069"/>
      <c r="N23" s="1067"/>
      <c r="O23" s="1068"/>
      <c r="P23" s="1068"/>
      <c r="Q23" s="1068"/>
      <c r="R23" s="1069"/>
      <c r="S23" s="1067">
        <f>SUMPRODUCT($G$16:$G$22,S16:S22)</f>
        <v>0</v>
      </c>
      <c r="T23" s="1069"/>
      <c r="U23" s="453">
        <f>SUMPRODUCT($G$16:$G$22,U16:U22)</f>
        <v>0</v>
      </c>
      <c r="V23" s="452"/>
    </row>
    <row r="25" spans="2:22" ht="12.75" customHeight="1">
      <c r="B25" s="1055" t="s">
        <v>347</v>
      </c>
      <c r="C25" s="1055"/>
      <c r="D25" s="1055"/>
      <c r="E25" s="1055"/>
      <c r="F25" s="1055"/>
      <c r="G25" s="1055"/>
      <c r="H25" s="1055"/>
      <c r="I25" s="1055"/>
      <c r="J25" s="1055"/>
      <c r="K25" s="1055"/>
      <c r="L25" s="1055"/>
      <c r="M25" s="1055"/>
      <c r="N25" s="1055"/>
      <c r="O25" s="1055"/>
      <c r="P25" s="1055"/>
      <c r="Q25" s="1055"/>
      <c r="R25" s="1055"/>
      <c r="S25" s="1055"/>
      <c r="T25" s="1055"/>
      <c r="U25" s="1055"/>
      <c r="V25" s="1055"/>
    </row>
    <row r="26" spans="2:22" ht="12.75" customHeight="1">
      <c r="B26" s="1056" t="s">
        <v>357</v>
      </c>
      <c r="C26" s="1088"/>
      <c r="D26" s="1088"/>
      <c r="E26" s="1088" t="s">
        <v>358</v>
      </c>
      <c r="F26" s="1088"/>
      <c r="G26" s="1089" t="s">
        <v>350</v>
      </c>
      <c r="H26" s="1056" t="s">
        <v>359</v>
      </c>
      <c r="I26" s="1088"/>
      <c r="J26" s="1057"/>
      <c r="K26" s="1089" t="s">
        <v>360</v>
      </c>
      <c r="L26" s="1091"/>
      <c r="M26" s="1091"/>
      <c r="N26" s="1091"/>
      <c r="O26" s="1092"/>
      <c r="P26" s="1056" t="s">
        <v>361</v>
      </c>
      <c r="Q26" s="1088"/>
      <c r="R26" s="1088"/>
      <c r="S26" s="1088"/>
      <c r="T26" s="1095" t="s">
        <v>362</v>
      </c>
      <c r="U26" s="1092" t="s">
        <v>363</v>
      </c>
      <c r="V26" s="1062" t="s">
        <v>364</v>
      </c>
    </row>
    <row r="27" spans="2:22" ht="12.75" customHeight="1">
      <c r="B27" s="1058"/>
      <c r="C27" s="1075"/>
      <c r="D27" s="1075"/>
      <c r="E27" s="1075"/>
      <c r="F27" s="1075"/>
      <c r="G27" s="1090"/>
      <c r="H27" s="1058"/>
      <c r="I27" s="1075"/>
      <c r="J27" s="1059"/>
      <c r="K27" s="1090"/>
      <c r="L27" s="1093"/>
      <c r="M27" s="1093"/>
      <c r="N27" s="1093"/>
      <c r="O27" s="1094"/>
      <c r="P27" s="1058" t="s">
        <v>365</v>
      </c>
      <c r="Q27" s="1075"/>
      <c r="R27" s="1075"/>
      <c r="S27" s="1075"/>
      <c r="T27" s="1096"/>
      <c r="U27" s="1094"/>
      <c r="V27" s="1063"/>
    </row>
    <row r="28" spans="2:22" ht="13.8">
      <c r="B28" s="1076" t="str">
        <f>F28</f>
        <v>E0012</v>
      </c>
      <c r="C28" s="1077"/>
      <c r="D28" s="1078"/>
      <c r="E28" s="201" t="s">
        <v>366</v>
      </c>
      <c r="F28" s="198" t="str">
        <f>VLOOKUP($E28,EQUIPAMENTOS!$A:$B,2,FALSE)</f>
        <v>E0012</v>
      </c>
      <c r="G28" s="433">
        <f>G16</f>
        <v>0</v>
      </c>
      <c r="H28" s="1100">
        <f>VLOOKUP($B28,EQUIPAMENTOS!$B$3:$N$99,9,0)*M28</f>
        <v>35000</v>
      </c>
      <c r="I28" s="1101"/>
      <c r="J28" s="1101"/>
      <c r="K28" s="1082" t="s">
        <v>367</v>
      </c>
      <c r="L28" s="1083"/>
      <c r="M28" s="1084">
        <v>200</v>
      </c>
      <c r="N28" s="1084"/>
      <c r="O28" s="1084"/>
      <c r="P28" s="80" t="s">
        <v>380</v>
      </c>
      <c r="Q28" s="1559">
        <f>VLOOKUP($B28,EQUIPAMENTOS!$B$3:$N$99,13,0)</f>
        <v>22</v>
      </c>
      <c r="R28" s="1560"/>
      <c r="S28" s="1561"/>
      <c r="T28" s="436">
        <f>IF(Q28="","",IF(K28="km",M28/Q28,200*Q28)*INDEX(DADOS!$1:$1048576,MATCH(P28,DADOS!D:D,0),5))</f>
        <v>0</v>
      </c>
      <c r="U28" s="202">
        <f>SUM(H28,T28)</f>
        <v>35000</v>
      </c>
      <c r="V28" s="203">
        <f>G28*U28</f>
        <v>0</v>
      </c>
    </row>
    <row r="29" spans="2:22" ht="13.8" hidden="1">
      <c r="B29" s="1097" t="str">
        <f>F29</f>
        <v>E0027</v>
      </c>
      <c r="C29" s="1098"/>
      <c r="D29" s="1099"/>
      <c r="E29" s="200" t="s">
        <v>397</v>
      </c>
      <c r="F29" s="198" t="str">
        <f>VLOOKUP($E29,EQUIPAMENTOS!$A:$B,2,FALSE)</f>
        <v>E0027</v>
      </c>
      <c r="G29" s="434"/>
      <c r="H29" s="1100">
        <f>VLOOKUP($B29,EQUIPAMENTOS!$B$3:$N$99,9,0)*M29</f>
        <v>9000</v>
      </c>
      <c r="I29" s="1101"/>
      <c r="J29" s="1101"/>
      <c r="K29" s="1082" t="s">
        <v>367</v>
      </c>
      <c r="L29" s="1083"/>
      <c r="M29" s="1084">
        <v>200</v>
      </c>
      <c r="N29" s="1084"/>
      <c r="O29" s="1084"/>
      <c r="P29" s="80" t="s">
        <v>380</v>
      </c>
      <c r="Q29" s="1085">
        <f>VLOOKUP($B29,EQUIPAMENTOS!$B$3:$N$99,13,0)</f>
        <v>10</v>
      </c>
      <c r="R29" s="1086"/>
      <c r="S29" s="1087"/>
      <c r="T29" s="436">
        <f>IF(Q29="","",IF(K29="km",M29/Q29,200*Q29)*INDEX(DADOS!$1:$1048576,MATCH(P29,DADOS!D:D,0),5))</f>
        <v>0</v>
      </c>
      <c r="U29" s="202">
        <f>SUM(H29,T29)</f>
        <v>9000</v>
      </c>
      <c r="V29" s="436">
        <f>U29*G29</f>
        <v>0</v>
      </c>
    </row>
    <row r="30" spans="2:22" ht="13.8">
      <c r="B30" s="1097" t="str">
        <f>F30</f>
        <v>E0028</v>
      </c>
      <c r="C30" s="1098"/>
      <c r="D30" s="1099"/>
      <c r="E30" s="200" t="s">
        <v>398</v>
      </c>
      <c r="F30" s="198" t="str">
        <f>VLOOKUP($E30,EQUIPAMENTOS!$A:$B,2,FALSE)</f>
        <v>E0028</v>
      </c>
      <c r="G30" s="434"/>
      <c r="H30" s="1100">
        <f>VLOOKUP($B30,EQUIPAMENTOS!$B$3:$N$99,9,0)*M30</f>
        <v>2000</v>
      </c>
      <c r="I30" s="1101"/>
      <c r="J30" s="1101"/>
      <c r="K30" s="1082" t="s">
        <v>367</v>
      </c>
      <c r="L30" s="1083"/>
      <c r="M30" s="1084">
        <v>200</v>
      </c>
      <c r="N30" s="1084"/>
      <c r="O30" s="1084"/>
      <c r="P30" s="80" t="s">
        <v>376</v>
      </c>
      <c r="Q30" s="1085">
        <f>VLOOKUP($B30,EQUIPAMENTOS!$B$3:$N$99,13,0)</f>
        <v>3</v>
      </c>
      <c r="R30" s="1086"/>
      <c r="S30" s="1087"/>
      <c r="T30" s="436">
        <f>IF(Q30="","",IF(K30="km",M30/Q30,200*Q30)*INDEX(DADOS!$1:$1048576,MATCH(P30,DADOS!D:D,0),5))</f>
        <v>3954</v>
      </c>
      <c r="U30" s="202">
        <f>SUM(H30,T30)</f>
        <v>5954</v>
      </c>
      <c r="V30" s="436">
        <f>U30*G30</f>
        <v>0</v>
      </c>
    </row>
    <row r="31" spans="2:22" ht="13.8">
      <c r="B31" s="1097"/>
      <c r="C31" s="1098"/>
      <c r="D31" s="1099"/>
      <c r="E31" s="1110"/>
      <c r="F31" s="1111"/>
      <c r="G31" s="434"/>
      <c r="H31" s="1101"/>
      <c r="I31" s="1101"/>
      <c r="J31" s="1101"/>
      <c r="K31" s="1082"/>
      <c r="L31" s="1083"/>
      <c r="M31" s="1084"/>
      <c r="N31" s="1084"/>
      <c r="O31" s="1084"/>
      <c r="P31" s="80"/>
      <c r="Q31" s="1085"/>
      <c r="R31" s="1086"/>
      <c r="S31" s="1087"/>
      <c r="T31" s="436" t="str">
        <f>IF(Q31="","",IF(K31="km",M31/Q31,200*Q31)*INDEX(DADOS!$1:$1048576,MATCH(P31,DADOS!D:D,0),5))</f>
        <v/>
      </c>
      <c r="U31" s="202">
        <f>SUM(H31,T31)</f>
        <v>0</v>
      </c>
      <c r="V31" s="436"/>
    </row>
    <row r="32" spans="2:22" ht="13.8">
      <c r="B32" s="1102"/>
      <c r="C32" s="1103"/>
      <c r="D32" s="1104"/>
      <c r="E32" s="1105"/>
      <c r="F32" s="1106"/>
      <c r="G32" s="661"/>
      <c r="H32" s="1107"/>
      <c r="I32" s="1107"/>
      <c r="J32" s="1107"/>
      <c r="K32" s="1108"/>
      <c r="L32" s="1107"/>
      <c r="M32" s="1109"/>
      <c r="N32" s="1109"/>
      <c r="O32" s="1109"/>
      <c r="P32" s="81"/>
      <c r="Q32" s="1571"/>
      <c r="R32" s="1572"/>
      <c r="S32" s="1573"/>
      <c r="T32" s="437" t="str">
        <f>IF(Q32="","",IF(K32="km",M32/Q32,200*Q32)*INDEX(DADOS!$1:$1048576,MATCH(P32,DADOS!D:D,0),5))</f>
        <v/>
      </c>
      <c r="U32" s="666">
        <f>SUM(H32,T32)</f>
        <v>0</v>
      </c>
      <c r="V32" s="437"/>
    </row>
    <row r="33" spans="2:22" ht="12.75" customHeight="1">
      <c r="B33" s="1562"/>
      <c r="C33" s="1563"/>
      <c r="D33" s="1564"/>
      <c r="E33" s="1565" t="s">
        <v>175</v>
      </c>
      <c r="F33" s="1566"/>
      <c r="G33" s="662">
        <f>SUM(G28:G32)</f>
        <v>0</v>
      </c>
      <c r="H33" s="1567">
        <f>SUMPRODUCT(G28:$G$32,H28:H32)</f>
        <v>0</v>
      </c>
      <c r="I33" s="1567"/>
      <c r="J33" s="1567"/>
      <c r="K33" s="1568"/>
      <c r="L33" s="1569"/>
      <c r="M33" s="1569"/>
      <c r="N33" s="1569"/>
      <c r="O33" s="1570"/>
      <c r="P33" s="663"/>
      <c r="Q33" s="664"/>
      <c r="R33" s="664"/>
      <c r="S33" s="664"/>
      <c r="T33" s="665">
        <f>SUMPRODUCT($G28:G$32,T28:T32)</f>
        <v>0</v>
      </c>
      <c r="U33" s="665"/>
      <c r="V33" s="665">
        <f>SUM(V28:V32)</f>
        <v>0</v>
      </c>
    </row>
    <row r="35" spans="2:22" ht="12.75" customHeight="1">
      <c r="B35" s="1055" t="s">
        <v>348</v>
      </c>
      <c r="C35" s="1055"/>
      <c r="D35" s="1055"/>
      <c r="E35" s="1055"/>
      <c r="F35" s="1055"/>
      <c r="G35" s="1055"/>
      <c r="H35" s="1055"/>
      <c r="I35" s="1055"/>
      <c r="J35" s="1055"/>
      <c r="K35" s="1055"/>
      <c r="L35" s="1055"/>
      <c r="M35" s="1055"/>
      <c r="N35" s="1055"/>
      <c r="O35" s="1055"/>
      <c r="P35" s="1055"/>
      <c r="Q35" s="1055"/>
      <c r="R35" s="1055"/>
      <c r="S35" s="1055"/>
      <c r="T35" s="1055"/>
      <c r="U35" s="1055"/>
      <c r="V35" s="1055"/>
    </row>
    <row r="36" spans="2:22" ht="13.8">
      <c r="B36" s="1112" t="s">
        <v>183</v>
      </c>
      <c r="C36" s="1114"/>
      <c r="D36" s="1112" t="s">
        <v>324</v>
      </c>
      <c r="E36" s="1113"/>
      <c r="F36" s="1113"/>
      <c r="G36" s="1112" t="s">
        <v>371</v>
      </c>
      <c r="H36" s="1114"/>
      <c r="I36" s="1115" t="s">
        <v>372</v>
      </c>
      <c r="J36" s="1132"/>
      <c r="K36" s="1116"/>
      <c r="L36" s="1115" t="s">
        <v>189</v>
      </c>
      <c r="M36" s="1132"/>
      <c r="N36" s="1132"/>
      <c r="O36" s="1132"/>
      <c r="P36" s="1116"/>
      <c r="Q36" s="1112" t="s">
        <v>373</v>
      </c>
      <c r="R36" s="1113"/>
      <c r="S36" s="1113"/>
      <c r="T36" s="1114"/>
      <c r="U36" s="1115"/>
      <c r="V36" s="1116"/>
    </row>
    <row r="37" spans="2:22" ht="13.8">
      <c r="B37" s="186" t="str">
        <f>IF(I37="","",COUNT($I$37:I37))</f>
        <v/>
      </c>
      <c r="C37" s="430"/>
      <c r="D37" s="1117"/>
      <c r="E37" s="1118"/>
      <c r="F37" s="1118"/>
      <c r="G37" s="1119"/>
      <c r="H37" s="1119"/>
      <c r="I37" s="1120"/>
      <c r="J37" s="1120"/>
      <c r="K37" s="1120"/>
      <c r="L37" s="1120"/>
      <c r="M37" s="1120"/>
      <c r="N37" s="1120"/>
      <c r="O37" s="1120"/>
      <c r="P37" s="1120"/>
      <c r="Q37" s="1054">
        <f>I37*L37</f>
        <v>0</v>
      </c>
      <c r="R37" s="1054"/>
      <c r="S37" s="1054"/>
      <c r="T37" s="1054"/>
      <c r="U37" s="1121"/>
      <c r="V37" s="1122"/>
    </row>
    <row r="38" spans="2:22" ht="12.75" customHeight="1">
      <c r="B38" s="186" t="str">
        <f>IF(I38="","",COUNT($I$37:I38))</f>
        <v/>
      </c>
      <c r="C38" s="430"/>
      <c r="D38" s="1117"/>
      <c r="E38" s="1118"/>
      <c r="F38" s="1118"/>
      <c r="G38" s="1138"/>
      <c r="H38" s="1138"/>
      <c r="I38" s="1139"/>
      <c r="J38" s="1139"/>
      <c r="K38" s="1139"/>
      <c r="L38" s="1139"/>
      <c r="M38" s="1139"/>
      <c r="N38" s="1139"/>
      <c r="O38" s="1139"/>
      <c r="P38" s="1139"/>
      <c r="Q38" s="1054">
        <f>I38*L38</f>
        <v>0</v>
      </c>
      <c r="R38" s="1054"/>
      <c r="S38" s="1054"/>
      <c r="T38" s="1054"/>
      <c r="U38" s="1140"/>
      <c r="V38" s="1141"/>
    </row>
    <row r="39" spans="2:22" ht="12.75" customHeight="1">
      <c r="B39" s="1123"/>
      <c r="C39" s="1125"/>
      <c r="D39" s="1123"/>
      <c r="E39" s="1124"/>
      <c r="F39" s="1124"/>
      <c r="G39" s="1123"/>
      <c r="H39" s="1125"/>
      <c r="I39" s="1123"/>
      <c r="J39" s="1124"/>
      <c r="K39" s="1125"/>
      <c r="L39" s="1123"/>
      <c r="M39" s="1124"/>
      <c r="N39" s="1124"/>
      <c r="O39" s="1124"/>
      <c r="P39" s="1125"/>
      <c r="Q39" s="1136">
        <f>SUM(Q37:T38)</f>
        <v>0</v>
      </c>
      <c r="R39" s="1137"/>
      <c r="S39" s="1137"/>
      <c r="T39" s="1137"/>
      <c r="U39" s="1123"/>
      <c r="V39" s="1125"/>
    </row>
    <row r="42" spans="2:22" ht="12.75" customHeight="1">
      <c r="B42" s="1044" t="s">
        <v>343</v>
      </c>
      <c r="C42" s="1044"/>
      <c r="D42" s="1044"/>
      <c r="E42" s="70"/>
    </row>
    <row r="43" spans="2:22" ht="12.75" customHeight="1">
      <c r="B43" s="71"/>
      <c r="C43" s="71"/>
      <c r="D43" s="71"/>
      <c r="E43" s="71"/>
      <c r="F43" s="71"/>
      <c r="G43" s="71"/>
      <c r="H43" s="71"/>
      <c r="I43" s="71"/>
      <c r="J43" s="71"/>
      <c r="K43" s="71"/>
      <c r="L43" s="71"/>
      <c r="M43" s="71"/>
      <c r="N43" s="71"/>
      <c r="O43" s="71"/>
      <c r="P43" s="71"/>
      <c r="Q43" s="71"/>
      <c r="R43" s="71"/>
      <c r="S43" s="71"/>
      <c r="T43" s="71"/>
      <c r="U43" s="71"/>
      <c r="V43" s="71"/>
    </row>
    <row r="44" spans="2:22" ht="12.75" customHeight="1">
      <c r="B44" s="71"/>
      <c r="C44" s="1045" t="s">
        <v>303</v>
      </c>
      <c r="D44" s="1045"/>
      <c r="E44" s="1046"/>
      <c r="F44" s="71"/>
      <c r="G44" s="71"/>
      <c r="H44" s="1039" t="s">
        <v>344</v>
      </c>
      <c r="I44" s="1039"/>
      <c r="J44" s="1040">
        <f>U64</f>
        <v>0</v>
      </c>
      <c r="K44" s="1040"/>
      <c r="L44" s="1040"/>
      <c r="M44" s="448"/>
      <c r="N44" s="447"/>
      <c r="O44" s="1047" t="s">
        <v>345</v>
      </c>
      <c r="P44" s="1047"/>
      <c r="Q44" s="1047"/>
      <c r="R44" s="1047"/>
      <c r="S44" s="1047"/>
      <c r="T44" s="1047"/>
      <c r="U44" s="1048" t="s">
        <v>346</v>
      </c>
      <c r="V44" s="1047"/>
    </row>
    <row r="45" spans="2:22" ht="12.75" customHeight="1">
      <c r="B45" s="71"/>
      <c r="C45" s="446"/>
      <c r="D45" s="446"/>
      <c r="E45" s="1038">
        <f>SUM(J44:L46)</f>
        <v>0</v>
      </c>
      <c r="F45" s="71"/>
      <c r="G45" s="71"/>
      <c r="H45" s="1039" t="s">
        <v>347</v>
      </c>
      <c r="I45" s="1039"/>
      <c r="J45" s="1040">
        <f>V74</f>
        <v>0</v>
      </c>
      <c r="K45" s="1040"/>
      <c r="L45" s="1040"/>
      <c r="M45" s="449"/>
      <c r="N45" s="402"/>
      <c r="O45" s="1041"/>
      <c r="P45" s="1041"/>
      <c r="Q45" s="1041"/>
      <c r="R45" s="1041"/>
      <c r="S45" s="1041"/>
      <c r="T45" s="1041"/>
      <c r="U45" s="1042">
        <f>E45*O45</f>
        <v>0</v>
      </c>
      <c r="V45" s="1043"/>
    </row>
    <row r="46" spans="2:22" ht="12.75" customHeight="1">
      <c r="B46" s="73"/>
      <c r="C46" s="446"/>
      <c r="D46" s="446"/>
      <c r="E46" s="1038"/>
      <c r="F46" s="71"/>
      <c r="G46" s="71"/>
      <c r="H46" s="1039" t="s">
        <v>348</v>
      </c>
      <c r="I46" s="1039"/>
      <c r="J46" s="1040">
        <f>Q82</f>
        <v>0</v>
      </c>
      <c r="K46" s="1040"/>
      <c r="L46" s="1040"/>
      <c r="M46" s="449"/>
      <c r="N46" s="402"/>
      <c r="O46" s="1041"/>
      <c r="P46" s="1041"/>
      <c r="Q46" s="1041"/>
      <c r="R46" s="1041"/>
      <c r="S46" s="1041"/>
      <c r="T46" s="1041"/>
      <c r="U46" s="1042"/>
      <c r="V46" s="1043"/>
    </row>
    <row r="47" spans="2:22" ht="12.75" customHeight="1">
      <c r="B47" s="71"/>
      <c r="C47" s="71"/>
      <c r="D47" s="71"/>
      <c r="E47" s="71"/>
      <c r="F47" s="71"/>
      <c r="G47" s="71"/>
      <c r="H47" s="71"/>
      <c r="I47" s="71"/>
      <c r="J47" s="71"/>
      <c r="K47" s="71"/>
      <c r="L47" s="71"/>
      <c r="M47" s="71"/>
      <c r="N47" s="71"/>
      <c r="O47" s="71"/>
      <c r="P47" s="71"/>
      <c r="Q47" s="71"/>
      <c r="R47" s="71"/>
      <c r="S47" s="71"/>
      <c r="T47" s="71"/>
      <c r="U47" s="71"/>
      <c r="V47" s="71"/>
    </row>
    <row r="49" spans="2:22" ht="12.75" customHeight="1">
      <c r="B49" s="1055" t="s">
        <v>344</v>
      </c>
      <c r="C49" s="1055"/>
      <c r="D49" s="1055"/>
      <c r="E49" s="1055"/>
      <c r="F49" s="1055"/>
      <c r="G49" s="1055"/>
      <c r="H49" s="1055"/>
      <c r="I49" s="1055"/>
      <c r="J49" s="1055"/>
      <c r="K49" s="1055"/>
      <c r="L49" s="1055"/>
      <c r="M49" s="1055"/>
      <c r="N49" s="1055"/>
      <c r="O49" s="1055"/>
      <c r="P49" s="1055"/>
      <c r="Q49" s="1055"/>
      <c r="R49" s="1055"/>
      <c r="S49" s="1055"/>
      <c r="T49" s="1055"/>
      <c r="U49" s="1055"/>
      <c r="V49" s="1055"/>
    </row>
    <row r="50" spans="2:22" ht="12.75" customHeight="1">
      <c r="B50" s="1056" t="s">
        <v>183</v>
      </c>
      <c r="C50" s="1057"/>
      <c r="D50" s="1060" t="s">
        <v>349</v>
      </c>
      <c r="E50" s="1060"/>
      <c r="F50" s="1060"/>
      <c r="G50" s="1060" t="s">
        <v>350</v>
      </c>
      <c r="H50" s="1060" t="s">
        <v>351</v>
      </c>
      <c r="I50" s="1060"/>
      <c r="J50" s="1060" t="s">
        <v>352</v>
      </c>
      <c r="K50" s="1060"/>
      <c r="L50" s="1060"/>
      <c r="M50" s="1060"/>
      <c r="N50" s="1060"/>
      <c r="O50" s="1060"/>
      <c r="P50" s="1060"/>
      <c r="Q50" s="1060"/>
      <c r="R50" s="1060"/>
      <c r="S50" s="1061" t="s">
        <v>353</v>
      </c>
      <c r="T50" s="1061"/>
      <c r="U50" s="1062" t="s">
        <v>346</v>
      </c>
      <c r="V50" s="1060"/>
    </row>
    <row r="51" spans="2:22" ht="12.75" customHeight="1">
      <c r="B51" s="1058"/>
      <c r="C51" s="1059"/>
      <c r="D51" s="1060"/>
      <c r="E51" s="1060"/>
      <c r="F51" s="1060"/>
      <c r="G51" s="1060"/>
      <c r="H51" s="1060"/>
      <c r="I51" s="1060"/>
      <c r="J51" s="1060"/>
      <c r="K51" s="1060"/>
      <c r="L51" s="1060"/>
      <c r="M51" s="1060"/>
      <c r="N51" s="1060"/>
      <c r="O51" s="1060"/>
      <c r="P51" s="1060"/>
      <c r="Q51" s="1060"/>
      <c r="R51" s="1060"/>
      <c r="S51" s="1061"/>
      <c r="T51" s="1061"/>
      <c r="U51" s="1063"/>
      <c r="V51" s="1060"/>
    </row>
    <row r="52" spans="2:22" ht="12.75" customHeight="1">
      <c r="B52" s="74" t="str">
        <f t="shared" ref="B52:B58" si="2">F52</f>
        <v>P0005</v>
      </c>
      <c r="C52" s="199"/>
      <c r="D52" s="75"/>
      <c r="E52" s="198" t="s">
        <v>386</v>
      </c>
      <c r="F52" s="198" t="str">
        <f>VLOOKUP(E52,'MÃO DE OBRA'!$A:$B,2,FALSE)</f>
        <v>P0005</v>
      </c>
      <c r="G52" s="186"/>
      <c r="H52" s="1049">
        <f>IF(D52="h",VLOOKUP(B52,'MÃO DE OBRA'!$B$3:$D$97,3,0)*220,VLOOKUP(B52,'MÃO DE OBRA'!$B$3:$D$97,3,0))</f>
        <v>2305.6</v>
      </c>
      <c r="I52" s="1050"/>
      <c r="J52" s="76" t="s">
        <v>354</v>
      </c>
      <c r="K52" s="1051">
        <f>IF(J52="",0,IF(J52="D",H52*DADOS!$D$18,H52*DADOS!$D$19))</f>
        <v>576.4</v>
      </c>
      <c r="L52" s="1052"/>
      <c r="M52" s="1053"/>
      <c r="N52" s="186"/>
      <c r="O52" s="1051"/>
      <c r="P52" s="1052"/>
      <c r="Q52" s="1052"/>
      <c r="R52" s="1053"/>
      <c r="S52" s="1054">
        <f>IF(G52="",0,IF(C52="3º",0,IF(C52="PJ",0,((H52+K52)*DADOS!$D$7)+((H52+K52)*DADOS!$D$6))))</f>
        <v>0</v>
      </c>
      <c r="T52" s="1054"/>
      <c r="U52" s="450">
        <f t="shared" ref="U52:U63" si="3">IF(G52="",0,SUM(H52,K52,,O52,V52,S52))</f>
        <v>0</v>
      </c>
      <c r="V52" s="451"/>
    </row>
    <row r="53" spans="2:22" ht="12.75" customHeight="1">
      <c r="B53" s="75" t="str">
        <f t="shared" si="2"/>
        <v>P0052</v>
      </c>
      <c r="C53" s="199"/>
      <c r="D53" s="75"/>
      <c r="E53" s="77" t="s">
        <v>383</v>
      </c>
      <c r="F53" s="198" t="str">
        <f>VLOOKUP(E53,'MÃO DE OBRA'!$A:$B,2,FALSE)</f>
        <v>P0052</v>
      </c>
      <c r="G53" s="186"/>
      <c r="H53" s="1049">
        <f>IF(D53="h",VLOOKUP(B53,'MÃO DE OBRA'!$B$3:$D$97,3,0)*220,VLOOKUP(B53,'MÃO DE OBRA'!$B$3:$D$97,3,0))</f>
        <v>2305.6</v>
      </c>
      <c r="I53" s="1050"/>
      <c r="J53" s="76" t="s">
        <v>354</v>
      </c>
      <c r="K53" s="1051">
        <f>IF(J53="",0,IF(J53="D",H53*DADOS!$D$18,H53*DADOS!$D$19))</f>
        <v>576.4</v>
      </c>
      <c r="L53" s="1052"/>
      <c r="M53" s="1053"/>
      <c r="N53" s="186"/>
      <c r="O53" s="1051"/>
      <c r="P53" s="1052"/>
      <c r="Q53" s="1052"/>
      <c r="R53" s="1053"/>
      <c r="S53" s="1054">
        <f>IF(G53="",0,IF(C53="3º",0,IF(C53="PJ",0,((H53+K53)*DADOS!$D$7)+((H53+K53)*DADOS!$D$6))))</f>
        <v>0</v>
      </c>
      <c r="T53" s="1054"/>
      <c r="U53" s="450">
        <f t="shared" si="3"/>
        <v>0</v>
      </c>
      <c r="V53" s="451"/>
    </row>
    <row r="54" spans="2:22" ht="12.75" customHeight="1">
      <c r="B54" s="75" t="str">
        <f t="shared" si="2"/>
        <v>P0001</v>
      </c>
      <c r="C54" s="199"/>
      <c r="D54" s="75"/>
      <c r="E54" s="77" t="s">
        <v>356</v>
      </c>
      <c r="F54" s="198" t="str">
        <f>VLOOKUP(E54,'MÃO DE OBRA'!$A:$B,2,FALSE)</f>
        <v>P0001</v>
      </c>
      <c r="G54" s="186"/>
      <c r="H54" s="1049">
        <f>IF(D54="h",VLOOKUP(B54,'MÃO DE OBRA'!$B$3:$D$97,3,0)*220,VLOOKUP(B54,'MÃO DE OBRA'!$B$3:$D$97,3,0))</f>
        <v>1962.6</v>
      </c>
      <c r="I54" s="1050"/>
      <c r="J54" s="76" t="s">
        <v>354</v>
      </c>
      <c r="K54" s="1051">
        <f>IF(J54="",0,IF(J54="D",H54*DADOS!$D$18,H54*DADOS!$D$19))</f>
        <v>490.65</v>
      </c>
      <c r="L54" s="1052"/>
      <c r="M54" s="1053"/>
      <c r="N54" s="186"/>
      <c r="O54" s="1051"/>
      <c r="P54" s="1052"/>
      <c r="Q54" s="1052"/>
      <c r="R54" s="1053"/>
      <c r="S54" s="1054">
        <f>IF(G54="",0,IF(C54="3º",0,IF(C54="PJ",0,((H54+K54)*DADOS!$D$7)+((H54+K54)*DADOS!$D$6))))</f>
        <v>0</v>
      </c>
      <c r="T54" s="1054"/>
      <c r="U54" s="450">
        <f t="shared" si="3"/>
        <v>0</v>
      </c>
      <c r="V54" s="451"/>
    </row>
    <row r="55" spans="2:22" ht="12.75" customHeight="1">
      <c r="B55" s="75" t="str">
        <f t="shared" si="2"/>
        <v>P0015</v>
      </c>
      <c r="C55" s="199"/>
      <c r="D55" s="75"/>
      <c r="E55" s="198" t="s">
        <v>385</v>
      </c>
      <c r="F55" s="198" t="str">
        <f>VLOOKUP(E55,'MÃO DE OBRA'!$A:$B,2,FALSE)</f>
        <v>P0015</v>
      </c>
      <c r="G55" s="186"/>
      <c r="H55" s="1049">
        <f>IF(D55="h",VLOOKUP(B55,'MÃO DE OBRA'!$B$3:$D$97,3,0)*220,VLOOKUP(B55,'MÃO DE OBRA'!$B$3:$D$97,3,0))</f>
        <v>2305.6</v>
      </c>
      <c r="I55" s="1050"/>
      <c r="J55" s="76" t="s">
        <v>354</v>
      </c>
      <c r="K55" s="1051">
        <f>IF(J55="",0,IF(J55="D",H55*DADOS!$D$18,H55*DADOS!$D$19))</f>
        <v>576.4</v>
      </c>
      <c r="L55" s="1052"/>
      <c r="M55" s="1053"/>
      <c r="N55" s="186"/>
      <c r="O55" s="1051"/>
      <c r="P55" s="1052"/>
      <c r="Q55" s="1052"/>
      <c r="R55" s="1053"/>
      <c r="S55" s="1054">
        <f>IF(G55="",0,IF(C55="3º",0,IF(C55="PJ",0,((H55+K55)*DADOS!$D$7)+((H55+K55)*DADOS!$D$6))))</f>
        <v>0</v>
      </c>
      <c r="T55" s="1054"/>
      <c r="U55" s="450">
        <f t="shared" si="3"/>
        <v>0</v>
      </c>
      <c r="V55" s="451"/>
    </row>
    <row r="56" spans="2:22" ht="12.75" customHeight="1">
      <c r="B56" s="75" t="str">
        <f t="shared" si="2"/>
        <v>P0044</v>
      </c>
      <c r="C56" s="199"/>
      <c r="D56" s="75"/>
      <c r="E56" s="198" t="s">
        <v>374</v>
      </c>
      <c r="F56" s="198" t="str">
        <f>VLOOKUP(E56,'MÃO DE OBRA'!$A:$B,2,FALSE)</f>
        <v>P0044</v>
      </c>
      <c r="G56" s="186"/>
      <c r="H56" s="1049">
        <f>IF(D56="h",VLOOKUP(B56,'MÃO DE OBRA'!$B$3:$D$97,3,0)*220,VLOOKUP(B56,'MÃO DE OBRA'!$B$3:$D$97,3,0))</f>
        <v>2813.8</v>
      </c>
      <c r="I56" s="1050"/>
      <c r="J56" s="76" t="s">
        <v>354</v>
      </c>
      <c r="K56" s="1051">
        <f>IF(J56="",0,IF(J56="D",H56*DADOS!$D$18,H56*DADOS!$D$19))</f>
        <v>703.45</v>
      </c>
      <c r="L56" s="1052"/>
      <c r="M56" s="1053"/>
      <c r="N56" s="186"/>
      <c r="O56" s="1051"/>
      <c r="P56" s="1052"/>
      <c r="Q56" s="1052"/>
      <c r="R56" s="1053"/>
      <c r="S56" s="1054">
        <f>IF(G56="",0,IF(C56="3º",0,IF(C56="PJ",0,((H56+K56)*DADOS!$D$7)+((H56+K56)*DADOS!$D$6))))</f>
        <v>0</v>
      </c>
      <c r="T56" s="1054"/>
      <c r="U56" s="450">
        <f t="shared" si="3"/>
        <v>0</v>
      </c>
      <c r="V56" s="451"/>
    </row>
    <row r="57" spans="2:22" ht="12.75" hidden="1" customHeight="1">
      <c r="B57" s="75">
        <f t="shared" si="2"/>
        <v>0</v>
      </c>
      <c r="C57" s="199"/>
      <c r="D57" s="75"/>
      <c r="E57" s="198"/>
      <c r="F57" s="198"/>
      <c r="G57" s="186"/>
      <c r="H57" s="1049"/>
      <c r="I57" s="1050"/>
      <c r="J57" s="76" t="s">
        <v>354</v>
      </c>
      <c r="K57" s="1051">
        <f>IF(J57="",0,IF(J57="D",H57*DADOS!$D$18,H57*DADOS!$D$19))</f>
        <v>0</v>
      </c>
      <c r="L57" s="1052"/>
      <c r="M57" s="1053"/>
      <c r="N57" s="186"/>
      <c r="O57" s="1051"/>
      <c r="P57" s="1052"/>
      <c r="Q57" s="1052"/>
      <c r="R57" s="1053"/>
      <c r="S57" s="1054">
        <f>IF(G57="",0,IF(C57="3º",0,IF(C57="PJ",0,((H57+K57)*DADOS!$D$7)+((H57+K57)*DADOS!$D$6))))</f>
        <v>0</v>
      </c>
      <c r="T57" s="1054"/>
      <c r="U57" s="450">
        <f t="shared" si="3"/>
        <v>0</v>
      </c>
      <c r="V57" s="451"/>
    </row>
    <row r="58" spans="2:22" ht="12.75" hidden="1" customHeight="1">
      <c r="B58" s="75">
        <f t="shared" si="2"/>
        <v>0</v>
      </c>
      <c r="C58" s="199"/>
      <c r="D58" s="75"/>
      <c r="E58" s="198"/>
      <c r="F58" s="198"/>
      <c r="G58" s="186"/>
      <c r="H58" s="1049"/>
      <c r="I58" s="1050"/>
      <c r="J58" s="76" t="s">
        <v>354</v>
      </c>
      <c r="K58" s="1051">
        <f>IF(J58="",0,IF(J58="D",H58*DADOS!$D$18,H58*DADOS!$D$19))</f>
        <v>0</v>
      </c>
      <c r="L58" s="1052"/>
      <c r="M58" s="1053"/>
      <c r="N58" s="186"/>
      <c r="O58" s="1051"/>
      <c r="P58" s="1052"/>
      <c r="Q58" s="1052"/>
      <c r="R58" s="1053"/>
      <c r="S58" s="1054">
        <f>IF(G58="",0,IF(C58="3º",0,IF(C58="PJ",0,((H58+K58)*DADOS!$D$7)+((H58+K58)*DADOS!$D$6))))</f>
        <v>0</v>
      </c>
      <c r="T58" s="1054"/>
      <c r="U58" s="450">
        <f t="shared" si="3"/>
        <v>0</v>
      </c>
      <c r="V58" s="451"/>
    </row>
    <row r="59" spans="2:22" ht="12.75" hidden="1" customHeight="1">
      <c r="B59" s="75"/>
      <c r="C59" s="199"/>
      <c r="D59" s="75"/>
      <c r="E59" s="198"/>
      <c r="F59" s="198"/>
      <c r="G59" s="186"/>
      <c r="H59" s="1049"/>
      <c r="I59" s="1050"/>
      <c r="J59" s="76"/>
      <c r="K59" s="1051">
        <f>IF(J59="",0,IF(J59="D",H59*DADOS!$D$18,H59*DADOS!$D$19))</f>
        <v>0</v>
      </c>
      <c r="L59" s="1052"/>
      <c r="M59" s="1053"/>
      <c r="N59" s="186"/>
      <c r="O59" s="1051"/>
      <c r="P59" s="1052"/>
      <c r="Q59" s="1052"/>
      <c r="R59" s="1053"/>
      <c r="S59" s="1054">
        <f>IF(G59="",0,IF(C59="3º",0,IF(C59="PJ",0,((H59+K59)*DADOS!$D$7)+((H59+K59)*DADOS!$D$6))))</f>
        <v>0</v>
      </c>
      <c r="T59" s="1054"/>
      <c r="U59" s="450">
        <f t="shared" si="3"/>
        <v>0</v>
      </c>
      <c r="V59" s="451"/>
    </row>
    <row r="60" spans="2:22" ht="12.75" hidden="1" customHeight="1">
      <c r="B60" s="75"/>
      <c r="C60" s="199"/>
      <c r="D60" s="75"/>
      <c r="E60" s="198"/>
      <c r="F60" s="198"/>
      <c r="G60" s="186"/>
      <c r="H60" s="1049"/>
      <c r="I60" s="1050"/>
      <c r="J60" s="76"/>
      <c r="K60" s="1051">
        <f>IF(J60="",0,IF(J60="D",H60*DADOS!$D$18,H60*DADOS!$D$19))</f>
        <v>0</v>
      </c>
      <c r="L60" s="1052"/>
      <c r="M60" s="1053"/>
      <c r="N60" s="186"/>
      <c r="O60" s="1051"/>
      <c r="P60" s="1052"/>
      <c r="Q60" s="1052"/>
      <c r="R60" s="1053"/>
      <c r="S60" s="1054">
        <f>IF(G60="",0,IF(C60="3º",0,IF(C60="PJ",0,((H60+K60)*DADOS!$D$7)+((H60+K60)*DADOS!$D$6))))</f>
        <v>0</v>
      </c>
      <c r="T60" s="1054"/>
      <c r="U60" s="450">
        <f t="shared" si="3"/>
        <v>0</v>
      </c>
      <c r="V60" s="451"/>
    </row>
    <row r="61" spans="2:22" ht="12.75" customHeight="1">
      <c r="B61" s="75"/>
      <c r="C61" s="199"/>
      <c r="D61" s="75"/>
      <c r="E61" s="198"/>
      <c r="F61" s="198"/>
      <c r="G61" s="186"/>
      <c r="H61" s="1049"/>
      <c r="I61" s="1050"/>
      <c r="J61" s="76"/>
      <c r="K61" s="1051">
        <f>IF(J61="",0,IF(J61="D",H61*DADOS!$D$18,H61*DADOS!$D$19))</f>
        <v>0</v>
      </c>
      <c r="L61" s="1052"/>
      <c r="M61" s="1053"/>
      <c r="N61" s="186"/>
      <c r="O61" s="1051"/>
      <c r="P61" s="1052"/>
      <c r="Q61" s="1052"/>
      <c r="R61" s="1053"/>
      <c r="S61" s="1054">
        <f>IF(G61="",0,IF(C61="3º",0,IF(C61="PJ",0,((H61+K61)*DADOS!$D$7)+((H61+K61)*DADOS!$D$6))))</f>
        <v>0</v>
      </c>
      <c r="T61" s="1054"/>
      <c r="U61" s="450">
        <f t="shared" si="3"/>
        <v>0</v>
      </c>
      <c r="V61" s="451"/>
    </row>
    <row r="62" spans="2:22" ht="12.75" customHeight="1">
      <c r="B62" s="75"/>
      <c r="C62" s="199"/>
      <c r="D62" s="75"/>
      <c r="E62" s="198"/>
      <c r="F62" s="198"/>
      <c r="G62" s="186"/>
      <c r="H62" s="1049"/>
      <c r="I62" s="1050"/>
      <c r="J62" s="76"/>
      <c r="K62" s="1051">
        <f>IF(J62="",0,IF(J62="D",H62*DADOS!$D$18,H62*DADOS!$D$19))</f>
        <v>0</v>
      </c>
      <c r="L62" s="1052"/>
      <c r="M62" s="1053"/>
      <c r="N62" s="186"/>
      <c r="O62" s="1051"/>
      <c r="P62" s="1052"/>
      <c r="Q62" s="1052"/>
      <c r="R62" s="1053"/>
      <c r="S62" s="1054">
        <f>IF(G62="",0,IF(C62="3º",0,IF(C62="PJ",0,((H62+K62)*DADOS!$D$7)+((H62+K62)*DADOS!$D$6))))</f>
        <v>0</v>
      </c>
      <c r="T62" s="1054"/>
      <c r="U62" s="450">
        <f t="shared" si="3"/>
        <v>0</v>
      </c>
      <c r="V62" s="451"/>
    </row>
    <row r="63" spans="2:22" ht="12.75" customHeight="1">
      <c r="B63" s="445"/>
      <c r="C63" s="197"/>
      <c r="D63" s="78"/>
      <c r="E63" s="196"/>
      <c r="F63" s="198"/>
      <c r="G63" s="431"/>
      <c r="H63" s="1070"/>
      <c r="I63" s="1071"/>
      <c r="J63" s="79"/>
      <c r="K63" s="1072">
        <f>IF(J63="",0,IF(J63="D",H63*DADOS!$D$18,H63*DADOS!$D$19))</f>
        <v>0</v>
      </c>
      <c r="L63" s="1073"/>
      <c r="M63" s="1074"/>
      <c r="N63" s="186"/>
      <c r="O63" s="1051"/>
      <c r="P63" s="1052"/>
      <c r="Q63" s="1052"/>
      <c r="R63" s="1053"/>
      <c r="S63" s="1054">
        <f>IF(G63="",0,IF(C63="3º",0,IF(C63="PJ",0,((H63+K63)*DADOS!$D$7)+((H63+K63)*DADOS!$D$6))))</f>
        <v>0</v>
      </c>
      <c r="T63" s="1054"/>
      <c r="U63" s="450">
        <f t="shared" si="3"/>
        <v>0</v>
      </c>
      <c r="V63" s="451"/>
    </row>
    <row r="64" spans="2:22" ht="12.75" customHeight="1">
      <c r="B64" s="1064"/>
      <c r="C64" s="1065"/>
      <c r="D64" s="1066" t="s">
        <v>175</v>
      </c>
      <c r="E64" s="1066"/>
      <c r="F64" s="1066"/>
      <c r="G64" s="818">
        <f>SUM(G52:G63)</f>
        <v>0</v>
      </c>
      <c r="H64" s="1067">
        <f>SUMPRODUCT($G$52:$G$63,H52:H63)</f>
        <v>0</v>
      </c>
      <c r="I64" s="1068"/>
      <c r="J64" s="1067">
        <f>SUMPRODUCT($G$52:$G$63,K52:K63)</f>
        <v>0</v>
      </c>
      <c r="K64" s="1068"/>
      <c r="L64" s="1068"/>
      <c r="M64" s="1069"/>
      <c r="N64" s="1067"/>
      <c r="O64" s="1068"/>
      <c r="P64" s="1068"/>
      <c r="Q64" s="1068"/>
      <c r="R64" s="1069"/>
      <c r="S64" s="1067">
        <f>SUMPRODUCT($G$52:$G$63,S52:S63)</f>
        <v>0</v>
      </c>
      <c r="T64" s="1069"/>
      <c r="U64" s="453">
        <f>SUMPRODUCT($G$52:$G$63,U52:U63)</f>
        <v>0</v>
      </c>
      <c r="V64" s="452"/>
    </row>
    <row r="66" spans="2:22" ht="12.75" customHeight="1">
      <c r="B66" s="1055" t="s">
        <v>347</v>
      </c>
      <c r="C66" s="1055"/>
      <c r="D66" s="1055"/>
      <c r="E66" s="1055"/>
      <c r="F66" s="1055"/>
      <c r="G66" s="1055"/>
      <c r="H66" s="1055"/>
      <c r="I66" s="1055"/>
      <c r="J66" s="1055"/>
      <c r="K66" s="1055"/>
      <c r="L66" s="1055"/>
      <c r="M66" s="1055"/>
      <c r="N66" s="1055"/>
      <c r="O66" s="1055"/>
      <c r="P66" s="1055"/>
      <c r="Q66" s="1055"/>
      <c r="R66" s="1055"/>
      <c r="S66" s="1055"/>
      <c r="T66" s="1055"/>
      <c r="U66" s="1055"/>
      <c r="V66" s="1055"/>
    </row>
    <row r="67" spans="2:22" ht="12.75" customHeight="1">
      <c r="B67" s="1056" t="s">
        <v>357</v>
      </c>
      <c r="C67" s="1088"/>
      <c r="D67" s="1088"/>
      <c r="E67" s="1088" t="s">
        <v>358</v>
      </c>
      <c r="F67" s="1088"/>
      <c r="G67" s="1089" t="s">
        <v>350</v>
      </c>
      <c r="H67" s="1056" t="s">
        <v>359</v>
      </c>
      <c r="I67" s="1088"/>
      <c r="J67" s="1057"/>
      <c r="K67" s="1089" t="s">
        <v>360</v>
      </c>
      <c r="L67" s="1091"/>
      <c r="M67" s="1091"/>
      <c r="N67" s="1091"/>
      <c r="O67" s="1092"/>
      <c r="P67" s="1056" t="s">
        <v>361</v>
      </c>
      <c r="Q67" s="1088"/>
      <c r="R67" s="1088"/>
      <c r="S67" s="1088"/>
      <c r="T67" s="1095" t="s">
        <v>362</v>
      </c>
      <c r="U67" s="1092" t="s">
        <v>363</v>
      </c>
      <c r="V67" s="1062" t="s">
        <v>364</v>
      </c>
    </row>
    <row r="68" spans="2:22" ht="12.75" customHeight="1">
      <c r="B68" s="1058"/>
      <c r="C68" s="1075"/>
      <c r="D68" s="1075"/>
      <c r="E68" s="1075"/>
      <c r="F68" s="1075"/>
      <c r="G68" s="1090"/>
      <c r="H68" s="1058"/>
      <c r="I68" s="1075"/>
      <c r="J68" s="1059"/>
      <c r="K68" s="1090"/>
      <c r="L68" s="1093"/>
      <c r="M68" s="1093"/>
      <c r="N68" s="1093"/>
      <c r="O68" s="1094"/>
      <c r="P68" s="1058" t="s">
        <v>365</v>
      </c>
      <c r="Q68" s="1075"/>
      <c r="R68" s="1075"/>
      <c r="S68" s="1075"/>
      <c r="T68" s="1096"/>
      <c r="U68" s="1094"/>
      <c r="V68" s="1063"/>
    </row>
    <row r="69" spans="2:22" ht="12.75" customHeight="1">
      <c r="B69" s="1076" t="str">
        <f>F69</f>
        <v>E0024</v>
      </c>
      <c r="C69" s="1077"/>
      <c r="D69" s="1078"/>
      <c r="E69" s="201" t="s">
        <v>375</v>
      </c>
      <c r="F69" s="198" t="str">
        <f>VLOOKUP($E69,EQUIPAMENTOS!$A:$B,2,FALSE)</f>
        <v>E0024</v>
      </c>
      <c r="G69" s="433">
        <f>G56</f>
        <v>0</v>
      </c>
      <c r="H69" s="1100">
        <f>VLOOKUP($B69,EQUIPAMENTOS!$B$3:$N$99,9,0)*M69</f>
        <v>12755.555555555557</v>
      </c>
      <c r="I69" s="1101"/>
      <c r="J69" s="1101"/>
      <c r="K69" s="1082" t="s">
        <v>367</v>
      </c>
      <c r="L69" s="1083"/>
      <c r="M69" s="1084">
        <v>200</v>
      </c>
      <c r="N69" s="1084"/>
      <c r="O69" s="1084"/>
      <c r="P69" s="80" t="s">
        <v>380</v>
      </c>
      <c r="Q69" s="1085">
        <f>VLOOKUP($B69,EQUIPAMENTOS!$B$3:$N$99,13,0)</f>
        <v>16</v>
      </c>
      <c r="R69" s="1086"/>
      <c r="S69" s="1087"/>
      <c r="T69" s="436">
        <f>IF(Q69="","",IF(K69="km",M69/Q69,200*Q69)*INDEX(DADOS!$1:$1048576,MATCH(P69,DADOS!D:D,0),5))</f>
        <v>0</v>
      </c>
      <c r="U69" s="202">
        <f>SUM(H69,T69)</f>
        <v>12755.555555555557</v>
      </c>
      <c r="V69" s="203">
        <f>G69*U69</f>
        <v>0</v>
      </c>
    </row>
    <row r="70" spans="2:22" ht="12.75" customHeight="1">
      <c r="B70" s="1097" t="str">
        <f>F70</f>
        <v>E0028</v>
      </c>
      <c r="C70" s="1098"/>
      <c r="D70" s="1099"/>
      <c r="E70" s="200" t="s">
        <v>398</v>
      </c>
      <c r="F70" s="198" t="str">
        <f>VLOOKUP($E70,EQUIPAMENTOS!$A:$B,2,FALSE)</f>
        <v>E0028</v>
      </c>
      <c r="G70" s="434">
        <f>G53</f>
        <v>0</v>
      </c>
      <c r="H70" s="1100">
        <f>VLOOKUP($B70,EQUIPAMENTOS!$B$3:$N$99,9,0)*M70</f>
        <v>2000</v>
      </c>
      <c r="I70" s="1101"/>
      <c r="J70" s="1101"/>
      <c r="K70" s="1082" t="s">
        <v>367</v>
      </c>
      <c r="L70" s="1083"/>
      <c r="M70" s="1084">
        <v>200</v>
      </c>
      <c r="N70" s="1084"/>
      <c r="O70" s="1084"/>
      <c r="P70" s="80" t="s">
        <v>380</v>
      </c>
      <c r="Q70" s="1085">
        <f>VLOOKUP($B70,EQUIPAMENTOS!$B$3:$N$99,13,0)</f>
        <v>3</v>
      </c>
      <c r="R70" s="1086"/>
      <c r="S70" s="1087"/>
      <c r="T70" s="436">
        <f>IF(Q70="","",IF(K70="km",M70/Q70,200*Q70)*INDEX(DADOS!$1:$1048576,MATCH(P70,DADOS!D:D,0),5))</f>
        <v>0</v>
      </c>
      <c r="U70" s="202">
        <f>SUM(H70,T70)</f>
        <v>2000</v>
      </c>
      <c r="V70" s="436">
        <f>U70*G70</f>
        <v>0</v>
      </c>
    </row>
    <row r="71" spans="2:22" ht="12.75" hidden="1" customHeight="1">
      <c r="B71" s="1097">
        <f>F71</f>
        <v>0</v>
      </c>
      <c r="C71" s="1098"/>
      <c r="D71" s="1099"/>
      <c r="E71" s="200"/>
      <c r="F71" s="198"/>
      <c r="G71" s="434"/>
      <c r="H71" s="1100"/>
      <c r="I71" s="1101"/>
      <c r="J71" s="1101"/>
      <c r="K71" s="1082"/>
      <c r="L71" s="1083"/>
      <c r="M71" s="1084"/>
      <c r="N71" s="1084"/>
      <c r="O71" s="1084"/>
      <c r="P71" s="80"/>
      <c r="Q71" s="1085"/>
      <c r="R71" s="1086"/>
      <c r="S71" s="1087"/>
      <c r="T71" s="436" t="str">
        <f>IF(Q71="","",IF(K71="km",M71/Q71,200*Q71)*INDEX(DADOS!$1:$1048576,MATCH(P71,DADOS!D:D,0),5))</f>
        <v/>
      </c>
      <c r="U71" s="202">
        <f>SUM(H71,T71)</f>
        <v>0</v>
      </c>
      <c r="V71" s="436">
        <f>U71*G71</f>
        <v>0</v>
      </c>
    </row>
    <row r="72" spans="2:22" ht="12.75" hidden="1" customHeight="1">
      <c r="B72" s="1097">
        <f>F72</f>
        <v>0</v>
      </c>
      <c r="C72" s="1098"/>
      <c r="D72" s="1099"/>
      <c r="E72" s="200"/>
      <c r="F72" s="198"/>
      <c r="G72" s="434"/>
      <c r="H72" s="1100"/>
      <c r="I72" s="1101"/>
      <c r="J72" s="1101"/>
      <c r="K72" s="1082"/>
      <c r="L72" s="1083"/>
      <c r="M72" s="1084"/>
      <c r="N72" s="1084"/>
      <c r="O72" s="1084"/>
      <c r="P72" s="80"/>
      <c r="Q72" s="1085"/>
      <c r="R72" s="1086"/>
      <c r="S72" s="1087"/>
      <c r="T72" s="436" t="str">
        <f>IF(Q72="","",IF(K72="km",M72/Q72,200*Q72)*INDEX(DADOS!$1:$1048576,MATCH(P72,DADOS!D:D,0),5))</f>
        <v/>
      </c>
      <c r="U72" s="202">
        <f>SUM(H72,T72)</f>
        <v>0</v>
      </c>
      <c r="V72" s="436">
        <f>U72*G72</f>
        <v>0</v>
      </c>
    </row>
    <row r="73" spans="2:22" ht="12.75" customHeight="1">
      <c r="B73" s="1102"/>
      <c r="C73" s="1103"/>
      <c r="D73" s="1104"/>
      <c r="E73" s="1105"/>
      <c r="F73" s="1106"/>
      <c r="G73" s="432"/>
      <c r="H73" s="1107"/>
      <c r="I73" s="1107"/>
      <c r="J73" s="1107"/>
      <c r="K73" s="1108"/>
      <c r="L73" s="1107"/>
      <c r="M73" s="1109"/>
      <c r="N73" s="1109"/>
      <c r="O73" s="1109"/>
      <c r="P73" s="81"/>
      <c r="Q73" s="1085"/>
      <c r="R73" s="1086"/>
      <c r="S73" s="1087"/>
      <c r="T73" s="437" t="str">
        <f>IF(Q73="","",IF(K73="km",M73/Q73,200*Q73)*INDEX(DADOS!$1:$1048576,MATCH(P73,DADOS!D:D,0),5))</f>
        <v/>
      </c>
      <c r="U73" s="666">
        <f>SUM(H73,T73)</f>
        <v>0</v>
      </c>
      <c r="V73" s="441"/>
    </row>
    <row r="74" spans="2:22" ht="12.75" customHeight="1">
      <c r="B74" s="1123"/>
      <c r="C74" s="1124"/>
      <c r="D74" s="1125"/>
      <c r="E74" s="1126" t="s">
        <v>175</v>
      </c>
      <c r="F74" s="1127"/>
      <c r="G74" s="435">
        <f>SUM(G69:G73)</f>
        <v>0</v>
      </c>
      <c r="H74" s="1128">
        <f>SUMPRODUCT(G$69:$G73,H69:H73)</f>
        <v>0</v>
      </c>
      <c r="I74" s="1128"/>
      <c r="J74" s="1128"/>
      <c r="K74" s="1129"/>
      <c r="L74" s="1130"/>
      <c r="M74" s="1130"/>
      <c r="N74" s="1130"/>
      <c r="O74" s="1131"/>
      <c r="P74" s="699"/>
      <c r="Q74" s="819"/>
      <c r="R74" s="819"/>
      <c r="S74" s="819"/>
      <c r="T74" s="665">
        <f>SUMPRODUCT($G$69:G73,T69:T73)</f>
        <v>0</v>
      </c>
      <c r="U74" s="665"/>
      <c r="V74" s="440">
        <f>SUM(V69:V73)</f>
        <v>0</v>
      </c>
    </row>
    <row r="76" spans="2:22" ht="12.75" customHeight="1">
      <c r="B76" s="1055" t="s">
        <v>348</v>
      </c>
      <c r="C76" s="1055"/>
      <c r="D76" s="1055"/>
      <c r="E76" s="1055"/>
      <c r="F76" s="1055"/>
      <c r="G76" s="1055"/>
      <c r="H76" s="1055"/>
      <c r="I76" s="1055"/>
      <c r="J76" s="1055"/>
      <c r="K76" s="1055"/>
      <c r="L76" s="1055"/>
      <c r="M76" s="1055"/>
      <c r="N76" s="1055"/>
      <c r="O76" s="1055"/>
      <c r="P76" s="1055"/>
      <c r="Q76" s="1055"/>
      <c r="R76" s="1055"/>
      <c r="S76" s="1055"/>
      <c r="T76" s="1055"/>
      <c r="U76" s="1055"/>
      <c r="V76" s="1055"/>
    </row>
    <row r="77" spans="2:22" ht="12.75" customHeight="1">
      <c r="B77" s="1112" t="s">
        <v>183</v>
      </c>
      <c r="C77" s="1114"/>
      <c r="D77" s="1112" t="s">
        <v>324</v>
      </c>
      <c r="E77" s="1113"/>
      <c r="F77" s="1113"/>
      <c r="G77" s="1112" t="s">
        <v>371</v>
      </c>
      <c r="H77" s="1114"/>
      <c r="I77" s="1115" t="s">
        <v>372</v>
      </c>
      <c r="J77" s="1132"/>
      <c r="K77" s="1116"/>
      <c r="L77" s="1115" t="s">
        <v>189</v>
      </c>
      <c r="M77" s="1132"/>
      <c r="N77" s="1132"/>
      <c r="O77" s="1132"/>
      <c r="P77" s="1116"/>
      <c r="Q77" s="1112" t="s">
        <v>373</v>
      </c>
      <c r="R77" s="1113"/>
      <c r="S77" s="1113"/>
      <c r="T77" s="1114"/>
      <c r="U77" s="1115"/>
      <c r="V77" s="1116"/>
    </row>
    <row r="78" spans="2:22" ht="12.75" customHeight="1">
      <c r="B78" s="186" t="str">
        <f>IF(I78="","",COUNT($I$37:I78))</f>
        <v/>
      </c>
      <c r="C78" s="430"/>
      <c r="D78" s="1117"/>
      <c r="E78" s="1118"/>
      <c r="F78" s="1118"/>
      <c r="G78" s="1119"/>
      <c r="H78" s="1119"/>
      <c r="I78" s="1120"/>
      <c r="J78" s="1120"/>
      <c r="K78" s="1120"/>
      <c r="L78" s="1120"/>
      <c r="M78" s="1120"/>
      <c r="N78" s="1120"/>
      <c r="O78" s="1120"/>
      <c r="P78" s="1120"/>
      <c r="Q78" s="1054">
        <f>I78*L78</f>
        <v>0</v>
      </c>
      <c r="R78" s="1054"/>
      <c r="S78" s="1054"/>
      <c r="T78" s="1054"/>
      <c r="U78" s="1121"/>
      <c r="V78" s="1122"/>
    </row>
    <row r="79" spans="2:22" ht="12.75" customHeight="1">
      <c r="B79" s="186"/>
      <c r="C79" s="430"/>
      <c r="D79" s="1117"/>
      <c r="E79" s="1118"/>
      <c r="F79" s="1118"/>
      <c r="G79" s="1119"/>
      <c r="H79" s="1119"/>
      <c r="I79" s="1120"/>
      <c r="J79" s="1120"/>
      <c r="K79" s="1120"/>
      <c r="L79" s="1120"/>
      <c r="M79" s="1120"/>
      <c r="N79" s="1120"/>
      <c r="O79" s="1120"/>
      <c r="P79" s="1120"/>
      <c r="Q79" s="1054">
        <f>I79*L79</f>
        <v>0</v>
      </c>
      <c r="R79" s="1054"/>
      <c r="S79" s="1054"/>
      <c r="T79" s="1054"/>
      <c r="U79" s="1133"/>
      <c r="V79" s="1134"/>
    </row>
    <row r="80" spans="2:22" ht="12.75" customHeight="1">
      <c r="B80" s="186"/>
      <c r="C80" s="430"/>
      <c r="D80" s="1117"/>
      <c r="E80" s="1118"/>
      <c r="F80" s="1118"/>
      <c r="G80" s="1119"/>
      <c r="H80" s="1119"/>
      <c r="I80" s="1120"/>
      <c r="J80" s="1120"/>
      <c r="K80" s="1120"/>
      <c r="L80" s="1120"/>
      <c r="M80" s="1120"/>
      <c r="N80" s="1120"/>
      <c r="O80" s="1120"/>
      <c r="P80" s="1120"/>
      <c r="Q80" s="1054">
        <f>I80*L80</f>
        <v>0</v>
      </c>
      <c r="R80" s="1054"/>
      <c r="S80" s="1054"/>
      <c r="T80" s="1054"/>
      <c r="U80" s="1133"/>
      <c r="V80" s="1134"/>
    </row>
    <row r="81" spans="2:22" ht="12.75" customHeight="1">
      <c r="B81" s="186" t="str">
        <f>IF(I81="","",COUNT($I$37:I81))</f>
        <v/>
      </c>
      <c r="C81" s="430"/>
      <c r="D81" s="1117"/>
      <c r="E81" s="1118"/>
      <c r="F81" s="1118"/>
      <c r="G81" s="1138"/>
      <c r="H81" s="1138"/>
      <c r="I81" s="1139"/>
      <c r="J81" s="1139"/>
      <c r="K81" s="1139"/>
      <c r="L81" s="1139"/>
      <c r="M81" s="1139"/>
      <c r="N81" s="1139"/>
      <c r="O81" s="1139"/>
      <c r="P81" s="1139"/>
      <c r="Q81" s="1054">
        <f>I81*L81</f>
        <v>0</v>
      </c>
      <c r="R81" s="1054"/>
      <c r="S81" s="1054"/>
      <c r="T81" s="1054"/>
      <c r="U81" s="1140"/>
      <c r="V81" s="1141"/>
    </row>
    <row r="82" spans="2:22" ht="12.75" customHeight="1">
      <c r="B82" s="1123"/>
      <c r="C82" s="1125"/>
      <c r="D82" s="1123"/>
      <c r="E82" s="1124"/>
      <c r="F82" s="1124"/>
      <c r="G82" s="1123"/>
      <c r="H82" s="1125"/>
      <c r="I82" s="1123"/>
      <c r="J82" s="1124"/>
      <c r="K82" s="1125"/>
      <c r="L82" s="1123"/>
      <c r="M82" s="1124"/>
      <c r="N82" s="1124"/>
      <c r="O82" s="1124"/>
      <c r="P82" s="1125"/>
      <c r="Q82" s="1136">
        <f>SUM(Q78:T81)</f>
        <v>0</v>
      </c>
      <c r="R82" s="1137"/>
      <c r="S82" s="1137"/>
      <c r="T82" s="1137"/>
      <c r="U82" s="1123"/>
      <c r="V82" s="1125"/>
    </row>
    <row r="85" spans="2:22" ht="12.75" customHeight="1">
      <c r="B85" s="1044" t="s">
        <v>343</v>
      </c>
      <c r="C85" s="1044"/>
      <c r="D85" s="1044"/>
      <c r="E85" s="70"/>
    </row>
    <row r="86" spans="2:22" ht="12.75" customHeight="1">
      <c r="B86" s="71"/>
      <c r="C86" s="71"/>
      <c r="D86" s="71"/>
      <c r="E86" s="71"/>
      <c r="F86" s="71"/>
      <c r="G86" s="71"/>
      <c r="H86" s="71"/>
      <c r="I86" s="71"/>
      <c r="J86" s="71"/>
      <c r="K86" s="71"/>
      <c r="L86" s="71"/>
      <c r="M86" s="71"/>
      <c r="N86" s="71"/>
      <c r="O86" s="71"/>
      <c r="P86" s="71"/>
      <c r="Q86" s="71"/>
      <c r="R86" s="71"/>
      <c r="S86" s="71"/>
      <c r="T86" s="71"/>
      <c r="U86" s="71"/>
      <c r="V86" s="71"/>
    </row>
    <row r="87" spans="2:22" ht="12.75" customHeight="1">
      <c r="B87" s="71"/>
      <c r="C87" s="1045" t="s">
        <v>303</v>
      </c>
      <c r="D87" s="1045"/>
      <c r="E87" s="1046"/>
      <c r="F87" s="71"/>
      <c r="G87" s="71"/>
      <c r="H87" s="1039" t="s">
        <v>344</v>
      </c>
      <c r="I87" s="1039"/>
      <c r="J87" s="1040">
        <f>U107</f>
        <v>0</v>
      </c>
      <c r="K87" s="1040"/>
      <c r="L87" s="1040"/>
      <c r="M87" s="448"/>
      <c r="N87" s="447"/>
      <c r="O87" s="1047" t="s">
        <v>345</v>
      </c>
      <c r="P87" s="1047"/>
      <c r="Q87" s="1047"/>
      <c r="R87" s="1047"/>
      <c r="S87" s="1047"/>
      <c r="T87" s="1047"/>
      <c r="U87" s="1048" t="s">
        <v>346</v>
      </c>
      <c r="V87" s="1047"/>
    </row>
    <row r="88" spans="2:22" ht="12.75" customHeight="1">
      <c r="B88" s="71"/>
      <c r="C88" s="446"/>
      <c r="D88" s="446"/>
      <c r="E88" s="1038">
        <f>SUM(J87:L89)</f>
        <v>0</v>
      </c>
      <c r="F88" s="71"/>
      <c r="G88" s="71"/>
      <c r="H88" s="1039" t="s">
        <v>347</v>
      </c>
      <c r="I88" s="1039"/>
      <c r="J88" s="1040">
        <f>V117</f>
        <v>0</v>
      </c>
      <c r="K88" s="1040"/>
      <c r="L88" s="1040"/>
      <c r="M88" s="449"/>
      <c r="N88" s="402"/>
      <c r="O88" s="1041"/>
      <c r="P88" s="1041"/>
      <c r="Q88" s="1041"/>
      <c r="R88" s="1041"/>
      <c r="S88" s="1041"/>
      <c r="T88" s="1041"/>
      <c r="U88" s="1042">
        <f>E88*O88</f>
        <v>0</v>
      </c>
      <c r="V88" s="1043"/>
    </row>
    <row r="89" spans="2:22" ht="12.75" customHeight="1">
      <c r="B89" s="73"/>
      <c r="C89" s="446"/>
      <c r="D89" s="446"/>
      <c r="E89" s="1038"/>
      <c r="F89" s="71"/>
      <c r="G89" s="71"/>
      <c r="H89" s="1039" t="s">
        <v>348</v>
      </c>
      <c r="I89" s="1039"/>
      <c r="J89" s="1040">
        <f>Q125</f>
        <v>0</v>
      </c>
      <c r="K89" s="1040"/>
      <c r="L89" s="1040"/>
      <c r="M89" s="449"/>
      <c r="N89" s="402"/>
      <c r="O89" s="1041"/>
      <c r="P89" s="1041"/>
      <c r="Q89" s="1041"/>
      <c r="R89" s="1041"/>
      <c r="S89" s="1041"/>
      <c r="T89" s="1041"/>
      <c r="U89" s="1042"/>
      <c r="V89" s="1043"/>
    </row>
    <row r="90" spans="2:22" ht="12.75" customHeight="1">
      <c r="B90" s="71"/>
      <c r="C90" s="71"/>
      <c r="D90" s="71"/>
      <c r="E90" s="71"/>
      <c r="F90" s="71"/>
      <c r="G90" s="71"/>
      <c r="H90" s="71"/>
      <c r="I90" s="71"/>
      <c r="J90" s="71"/>
      <c r="K90" s="71"/>
      <c r="L90" s="71"/>
      <c r="M90" s="71"/>
      <c r="N90" s="71"/>
      <c r="O90" s="71"/>
      <c r="P90" s="71"/>
      <c r="Q90" s="71"/>
      <c r="R90" s="71"/>
      <c r="S90" s="71"/>
      <c r="T90" s="71"/>
      <c r="U90" s="71"/>
      <c r="V90" s="71"/>
    </row>
    <row r="92" spans="2:22" ht="12.75" customHeight="1">
      <c r="B92" s="1055" t="s">
        <v>344</v>
      </c>
      <c r="C92" s="1055"/>
      <c r="D92" s="1055"/>
      <c r="E92" s="1055"/>
      <c r="F92" s="1055"/>
      <c r="G92" s="1055"/>
      <c r="H92" s="1055"/>
      <c r="I92" s="1055"/>
      <c r="J92" s="1055"/>
      <c r="K92" s="1055"/>
      <c r="L92" s="1055"/>
      <c r="M92" s="1055"/>
      <c r="N92" s="1055"/>
      <c r="O92" s="1055"/>
      <c r="P92" s="1055"/>
      <c r="Q92" s="1055"/>
      <c r="R92" s="1055"/>
      <c r="S92" s="1055"/>
      <c r="T92" s="1055"/>
      <c r="U92" s="1055"/>
      <c r="V92" s="1055"/>
    </row>
    <row r="93" spans="2:22" ht="12.75" customHeight="1">
      <c r="B93" s="1056" t="s">
        <v>183</v>
      </c>
      <c r="C93" s="1057"/>
      <c r="D93" s="1060" t="s">
        <v>349</v>
      </c>
      <c r="E93" s="1060"/>
      <c r="F93" s="1060"/>
      <c r="G93" s="1060" t="s">
        <v>350</v>
      </c>
      <c r="H93" s="1060" t="s">
        <v>351</v>
      </c>
      <c r="I93" s="1060"/>
      <c r="J93" s="1060" t="s">
        <v>352</v>
      </c>
      <c r="K93" s="1060"/>
      <c r="L93" s="1060"/>
      <c r="M93" s="1060"/>
      <c r="N93" s="1060"/>
      <c r="O93" s="1060"/>
      <c r="P93" s="1060"/>
      <c r="Q93" s="1060"/>
      <c r="R93" s="1060"/>
      <c r="S93" s="1061" t="s">
        <v>353</v>
      </c>
      <c r="T93" s="1061"/>
      <c r="U93" s="1062" t="s">
        <v>346</v>
      </c>
      <c r="V93" s="1060"/>
    </row>
    <row r="94" spans="2:22" ht="12.75" customHeight="1">
      <c r="B94" s="1058"/>
      <c r="C94" s="1059"/>
      <c r="D94" s="1060"/>
      <c r="E94" s="1060"/>
      <c r="F94" s="1060"/>
      <c r="G94" s="1060"/>
      <c r="H94" s="1060"/>
      <c r="I94" s="1060"/>
      <c r="J94" s="1060"/>
      <c r="K94" s="1060"/>
      <c r="L94" s="1060"/>
      <c r="M94" s="1060"/>
      <c r="N94" s="1060"/>
      <c r="O94" s="1060"/>
      <c r="P94" s="1060"/>
      <c r="Q94" s="1060"/>
      <c r="R94" s="1060"/>
      <c r="S94" s="1061"/>
      <c r="T94" s="1061"/>
      <c r="U94" s="1063"/>
      <c r="V94" s="1060"/>
    </row>
    <row r="95" spans="2:22" ht="12.75" customHeight="1">
      <c r="B95" s="74" t="str">
        <f t="shared" ref="B95:B101" si="4">F95</f>
        <v>P0039</v>
      </c>
      <c r="C95" s="199"/>
      <c r="D95" s="75"/>
      <c r="E95" s="198" t="s">
        <v>399</v>
      </c>
      <c r="F95" s="198" t="str">
        <f>VLOOKUP(E95,'MÃO DE OBRA'!$A:$B,2,FALSE)</f>
        <v>P0039</v>
      </c>
      <c r="G95" s="186"/>
      <c r="H95" s="1049">
        <f>IF(D95="h",VLOOKUP(B95,'MÃO DE OBRA'!$B$3:$D$97,3,0)*220,VLOOKUP(B95,'MÃO DE OBRA'!$B$3:$D$97,3,0))</f>
        <v>2035</v>
      </c>
      <c r="I95" s="1050"/>
      <c r="J95" s="76" t="s">
        <v>354</v>
      </c>
      <c r="K95" s="1051">
        <f>IF(J95="",0,IF(J95="D",H95*DADOS!$D$18,H95*DADOS!$D$19))</f>
        <v>508.75</v>
      </c>
      <c r="L95" s="1052"/>
      <c r="M95" s="1053"/>
      <c r="N95" s="186"/>
      <c r="O95" s="1051"/>
      <c r="P95" s="1052"/>
      <c r="Q95" s="1052"/>
      <c r="R95" s="1053"/>
      <c r="S95" s="1054">
        <f>IF(G95="",0,IF(C95="3º",0,IF(C95="PJ",0,((H95+K95)*DADOS!$D$7)+((H95+K95)*DADOS!$D$6))))</f>
        <v>0</v>
      </c>
      <c r="T95" s="1054"/>
      <c r="U95" s="450">
        <f t="shared" ref="U95:U106" si="5">IF(G95="",0,SUM(H95,K95,,O95,V95,S95))</f>
        <v>0</v>
      </c>
      <c r="V95" s="451"/>
    </row>
    <row r="96" spans="2:22" ht="12.75" customHeight="1">
      <c r="B96" s="75" t="str">
        <f t="shared" si="4"/>
        <v>P0052</v>
      </c>
      <c r="C96" s="199"/>
      <c r="D96" s="75"/>
      <c r="E96" s="77" t="s">
        <v>383</v>
      </c>
      <c r="F96" s="198" t="str">
        <f>VLOOKUP(E96,'MÃO DE OBRA'!$A:$B,2,FALSE)</f>
        <v>P0052</v>
      </c>
      <c r="G96" s="186"/>
      <c r="H96" s="1049">
        <f>IF(D96="h",VLOOKUP(B96,'MÃO DE OBRA'!$B$3:$D$97,3,0)*220,VLOOKUP(B96,'MÃO DE OBRA'!$B$3:$D$97,3,0))</f>
        <v>2305.6</v>
      </c>
      <c r="I96" s="1050"/>
      <c r="J96" s="76" t="s">
        <v>354</v>
      </c>
      <c r="K96" s="1051">
        <f>IF(J96="",0,IF(J96="D",H96*DADOS!$D$18,H96*DADOS!$D$19))</f>
        <v>576.4</v>
      </c>
      <c r="L96" s="1052"/>
      <c r="M96" s="1053"/>
      <c r="N96" s="186"/>
      <c r="O96" s="1051"/>
      <c r="P96" s="1052"/>
      <c r="Q96" s="1052"/>
      <c r="R96" s="1053"/>
      <c r="S96" s="1054">
        <f>IF(G96="",0,IF(C96="3º",0,IF(C96="PJ",0,((H96+K96)*DADOS!$D$7)+((H96+K96)*DADOS!$D$6))))</f>
        <v>0</v>
      </c>
      <c r="T96" s="1054"/>
      <c r="U96" s="450">
        <f t="shared" si="5"/>
        <v>0</v>
      </c>
      <c r="V96" s="451"/>
    </row>
    <row r="97" spans="2:22" ht="13.8">
      <c r="B97" s="75" t="str">
        <f t="shared" si="4"/>
        <v>P0001</v>
      </c>
      <c r="C97" s="199"/>
      <c r="D97" s="75"/>
      <c r="E97" s="77" t="s">
        <v>356</v>
      </c>
      <c r="F97" s="198" t="str">
        <f>VLOOKUP(E97,'MÃO DE OBRA'!$A:$B,2,FALSE)</f>
        <v>P0001</v>
      </c>
      <c r="G97" s="186"/>
      <c r="H97" s="1049">
        <f>IF(D97="h",VLOOKUP(B97,'MÃO DE OBRA'!$B$3:$D$97,3,0)*220,VLOOKUP(B97,'MÃO DE OBRA'!$B$3:$D$97,3,0))</f>
        <v>1962.6</v>
      </c>
      <c r="I97" s="1050"/>
      <c r="J97" s="76" t="s">
        <v>354</v>
      </c>
      <c r="K97" s="1051">
        <f>IF(J97="",0,IF(J97="D",H97*DADOS!$D$18,H97*DADOS!$D$19))</f>
        <v>490.65</v>
      </c>
      <c r="L97" s="1052"/>
      <c r="M97" s="1053"/>
      <c r="N97" s="186"/>
      <c r="O97" s="1051"/>
      <c r="P97" s="1052"/>
      <c r="Q97" s="1052"/>
      <c r="R97" s="1053"/>
      <c r="S97" s="1054">
        <f>IF(G97="",0,IF(C97="3º",0,IF(C97="PJ",0,((H97+K97)*DADOS!$D$7)+((H97+K97)*DADOS!$D$6))))</f>
        <v>0</v>
      </c>
      <c r="T97" s="1054"/>
      <c r="U97" s="450">
        <f t="shared" si="5"/>
        <v>0</v>
      </c>
      <c r="V97" s="451"/>
    </row>
    <row r="98" spans="2:22" ht="13.8">
      <c r="B98" s="75">
        <f t="shared" si="4"/>
        <v>0</v>
      </c>
      <c r="C98" s="199"/>
      <c r="D98" s="75"/>
      <c r="E98" s="198"/>
      <c r="F98" s="198"/>
      <c r="G98" s="186"/>
      <c r="H98" s="1049"/>
      <c r="I98" s="1050"/>
      <c r="J98" s="76" t="s">
        <v>354</v>
      </c>
      <c r="K98" s="1051">
        <f>IF(J98="",0,IF(J98="D",H98*DADOS!$D$18,H98*DADOS!$D$19))</f>
        <v>0</v>
      </c>
      <c r="L98" s="1052"/>
      <c r="M98" s="1053"/>
      <c r="N98" s="186"/>
      <c r="O98" s="1051"/>
      <c r="P98" s="1052"/>
      <c r="Q98" s="1052"/>
      <c r="R98" s="1053"/>
      <c r="S98" s="1054">
        <f>IF(G98="",0,IF(C98="3º",0,IF(C98="PJ",0,((H98+K98)*DADOS!$D$7)+((H98+K98)*DADOS!$D$6))))</f>
        <v>0</v>
      </c>
      <c r="T98" s="1054"/>
      <c r="U98" s="450">
        <f t="shared" si="5"/>
        <v>0</v>
      </c>
      <c r="V98" s="451"/>
    </row>
    <row r="99" spans="2:22" ht="12.75" hidden="1" customHeight="1">
      <c r="B99" s="75">
        <f t="shared" si="4"/>
        <v>0</v>
      </c>
      <c r="C99" s="199"/>
      <c r="D99" s="75"/>
      <c r="E99" s="198"/>
      <c r="F99" s="198"/>
      <c r="G99" s="186"/>
      <c r="H99" s="1049"/>
      <c r="I99" s="1050"/>
      <c r="J99" s="76" t="s">
        <v>354</v>
      </c>
      <c r="K99" s="1051">
        <f>IF(J99="",0,IF(J99="D",H99*DADOS!$D$18,H99*DADOS!$D$19))</f>
        <v>0</v>
      </c>
      <c r="L99" s="1052"/>
      <c r="M99" s="1053"/>
      <c r="N99" s="186"/>
      <c r="O99" s="1051"/>
      <c r="P99" s="1052"/>
      <c r="Q99" s="1052"/>
      <c r="R99" s="1053"/>
      <c r="S99" s="1054">
        <f>IF(G99="",0,IF(C99="3º",0,IF(C99="PJ",0,((H99+K99)*DADOS!$D$7)+((H99+K99)*DADOS!$D$6))))</f>
        <v>0</v>
      </c>
      <c r="T99" s="1054"/>
      <c r="U99" s="450">
        <f t="shared" si="5"/>
        <v>0</v>
      </c>
      <c r="V99" s="451"/>
    </row>
    <row r="100" spans="2:22" ht="12.75" hidden="1" customHeight="1">
      <c r="B100" s="75">
        <f t="shared" si="4"/>
        <v>0</v>
      </c>
      <c r="C100" s="199"/>
      <c r="D100" s="75"/>
      <c r="E100" s="198"/>
      <c r="F100" s="198"/>
      <c r="G100" s="186"/>
      <c r="H100" s="1049"/>
      <c r="I100" s="1050"/>
      <c r="J100" s="76" t="s">
        <v>354</v>
      </c>
      <c r="K100" s="1051">
        <f>IF(J100="",0,IF(J100="D",H100*DADOS!$D$18,H100*DADOS!$D$19))</f>
        <v>0</v>
      </c>
      <c r="L100" s="1052"/>
      <c r="M100" s="1053"/>
      <c r="N100" s="186"/>
      <c r="O100" s="1051"/>
      <c r="P100" s="1052"/>
      <c r="Q100" s="1052"/>
      <c r="R100" s="1053"/>
      <c r="S100" s="1054">
        <f>IF(G100="",0,IF(C100="3º",0,IF(C100="PJ",0,((H100+K100)*DADOS!$D$7)+((H100+K100)*DADOS!$D$6))))</f>
        <v>0</v>
      </c>
      <c r="T100" s="1054"/>
      <c r="U100" s="450">
        <f t="shared" si="5"/>
        <v>0</v>
      </c>
      <c r="V100" s="451"/>
    </row>
    <row r="101" spans="2:22" ht="12.75" hidden="1" customHeight="1">
      <c r="B101" s="75">
        <f t="shared" si="4"/>
        <v>0</v>
      </c>
      <c r="C101" s="199"/>
      <c r="D101" s="75"/>
      <c r="E101" s="198"/>
      <c r="F101" s="198"/>
      <c r="G101" s="186"/>
      <c r="H101" s="1049"/>
      <c r="I101" s="1050"/>
      <c r="J101" s="76" t="s">
        <v>354</v>
      </c>
      <c r="K101" s="1051">
        <f>IF(J101="",0,IF(J101="D",H101*DADOS!$D$18,H101*DADOS!$D$19))</f>
        <v>0</v>
      </c>
      <c r="L101" s="1052"/>
      <c r="M101" s="1053"/>
      <c r="N101" s="186"/>
      <c r="O101" s="1051"/>
      <c r="P101" s="1052"/>
      <c r="Q101" s="1052"/>
      <c r="R101" s="1053"/>
      <c r="S101" s="1054">
        <f>IF(G101="",0,IF(C101="3º",0,IF(C101="PJ",0,((H101+K101)*DADOS!$D$7)+((H101+K101)*DADOS!$D$6))))</f>
        <v>0</v>
      </c>
      <c r="T101" s="1054"/>
      <c r="U101" s="450">
        <f t="shared" si="5"/>
        <v>0</v>
      </c>
      <c r="V101" s="451"/>
    </row>
    <row r="102" spans="2:22" ht="12.75" hidden="1" customHeight="1">
      <c r="B102" s="75"/>
      <c r="C102" s="199"/>
      <c r="D102" s="75"/>
      <c r="E102" s="198"/>
      <c r="F102" s="198"/>
      <c r="G102" s="186"/>
      <c r="H102" s="1049"/>
      <c r="I102" s="1050"/>
      <c r="J102" s="76"/>
      <c r="K102" s="1051">
        <f>IF(J102="",0,IF(J102="D",H102*DADOS!$D$18,H102*DADOS!$D$19))</f>
        <v>0</v>
      </c>
      <c r="L102" s="1052"/>
      <c r="M102" s="1053"/>
      <c r="N102" s="186"/>
      <c r="O102" s="1051"/>
      <c r="P102" s="1052"/>
      <c r="Q102" s="1052"/>
      <c r="R102" s="1053"/>
      <c r="S102" s="1054">
        <f>IF(G102="",0,IF(C102="3º",0,IF(C102="PJ",0,((H102+K102)*DADOS!$D$7)+((H102+K102)*DADOS!$D$6))))</f>
        <v>0</v>
      </c>
      <c r="T102" s="1054"/>
      <c r="U102" s="450">
        <f t="shared" si="5"/>
        <v>0</v>
      </c>
      <c r="V102" s="451"/>
    </row>
    <row r="103" spans="2:22" ht="12.75" hidden="1" customHeight="1">
      <c r="B103" s="75"/>
      <c r="C103" s="199"/>
      <c r="D103" s="75"/>
      <c r="E103" s="198"/>
      <c r="F103" s="198"/>
      <c r="G103" s="186"/>
      <c r="H103" s="1049"/>
      <c r="I103" s="1050"/>
      <c r="J103" s="76"/>
      <c r="K103" s="1051">
        <f>IF(J103="",0,IF(J103="D",H103*DADOS!$D$18,H103*DADOS!$D$19))</f>
        <v>0</v>
      </c>
      <c r="L103" s="1052"/>
      <c r="M103" s="1053"/>
      <c r="N103" s="186"/>
      <c r="O103" s="1051"/>
      <c r="P103" s="1052"/>
      <c r="Q103" s="1052"/>
      <c r="R103" s="1053"/>
      <c r="S103" s="1054">
        <f>IF(G103="",0,IF(C103="3º",0,IF(C103="PJ",0,((H103+K103)*DADOS!$D$7)+((H103+K103)*DADOS!$D$6))))</f>
        <v>0</v>
      </c>
      <c r="T103" s="1054"/>
      <c r="U103" s="450">
        <f t="shared" si="5"/>
        <v>0</v>
      </c>
      <c r="V103" s="451"/>
    </row>
    <row r="104" spans="2:22" ht="13.8">
      <c r="B104" s="75"/>
      <c r="C104" s="199"/>
      <c r="D104" s="75"/>
      <c r="E104" s="198"/>
      <c r="F104" s="198"/>
      <c r="G104" s="186"/>
      <c r="H104" s="1049"/>
      <c r="I104" s="1050"/>
      <c r="J104" s="76"/>
      <c r="K104" s="1051">
        <f>IF(J104="",0,IF(J104="D",H104*DADOS!$D$18,H104*DADOS!$D$19))</f>
        <v>0</v>
      </c>
      <c r="L104" s="1052"/>
      <c r="M104" s="1053"/>
      <c r="N104" s="186"/>
      <c r="O104" s="1051"/>
      <c r="P104" s="1052"/>
      <c r="Q104" s="1052"/>
      <c r="R104" s="1053"/>
      <c r="S104" s="1054">
        <f>IF(G104="",0,IF(C104="3º",0,IF(C104="PJ",0,((H104+K104)*DADOS!$D$7)+((H104+K104)*DADOS!$D$6))))</f>
        <v>0</v>
      </c>
      <c r="T104" s="1054"/>
      <c r="U104" s="450">
        <f t="shared" si="5"/>
        <v>0</v>
      </c>
      <c r="V104" s="451"/>
    </row>
    <row r="105" spans="2:22" ht="13.8">
      <c r="B105" s="75"/>
      <c r="C105" s="199"/>
      <c r="D105" s="75"/>
      <c r="E105" s="198"/>
      <c r="F105" s="198"/>
      <c r="G105" s="186"/>
      <c r="H105" s="1049"/>
      <c r="I105" s="1050"/>
      <c r="J105" s="76"/>
      <c r="K105" s="1051">
        <f>IF(J105="",0,IF(J105="D",H105*DADOS!$D$18,H105*DADOS!$D$19))</f>
        <v>0</v>
      </c>
      <c r="L105" s="1052"/>
      <c r="M105" s="1053"/>
      <c r="N105" s="186"/>
      <c r="O105" s="1051"/>
      <c r="P105" s="1052"/>
      <c r="Q105" s="1052"/>
      <c r="R105" s="1053"/>
      <c r="S105" s="1054">
        <f>IF(G105="",0,IF(C105="3º",0,IF(C105="PJ",0,((H105+K105)*DADOS!$D$7)+((H105+K105)*DADOS!$D$6))))</f>
        <v>0</v>
      </c>
      <c r="T105" s="1054"/>
      <c r="U105" s="450">
        <f t="shared" si="5"/>
        <v>0</v>
      </c>
      <c r="V105" s="451"/>
    </row>
    <row r="106" spans="2:22" ht="12.75" customHeight="1">
      <c r="B106" s="445"/>
      <c r="C106" s="197"/>
      <c r="D106" s="78"/>
      <c r="E106" s="196"/>
      <c r="F106" s="198"/>
      <c r="G106" s="431"/>
      <c r="H106" s="1070"/>
      <c r="I106" s="1071"/>
      <c r="J106" s="79"/>
      <c r="K106" s="1072">
        <f>IF(J106="",0,IF(J106="D",H106*DADOS!$D$18,H106*DADOS!$D$19))</f>
        <v>0</v>
      </c>
      <c r="L106" s="1073"/>
      <c r="M106" s="1074"/>
      <c r="N106" s="186"/>
      <c r="O106" s="1051"/>
      <c r="P106" s="1052"/>
      <c r="Q106" s="1052"/>
      <c r="R106" s="1053"/>
      <c r="S106" s="1054">
        <f>IF(G106="",0,IF(C106="3º",0,IF(C106="PJ",0,((H106+K106)*DADOS!$D$7)+((H106+K106)*DADOS!$D$6))))</f>
        <v>0</v>
      </c>
      <c r="T106" s="1054"/>
      <c r="U106" s="450">
        <f t="shared" si="5"/>
        <v>0</v>
      </c>
      <c r="V106" s="451"/>
    </row>
    <row r="107" spans="2:22" ht="12.75" customHeight="1">
      <c r="B107" s="1064"/>
      <c r="C107" s="1065"/>
      <c r="D107" s="1066" t="s">
        <v>175</v>
      </c>
      <c r="E107" s="1066"/>
      <c r="F107" s="1066"/>
      <c r="G107" s="818">
        <f>SUM(G95:G106)</f>
        <v>0</v>
      </c>
      <c r="H107" s="1067">
        <f>SUMPRODUCT($G$95:$G$106,H95:H106)</f>
        <v>0</v>
      </c>
      <c r="I107" s="1068"/>
      <c r="J107" s="1067">
        <f>SUMPRODUCT($G$95:$G$106,K95:K106)</f>
        <v>0</v>
      </c>
      <c r="K107" s="1068"/>
      <c r="L107" s="1068"/>
      <c r="M107" s="1069"/>
      <c r="N107" s="1067"/>
      <c r="O107" s="1068"/>
      <c r="P107" s="1068"/>
      <c r="Q107" s="1068"/>
      <c r="R107" s="1069"/>
      <c r="S107" s="1067">
        <f>SUMPRODUCT($G$95:$G$106,S95:S106)</f>
        <v>0</v>
      </c>
      <c r="T107" s="1069"/>
      <c r="U107" s="453">
        <f>SUMPRODUCT($G$95:$G$106,U95:U106)</f>
        <v>0</v>
      </c>
      <c r="V107" s="452"/>
    </row>
    <row r="109" spans="2:22" ht="12.75" customHeight="1">
      <c r="B109" s="1055" t="s">
        <v>347</v>
      </c>
      <c r="C109" s="1055"/>
      <c r="D109" s="1055"/>
      <c r="E109" s="1055"/>
      <c r="F109" s="1055"/>
      <c r="G109" s="1055"/>
      <c r="H109" s="1055"/>
      <c r="I109" s="1055"/>
      <c r="J109" s="1055"/>
      <c r="K109" s="1055"/>
      <c r="L109" s="1055"/>
      <c r="M109" s="1055"/>
      <c r="N109" s="1055"/>
      <c r="O109" s="1055"/>
      <c r="P109" s="1055"/>
      <c r="Q109" s="1055"/>
      <c r="R109" s="1055"/>
      <c r="S109" s="1055"/>
      <c r="T109" s="1055"/>
      <c r="U109" s="1055"/>
      <c r="V109" s="1055"/>
    </row>
    <row r="110" spans="2:22" ht="12.75" customHeight="1">
      <c r="B110" s="1056" t="s">
        <v>357</v>
      </c>
      <c r="C110" s="1088"/>
      <c r="D110" s="1088"/>
      <c r="E110" s="1088" t="s">
        <v>358</v>
      </c>
      <c r="F110" s="1088"/>
      <c r="G110" s="1089" t="s">
        <v>350</v>
      </c>
      <c r="H110" s="1056" t="s">
        <v>359</v>
      </c>
      <c r="I110" s="1088"/>
      <c r="J110" s="1057"/>
      <c r="K110" s="1089" t="s">
        <v>360</v>
      </c>
      <c r="L110" s="1091"/>
      <c r="M110" s="1091"/>
      <c r="N110" s="1091"/>
      <c r="O110" s="1092"/>
      <c r="P110" s="1056" t="s">
        <v>361</v>
      </c>
      <c r="Q110" s="1088"/>
      <c r="R110" s="1088"/>
      <c r="S110" s="1088"/>
      <c r="T110" s="1095" t="s">
        <v>362</v>
      </c>
      <c r="U110" s="1092" t="s">
        <v>363</v>
      </c>
      <c r="V110" s="1062" t="s">
        <v>364</v>
      </c>
    </row>
    <row r="111" spans="2:22" ht="12.75" customHeight="1">
      <c r="B111" s="1058"/>
      <c r="C111" s="1075"/>
      <c r="D111" s="1075"/>
      <c r="E111" s="1075"/>
      <c r="F111" s="1075"/>
      <c r="G111" s="1090"/>
      <c r="H111" s="1058"/>
      <c r="I111" s="1075"/>
      <c r="J111" s="1059"/>
      <c r="K111" s="1090"/>
      <c r="L111" s="1093"/>
      <c r="M111" s="1093"/>
      <c r="N111" s="1093"/>
      <c r="O111" s="1094"/>
      <c r="P111" s="1058" t="s">
        <v>365</v>
      </c>
      <c r="Q111" s="1075"/>
      <c r="R111" s="1075"/>
      <c r="S111" s="1075"/>
      <c r="T111" s="1096"/>
      <c r="U111" s="1094"/>
      <c r="V111" s="1063"/>
    </row>
    <row r="112" spans="2:22" ht="12.75" customHeight="1">
      <c r="B112" s="1076" t="str">
        <f>F112</f>
        <v>E0015</v>
      </c>
      <c r="C112" s="1077"/>
      <c r="D112" s="1078"/>
      <c r="E112" s="201" t="s">
        <v>400</v>
      </c>
      <c r="F112" s="198" t="str">
        <f>VLOOKUP($E112,EQUIPAMENTOS!$A:$B,2,FALSE)</f>
        <v>E0015</v>
      </c>
      <c r="G112" s="433"/>
      <c r="H112" s="1100">
        <f>VLOOKUP($B112,EQUIPAMENTOS!$B$3:$N$99,9,0)*M112</f>
        <v>8000</v>
      </c>
      <c r="I112" s="1101"/>
      <c r="J112" s="1101"/>
      <c r="K112" s="1082" t="s">
        <v>367</v>
      </c>
      <c r="L112" s="1083"/>
      <c r="M112" s="1084">
        <v>200</v>
      </c>
      <c r="N112" s="1084"/>
      <c r="O112" s="1084"/>
      <c r="P112" s="80" t="s">
        <v>376</v>
      </c>
      <c r="Q112" s="1085">
        <f>VLOOKUP($B112,EQUIPAMENTOS!$B$3:$N$99,13,0)</f>
        <v>3</v>
      </c>
      <c r="R112" s="1086"/>
      <c r="S112" s="1087"/>
      <c r="T112" s="436">
        <f>IF(Q112="","",IF(K112="km",M112/Q112,200*Q112)*INDEX(DADOS!$1:$1048576,MATCH(P112,DADOS!D:D,0),5))</f>
        <v>3954</v>
      </c>
      <c r="U112" s="202">
        <f>SUM(H112,T112)</f>
        <v>11954</v>
      </c>
      <c r="V112" s="203">
        <f>G112*U112</f>
        <v>0</v>
      </c>
    </row>
    <row r="113" spans="2:22" ht="12.75" hidden="1" customHeight="1">
      <c r="B113" s="1097" t="str">
        <f>F113</f>
        <v>E0028</v>
      </c>
      <c r="C113" s="1098"/>
      <c r="D113" s="1099"/>
      <c r="E113" s="200" t="s">
        <v>398</v>
      </c>
      <c r="F113" s="198" t="str">
        <f>VLOOKUP($E113,EQUIPAMENTOS!$A:$B,2,FALSE)</f>
        <v>E0028</v>
      </c>
      <c r="G113" s="434"/>
      <c r="H113" s="1100">
        <f>VLOOKUP($B113,EQUIPAMENTOS!$B$3:$N$99,9,0)*M113</f>
        <v>2000</v>
      </c>
      <c r="I113" s="1101"/>
      <c r="J113" s="1101"/>
      <c r="K113" s="1082" t="s">
        <v>367</v>
      </c>
      <c r="L113" s="1083"/>
      <c r="M113" s="1084">
        <v>200</v>
      </c>
      <c r="N113" s="1084"/>
      <c r="O113" s="1084"/>
      <c r="P113" s="80" t="s">
        <v>380</v>
      </c>
      <c r="Q113" s="1085">
        <f>VLOOKUP($B113,EQUIPAMENTOS!$B$3:$N$99,13,0)</f>
        <v>3</v>
      </c>
      <c r="R113" s="1086"/>
      <c r="S113" s="1087"/>
      <c r="T113" s="436">
        <f>IF(Q113="","",IF(K113="km",M113/Q113,200*Q113)*INDEX(DADOS!$1:$1048576,MATCH(P113,DADOS!D:D,0),5))</f>
        <v>0</v>
      </c>
      <c r="U113" s="202">
        <f>SUM(H113,T113)</f>
        <v>2000</v>
      </c>
      <c r="V113" s="436">
        <f>U113*G113</f>
        <v>0</v>
      </c>
    </row>
    <row r="114" spans="2:22" ht="12.75" hidden="1" customHeight="1">
      <c r="B114" s="1097">
        <f>F114</f>
        <v>0</v>
      </c>
      <c r="C114" s="1098"/>
      <c r="D114" s="1099"/>
      <c r="E114" s="200"/>
      <c r="F114" s="198"/>
      <c r="G114" s="434"/>
      <c r="H114" s="1100"/>
      <c r="I114" s="1101"/>
      <c r="J114" s="1101"/>
      <c r="K114" s="1082"/>
      <c r="L114" s="1083"/>
      <c r="M114" s="1084"/>
      <c r="N114" s="1084"/>
      <c r="O114" s="1084"/>
      <c r="P114" s="80"/>
      <c r="Q114" s="1085"/>
      <c r="R114" s="1086"/>
      <c r="S114" s="1087"/>
      <c r="T114" s="436" t="str">
        <f>IF(Q114="","",IF(K114="km",M114/Q114,200*Q114)*INDEX(DADOS!$1:$1048576,MATCH(P114,DADOS!D:D,0),5))</f>
        <v/>
      </c>
      <c r="U114" s="202">
        <f>SUM(H114,T114)</f>
        <v>0</v>
      </c>
      <c r="V114" s="436">
        <f>U114*G114</f>
        <v>0</v>
      </c>
    </row>
    <row r="115" spans="2:22" ht="12.75" hidden="1" customHeight="1">
      <c r="B115" s="1097">
        <f>F115</f>
        <v>0</v>
      </c>
      <c r="C115" s="1098"/>
      <c r="D115" s="1099"/>
      <c r="E115" s="200"/>
      <c r="F115" s="198"/>
      <c r="G115" s="434"/>
      <c r="H115" s="1100"/>
      <c r="I115" s="1101"/>
      <c r="J115" s="1101"/>
      <c r="K115" s="1082"/>
      <c r="L115" s="1083"/>
      <c r="M115" s="1084"/>
      <c r="N115" s="1084"/>
      <c r="O115" s="1084"/>
      <c r="P115" s="80"/>
      <c r="Q115" s="1085"/>
      <c r="R115" s="1086"/>
      <c r="S115" s="1087"/>
      <c r="T115" s="436" t="str">
        <f>IF(Q115="","",IF(K115="km",M115/Q115,200*Q115)*INDEX(DADOS!$1:$1048576,MATCH(P115,DADOS!D:D,0),5))</f>
        <v/>
      </c>
      <c r="U115" s="202">
        <f>SUM(H115,T115)</f>
        <v>0</v>
      </c>
      <c r="V115" s="436">
        <f>U115*G115</f>
        <v>0</v>
      </c>
    </row>
    <row r="116" spans="2:22" ht="12.75" customHeight="1">
      <c r="B116" s="1102"/>
      <c r="C116" s="1103"/>
      <c r="D116" s="1104"/>
      <c r="E116" s="1105"/>
      <c r="F116" s="1106"/>
      <c r="G116" s="432"/>
      <c r="H116" s="1107"/>
      <c r="I116" s="1107"/>
      <c r="J116" s="1107"/>
      <c r="K116" s="1108"/>
      <c r="L116" s="1107"/>
      <c r="M116" s="1109"/>
      <c r="N116" s="1109"/>
      <c r="O116" s="1109"/>
      <c r="P116" s="81"/>
      <c r="Q116" s="1085"/>
      <c r="R116" s="1086"/>
      <c r="S116" s="1087"/>
      <c r="T116" s="441" t="str">
        <f>IF(Q116="","",IF(K116="km",M116/Q116,200*Q116)*INDEX(DADOS!$1:$1048576,MATCH(P116,DADOS!D:D,0),5))</f>
        <v/>
      </c>
      <c r="U116" s="667">
        <f>SUM(H116,T116)</f>
        <v>0</v>
      </c>
      <c r="V116" s="441"/>
    </row>
    <row r="117" spans="2:22" ht="12.75" customHeight="1">
      <c r="B117" s="1123"/>
      <c r="C117" s="1124"/>
      <c r="D117" s="1125"/>
      <c r="E117" s="1126" t="s">
        <v>175</v>
      </c>
      <c r="F117" s="1127"/>
      <c r="G117" s="435">
        <f>SUM(G112:G116)</f>
        <v>0</v>
      </c>
      <c r="H117" s="1128">
        <f>SUMPRODUCT(G$112:$G116,H112:H116)</f>
        <v>0</v>
      </c>
      <c r="I117" s="1128"/>
      <c r="J117" s="1128"/>
      <c r="K117" s="1129"/>
      <c r="L117" s="1130"/>
      <c r="M117" s="1130"/>
      <c r="N117" s="1130"/>
      <c r="O117" s="1131"/>
      <c r="P117" s="699"/>
      <c r="Q117" s="819"/>
      <c r="R117" s="819"/>
      <c r="S117" s="819"/>
      <c r="T117" s="668">
        <f>SUMPRODUCT($G$112:G116,T112:T116)</f>
        <v>0</v>
      </c>
      <c r="U117" s="668"/>
      <c r="V117" s="668">
        <f>SUM(V112:V116)</f>
        <v>0</v>
      </c>
    </row>
    <row r="119" spans="2:22" ht="12.75" customHeight="1">
      <c r="B119" s="1055" t="s">
        <v>348</v>
      </c>
      <c r="C119" s="1055"/>
      <c r="D119" s="1055"/>
      <c r="E119" s="1055"/>
      <c r="F119" s="1055"/>
      <c r="G119" s="1055"/>
      <c r="H119" s="1055"/>
      <c r="I119" s="1055"/>
      <c r="J119" s="1055"/>
      <c r="K119" s="1055"/>
      <c r="L119" s="1055"/>
      <c r="M119" s="1055"/>
      <c r="N119" s="1055"/>
      <c r="O119" s="1055"/>
      <c r="P119" s="1055"/>
      <c r="Q119" s="1055"/>
      <c r="R119" s="1055"/>
      <c r="S119" s="1055"/>
      <c r="T119" s="1055"/>
      <c r="U119" s="1055"/>
      <c r="V119" s="1055"/>
    </row>
    <row r="120" spans="2:22" ht="12.75" customHeight="1">
      <c r="B120" s="1112" t="s">
        <v>183</v>
      </c>
      <c r="C120" s="1114"/>
      <c r="D120" s="1112" t="s">
        <v>324</v>
      </c>
      <c r="E120" s="1113"/>
      <c r="F120" s="1113"/>
      <c r="G120" s="1112" t="s">
        <v>371</v>
      </c>
      <c r="H120" s="1114"/>
      <c r="I120" s="1115" t="s">
        <v>372</v>
      </c>
      <c r="J120" s="1132"/>
      <c r="K120" s="1116"/>
      <c r="L120" s="1115" t="s">
        <v>189</v>
      </c>
      <c r="M120" s="1132"/>
      <c r="N120" s="1132"/>
      <c r="O120" s="1132"/>
      <c r="P120" s="1116"/>
      <c r="Q120" s="1112" t="s">
        <v>373</v>
      </c>
      <c r="R120" s="1113"/>
      <c r="S120" s="1113"/>
      <c r="T120" s="1114"/>
      <c r="U120" s="1115"/>
      <c r="V120" s="1116"/>
    </row>
    <row r="121" spans="2:22" ht="12.75" customHeight="1">
      <c r="B121" s="186"/>
      <c r="C121" s="430"/>
      <c r="D121" s="1117"/>
      <c r="E121" s="1118"/>
      <c r="F121" s="1118"/>
      <c r="G121" s="1119"/>
      <c r="H121" s="1119"/>
      <c r="I121" s="1120"/>
      <c r="J121" s="1120"/>
      <c r="K121" s="1120"/>
      <c r="L121" s="1558"/>
      <c r="M121" s="1120"/>
      <c r="N121" s="1120"/>
      <c r="O121" s="1120"/>
      <c r="P121" s="1120"/>
      <c r="Q121" s="1054">
        <f>I121*L121</f>
        <v>0</v>
      </c>
      <c r="R121" s="1054"/>
      <c r="S121" s="1054"/>
      <c r="T121" s="1054"/>
      <c r="U121" s="1133"/>
      <c r="V121" s="1134"/>
    </row>
    <row r="122" spans="2:22" ht="12.75" customHeight="1">
      <c r="B122" s="186"/>
      <c r="C122" s="430"/>
      <c r="D122" s="1117"/>
      <c r="E122" s="1118"/>
      <c r="F122" s="1118"/>
      <c r="G122" s="1119"/>
      <c r="H122" s="1119"/>
      <c r="I122" s="1135"/>
      <c r="J122" s="1135"/>
      <c r="K122" s="1135"/>
      <c r="L122" s="1135"/>
      <c r="M122" s="1135"/>
      <c r="N122" s="1135"/>
      <c r="O122" s="1135"/>
      <c r="P122" s="1135"/>
      <c r="Q122" s="1054">
        <f>I122*L122</f>
        <v>0</v>
      </c>
      <c r="R122" s="1054"/>
      <c r="S122" s="1054"/>
      <c r="T122" s="1054"/>
      <c r="U122" s="1133"/>
      <c r="V122" s="1134"/>
    </row>
    <row r="123" spans="2:22" ht="12.75" customHeight="1">
      <c r="B123" s="186"/>
      <c r="C123" s="430"/>
      <c r="D123" s="1117"/>
      <c r="E123" s="1118"/>
      <c r="F123" s="1118"/>
      <c r="G123" s="1119"/>
      <c r="H123" s="1119"/>
      <c r="I123" s="1120"/>
      <c r="J123" s="1120"/>
      <c r="K123" s="1120"/>
      <c r="L123" s="1120"/>
      <c r="M123" s="1120"/>
      <c r="N123" s="1120"/>
      <c r="O123" s="1120"/>
      <c r="P123" s="1120"/>
      <c r="Q123" s="1054">
        <f>I123*L123</f>
        <v>0</v>
      </c>
      <c r="R123" s="1054"/>
      <c r="S123" s="1054"/>
      <c r="T123" s="1054"/>
      <c r="U123" s="1133"/>
      <c r="V123" s="1134"/>
    </row>
    <row r="124" spans="2:22" ht="12.75" customHeight="1">
      <c r="B124" s="186" t="str">
        <f>IF(I124="","",COUNT($I$37:I124))</f>
        <v/>
      </c>
      <c r="C124" s="430"/>
      <c r="D124" s="1117"/>
      <c r="E124" s="1118"/>
      <c r="F124" s="1118"/>
      <c r="G124" s="1138"/>
      <c r="H124" s="1138"/>
      <c r="I124" s="1139"/>
      <c r="J124" s="1139"/>
      <c r="K124" s="1139"/>
      <c r="L124" s="1139"/>
      <c r="M124" s="1139"/>
      <c r="N124" s="1139"/>
      <c r="O124" s="1139"/>
      <c r="P124" s="1139"/>
      <c r="Q124" s="1054">
        <f>I124*L124</f>
        <v>0</v>
      </c>
      <c r="R124" s="1054"/>
      <c r="S124" s="1054"/>
      <c r="T124" s="1054"/>
      <c r="U124" s="1140"/>
      <c r="V124" s="1141"/>
    </row>
    <row r="125" spans="2:22" ht="12.75" customHeight="1">
      <c r="B125" s="1123"/>
      <c r="C125" s="1125"/>
      <c r="D125" s="1123"/>
      <c r="E125" s="1124"/>
      <c r="F125" s="1124"/>
      <c r="G125" s="1123"/>
      <c r="H125" s="1125"/>
      <c r="I125" s="1123"/>
      <c r="J125" s="1124"/>
      <c r="K125" s="1125"/>
      <c r="L125" s="1123"/>
      <c r="M125" s="1124"/>
      <c r="N125" s="1124"/>
      <c r="O125" s="1124"/>
      <c r="P125" s="1125"/>
      <c r="Q125" s="1136">
        <f>SUM(Q121:T124)</f>
        <v>0</v>
      </c>
      <c r="R125" s="1137"/>
      <c r="S125" s="1137"/>
      <c r="T125" s="1137"/>
      <c r="U125" s="1123"/>
      <c r="V125" s="1125"/>
    </row>
  </sheetData>
  <mergeCells count="440">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2:I22"/>
    <mergeCell ref="K22:M22"/>
    <mergeCell ref="O22:R22"/>
    <mergeCell ref="S22:T22"/>
    <mergeCell ref="B23:C23"/>
    <mergeCell ref="D23:F23"/>
    <mergeCell ref="H23:I23"/>
    <mergeCell ref="J23:M23"/>
    <mergeCell ref="N23:R23"/>
    <mergeCell ref="S23:T23"/>
    <mergeCell ref="P27:S27"/>
    <mergeCell ref="B28:D28"/>
    <mergeCell ref="H28:J28"/>
    <mergeCell ref="K28:L28"/>
    <mergeCell ref="M28:O28"/>
    <mergeCell ref="Q28:S28"/>
    <mergeCell ref="B25:V25"/>
    <mergeCell ref="B26:D27"/>
    <mergeCell ref="E26:F27"/>
    <mergeCell ref="G26:G27"/>
    <mergeCell ref="H26:J27"/>
    <mergeCell ref="K26:O27"/>
    <mergeCell ref="P26:S26"/>
    <mergeCell ref="T26:T27"/>
    <mergeCell ref="U26:U27"/>
    <mergeCell ref="V26:V27"/>
    <mergeCell ref="B29:D29"/>
    <mergeCell ref="H29:J29"/>
    <mergeCell ref="K29:L29"/>
    <mergeCell ref="M29:O29"/>
    <mergeCell ref="Q29:S29"/>
    <mergeCell ref="B30:D30"/>
    <mergeCell ref="H30:J30"/>
    <mergeCell ref="K30:L30"/>
    <mergeCell ref="M30:O30"/>
    <mergeCell ref="Q30:S30"/>
    <mergeCell ref="B32:D32"/>
    <mergeCell ref="E32:F32"/>
    <mergeCell ref="H32:J32"/>
    <mergeCell ref="K32:L32"/>
    <mergeCell ref="M32:O32"/>
    <mergeCell ref="Q32:S32"/>
    <mergeCell ref="B31:D31"/>
    <mergeCell ref="E31:F31"/>
    <mergeCell ref="H31:J31"/>
    <mergeCell ref="K31:L31"/>
    <mergeCell ref="M31:O31"/>
    <mergeCell ref="Q31:S31"/>
    <mergeCell ref="B33:D33"/>
    <mergeCell ref="E33:F33"/>
    <mergeCell ref="H33:J33"/>
    <mergeCell ref="K33:O33"/>
    <mergeCell ref="B35:V35"/>
    <mergeCell ref="B36:C36"/>
    <mergeCell ref="D36:F36"/>
    <mergeCell ref="G36:H36"/>
    <mergeCell ref="I36:K36"/>
    <mergeCell ref="L36:P36"/>
    <mergeCell ref="D38:F38"/>
    <mergeCell ref="G38:H38"/>
    <mergeCell ref="I38:K38"/>
    <mergeCell ref="L38:P38"/>
    <mergeCell ref="Q38:T38"/>
    <mergeCell ref="U38:V38"/>
    <mergeCell ref="Q36:T36"/>
    <mergeCell ref="U36:V36"/>
    <mergeCell ref="D37:F37"/>
    <mergeCell ref="G37:H37"/>
    <mergeCell ref="I37:K37"/>
    <mergeCell ref="L37:P37"/>
    <mergeCell ref="Q37:T37"/>
    <mergeCell ref="U37:V37"/>
    <mergeCell ref="E45:E46"/>
    <mergeCell ref="H45:I45"/>
    <mergeCell ref="J45:L45"/>
    <mergeCell ref="O45:T46"/>
    <mergeCell ref="U45:V46"/>
    <mergeCell ref="H46:I46"/>
    <mergeCell ref="J46:L46"/>
    <mergeCell ref="U39:V39"/>
    <mergeCell ref="B42:D42"/>
    <mergeCell ref="C44:E44"/>
    <mergeCell ref="H44:I44"/>
    <mergeCell ref="J44:L44"/>
    <mergeCell ref="O44:T44"/>
    <mergeCell ref="U44:V44"/>
    <mergeCell ref="B39:C39"/>
    <mergeCell ref="D39:F39"/>
    <mergeCell ref="G39:H39"/>
    <mergeCell ref="I39:K39"/>
    <mergeCell ref="L39:P39"/>
    <mergeCell ref="Q39:T39"/>
    <mergeCell ref="H52:I52"/>
    <mergeCell ref="K52:M52"/>
    <mergeCell ref="O52:R52"/>
    <mergeCell ref="S52:T52"/>
    <mergeCell ref="H53:I53"/>
    <mergeCell ref="K53:M53"/>
    <mergeCell ref="O53:R53"/>
    <mergeCell ref="S53:T53"/>
    <mergeCell ref="B49:V49"/>
    <mergeCell ref="B50:C51"/>
    <mergeCell ref="D50:F51"/>
    <mergeCell ref="G50:G51"/>
    <mergeCell ref="H50:I51"/>
    <mergeCell ref="J50:M51"/>
    <mergeCell ref="N50:R51"/>
    <mergeCell ref="S50:T51"/>
    <mergeCell ref="U50:U51"/>
    <mergeCell ref="V50:V51"/>
    <mergeCell ref="H56:I56"/>
    <mergeCell ref="K56:M56"/>
    <mergeCell ref="O56:R56"/>
    <mergeCell ref="S56:T56"/>
    <mergeCell ref="H57:I57"/>
    <mergeCell ref="K57:M57"/>
    <mergeCell ref="O57:R57"/>
    <mergeCell ref="S57:T57"/>
    <mergeCell ref="H54:I54"/>
    <mergeCell ref="K54:M54"/>
    <mergeCell ref="O54:R54"/>
    <mergeCell ref="S54:T54"/>
    <mergeCell ref="H55:I55"/>
    <mergeCell ref="K55:M55"/>
    <mergeCell ref="O55:R55"/>
    <mergeCell ref="S55:T55"/>
    <mergeCell ref="H60:I60"/>
    <mergeCell ref="K60:M60"/>
    <mergeCell ref="O60:R60"/>
    <mergeCell ref="S60:T60"/>
    <mergeCell ref="H61:I61"/>
    <mergeCell ref="K61:M61"/>
    <mergeCell ref="O61:R61"/>
    <mergeCell ref="S61:T61"/>
    <mergeCell ref="H58:I58"/>
    <mergeCell ref="K58:M58"/>
    <mergeCell ref="O58:R58"/>
    <mergeCell ref="S58:T58"/>
    <mergeCell ref="H59:I59"/>
    <mergeCell ref="K59:M59"/>
    <mergeCell ref="O59:R59"/>
    <mergeCell ref="S59:T59"/>
    <mergeCell ref="B64:C64"/>
    <mergeCell ref="D64:F64"/>
    <mergeCell ref="H64:I64"/>
    <mergeCell ref="J64:M64"/>
    <mergeCell ref="N64:R64"/>
    <mergeCell ref="S64:T64"/>
    <mergeCell ref="H62:I62"/>
    <mergeCell ref="K62:M62"/>
    <mergeCell ref="O62:R62"/>
    <mergeCell ref="S62:T62"/>
    <mergeCell ref="H63:I63"/>
    <mergeCell ref="K63:M63"/>
    <mergeCell ref="O63:R63"/>
    <mergeCell ref="S63:T63"/>
    <mergeCell ref="P68:S68"/>
    <mergeCell ref="B69:D69"/>
    <mergeCell ref="H69:J69"/>
    <mergeCell ref="K69:L69"/>
    <mergeCell ref="M69:O69"/>
    <mergeCell ref="Q69:S69"/>
    <mergeCell ref="B66:V66"/>
    <mergeCell ref="B67:D68"/>
    <mergeCell ref="E67:F68"/>
    <mergeCell ref="G67:G68"/>
    <mergeCell ref="H67:J68"/>
    <mergeCell ref="K67:O68"/>
    <mergeCell ref="P67:S67"/>
    <mergeCell ref="T67:T68"/>
    <mergeCell ref="U67:U68"/>
    <mergeCell ref="V67:V68"/>
    <mergeCell ref="B70:D70"/>
    <mergeCell ref="H70:J70"/>
    <mergeCell ref="K70:L70"/>
    <mergeCell ref="M70:O70"/>
    <mergeCell ref="Q70:S70"/>
    <mergeCell ref="B71:D71"/>
    <mergeCell ref="H71:J71"/>
    <mergeCell ref="K71:L71"/>
    <mergeCell ref="M71:O71"/>
    <mergeCell ref="Q71:S71"/>
    <mergeCell ref="B72:D72"/>
    <mergeCell ref="H72:J72"/>
    <mergeCell ref="K72:L72"/>
    <mergeCell ref="M72:O72"/>
    <mergeCell ref="Q72:S72"/>
    <mergeCell ref="B73:D73"/>
    <mergeCell ref="E73:F73"/>
    <mergeCell ref="H73:J73"/>
    <mergeCell ref="K73:L73"/>
    <mergeCell ref="M73:O73"/>
    <mergeCell ref="B77:C77"/>
    <mergeCell ref="D77:F77"/>
    <mergeCell ref="G77:H77"/>
    <mergeCell ref="I77:K77"/>
    <mergeCell ref="L77:P77"/>
    <mergeCell ref="Q77:T77"/>
    <mergeCell ref="Q73:S73"/>
    <mergeCell ref="B74:D74"/>
    <mergeCell ref="E74:F74"/>
    <mergeCell ref="H74:J74"/>
    <mergeCell ref="K74:O74"/>
    <mergeCell ref="B76:V76"/>
    <mergeCell ref="D79:F79"/>
    <mergeCell ref="G79:H79"/>
    <mergeCell ref="I79:K79"/>
    <mergeCell ref="L79:P79"/>
    <mergeCell ref="Q79:T79"/>
    <mergeCell ref="U79:V79"/>
    <mergeCell ref="U77:V77"/>
    <mergeCell ref="D78:F78"/>
    <mergeCell ref="G78:H78"/>
    <mergeCell ref="I78:K78"/>
    <mergeCell ref="L78:P78"/>
    <mergeCell ref="Q78:T78"/>
    <mergeCell ref="U78:V78"/>
    <mergeCell ref="D81:F81"/>
    <mergeCell ref="G81:H81"/>
    <mergeCell ref="I81:K81"/>
    <mergeCell ref="L81:P81"/>
    <mergeCell ref="Q81:T81"/>
    <mergeCell ref="U81:V81"/>
    <mergeCell ref="D80:F80"/>
    <mergeCell ref="G80:H80"/>
    <mergeCell ref="I80:K80"/>
    <mergeCell ref="L80:P80"/>
    <mergeCell ref="Q80:T80"/>
    <mergeCell ref="U80:V80"/>
    <mergeCell ref="E88:E89"/>
    <mergeCell ref="H88:I88"/>
    <mergeCell ref="J88:L88"/>
    <mergeCell ref="O88:T89"/>
    <mergeCell ref="U88:V89"/>
    <mergeCell ref="H89:I89"/>
    <mergeCell ref="J89:L89"/>
    <mergeCell ref="U82:V82"/>
    <mergeCell ref="B85:D85"/>
    <mergeCell ref="C87:E87"/>
    <mergeCell ref="H87:I87"/>
    <mergeCell ref="J87:L87"/>
    <mergeCell ref="O87:T87"/>
    <mergeCell ref="U87:V87"/>
    <mergeCell ref="B82:C82"/>
    <mergeCell ref="D82:F82"/>
    <mergeCell ref="G82:H82"/>
    <mergeCell ref="I82:K82"/>
    <mergeCell ref="L82:P82"/>
    <mergeCell ref="Q82:T82"/>
    <mergeCell ref="H95:I95"/>
    <mergeCell ref="K95:M95"/>
    <mergeCell ref="O95:R95"/>
    <mergeCell ref="S95:T95"/>
    <mergeCell ref="H96:I96"/>
    <mergeCell ref="K96:M96"/>
    <mergeCell ref="O96:R96"/>
    <mergeCell ref="S96:T96"/>
    <mergeCell ref="B92:V92"/>
    <mergeCell ref="B93:C94"/>
    <mergeCell ref="D93:F94"/>
    <mergeCell ref="G93:G94"/>
    <mergeCell ref="H93:I94"/>
    <mergeCell ref="J93:M94"/>
    <mergeCell ref="N93:R94"/>
    <mergeCell ref="S93:T94"/>
    <mergeCell ref="U93:U94"/>
    <mergeCell ref="V93:V94"/>
    <mergeCell ref="H99:I99"/>
    <mergeCell ref="K99:M99"/>
    <mergeCell ref="O99:R99"/>
    <mergeCell ref="S99:T99"/>
    <mergeCell ref="H100:I100"/>
    <mergeCell ref="K100:M100"/>
    <mergeCell ref="O100:R100"/>
    <mergeCell ref="S100:T100"/>
    <mergeCell ref="H97:I97"/>
    <mergeCell ref="K97:M97"/>
    <mergeCell ref="O97:R97"/>
    <mergeCell ref="S97:T97"/>
    <mergeCell ref="H98:I98"/>
    <mergeCell ref="K98:M98"/>
    <mergeCell ref="O98:R98"/>
    <mergeCell ref="S98:T98"/>
    <mergeCell ref="H103:I103"/>
    <mergeCell ref="K103:M103"/>
    <mergeCell ref="O103:R103"/>
    <mergeCell ref="S103:T103"/>
    <mergeCell ref="H104:I104"/>
    <mergeCell ref="K104:M104"/>
    <mergeCell ref="O104:R104"/>
    <mergeCell ref="S104:T104"/>
    <mergeCell ref="H101:I101"/>
    <mergeCell ref="K101:M101"/>
    <mergeCell ref="O101:R101"/>
    <mergeCell ref="S101:T101"/>
    <mergeCell ref="H102:I102"/>
    <mergeCell ref="K102:M102"/>
    <mergeCell ref="O102:R102"/>
    <mergeCell ref="S102:T102"/>
    <mergeCell ref="B107:C107"/>
    <mergeCell ref="D107:F107"/>
    <mergeCell ref="H107:I107"/>
    <mergeCell ref="J107:M107"/>
    <mergeCell ref="N107:R107"/>
    <mergeCell ref="S107:T107"/>
    <mergeCell ref="H105:I105"/>
    <mergeCell ref="K105:M105"/>
    <mergeCell ref="O105:R105"/>
    <mergeCell ref="S105:T105"/>
    <mergeCell ref="H106:I106"/>
    <mergeCell ref="K106:M106"/>
    <mergeCell ref="O106:R106"/>
    <mergeCell ref="S106:T106"/>
    <mergeCell ref="P111:S111"/>
    <mergeCell ref="B112:D112"/>
    <mergeCell ref="H112:J112"/>
    <mergeCell ref="K112:L112"/>
    <mergeCell ref="M112:O112"/>
    <mergeCell ref="Q112:S112"/>
    <mergeCell ref="B109:V109"/>
    <mergeCell ref="B110:D111"/>
    <mergeCell ref="E110:F111"/>
    <mergeCell ref="G110:G111"/>
    <mergeCell ref="H110:J111"/>
    <mergeCell ref="K110:O111"/>
    <mergeCell ref="P110:S110"/>
    <mergeCell ref="T110:T111"/>
    <mergeCell ref="U110:U111"/>
    <mergeCell ref="V110:V111"/>
    <mergeCell ref="B113:D113"/>
    <mergeCell ref="H113:J113"/>
    <mergeCell ref="K113:L113"/>
    <mergeCell ref="M113:O113"/>
    <mergeCell ref="Q113:S113"/>
    <mergeCell ref="B114:D114"/>
    <mergeCell ref="H114:J114"/>
    <mergeCell ref="K114:L114"/>
    <mergeCell ref="M114:O114"/>
    <mergeCell ref="Q114:S114"/>
    <mergeCell ref="Q116:S116"/>
    <mergeCell ref="B117:D117"/>
    <mergeCell ref="E117:F117"/>
    <mergeCell ref="H117:J117"/>
    <mergeCell ref="K117:O117"/>
    <mergeCell ref="B119:V119"/>
    <mergeCell ref="B115:D115"/>
    <mergeCell ref="H115:J115"/>
    <mergeCell ref="K115:L115"/>
    <mergeCell ref="M115:O115"/>
    <mergeCell ref="Q115:S115"/>
    <mergeCell ref="B116:D116"/>
    <mergeCell ref="E116:F116"/>
    <mergeCell ref="H116:J116"/>
    <mergeCell ref="K116:L116"/>
    <mergeCell ref="M116:O116"/>
    <mergeCell ref="D121:F121"/>
    <mergeCell ref="G121:H121"/>
    <mergeCell ref="I121:K121"/>
    <mergeCell ref="L121:P121"/>
    <mergeCell ref="Q121:T121"/>
    <mergeCell ref="U121:V121"/>
    <mergeCell ref="U120:V120"/>
    <mergeCell ref="B120:C120"/>
    <mergeCell ref="D120:F120"/>
    <mergeCell ref="G120:H120"/>
    <mergeCell ref="I120:K120"/>
    <mergeCell ref="L120:P120"/>
    <mergeCell ref="Q120:T120"/>
    <mergeCell ref="D123:F123"/>
    <mergeCell ref="G123:H123"/>
    <mergeCell ref="I123:K123"/>
    <mergeCell ref="L123:P123"/>
    <mergeCell ref="Q123:T123"/>
    <mergeCell ref="U123:V123"/>
    <mergeCell ref="D122:F122"/>
    <mergeCell ref="G122:H122"/>
    <mergeCell ref="I122:K122"/>
    <mergeCell ref="L122:P122"/>
    <mergeCell ref="Q122:T122"/>
    <mergeCell ref="U122:V122"/>
    <mergeCell ref="U125:V125"/>
    <mergeCell ref="B125:C125"/>
    <mergeCell ref="D125:F125"/>
    <mergeCell ref="G125:H125"/>
    <mergeCell ref="I125:K125"/>
    <mergeCell ref="L125:P125"/>
    <mergeCell ref="Q125:T125"/>
    <mergeCell ref="D124:F124"/>
    <mergeCell ref="G124:H124"/>
    <mergeCell ref="I124:K124"/>
    <mergeCell ref="L124:P124"/>
    <mergeCell ref="Q124:T124"/>
    <mergeCell ref="U124:V124"/>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5702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57026" r:id="rId3" name="Label1"/>
      </mc:Fallback>
    </mc:AlternateContent>
    <mc:AlternateContent xmlns:mc="http://schemas.openxmlformats.org/markup-compatibility/2006">
      <mc:Choice Requires="x14">
        <control shapeId="257025"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57025" r:id="rId5" name="ComboBox13"/>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62B92-5B59-4AB3-8752-5E79BC57AB98}">
  <sheetPr codeName="Planilha14">
    <tabColor rgb="FF00B050"/>
  </sheetPr>
  <dimension ref="B1:AA74"/>
  <sheetViews>
    <sheetView showGridLines="0" zoomScaleNormal="100" workbookViewId="0">
      <selection activeCell="G55" sqref="G55:G5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28.6640625" style="58" bestFit="1" customWidth="1"/>
    <col min="6" max="6" width="6" style="58" bestFit="1" customWidth="1"/>
    <col min="7" max="7" width="4" style="58" bestFit="1" customWidth="1"/>
    <col min="8" max="8" width="6.6640625" style="58" customWidth="1"/>
    <col min="9" max="9" width="7.44140625" style="58" customWidth="1"/>
    <col min="10" max="10" width="4.44140625" style="58" customWidth="1"/>
    <col min="11" max="11" width="5.66406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23" width="12.44140625" style="58" bestFit="1" customWidth="1"/>
    <col min="24" max="24" width="14.5546875" style="58" bestFit="1" customWidth="1"/>
    <col min="25" max="25" width="8.6640625" style="58" customWidth="1"/>
    <col min="26" max="26" width="13.5546875" style="58" customWidth="1"/>
    <col min="27" max="27" width="14.88671875" style="58" bestFit="1" customWidth="1"/>
    <col min="28" max="28" width="11.88671875" style="58" bestFit="1" customWidth="1"/>
    <col min="29" max="29" width="12.33203125" style="58" customWidth="1"/>
    <col min="30" max="30" width="11.5546875" style="58" customWidth="1"/>
    <col min="31" max="31" width="11" style="58" bestFit="1" customWidth="1"/>
    <col min="32" max="16384" width="9.109375" style="58"/>
  </cols>
  <sheetData>
    <row r="1" spans="2:27" ht="12.75" customHeight="1">
      <c r="W1" s="860"/>
      <c r="X1" s="137"/>
      <c r="Y1" s="755"/>
    </row>
    <row r="2" spans="2:27" ht="12.75" customHeight="1">
      <c r="Z2" s="755"/>
      <c r="AA2" s="755"/>
    </row>
    <row r="3" spans="2:27" ht="12.75" customHeight="1">
      <c r="Z3" s="755"/>
      <c r="AA3" s="755"/>
    </row>
    <row r="7" spans="2:27" ht="12.75" customHeight="1">
      <c r="B7" s="1044" t="s">
        <v>343</v>
      </c>
      <c r="C7" s="1044"/>
      <c r="D7" s="1044"/>
      <c r="E7" s="70" t="s">
        <v>230</v>
      </c>
      <c r="W7" s="755"/>
      <c r="X7" s="755"/>
    </row>
    <row r="8" spans="2:27" ht="12.75" customHeight="1">
      <c r="B8" s="71"/>
      <c r="C8" s="71"/>
      <c r="D8" s="71"/>
      <c r="E8" s="71"/>
      <c r="F8" s="71"/>
      <c r="G8" s="71"/>
      <c r="H8" s="71"/>
      <c r="I8" s="71"/>
      <c r="J8" s="71"/>
      <c r="K8" s="71"/>
      <c r="L8" s="71"/>
      <c r="M8" s="71"/>
      <c r="N8" s="71"/>
      <c r="O8" s="71"/>
      <c r="P8" s="71"/>
      <c r="Q8" s="71"/>
      <c r="R8" s="71"/>
      <c r="S8" s="71"/>
      <c r="T8" s="71"/>
      <c r="U8" s="71"/>
      <c r="V8" s="71"/>
      <c r="W8" s="883">
        <f>CRONOGRAMA!FV7</f>
        <v>46608</v>
      </c>
      <c r="X8" s="883">
        <f>CRONOGRAMA!GL7+3</f>
        <v>46667</v>
      </c>
      <c r="Y8" s="58">
        <f>X8-W8</f>
        <v>59</v>
      </c>
      <c r="Z8" s="137">
        <f>Y8/30</f>
        <v>1.9666666666666666</v>
      </c>
    </row>
    <row r="9" spans="2:27" ht="12.75" customHeight="1">
      <c r="B9" s="71"/>
      <c r="C9" s="1045" t="s">
        <v>303</v>
      </c>
      <c r="D9" s="1045"/>
      <c r="E9" s="1046"/>
      <c r="F9" s="71"/>
      <c r="G9" s="71"/>
      <c r="H9" s="1039" t="s">
        <v>344</v>
      </c>
      <c r="I9" s="1039"/>
      <c r="J9" s="1040">
        <f>U24</f>
        <v>0</v>
      </c>
      <c r="K9" s="1040"/>
      <c r="L9" s="1040"/>
      <c r="M9" s="448"/>
      <c r="N9" s="447"/>
      <c r="O9" s="1047" t="s">
        <v>345</v>
      </c>
      <c r="P9" s="1047"/>
      <c r="Q9" s="1047"/>
      <c r="R9" s="1047"/>
      <c r="S9" s="1047"/>
      <c r="T9" s="1047"/>
      <c r="U9" s="1048" t="s">
        <v>346</v>
      </c>
      <c r="V9" s="1047"/>
      <c r="W9" s="891" t="s">
        <v>1208</v>
      </c>
      <c r="X9" s="755"/>
    </row>
    <row r="10" spans="2:27" ht="12.75" customHeight="1">
      <c r="B10" s="71"/>
      <c r="C10" s="446"/>
      <c r="D10" s="446"/>
      <c r="E10" s="1038" t="e">
        <f>J9+J10+J11</f>
        <v>#N/A</v>
      </c>
      <c r="F10" s="71"/>
      <c r="G10" s="71"/>
      <c r="H10" s="1039" t="s">
        <v>347</v>
      </c>
      <c r="I10" s="1039"/>
      <c r="J10" s="1040" t="e">
        <f>V34</f>
        <v>#N/A</v>
      </c>
      <c r="K10" s="1040"/>
      <c r="L10" s="1040"/>
      <c r="M10" s="449"/>
      <c r="N10" s="402"/>
      <c r="O10" s="1041">
        <f>Z8</f>
        <v>1.9666666666666666</v>
      </c>
      <c r="P10" s="1041"/>
      <c r="Q10" s="1041"/>
      <c r="R10" s="1041"/>
      <c r="S10" s="1041"/>
      <c r="T10" s="1041"/>
      <c r="U10" s="1042" t="e">
        <f>E10*O10</f>
        <v>#N/A</v>
      </c>
      <c r="V10" s="1043"/>
    </row>
    <row r="11" spans="2:27" ht="12.75" customHeight="1">
      <c r="B11" s="73"/>
      <c r="C11" s="446"/>
      <c r="D11" s="446"/>
      <c r="E11" s="1038"/>
      <c r="F11" s="71"/>
      <c r="G11" s="71"/>
      <c r="H11" s="1039" t="s">
        <v>348</v>
      </c>
      <c r="I11" s="1039"/>
      <c r="J11" s="1040"/>
      <c r="K11" s="1040"/>
      <c r="L11" s="1040"/>
      <c r="M11" s="449"/>
      <c r="N11" s="402"/>
      <c r="O11" s="1041"/>
      <c r="P11" s="1041"/>
      <c r="Q11" s="1041"/>
      <c r="R11" s="1041"/>
      <c r="S11" s="1041"/>
      <c r="T11" s="1041"/>
      <c r="U11" s="1042"/>
      <c r="V11" s="1043"/>
    </row>
    <row r="12" spans="2:27" ht="12.75" customHeight="1">
      <c r="B12" s="71"/>
      <c r="C12" s="71"/>
      <c r="D12" s="71"/>
      <c r="E12" s="71"/>
      <c r="F12" s="71"/>
      <c r="G12" s="71"/>
      <c r="H12" s="71"/>
      <c r="I12" s="71"/>
      <c r="J12" s="71"/>
      <c r="K12" s="71"/>
      <c r="L12" s="71"/>
      <c r="M12" s="71"/>
      <c r="N12" s="71"/>
      <c r="O12" s="71"/>
      <c r="P12" s="71"/>
      <c r="Q12" s="71"/>
      <c r="R12" s="71"/>
      <c r="S12" s="71"/>
      <c r="T12" s="71"/>
      <c r="U12" s="71"/>
      <c r="V12" s="71"/>
    </row>
    <row r="14" spans="2:27" ht="12.75" customHeight="1">
      <c r="B14" s="1055" t="s">
        <v>344</v>
      </c>
      <c r="C14" s="1055"/>
      <c r="D14" s="1055"/>
      <c r="E14" s="1055"/>
      <c r="F14" s="1055"/>
      <c r="G14" s="1055"/>
      <c r="H14" s="1055"/>
      <c r="I14" s="1055"/>
      <c r="J14" s="1055"/>
      <c r="K14" s="1055"/>
      <c r="L14" s="1055"/>
      <c r="M14" s="1055"/>
      <c r="N14" s="1055"/>
      <c r="O14" s="1055"/>
      <c r="P14" s="1055"/>
      <c r="Q14" s="1055"/>
      <c r="R14" s="1055"/>
      <c r="S14" s="1055"/>
      <c r="T14" s="1055"/>
      <c r="U14" s="1055"/>
      <c r="V14" s="1055"/>
    </row>
    <row r="15" spans="2:27" ht="12.75" customHeight="1">
      <c r="B15" s="1056" t="s">
        <v>183</v>
      </c>
      <c r="C15" s="1057"/>
      <c r="D15" s="1060" t="s">
        <v>349</v>
      </c>
      <c r="E15" s="1060"/>
      <c r="F15" s="1060"/>
      <c r="G15" s="1060" t="s">
        <v>350</v>
      </c>
      <c r="H15" s="1060" t="s">
        <v>351</v>
      </c>
      <c r="I15" s="1060"/>
      <c r="J15" s="1060" t="s">
        <v>352</v>
      </c>
      <c r="K15" s="1060"/>
      <c r="L15" s="1060"/>
      <c r="M15" s="1060"/>
      <c r="N15" s="1060"/>
      <c r="O15" s="1060"/>
      <c r="P15" s="1060"/>
      <c r="Q15" s="1060"/>
      <c r="R15" s="1060"/>
      <c r="S15" s="1061" t="s">
        <v>353</v>
      </c>
      <c r="T15" s="1061"/>
      <c r="U15" s="1062" t="s">
        <v>346</v>
      </c>
      <c r="V15" s="1060"/>
    </row>
    <row r="16" spans="2:27" ht="12.75" customHeight="1">
      <c r="B16" s="1058"/>
      <c r="C16" s="1059"/>
      <c r="D16" s="1060"/>
      <c r="E16" s="1060"/>
      <c r="F16" s="1060"/>
      <c r="G16" s="1060"/>
      <c r="H16" s="1060"/>
      <c r="I16" s="1060"/>
      <c r="J16" s="1060"/>
      <c r="K16" s="1060"/>
      <c r="L16" s="1060"/>
      <c r="M16" s="1060"/>
      <c r="N16" s="1060"/>
      <c r="O16" s="1060"/>
      <c r="P16" s="1060"/>
      <c r="Q16" s="1060"/>
      <c r="R16" s="1060"/>
      <c r="S16" s="1061"/>
      <c r="T16" s="1061"/>
      <c r="U16" s="1063"/>
      <c r="V16" s="1060"/>
    </row>
    <row r="17" spans="2:25" ht="12.75" customHeight="1">
      <c r="B17" s="75" t="str">
        <f t="shared" ref="B17:B22" si="0">F17</f>
        <v>P0043</v>
      </c>
      <c r="C17" s="199"/>
      <c r="D17" s="75"/>
      <c r="E17" s="198" t="s">
        <v>378</v>
      </c>
      <c r="F17" s="198" t="str">
        <f>VLOOKUP(E17,'MÃO DE OBRA'!$A:$B,2,FALSE)</f>
        <v>P0043</v>
      </c>
      <c r="G17" s="186"/>
      <c r="H17" s="1049">
        <f>IF(D17="h",VLOOKUP(B17,'MÃO DE OBRA'!$B$3:$D$97,3,0)*220,VLOOKUP(B17,'MÃO DE OBRA'!$B$3:$D$97,3,0))</f>
        <v>3843.4</v>
      </c>
      <c r="I17" s="1050"/>
      <c r="J17" s="76" t="s">
        <v>354</v>
      </c>
      <c r="K17" s="1051">
        <f>IF(J17="",0,IF(J17="D",H17*DADOS!$D$18,H17*DADOS!$D$19))</f>
        <v>960.85</v>
      </c>
      <c r="L17" s="1052"/>
      <c r="M17" s="1053"/>
      <c r="N17" s="186"/>
      <c r="O17" s="1051"/>
      <c r="P17" s="1052"/>
      <c r="Q17" s="1052"/>
      <c r="R17" s="1053"/>
      <c r="S17" s="1054">
        <f>IF(G17="",0,IF(C17="3º",0,IF(C17="PJ",0,((H17+K17)*DADOS!$D$7)+((H17+K17)*DADOS!$D$6))))</f>
        <v>0</v>
      </c>
      <c r="T17" s="1054"/>
      <c r="U17" s="450">
        <f t="shared" ref="U17:U22" si="1">IF(G17="",0,SUM(H17,K17,,O17,V17,S17))</f>
        <v>0</v>
      </c>
      <c r="V17" s="451"/>
    </row>
    <row r="18" spans="2:25" ht="12.75" customHeight="1">
      <c r="B18" s="75" t="str">
        <f t="shared" si="0"/>
        <v>P0049</v>
      </c>
      <c r="C18" s="199"/>
      <c r="D18" s="75"/>
      <c r="E18" s="77" t="s">
        <v>393</v>
      </c>
      <c r="F18" s="198" t="str">
        <f>VLOOKUP(E18,'MÃO DE OBRA'!$A:$B,2,FALSE)</f>
        <v>P0049</v>
      </c>
      <c r="G18" s="186"/>
      <c r="H18" s="1049">
        <f>IF(D18="h",VLOOKUP(B18,'MÃO DE OBRA'!$B$3:$D$97,3,0)*220,VLOOKUP(B18,'MÃO DE OBRA'!$B$3:$D$97,3,0))</f>
        <v>2305.6</v>
      </c>
      <c r="I18" s="1050"/>
      <c r="J18" s="76" t="s">
        <v>354</v>
      </c>
      <c r="K18" s="1051">
        <f>IF(J18="",0,IF(J18="D",H18*DADOS!$D$18,H18*DADOS!$D$19))</f>
        <v>576.4</v>
      </c>
      <c r="L18" s="1052"/>
      <c r="M18" s="1053"/>
      <c r="N18" s="186"/>
      <c r="O18" s="761"/>
      <c r="P18" s="762"/>
      <c r="Q18" s="762"/>
      <c r="R18" s="763"/>
      <c r="S18" s="1054">
        <f>IF(G18="",0,IF(C18="3º",0,IF(C18="PJ",0,((H18+K18)*DADOS!$D$7)+((H18+K18)*DADOS!$D$6))))</f>
        <v>0</v>
      </c>
      <c r="T18" s="1054"/>
      <c r="U18" s="450">
        <f t="shared" si="1"/>
        <v>0</v>
      </c>
      <c r="V18" s="451"/>
    </row>
    <row r="19" spans="2:25" ht="12.75" customHeight="1">
      <c r="B19" s="75" t="str">
        <f t="shared" si="0"/>
        <v>P0033</v>
      </c>
      <c r="C19" s="199"/>
      <c r="D19" s="75"/>
      <c r="E19" s="77" t="s">
        <v>394</v>
      </c>
      <c r="F19" s="198" t="str">
        <f>VLOOKUP(E19,'MÃO DE OBRA'!$A:$B,2,FALSE)</f>
        <v>P0033</v>
      </c>
      <c r="G19" s="186"/>
      <c r="H19" s="1049">
        <f>IF(D19="h",VLOOKUP(B19,'MÃO DE OBRA'!$B$3:$D$97,3,0)*220,VLOOKUP(B19,'MÃO DE OBRA'!$B$3:$D$97,3,0))</f>
        <v>2956.5</v>
      </c>
      <c r="I19" s="1050"/>
      <c r="J19" s="76" t="s">
        <v>354</v>
      </c>
      <c r="K19" s="1051">
        <f>IF(J19="",0,IF(J19="D",H19*DADOS!$D$18,H19*DADOS!$D$19))</f>
        <v>739.125</v>
      </c>
      <c r="L19" s="1052"/>
      <c r="M19" s="1053"/>
      <c r="N19" s="186"/>
      <c r="O19" s="761"/>
      <c r="P19" s="762"/>
      <c r="Q19" s="762"/>
      <c r="R19" s="763"/>
      <c r="S19" s="1054">
        <f>IF(G19="",0,IF(C19="3º",0,IF(C19="PJ",0,((H19+K19)*DADOS!$D$7)+((H19+K19)*DADOS!$D$6))))</f>
        <v>0</v>
      </c>
      <c r="T19" s="1054"/>
      <c r="U19" s="450">
        <f t="shared" si="1"/>
        <v>0</v>
      </c>
      <c r="V19" s="451"/>
    </row>
    <row r="20" spans="2:25" ht="12.75" customHeight="1">
      <c r="B20" s="75" t="str">
        <f t="shared" si="0"/>
        <v>P0046</v>
      </c>
      <c r="C20" s="199"/>
      <c r="D20" s="75"/>
      <c r="E20" s="77" t="s">
        <v>377</v>
      </c>
      <c r="F20" s="198" t="str">
        <f>VLOOKUP(E20,'MÃO DE OBRA'!$A:$B,2,FALSE)</f>
        <v>P0046</v>
      </c>
      <c r="G20" s="186"/>
      <c r="H20" s="1049">
        <f>IF(D20="h",VLOOKUP(B20,'MÃO DE OBRA'!$B$3:$D$97,3,0)*220,VLOOKUP(B20,'MÃO DE OBRA'!$B$3:$D$97,3,0))</f>
        <v>2305.6</v>
      </c>
      <c r="I20" s="1050"/>
      <c r="J20" s="76" t="s">
        <v>354</v>
      </c>
      <c r="K20" s="1051">
        <f>IF(J20="",0,IF(J20="D",H20*DADOS!$D$18,H20*DADOS!$D$19))</f>
        <v>576.4</v>
      </c>
      <c r="L20" s="1052"/>
      <c r="M20" s="1053"/>
      <c r="N20" s="186"/>
      <c r="O20" s="761"/>
      <c r="P20" s="762"/>
      <c r="Q20" s="762"/>
      <c r="R20" s="763"/>
      <c r="S20" s="1054">
        <f>IF(G20="",0,IF(C20="3º",0,IF(C20="PJ",0,((H20+K20)*DADOS!$D$7)+((H20+K20)*DADOS!$D$6))))</f>
        <v>0</v>
      </c>
      <c r="T20" s="1054"/>
      <c r="U20" s="450">
        <f t="shared" si="1"/>
        <v>0</v>
      </c>
      <c r="V20" s="451"/>
    </row>
    <row r="21" spans="2:25" ht="12.75" customHeight="1">
      <c r="B21" s="75" t="str">
        <f t="shared" si="0"/>
        <v>P0001</v>
      </c>
      <c r="C21" s="199"/>
      <c r="D21" s="75"/>
      <c r="E21" s="198" t="s">
        <v>356</v>
      </c>
      <c r="F21" s="198" t="str">
        <f>VLOOKUP(E21,'MÃO DE OBRA'!$A:$B,2,FALSE)</f>
        <v>P0001</v>
      </c>
      <c r="G21" s="186"/>
      <c r="H21" s="1049">
        <f>IF(D21="h",VLOOKUP(B21,'MÃO DE OBRA'!$B$3:$D$97,3,0)*220,VLOOKUP(B21,'MÃO DE OBRA'!$B$3:$D$97,3,0))</f>
        <v>1962.6</v>
      </c>
      <c r="I21" s="1050"/>
      <c r="J21" s="76" t="s">
        <v>354</v>
      </c>
      <c r="K21" s="1051">
        <f>IF(J21="",0,IF(J21="D",H21*DADOS!$D$18,H21*DADOS!$D$19))</f>
        <v>490.65</v>
      </c>
      <c r="L21" s="1052"/>
      <c r="M21" s="1053"/>
      <c r="N21" s="186"/>
      <c r="O21" s="761"/>
      <c r="P21" s="762"/>
      <c r="Q21" s="762"/>
      <c r="R21" s="763"/>
      <c r="S21" s="1054">
        <f>IF(G21="",0,IF(C21="3º",0,IF(C21="PJ",0,((H21+K21)*DADOS!$D$7)+((H21+K21)*DADOS!$D$6))))</f>
        <v>0</v>
      </c>
      <c r="T21" s="1054"/>
      <c r="U21" s="450">
        <f t="shared" si="1"/>
        <v>0</v>
      </c>
      <c r="V21" s="451"/>
    </row>
    <row r="22" spans="2:25" ht="12.75" customHeight="1">
      <c r="B22" s="75" t="str">
        <f t="shared" si="0"/>
        <v>P0029</v>
      </c>
      <c r="C22" s="199"/>
      <c r="D22" s="75"/>
      <c r="E22" s="198" t="s">
        <v>382</v>
      </c>
      <c r="F22" s="198" t="str">
        <f>VLOOKUP(E22,'MÃO DE OBRA'!$A:$B,2,FALSE)</f>
        <v>P0029</v>
      </c>
      <c r="G22" s="186"/>
      <c r="H22" s="1049">
        <f>IF(D22="h",VLOOKUP(B22,'MÃO DE OBRA'!$B$3:$D$97,3,0)*220,VLOOKUP(B22,'MÃO DE OBRA'!$B$3:$D$97,3,0))</f>
        <v>2305.6</v>
      </c>
      <c r="I22" s="1050"/>
      <c r="J22" s="76" t="s">
        <v>354</v>
      </c>
      <c r="K22" s="1051">
        <f>IF(J22="",0,IF(J22="D",H22*DADOS!$D$18,H22*DADOS!$D$19))</f>
        <v>576.4</v>
      </c>
      <c r="L22" s="1052"/>
      <c r="M22" s="1053"/>
      <c r="N22" s="186"/>
      <c r="O22" s="761"/>
      <c r="P22" s="762"/>
      <c r="Q22" s="762"/>
      <c r="R22" s="763"/>
      <c r="S22" s="1054">
        <f>IF(G22="",0,IF(C22="3º",0,IF(C22="PJ",0,((H22+K22)*DADOS!$D$7)+((H22+K22)*DADOS!$D$6))))</f>
        <v>0</v>
      </c>
      <c r="T22" s="1054"/>
      <c r="U22" s="450">
        <f t="shared" si="1"/>
        <v>0</v>
      </c>
      <c r="V22" s="451"/>
    </row>
    <row r="23" spans="2:25" ht="12.75" customHeight="1">
      <c r="B23" s="75"/>
      <c r="C23" s="199"/>
      <c r="D23" s="75"/>
      <c r="E23" s="198"/>
      <c r="F23" s="198"/>
      <c r="G23" s="186"/>
      <c r="H23" s="1049"/>
      <c r="I23" s="1050"/>
      <c r="J23" s="76"/>
      <c r="K23" s="1051"/>
      <c r="L23" s="1052"/>
      <c r="M23" s="1053"/>
      <c r="N23" s="186"/>
      <c r="O23" s="1051"/>
      <c r="P23" s="1052"/>
      <c r="Q23" s="1052"/>
      <c r="R23" s="1053"/>
      <c r="S23" s="1054"/>
      <c r="T23" s="1054"/>
      <c r="U23" s="450"/>
      <c r="V23" s="451"/>
    </row>
    <row r="24" spans="2:25" ht="12.75" customHeight="1">
      <c r="B24" s="1064"/>
      <c r="C24" s="1065"/>
      <c r="D24" s="1066" t="s">
        <v>175</v>
      </c>
      <c r="E24" s="1066"/>
      <c r="F24" s="1066"/>
      <c r="G24" s="818">
        <f>SUM(G17:G23)</f>
        <v>0</v>
      </c>
      <c r="H24" s="1067">
        <f>SUMPRODUCT($G$17:$G$23,H17:H23)</f>
        <v>0</v>
      </c>
      <c r="I24" s="1068"/>
      <c r="J24" s="1067">
        <f>SUMPRODUCT($G$17:$G$23,K17:K23)</f>
        <v>0</v>
      </c>
      <c r="K24" s="1068"/>
      <c r="L24" s="1068"/>
      <c r="M24" s="1069"/>
      <c r="N24" s="1067"/>
      <c r="O24" s="1068"/>
      <c r="P24" s="1068"/>
      <c r="Q24" s="1068"/>
      <c r="R24" s="1069"/>
      <c r="S24" s="1067">
        <f>SUMPRODUCT($G$17:$G$23,S17:S23)</f>
        <v>0</v>
      </c>
      <c r="T24" s="1069"/>
      <c r="U24" s="453">
        <f>SUMPRODUCT($G$17:$G$23,U17:U23)</f>
        <v>0</v>
      </c>
      <c r="V24" s="452"/>
      <c r="W24" s="116"/>
    </row>
    <row r="26" spans="2:25" ht="12.75" customHeight="1">
      <c r="B26" s="1055" t="s">
        <v>347</v>
      </c>
      <c r="C26" s="1055"/>
      <c r="D26" s="1055"/>
      <c r="E26" s="1055"/>
      <c r="F26" s="1055"/>
      <c r="G26" s="1055"/>
      <c r="H26" s="1055"/>
      <c r="I26" s="1055"/>
      <c r="J26" s="1055"/>
      <c r="K26" s="1055"/>
      <c r="L26" s="1055"/>
      <c r="M26" s="1055"/>
      <c r="N26" s="1055"/>
      <c r="O26" s="1055"/>
      <c r="P26" s="1055"/>
      <c r="Q26" s="1055"/>
      <c r="R26" s="1055"/>
      <c r="S26" s="1055"/>
      <c r="T26" s="1055"/>
      <c r="U26" s="1055"/>
      <c r="V26" s="1055"/>
    </row>
    <row r="27" spans="2:25" ht="12.75" customHeight="1">
      <c r="B27" s="1056" t="s">
        <v>357</v>
      </c>
      <c r="C27" s="1088"/>
      <c r="D27" s="1088"/>
      <c r="E27" s="1088" t="s">
        <v>358</v>
      </c>
      <c r="F27" s="1088"/>
      <c r="G27" s="1089" t="s">
        <v>350</v>
      </c>
      <c r="H27" s="1056" t="s">
        <v>359</v>
      </c>
      <c r="I27" s="1088"/>
      <c r="J27" s="1057"/>
      <c r="K27" s="1089" t="s">
        <v>360</v>
      </c>
      <c r="L27" s="1091"/>
      <c r="M27" s="1091"/>
      <c r="N27" s="1091"/>
      <c r="O27" s="1092"/>
      <c r="P27" s="1056" t="s">
        <v>361</v>
      </c>
      <c r="Q27" s="1088"/>
      <c r="R27" s="1088"/>
      <c r="S27" s="1088"/>
      <c r="T27" s="1095" t="s">
        <v>362</v>
      </c>
      <c r="U27" s="1092" t="s">
        <v>363</v>
      </c>
      <c r="V27" s="1062" t="s">
        <v>364</v>
      </c>
    </row>
    <row r="28" spans="2:25" ht="12.75" customHeight="1">
      <c r="B28" s="1058"/>
      <c r="C28" s="1075"/>
      <c r="D28" s="1075"/>
      <c r="E28" s="1075"/>
      <c r="F28" s="1075"/>
      <c r="G28" s="1090"/>
      <c r="H28" s="1058"/>
      <c r="I28" s="1075"/>
      <c r="J28" s="1059"/>
      <c r="K28" s="1090"/>
      <c r="L28" s="1093"/>
      <c r="M28" s="1093"/>
      <c r="N28" s="1093"/>
      <c r="O28" s="1094"/>
      <c r="P28" s="1058" t="s">
        <v>365</v>
      </c>
      <c r="Q28" s="1075"/>
      <c r="R28" s="1075"/>
      <c r="S28" s="1075"/>
      <c r="T28" s="1096"/>
      <c r="U28" s="1094"/>
      <c r="V28" s="1063"/>
    </row>
    <row r="29" spans="2:25" ht="12.75" customHeight="1">
      <c r="B29" s="75" t="str">
        <f>F29</f>
        <v>E0019</v>
      </c>
      <c r="C29" s="454"/>
      <c r="D29" s="455"/>
      <c r="E29" s="201" t="s">
        <v>379</v>
      </c>
      <c r="F29" s="198" t="str">
        <f>VLOOKUP($E29,EQUIPAMENTOS!$A:$B,2,FALSE)</f>
        <v>E0019</v>
      </c>
      <c r="G29" s="433">
        <f>G17</f>
        <v>0</v>
      </c>
      <c r="H29" s="1100">
        <f>VLOOKUP($B29,EQUIPAMENTOS!$B$3:$N$99,9,0)*200</f>
        <v>38000</v>
      </c>
      <c r="I29" s="1101"/>
      <c r="J29" s="1101"/>
      <c r="K29" s="1082" t="s">
        <v>367</v>
      </c>
      <c r="L29" s="1083"/>
      <c r="M29" s="1084">
        <v>200</v>
      </c>
      <c r="N29" s="1084"/>
      <c r="O29" s="1084"/>
      <c r="P29" s="80" t="s">
        <v>368</v>
      </c>
      <c r="Q29" s="1085">
        <f>VLOOKUP($B29,EQUIPAMENTOS!$B$3:$N$99,13,0)</f>
        <v>28</v>
      </c>
      <c r="R29" s="1086"/>
      <c r="S29" s="1087"/>
      <c r="T29" s="441">
        <f>IF(Q29="","",IF(K29="km",M29/Q29,180*Q29)*INDEX(DADOS!$1:$1048576,MATCH(P29,DADOS!D:D,0),5))</f>
        <v>0</v>
      </c>
      <c r="U29" s="202">
        <f>SUM(H29,T29)</f>
        <v>38000</v>
      </c>
      <c r="V29" s="436">
        <f>G29*U29</f>
        <v>0</v>
      </c>
      <c r="X29" s="116"/>
      <c r="Y29" s="116"/>
    </row>
    <row r="30" spans="2:25" ht="12.75" customHeight="1">
      <c r="B30" s="75" t="str">
        <f>F30</f>
        <v>E0032</v>
      </c>
      <c r="C30" s="456"/>
      <c r="D30" s="457"/>
      <c r="E30" s="200" t="s">
        <v>1177</v>
      </c>
      <c r="F30" s="198" t="str">
        <f>VLOOKUP($E30,EQUIPAMENTOS!$A:$B,2,FALSE)</f>
        <v>E0032</v>
      </c>
      <c r="G30" s="434">
        <f>G18</f>
        <v>0</v>
      </c>
      <c r="H30" s="1100">
        <f>VLOOKUP($B30,EQUIPAMENTOS!$B$3:$N$99,9,0)*200</f>
        <v>26810.555555555555</v>
      </c>
      <c r="I30" s="1101"/>
      <c r="J30" s="1101"/>
      <c r="K30" s="1082" t="s">
        <v>367</v>
      </c>
      <c r="L30" s="1083"/>
      <c r="M30" s="1084">
        <v>200</v>
      </c>
      <c r="N30" s="1084"/>
      <c r="O30" s="1084"/>
      <c r="P30" s="80" t="s">
        <v>368</v>
      </c>
      <c r="Q30" s="1085">
        <f>VLOOKUP($B30,EQUIPAMENTOS!$B$3:$N$99,13,0)</f>
        <v>18</v>
      </c>
      <c r="R30" s="1086"/>
      <c r="S30" s="1087"/>
      <c r="T30" s="441">
        <f>IF(Q30="","",IF(K30="km",M30/Q30,180*Q30)*INDEX(DADOS!$1:$1048576,MATCH(P30,DADOS!D:D,0),5))</f>
        <v>0</v>
      </c>
      <c r="U30" s="202">
        <f>SUM(H30,T30)</f>
        <v>26810.555555555555</v>
      </c>
      <c r="V30" s="436">
        <f>G30*U30</f>
        <v>0</v>
      </c>
    </row>
    <row r="31" spans="2:25" ht="12.75" customHeight="1">
      <c r="B31" s="75" t="e">
        <f>F31</f>
        <v>#N/A</v>
      </c>
      <c r="C31" s="456"/>
      <c r="D31" s="457"/>
      <c r="E31" s="200" t="s">
        <v>1178</v>
      </c>
      <c r="F31" s="198" t="e">
        <f>VLOOKUP($E31,EQUIPAMENTOS!$A:$B,2,FALSE)</f>
        <v>#N/A</v>
      </c>
      <c r="G31" s="434">
        <f>G19</f>
        <v>0</v>
      </c>
      <c r="H31" s="1100" t="e">
        <f>VLOOKUP($B31,EQUIPAMENTOS!$B$3:$N$99,9,0)*200</f>
        <v>#N/A</v>
      </c>
      <c r="I31" s="1101"/>
      <c r="J31" s="1101"/>
      <c r="K31" s="1082" t="s">
        <v>370</v>
      </c>
      <c r="L31" s="1083"/>
      <c r="M31" s="1084">
        <f>24*120</f>
        <v>2880</v>
      </c>
      <c r="N31" s="1084"/>
      <c r="O31" s="1084"/>
      <c r="P31" s="80" t="s">
        <v>368</v>
      </c>
      <c r="Q31" s="1085" t="e">
        <f>VLOOKUP($B31,EQUIPAMENTOS!$B$3:$N$99,13,0)</f>
        <v>#N/A</v>
      </c>
      <c r="R31" s="1086"/>
      <c r="S31" s="1087"/>
      <c r="T31" s="441" t="e">
        <f>IF(Q31="","",IF(K31="km",M31/Q31,180*Q31)*INDEX(DADOS!$1:$1048576,MATCH(P31,DADOS!D:D,0),5))</f>
        <v>#N/A</v>
      </c>
      <c r="U31" s="202" t="e">
        <f>SUM(H31,T31)</f>
        <v>#N/A</v>
      </c>
      <c r="V31" s="436" t="e">
        <f>G31*U31</f>
        <v>#N/A</v>
      </c>
    </row>
    <row r="32" spans="2:25" ht="12.75" customHeight="1">
      <c r="B32" s="75" t="str">
        <f>F32</f>
        <v>E0026</v>
      </c>
      <c r="C32" s="456"/>
      <c r="D32" s="457"/>
      <c r="E32" s="200" t="s">
        <v>384</v>
      </c>
      <c r="F32" s="198" t="str">
        <f>VLOOKUP($E32,EQUIPAMENTOS!$A:$B,2,FALSE)</f>
        <v>E0026</v>
      </c>
      <c r="G32" s="434">
        <f>G20</f>
        <v>0</v>
      </c>
      <c r="H32" s="1100">
        <f>VLOOKUP($B32,EQUIPAMENTOS!$B$3:$N$99,9,0)*200</f>
        <v>29000</v>
      </c>
      <c r="I32" s="1101"/>
      <c r="J32" s="1101"/>
      <c r="K32" s="1082" t="s">
        <v>367</v>
      </c>
      <c r="L32" s="1083"/>
      <c r="M32" s="1084">
        <v>200</v>
      </c>
      <c r="N32" s="1084"/>
      <c r="O32" s="1084"/>
      <c r="P32" s="80" t="s">
        <v>368</v>
      </c>
      <c r="Q32" s="1085">
        <f>VLOOKUP($B32,EQUIPAMENTOS!$B$3:$N$99,13,0)</f>
        <v>16</v>
      </c>
      <c r="R32" s="1086"/>
      <c r="S32" s="1087"/>
      <c r="T32" s="441">
        <f>IF(Q32="","",IF(K32="km",M32/Q32,180*Q32)*INDEX(DADOS!$1:$1048576,MATCH(P32,DADOS!D:D,0),5))</f>
        <v>0</v>
      </c>
      <c r="U32" s="202">
        <f>SUM(H32,T32)</f>
        <v>29000</v>
      </c>
      <c r="V32" s="436">
        <f>G32*U32</f>
        <v>0</v>
      </c>
    </row>
    <row r="33" spans="2:26" ht="12.75" customHeight="1">
      <c r="B33" s="1102"/>
      <c r="C33" s="1103"/>
      <c r="D33" s="1104"/>
      <c r="E33" s="1105"/>
      <c r="F33" s="1106"/>
      <c r="G33" s="432"/>
      <c r="H33" s="1551"/>
      <c r="I33" s="1552"/>
      <c r="J33" s="1552"/>
      <c r="K33" s="1108"/>
      <c r="L33" s="1107"/>
      <c r="M33" s="1109"/>
      <c r="N33" s="1109"/>
      <c r="O33" s="1109"/>
      <c r="P33" s="81"/>
      <c r="Q33" s="1085"/>
      <c r="R33" s="1086"/>
      <c r="S33" s="1087"/>
      <c r="T33" s="437"/>
      <c r="U33" s="666"/>
      <c r="V33" s="441"/>
    </row>
    <row r="34" spans="2:26" ht="12.75" customHeight="1">
      <c r="B34" s="1123"/>
      <c r="C34" s="1124"/>
      <c r="D34" s="1125"/>
      <c r="E34" s="1126" t="s">
        <v>175</v>
      </c>
      <c r="F34" s="1127"/>
      <c r="G34" s="435">
        <f>SUM(G29:G33)</f>
        <v>0</v>
      </c>
      <c r="H34" s="1550" t="e">
        <f>SUMPRODUCT(G$29:$G33,H29:H33)</f>
        <v>#N/A</v>
      </c>
      <c r="I34" s="1550"/>
      <c r="J34" s="1550"/>
      <c r="K34" s="1129"/>
      <c r="L34" s="1130"/>
      <c r="M34" s="1130"/>
      <c r="N34" s="1130"/>
      <c r="O34" s="1131"/>
      <c r="P34" s="699"/>
      <c r="Q34" s="819"/>
      <c r="R34" s="819"/>
      <c r="S34" s="819"/>
      <c r="T34" s="665" t="e">
        <f>SUMPRODUCT($G$29:G33,T29:T33)</f>
        <v>#N/A</v>
      </c>
      <c r="U34" s="665"/>
      <c r="V34" s="668" t="e">
        <f>SUM(V29:V33)</f>
        <v>#N/A</v>
      </c>
    </row>
    <row r="37" spans="2:26" ht="12.75" customHeight="1">
      <c r="B37" s="1055" t="s">
        <v>454</v>
      </c>
      <c r="C37" s="1055"/>
      <c r="D37" s="1055"/>
      <c r="E37" s="1055"/>
      <c r="F37" s="1055"/>
      <c r="G37" s="1055"/>
      <c r="H37" s="1055"/>
      <c r="I37" s="1055"/>
      <c r="J37" s="1055"/>
      <c r="K37" s="1055"/>
      <c r="L37" s="1055"/>
      <c r="M37" s="1055"/>
      <c r="N37" s="1055"/>
      <c r="O37" s="1055"/>
      <c r="P37" s="1055"/>
      <c r="Q37" s="1055"/>
      <c r="R37" s="1055"/>
      <c r="S37" s="1055"/>
      <c r="T37" s="1055"/>
      <c r="U37" s="1055"/>
      <c r="V37" s="1055"/>
    </row>
    <row r="38" spans="2:26" ht="12.75" customHeight="1">
      <c r="B38" s="1112" t="s">
        <v>183</v>
      </c>
      <c r="C38" s="1114"/>
      <c r="D38" s="1112" t="s">
        <v>324</v>
      </c>
      <c r="E38" s="1113"/>
      <c r="F38" s="1113"/>
      <c r="G38" s="1112" t="s">
        <v>1124</v>
      </c>
      <c r="H38" s="1114"/>
      <c r="I38" s="1115" t="s">
        <v>372</v>
      </c>
      <c r="J38" s="1132"/>
      <c r="K38" s="1116"/>
      <c r="L38" s="1115" t="s">
        <v>189</v>
      </c>
      <c r="M38" s="1132"/>
      <c r="N38" s="1132"/>
      <c r="O38" s="1132"/>
      <c r="P38" s="1116"/>
      <c r="Q38" s="1112" t="s">
        <v>373</v>
      </c>
      <c r="R38" s="1113"/>
      <c r="S38" s="1113"/>
      <c r="T38" s="1114"/>
      <c r="U38" s="1115"/>
      <c r="V38" s="1116"/>
    </row>
    <row r="39" spans="2:26" ht="12.75" customHeight="1">
      <c r="B39" s="186">
        <v>1</v>
      </c>
      <c r="C39" s="430"/>
      <c r="D39" s="1117" t="s">
        <v>454</v>
      </c>
      <c r="E39" s="1118"/>
      <c r="F39" s="1118"/>
      <c r="G39" s="1120">
        <f>O10</f>
        <v>1.9666666666666666</v>
      </c>
      <c r="H39" s="1120"/>
      <c r="I39" s="1120">
        <f>G24</f>
        <v>0</v>
      </c>
      <c r="J39" s="1120"/>
      <c r="K39" s="1120"/>
      <c r="L39" s="1120">
        <f>DADOS!$E$12+DADOS!$E$24+DADOS!$E$25+DADOS!$E$26</f>
        <v>1020</v>
      </c>
      <c r="M39" s="1120"/>
      <c r="N39" s="1120"/>
      <c r="O39" s="1120"/>
      <c r="P39" s="1120"/>
      <c r="Q39" s="1054">
        <f>I39*L39*G39</f>
        <v>0</v>
      </c>
      <c r="R39" s="1054"/>
      <c r="S39" s="1054"/>
      <c r="T39" s="1054"/>
      <c r="U39" s="1121"/>
      <c r="V39" s="1122"/>
    </row>
    <row r="40" spans="2:26" ht="12.75" customHeight="1">
      <c r="B40" s="186">
        <v>2</v>
      </c>
      <c r="C40" s="430"/>
      <c r="D40" s="1117" t="s">
        <v>426</v>
      </c>
      <c r="E40" s="1118"/>
      <c r="F40" s="1118"/>
      <c r="G40" s="1120">
        <f>O10</f>
        <v>1.9666666666666666</v>
      </c>
      <c r="H40" s="1120"/>
      <c r="I40" s="1120">
        <f>G29+G30+G32</f>
        <v>0</v>
      </c>
      <c r="J40" s="1120"/>
      <c r="K40" s="1120"/>
      <c r="L40" s="1120">
        <v>4000</v>
      </c>
      <c r="M40" s="1120"/>
      <c r="N40" s="1120"/>
      <c r="O40" s="1120"/>
      <c r="P40" s="1120"/>
      <c r="Q40" s="1054">
        <f>I40*L40*G40</f>
        <v>0</v>
      </c>
      <c r="R40" s="1054"/>
      <c r="S40" s="1054"/>
      <c r="T40" s="1054"/>
      <c r="U40" s="1133"/>
      <c r="V40" s="1134"/>
    </row>
    <row r="41" spans="2:26" ht="12.75" customHeight="1">
      <c r="B41" s="186">
        <v>3</v>
      </c>
      <c r="C41" s="430"/>
      <c r="D41" s="1117" t="s">
        <v>1201</v>
      </c>
      <c r="E41" s="1118"/>
      <c r="F41" s="1118"/>
      <c r="G41" s="1120">
        <f>O10</f>
        <v>1.9666666666666666</v>
      </c>
      <c r="H41" s="1120"/>
      <c r="I41" s="1120">
        <f>G24</f>
        <v>0</v>
      </c>
      <c r="J41" s="1120"/>
      <c r="K41" s="1120"/>
      <c r="L41" s="1120">
        <f>DADOS!$M$19</f>
        <v>1093</v>
      </c>
      <c r="M41" s="1120"/>
      <c r="N41" s="1120"/>
      <c r="O41" s="1120"/>
      <c r="P41" s="1120"/>
      <c r="Q41" s="1054">
        <f>I41*L41*G41</f>
        <v>0</v>
      </c>
      <c r="R41" s="1054"/>
      <c r="S41" s="1054"/>
      <c r="T41" s="1054"/>
      <c r="U41" s="892"/>
      <c r="V41" s="893"/>
    </row>
    <row r="42" spans="2:26" ht="12.75" customHeight="1">
      <c r="B42" s="186">
        <v>4</v>
      </c>
      <c r="C42" s="430"/>
      <c r="D42" s="1117" t="s">
        <v>1200</v>
      </c>
      <c r="E42" s="1118"/>
      <c r="F42" s="1118"/>
      <c r="G42" s="1120">
        <f>G40</f>
        <v>1.9666666666666666</v>
      </c>
      <c r="H42" s="1120"/>
      <c r="I42" s="1120">
        <f>G29+G30+G32+G31</f>
        <v>0</v>
      </c>
      <c r="J42" s="1120"/>
      <c r="K42" s="1120"/>
      <c r="L42" s="1120">
        <v>700</v>
      </c>
      <c r="M42" s="1120"/>
      <c r="N42" s="1120"/>
      <c r="O42" s="1120"/>
      <c r="P42" s="1120"/>
      <c r="Q42" s="1054">
        <f>I42*L42*G42</f>
        <v>0</v>
      </c>
      <c r="R42" s="1054"/>
      <c r="S42" s="1054"/>
      <c r="T42" s="1054"/>
      <c r="U42" s="892"/>
      <c r="V42" s="893"/>
    </row>
    <row r="43" spans="2:26" ht="12.75" customHeight="1">
      <c r="B43" s="1123"/>
      <c r="C43" s="1125"/>
      <c r="D43" s="1123"/>
      <c r="E43" s="1124"/>
      <c r="F43" s="1124"/>
      <c r="G43" s="1123"/>
      <c r="H43" s="1125"/>
      <c r="I43" s="1123"/>
      <c r="J43" s="1124"/>
      <c r="K43" s="1125"/>
      <c r="L43" s="1123"/>
      <c r="M43" s="1124"/>
      <c r="N43" s="1124"/>
      <c r="O43" s="1124"/>
      <c r="P43" s="1125"/>
      <c r="Q43" s="1136">
        <f>SUM(Q39:T42)</f>
        <v>0</v>
      </c>
      <c r="R43" s="1137"/>
      <c r="S43" s="1137"/>
      <c r="T43" s="1137"/>
      <c r="U43" s="1123"/>
      <c r="V43" s="1125"/>
    </row>
    <row r="45" spans="2:26" ht="12.75" customHeight="1">
      <c r="B45" s="1044" t="s">
        <v>343</v>
      </c>
      <c r="C45" s="1044"/>
      <c r="D45" s="1044"/>
      <c r="E45" s="70" t="s">
        <v>1211</v>
      </c>
      <c r="W45" s="755"/>
      <c r="X45" s="755"/>
    </row>
    <row r="46" spans="2:26" ht="12.75" customHeight="1">
      <c r="B46" s="71"/>
      <c r="C46" s="71"/>
      <c r="D46" s="71"/>
      <c r="E46" s="71"/>
      <c r="F46" s="71"/>
      <c r="G46" s="71"/>
      <c r="H46" s="71"/>
      <c r="I46" s="71"/>
      <c r="J46" s="71"/>
      <c r="K46" s="71"/>
      <c r="L46" s="71"/>
      <c r="M46" s="71"/>
      <c r="N46" s="71"/>
      <c r="O46" s="71"/>
      <c r="P46" s="71"/>
      <c r="Q46" s="71"/>
      <c r="R46" s="71"/>
      <c r="S46" s="71"/>
      <c r="T46" s="71"/>
      <c r="U46" s="71"/>
      <c r="V46" s="71"/>
      <c r="W46" s="883">
        <f>CRONOGRAMA!FZ7</f>
        <v>46622</v>
      </c>
      <c r="X46" s="883">
        <f>CRONOGRAMA!HD7+2</f>
        <v>46729</v>
      </c>
      <c r="Y46" s="58">
        <f>X46-W46</f>
        <v>107</v>
      </c>
      <c r="Z46" s="137">
        <f>Y46/30</f>
        <v>3.5666666666666669</v>
      </c>
    </row>
    <row r="47" spans="2:26" ht="12.75" customHeight="1">
      <c r="B47" s="71"/>
      <c r="C47" s="1045" t="s">
        <v>303</v>
      </c>
      <c r="D47" s="1045"/>
      <c r="E47" s="1046"/>
      <c r="F47" s="71"/>
      <c r="G47" s="71"/>
      <c r="H47" s="1039" t="s">
        <v>344</v>
      </c>
      <c r="I47" s="1039"/>
      <c r="J47" s="1040">
        <f>U58</f>
        <v>0</v>
      </c>
      <c r="K47" s="1040"/>
      <c r="L47" s="1040"/>
      <c r="M47" s="448"/>
      <c r="N47" s="447"/>
      <c r="O47" s="1047" t="s">
        <v>345</v>
      </c>
      <c r="P47" s="1047"/>
      <c r="Q47" s="1047"/>
      <c r="R47" s="1047"/>
      <c r="S47" s="1047"/>
      <c r="T47" s="1047"/>
      <c r="U47" s="1048" t="s">
        <v>346</v>
      </c>
      <c r="V47" s="1047"/>
      <c r="W47" s="891" t="s">
        <v>1213</v>
      </c>
      <c r="X47" s="755"/>
    </row>
    <row r="48" spans="2:26" ht="12.75" customHeight="1">
      <c r="B48" s="71"/>
      <c r="C48" s="446"/>
      <c r="D48" s="446"/>
      <c r="E48" s="1038">
        <f>J47+J48+J49</f>
        <v>0</v>
      </c>
      <c r="F48" s="71"/>
      <c r="G48" s="71"/>
      <c r="H48" s="1039" t="s">
        <v>347</v>
      </c>
      <c r="I48" s="1039"/>
      <c r="J48" s="1040">
        <f>V65</f>
        <v>0</v>
      </c>
      <c r="K48" s="1040"/>
      <c r="L48" s="1040"/>
      <c r="M48" s="449"/>
      <c r="N48" s="402"/>
      <c r="O48" s="1041">
        <f>Z46</f>
        <v>3.5666666666666669</v>
      </c>
      <c r="P48" s="1041"/>
      <c r="Q48" s="1041"/>
      <c r="R48" s="1041"/>
      <c r="S48" s="1041"/>
      <c r="T48" s="1041"/>
      <c r="U48" s="1042">
        <f>E48*O48</f>
        <v>0</v>
      </c>
      <c r="V48" s="1043"/>
    </row>
    <row r="49" spans="2:25" ht="12.75" customHeight="1">
      <c r="B49" s="73"/>
      <c r="C49" s="446"/>
      <c r="D49" s="446"/>
      <c r="E49" s="1038"/>
      <c r="F49" s="71"/>
      <c r="G49" s="71"/>
      <c r="H49" s="1039" t="s">
        <v>348</v>
      </c>
      <c r="I49" s="1039"/>
      <c r="J49" s="1040"/>
      <c r="K49" s="1040"/>
      <c r="L49" s="1040"/>
      <c r="M49" s="449"/>
      <c r="N49" s="402"/>
      <c r="O49" s="1041"/>
      <c r="P49" s="1041"/>
      <c r="Q49" s="1041"/>
      <c r="R49" s="1041"/>
      <c r="S49" s="1041"/>
      <c r="T49" s="1041"/>
      <c r="U49" s="1042"/>
      <c r="V49" s="1043"/>
    </row>
    <row r="50" spans="2:25" ht="12.75" customHeight="1">
      <c r="B50" s="71"/>
      <c r="C50" s="71"/>
      <c r="D50" s="71"/>
      <c r="E50" s="71"/>
      <c r="F50" s="71"/>
      <c r="G50" s="71"/>
      <c r="H50" s="71"/>
      <c r="I50" s="71"/>
      <c r="J50" s="71"/>
      <c r="K50" s="71"/>
      <c r="L50" s="71"/>
      <c r="M50" s="71"/>
      <c r="N50" s="71"/>
      <c r="O50" s="71"/>
      <c r="P50" s="71"/>
      <c r="Q50" s="71"/>
      <c r="R50" s="71"/>
      <c r="S50" s="71"/>
      <c r="T50" s="71"/>
      <c r="U50" s="71"/>
      <c r="V50" s="71"/>
    </row>
    <row r="52" spans="2:25" ht="12.75" customHeight="1">
      <c r="B52" s="1055" t="s">
        <v>344</v>
      </c>
      <c r="C52" s="1055"/>
      <c r="D52" s="1055"/>
      <c r="E52" s="1055"/>
      <c r="F52" s="1055"/>
      <c r="G52" s="1055"/>
      <c r="H52" s="1055"/>
      <c r="I52" s="1055"/>
      <c r="J52" s="1055"/>
      <c r="K52" s="1055"/>
      <c r="L52" s="1055"/>
      <c r="M52" s="1055"/>
      <c r="N52" s="1055"/>
      <c r="O52" s="1055"/>
      <c r="P52" s="1055"/>
      <c r="Q52" s="1055"/>
      <c r="R52" s="1055"/>
      <c r="S52" s="1055"/>
      <c r="T52" s="1055"/>
      <c r="U52" s="1055"/>
      <c r="V52" s="1055"/>
    </row>
    <row r="53" spans="2:25" ht="12.75" customHeight="1">
      <c r="B53" s="1056" t="s">
        <v>183</v>
      </c>
      <c r="C53" s="1057"/>
      <c r="D53" s="1060" t="s">
        <v>349</v>
      </c>
      <c r="E53" s="1060"/>
      <c r="F53" s="1060"/>
      <c r="G53" s="1060" t="s">
        <v>350</v>
      </c>
      <c r="H53" s="1060" t="s">
        <v>351</v>
      </c>
      <c r="I53" s="1060"/>
      <c r="J53" s="1060" t="s">
        <v>352</v>
      </c>
      <c r="K53" s="1060"/>
      <c r="L53" s="1060"/>
      <c r="M53" s="1060"/>
      <c r="N53" s="1060"/>
      <c r="O53" s="1060"/>
      <c r="P53" s="1060"/>
      <c r="Q53" s="1060"/>
      <c r="R53" s="1060"/>
      <c r="S53" s="1061" t="s">
        <v>353</v>
      </c>
      <c r="T53" s="1061"/>
      <c r="U53" s="1062" t="s">
        <v>346</v>
      </c>
      <c r="V53" s="1060"/>
    </row>
    <row r="54" spans="2:25" ht="12.75" customHeight="1">
      <c r="B54" s="1058"/>
      <c r="C54" s="1059"/>
      <c r="D54" s="1060"/>
      <c r="E54" s="1060"/>
      <c r="F54" s="1060"/>
      <c r="G54" s="1060"/>
      <c r="H54" s="1060"/>
      <c r="I54" s="1060"/>
      <c r="J54" s="1060"/>
      <c r="K54" s="1060"/>
      <c r="L54" s="1060"/>
      <c r="M54" s="1060"/>
      <c r="N54" s="1060"/>
      <c r="O54" s="1060"/>
      <c r="P54" s="1060"/>
      <c r="Q54" s="1060"/>
      <c r="R54" s="1060"/>
      <c r="S54" s="1061"/>
      <c r="T54" s="1061"/>
      <c r="U54" s="1063"/>
      <c r="V54" s="1060"/>
    </row>
    <row r="55" spans="2:25" ht="12.75" customHeight="1">
      <c r="B55" s="75" t="str">
        <f>F55</f>
        <v>P0052</v>
      </c>
      <c r="C55" s="199"/>
      <c r="D55" s="75"/>
      <c r="E55" s="198" t="s">
        <v>383</v>
      </c>
      <c r="F55" s="198" t="str">
        <f>VLOOKUP(E55,'MÃO DE OBRA'!$A:$B,2,FALSE)</f>
        <v>P0052</v>
      </c>
      <c r="G55" s="186"/>
      <c r="H55" s="1049">
        <f>IF(D55="h",VLOOKUP(B55,'MÃO DE OBRA'!$B$3:$D$97,3,0)*220,VLOOKUP(B55,'MÃO DE OBRA'!$B$3:$D$97,3,0))</f>
        <v>2305.6</v>
      </c>
      <c r="I55" s="1050"/>
      <c r="J55" s="76" t="s">
        <v>354</v>
      </c>
      <c r="K55" s="1051">
        <f>IF(J55="",0,IF(J55="D",H55*DADOS!$D$18,H55*DADOS!$D$19))</f>
        <v>576.4</v>
      </c>
      <c r="L55" s="1052"/>
      <c r="M55" s="1053"/>
      <c r="N55" s="186"/>
      <c r="O55" s="1051"/>
      <c r="P55" s="1052"/>
      <c r="Q55" s="1052"/>
      <c r="R55" s="1053"/>
      <c r="S55" s="1054">
        <f>IF(G55="",0,IF(C55="3º",0,IF(C55="PJ",0,((H55+K55)*DADOS!$D$7)+((H55+K55)*DADOS!$D$6))))</f>
        <v>0</v>
      </c>
      <c r="T55" s="1054"/>
      <c r="U55" s="450">
        <f>IF(G55="",0,SUM(H55,K55,,O55,V55,S55))</f>
        <v>0</v>
      </c>
      <c r="V55" s="451"/>
    </row>
    <row r="56" spans="2:25" ht="12.75" customHeight="1">
      <c r="B56" s="75" t="str">
        <f>F56</f>
        <v>P0001</v>
      </c>
      <c r="C56" s="199"/>
      <c r="D56" s="75"/>
      <c r="E56" s="77" t="s">
        <v>356</v>
      </c>
      <c r="F56" s="198" t="str">
        <f>VLOOKUP(E56,'MÃO DE OBRA'!$A:$B,2,FALSE)</f>
        <v>P0001</v>
      </c>
      <c r="G56" s="186"/>
      <c r="H56" s="1049">
        <f>IF(D56="h",VLOOKUP(B56,'MÃO DE OBRA'!$B$3:$D$97,3,0)*220,VLOOKUP(B56,'MÃO DE OBRA'!$B$3:$D$97,3,0))</f>
        <v>1962.6</v>
      </c>
      <c r="I56" s="1050"/>
      <c r="J56" s="76" t="s">
        <v>354</v>
      </c>
      <c r="K56" s="1051">
        <f>IF(J56="",0,IF(J56="D",H56*DADOS!$D$18,H56*DADOS!$D$19))</f>
        <v>490.65</v>
      </c>
      <c r="L56" s="1052"/>
      <c r="M56" s="1053"/>
      <c r="N56" s="186"/>
      <c r="O56" s="761"/>
      <c r="P56" s="762"/>
      <c r="Q56" s="762"/>
      <c r="R56" s="763"/>
      <c r="S56" s="1054">
        <f>IF(G56="",0,IF(C56="3º",0,IF(C56="PJ",0,((H56+K56)*DADOS!$D$7)+((H56+K56)*DADOS!$D$6))))</f>
        <v>0</v>
      </c>
      <c r="T56" s="1054"/>
      <c r="U56" s="450">
        <f>IF(G56="",0,SUM(H56,K56,,O56,V56,S56))</f>
        <v>0</v>
      </c>
      <c r="V56" s="451"/>
    </row>
    <row r="57" spans="2:25" ht="12.75" customHeight="1">
      <c r="B57" s="75"/>
      <c r="C57" s="199"/>
      <c r="D57" s="75"/>
      <c r="E57" s="198"/>
      <c r="F57" s="198"/>
      <c r="G57" s="186"/>
      <c r="H57" s="1049"/>
      <c r="I57" s="1050"/>
      <c r="J57" s="76"/>
      <c r="K57" s="1051"/>
      <c r="L57" s="1052"/>
      <c r="M57" s="1053"/>
      <c r="N57" s="186"/>
      <c r="O57" s="1051"/>
      <c r="P57" s="1052"/>
      <c r="Q57" s="1052"/>
      <c r="R57" s="1053"/>
      <c r="S57" s="1054"/>
      <c r="T57" s="1054"/>
      <c r="U57" s="450"/>
      <c r="V57" s="451"/>
    </row>
    <row r="58" spans="2:25" ht="12.75" customHeight="1">
      <c r="B58" s="1064"/>
      <c r="C58" s="1065"/>
      <c r="D58" s="1066" t="s">
        <v>175</v>
      </c>
      <c r="E58" s="1066"/>
      <c r="F58" s="1066"/>
      <c r="G58" s="818">
        <f>SUM(G55:G57)</f>
        <v>0</v>
      </c>
      <c r="H58" s="1067">
        <f>SUMPRODUCT($G$55:$G$57,H55:H57)</f>
        <v>0</v>
      </c>
      <c r="I58" s="1068"/>
      <c r="J58" s="1067">
        <f>SUMPRODUCT($G$55:$G$57,K55:K57)</f>
        <v>0</v>
      </c>
      <c r="K58" s="1068"/>
      <c r="L58" s="1068"/>
      <c r="M58" s="1069"/>
      <c r="N58" s="1067"/>
      <c r="O58" s="1068"/>
      <c r="P58" s="1068"/>
      <c r="Q58" s="1068"/>
      <c r="R58" s="1069"/>
      <c r="S58" s="1067">
        <f>SUMPRODUCT($G$55:$G$57,S55:S57)</f>
        <v>0</v>
      </c>
      <c r="T58" s="1069"/>
      <c r="U58" s="453">
        <f>SUMPRODUCT($G$55:$G$57,U55:U57)</f>
        <v>0</v>
      </c>
      <c r="V58" s="452"/>
      <c r="W58" s="116"/>
    </row>
    <row r="60" spans="2:25" ht="12.75" customHeight="1">
      <c r="B60" s="1055" t="s">
        <v>347</v>
      </c>
      <c r="C60" s="1055"/>
      <c r="D60" s="1055"/>
      <c r="E60" s="1055"/>
      <c r="F60" s="1055"/>
      <c r="G60" s="1055"/>
      <c r="H60" s="1055"/>
      <c r="I60" s="1055"/>
      <c r="J60" s="1055"/>
      <c r="K60" s="1055"/>
      <c r="L60" s="1055"/>
      <c r="M60" s="1055"/>
      <c r="N60" s="1055"/>
      <c r="O60" s="1055"/>
      <c r="P60" s="1055"/>
      <c r="Q60" s="1055"/>
      <c r="R60" s="1055"/>
      <c r="S60" s="1055"/>
      <c r="T60" s="1055"/>
      <c r="U60" s="1055"/>
      <c r="V60" s="1055"/>
    </row>
    <row r="61" spans="2:25" ht="12.75" customHeight="1">
      <c r="B61" s="1056" t="s">
        <v>357</v>
      </c>
      <c r="C61" s="1088"/>
      <c r="D61" s="1088"/>
      <c r="E61" s="1088" t="s">
        <v>358</v>
      </c>
      <c r="F61" s="1088"/>
      <c r="G61" s="1089" t="s">
        <v>350</v>
      </c>
      <c r="H61" s="1056" t="s">
        <v>359</v>
      </c>
      <c r="I61" s="1088"/>
      <c r="J61" s="1057"/>
      <c r="K61" s="1089" t="s">
        <v>360</v>
      </c>
      <c r="L61" s="1091"/>
      <c r="M61" s="1091"/>
      <c r="N61" s="1091"/>
      <c r="O61" s="1092"/>
      <c r="P61" s="1056" t="s">
        <v>361</v>
      </c>
      <c r="Q61" s="1088"/>
      <c r="R61" s="1088"/>
      <c r="S61" s="1088"/>
      <c r="T61" s="1095" t="s">
        <v>362</v>
      </c>
      <c r="U61" s="1092" t="s">
        <v>363</v>
      </c>
      <c r="V61" s="1062" t="s">
        <v>364</v>
      </c>
      <c r="X61" s="116"/>
    </row>
    <row r="62" spans="2:25" ht="12.75" customHeight="1">
      <c r="B62" s="1058"/>
      <c r="C62" s="1075"/>
      <c r="D62" s="1075"/>
      <c r="E62" s="1075"/>
      <c r="F62" s="1075"/>
      <c r="G62" s="1090"/>
      <c r="H62" s="1058"/>
      <c r="I62" s="1075"/>
      <c r="J62" s="1059"/>
      <c r="K62" s="1090"/>
      <c r="L62" s="1093"/>
      <c r="M62" s="1093"/>
      <c r="N62" s="1093"/>
      <c r="O62" s="1094"/>
      <c r="P62" s="1058" t="s">
        <v>365</v>
      </c>
      <c r="Q62" s="1075"/>
      <c r="R62" s="1075"/>
      <c r="S62" s="1075"/>
      <c r="T62" s="1096"/>
      <c r="U62" s="1094"/>
      <c r="V62" s="1063"/>
    </row>
    <row r="63" spans="2:25" ht="12.75" customHeight="1">
      <c r="B63" s="75" t="str">
        <f>F63</f>
        <v>E0023</v>
      </c>
      <c r="C63" s="454"/>
      <c r="D63" s="455"/>
      <c r="E63" s="201" t="s">
        <v>1212</v>
      </c>
      <c r="F63" s="198" t="str">
        <f>VLOOKUP($E63,EQUIPAMENTOS!$A:$B,2,FALSE)</f>
        <v>E0023</v>
      </c>
      <c r="G63" s="433">
        <f>G55</f>
        <v>0</v>
      </c>
      <c r="H63" s="1100">
        <f>VLOOKUP($B63,EQUIPAMENTOS!$B$3:$N$99,9,0)*200</f>
        <v>2000</v>
      </c>
      <c r="I63" s="1101"/>
      <c r="J63" s="1101"/>
      <c r="K63" s="1082" t="s">
        <v>367</v>
      </c>
      <c r="L63" s="1083"/>
      <c r="M63" s="1084">
        <v>200</v>
      </c>
      <c r="N63" s="1084"/>
      <c r="O63" s="1084"/>
      <c r="P63" s="80" t="s">
        <v>376</v>
      </c>
      <c r="Q63" s="1085">
        <f>VLOOKUP($B63,EQUIPAMENTOS!$B$3:$N$99,13,0)</f>
        <v>3</v>
      </c>
      <c r="R63" s="1086"/>
      <c r="S63" s="1087"/>
      <c r="T63" s="441">
        <f>IF(Q63="","",IF(K63="km",M63/Q63,180*Q63)*INDEX(DADOS!$1:$1048576,MATCH(P63,DADOS!D:D,0),5))</f>
        <v>3558.6</v>
      </c>
      <c r="U63" s="202">
        <f>SUM(H63,T63)</f>
        <v>5558.6</v>
      </c>
      <c r="V63" s="436">
        <f>G63*U63</f>
        <v>0</v>
      </c>
      <c r="X63" s="116"/>
      <c r="Y63" s="116"/>
    </row>
    <row r="64" spans="2:25" ht="12.75" customHeight="1">
      <c r="B64" s="75"/>
      <c r="C64" s="456"/>
      <c r="D64" s="457"/>
      <c r="E64" s="200"/>
      <c r="F64" s="198"/>
      <c r="G64" s="434"/>
      <c r="H64" s="1100"/>
      <c r="I64" s="1101"/>
      <c r="J64" s="1101"/>
      <c r="K64" s="1082"/>
      <c r="L64" s="1083"/>
      <c r="M64" s="1084"/>
      <c r="N64" s="1084"/>
      <c r="O64" s="1084"/>
      <c r="P64" s="80"/>
      <c r="Q64" s="1085"/>
      <c r="R64" s="1086"/>
      <c r="S64" s="1087"/>
      <c r="T64" s="441"/>
      <c r="U64" s="202"/>
      <c r="V64" s="436"/>
    </row>
    <row r="65" spans="2:22" ht="12.75" customHeight="1">
      <c r="B65" s="1123"/>
      <c r="C65" s="1124"/>
      <c r="D65" s="1125"/>
      <c r="E65" s="1126" t="s">
        <v>175</v>
      </c>
      <c r="F65" s="1127"/>
      <c r="G65" s="435">
        <f>SUM(G63:G64)</f>
        <v>0</v>
      </c>
      <c r="H65" s="1550">
        <f>SUMPRODUCT(G$63:$G64,H63:H64)</f>
        <v>0</v>
      </c>
      <c r="I65" s="1550"/>
      <c r="J65" s="1550"/>
      <c r="K65" s="1129"/>
      <c r="L65" s="1130"/>
      <c r="M65" s="1130"/>
      <c r="N65" s="1130"/>
      <c r="O65" s="1131"/>
      <c r="P65" s="699"/>
      <c r="Q65" s="819"/>
      <c r="R65" s="819"/>
      <c r="S65" s="819"/>
      <c r="T65" s="665">
        <f>SUMPRODUCT($G$63:G64,T63:T64)</f>
        <v>0</v>
      </c>
      <c r="U65" s="665"/>
      <c r="V65" s="668">
        <f>SUM(V63:V64)</f>
        <v>0</v>
      </c>
    </row>
    <row r="68" spans="2:22" ht="12.75" customHeight="1">
      <c r="B68" s="1055" t="s">
        <v>454</v>
      </c>
      <c r="C68" s="1055"/>
      <c r="D68" s="1055"/>
      <c r="E68" s="1055"/>
      <c r="F68" s="1055"/>
      <c r="G68" s="1055"/>
      <c r="H68" s="1055"/>
      <c r="I68" s="1055"/>
      <c r="J68" s="1055"/>
      <c r="K68" s="1055"/>
      <c r="L68" s="1055"/>
      <c r="M68" s="1055"/>
      <c r="N68" s="1055"/>
      <c r="O68" s="1055"/>
      <c r="P68" s="1055"/>
      <c r="Q68" s="1055"/>
      <c r="R68" s="1055"/>
      <c r="S68" s="1055"/>
      <c r="T68" s="1055"/>
      <c r="U68" s="1055"/>
      <c r="V68" s="1055"/>
    </row>
    <row r="69" spans="2:22" ht="12.75" customHeight="1">
      <c r="B69" s="1112" t="s">
        <v>183</v>
      </c>
      <c r="C69" s="1114"/>
      <c r="D69" s="1112" t="s">
        <v>324</v>
      </c>
      <c r="E69" s="1113"/>
      <c r="F69" s="1113"/>
      <c r="G69" s="1112" t="s">
        <v>1124</v>
      </c>
      <c r="H69" s="1114"/>
      <c r="I69" s="1115" t="s">
        <v>372</v>
      </c>
      <c r="J69" s="1132"/>
      <c r="K69" s="1116"/>
      <c r="L69" s="1115" t="s">
        <v>189</v>
      </c>
      <c r="M69" s="1132"/>
      <c r="N69" s="1132"/>
      <c r="O69" s="1132"/>
      <c r="P69" s="1116"/>
      <c r="Q69" s="1112" t="s">
        <v>373</v>
      </c>
      <c r="R69" s="1113"/>
      <c r="S69" s="1113"/>
      <c r="T69" s="1114"/>
      <c r="U69" s="1115"/>
      <c r="V69" s="1116"/>
    </row>
    <row r="70" spans="2:22" ht="12.75" customHeight="1">
      <c r="B70" s="186">
        <v>1</v>
      </c>
      <c r="C70" s="430"/>
      <c r="D70" s="1117" t="s">
        <v>454</v>
      </c>
      <c r="E70" s="1118"/>
      <c r="F70" s="1118"/>
      <c r="G70" s="1120">
        <f>O48</f>
        <v>3.5666666666666669</v>
      </c>
      <c r="H70" s="1120"/>
      <c r="I70" s="1120">
        <f>G58</f>
        <v>0</v>
      </c>
      <c r="J70" s="1120"/>
      <c r="K70" s="1120"/>
      <c r="L70" s="1120">
        <f>DADOS!$E$12+DADOS!$E$24+DADOS!$E$25+DADOS!$E$26</f>
        <v>1020</v>
      </c>
      <c r="M70" s="1120"/>
      <c r="N70" s="1120"/>
      <c r="O70" s="1120"/>
      <c r="P70" s="1120"/>
      <c r="Q70" s="1054">
        <f>I70*L70*G70</f>
        <v>0</v>
      </c>
      <c r="R70" s="1054"/>
      <c r="S70" s="1054"/>
      <c r="T70" s="1054"/>
      <c r="U70" s="1121"/>
      <c r="V70" s="1122"/>
    </row>
    <row r="71" spans="2:22" ht="12.75" customHeight="1">
      <c r="B71" s="186">
        <v>2</v>
      </c>
      <c r="C71" s="430"/>
      <c r="D71" s="1117" t="s">
        <v>426</v>
      </c>
      <c r="E71" s="1118"/>
      <c r="F71" s="1118"/>
      <c r="G71" s="1120">
        <f>O48</f>
        <v>3.5666666666666669</v>
      </c>
      <c r="H71" s="1120"/>
      <c r="I71" s="1120">
        <f>G63+G64</f>
        <v>0</v>
      </c>
      <c r="J71" s="1120"/>
      <c r="K71" s="1120"/>
      <c r="L71" s="1120">
        <v>1000</v>
      </c>
      <c r="M71" s="1120"/>
      <c r="N71" s="1120"/>
      <c r="O71" s="1120"/>
      <c r="P71" s="1120"/>
      <c r="Q71" s="1054">
        <f>I71*L71*G71</f>
        <v>0</v>
      </c>
      <c r="R71" s="1054"/>
      <c r="S71" s="1054"/>
      <c r="T71" s="1054"/>
      <c r="U71" s="1133"/>
      <c r="V71" s="1134"/>
    </row>
    <row r="72" spans="2:22" ht="12.75" customHeight="1">
      <c r="B72" s="186">
        <v>3</v>
      </c>
      <c r="C72" s="430"/>
      <c r="D72" s="1117" t="s">
        <v>1201</v>
      </c>
      <c r="E72" s="1118"/>
      <c r="F72" s="1118"/>
      <c r="G72" s="1120">
        <f>O48</f>
        <v>3.5666666666666669</v>
      </c>
      <c r="H72" s="1120"/>
      <c r="I72" s="1120">
        <f>G58</f>
        <v>0</v>
      </c>
      <c r="J72" s="1120"/>
      <c r="K72" s="1120"/>
      <c r="L72" s="1120">
        <f>DADOS!$M$19</f>
        <v>1093</v>
      </c>
      <c r="M72" s="1120"/>
      <c r="N72" s="1120"/>
      <c r="O72" s="1120"/>
      <c r="P72" s="1120"/>
      <c r="Q72" s="1054">
        <f>I72*L72*G72</f>
        <v>0</v>
      </c>
      <c r="R72" s="1054"/>
      <c r="S72" s="1054"/>
      <c r="T72" s="1054"/>
      <c r="U72" s="892"/>
      <c r="V72" s="893"/>
    </row>
    <row r="73" spans="2:22" ht="12.75" customHeight="1">
      <c r="B73" s="186"/>
      <c r="C73" s="430"/>
      <c r="D73" s="1117"/>
      <c r="E73" s="1118"/>
      <c r="F73" s="1118"/>
      <c r="G73" s="1120"/>
      <c r="H73" s="1120"/>
      <c r="I73" s="1120"/>
      <c r="J73" s="1120"/>
      <c r="K73" s="1120"/>
      <c r="L73" s="1120"/>
      <c r="M73" s="1120"/>
      <c r="N73" s="1120"/>
      <c r="O73" s="1120"/>
      <c r="P73" s="1120"/>
      <c r="Q73" s="1054"/>
      <c r="R73" s="1054"/>
      <c r="S73" s="1054"/>
      <c r="T73" s="1054"/>
      <c r="U73" s="892"/>
      <c r="V73" s="893"/>
    </row>
    <row r="74" spans="2:22" ht="12.75" customHeight="1">
      <c r="B74" s="1123"/>
      <c r="C74" s="1125"/>
      <c r="D74" s="1123"/>
      <c r="E74" s="1124"/>
      <c r="F74" s="1124"/>
      <c r="G74" s="1123"/>
      <c r="H74" s="1125"/>
      <c r="I74" s="1123"/>
      <c r="J74" s="1124"/>
      <c r="K74" s="1125"/>
      <c r="L74" s="1123"/>
      <c r="M74" s="1124"/>
      <c r="N74" s="1124"/>
      <c r="O74" s="1124"/>
      <c r="P74" s="1125"/>
      <c r="Q74" s="1136">
        <f>SUM(Q70:T73)</f>
        <v>0</v>
      </c>
      <c r="R74" s="1137"/>
      <c r="S74" s="1137"/>
      <c r="T74" s="1137"/>
      <c r="U74" s="1123"/>
      <c r="V74" s="1125"/>
    </row>
  </sheetData>
  <mergeCells count="226">
    <mergeCell ref="B74:C74"/>
    <mergeCell ref="D71:F71"/>
    <mergeCell ref="G71:H71"/>
    <mergeCell ref="I71:K71"/>
    <mergeCell ref="L71:P71"/>
    <mergeCell ref="Q71:T71"/>
    <mergeCell ref="U71:V71"/>
    <mergeCell ref="B65:D65"/>
    <mergeCell ref="E65:F65"/>
    <mergeCell ref="H65:J65"/>
    <mergeCell ref="K65:O65"/>
    <mergeCell ref="B68:V68"/>
    <mergeCell ref="D70:F70"/>
    <mergeCell ref="G70:H70"/>
    <mergeCell ref="I70:K70"/>
    <mergeCell ref="L70:P70"/>
    <mergeCell ref="Q70:T70"/>
    <mergeCell ref="D74:F74"/>
    <mergeCell ref="G74:H74"/>
    <mergeCell ref="I74:K74"/>
    <mergeCell ref="U69:V69"/>
    <mergeCell ref="D72:F72"/>
    <mergeCell ref="D73:F73"/>
    <mergeCell ref="L74:P74"/>
    <mergeCell ref="S56:T56"/>
    <mergeCell ref="D69:F69"/>
    <mergeCell ref="G69:H69"/>
    <mergeCell ref="I69:K69"/>
    <mergeCell ref="L69:P69"/>
    <mergeCell ref="Q69:T69"/>
    <mergeCell ref="H64:J64"/>
    <mergeCell ref="P62:S62"/>
    <mergeCell ref="H63:J63"/>
    <mergeCell ref="K63:L63"/>
    <mergeCell ref="M63:O63"/>
    <mergeCell ref="Q63:S63"/>
    <mergeCell ref="B61:D62"/>
    <mergeCell ref="E61:F62"/>
    <mergeCell ref="G61:G62"/>
    <mergeCell ref="H61:J62"/>
    <mergeCell ref="H57:I57"/>
    <mergeCell ref="K57:M57"/>
    <mergeCell ref="H56:I56"/>
    <mergeCell ref="K56:M56"/>
    <mergeCell ref="P61:S61"/>
    <mergeCell ref="M64:O64"/>
    <mergeCell ref="Q64:S64"/>
    <mergeCell ref="O57:R57"/>
    <mergeCell ref="Q74:T74"/>
    <mergeCell ref="B60:V60"/>
    <mergeCell ref="U61:U62"/>
    <mergeCell ref="V61:V62"/>
    <mergeCell ref="B58:C58"/>
    <mergeCell ref="D58:F58"/>
    <mergeCell ref="H58:I58"/>
    <mergeCell ref="J58:M58"/>
    <mergeCell ref="N58:R58"/>
    <mergeCell ref="S58:T58"/>
    <mergeCell ref="T61:T62"/>
    <mergeCell ref="G73:H73"/>
    <mergeCell ref="I73:K73"/>
    <mergeCell ref="L73:P73"/>
    <mergeCell ref="Q73:T73"/>
    <mergeCell ref="B69:C69"/>
    <mergeCell ref="G72:H72"/>
    <mergeCell ref="I72:K72"/>
    <mergeCell ref="L72:P72"/>
    <mergeCell ref="Q72:T72"/>
    <mergeCell ref="U70:V70"/>
    <mergeCell ref="K64:L64"/>
    <mergeCell ref="U74:V74"/>
    <mergeCell ref="K61:O62"/>
    <mergeCell ref="U43:V43"/>
    <mergeCell ref="B43:C43"/>
    <mergeCell ref="D43:F43"/>
    <mergeCell ref="G43:H43"/>
    <mergeCell ref="I43:K43"/>
    <mergeCell ref="L43:P43"/>
    <mergeCell ref="Q43:T43"/>
    <mergeCell ref="D41:F41"/>
    <mergeCell ref="G41:H41"/>
    <mergeCell ref="I41:K41"/>
    <mergeCell ref="L41:P41"/>
    <mergeCell ref="Q41:T41"/>
    <mergeCell ref="D42:F42"/>
    <mergeCell ref="G42:H42"/>
    <mergeCell ref="I42:K42"/>
    <mergeCell ref="L42:P42"/>
    <mergeCell ref="Q42:T42"/>
    <mergeCell ref="D40:F40"/>
    <mergeCell ref="G40:H40"/>
    <mergeCell ref="I40:K40"/>
    <mergeCell ref="L40:P40"/>
    <mergeCell ref="Q40:T40"/>
    <mergeCell ref="U40:V40"/>
    <mergeCell ref="Q38:T38"/>
    <mergeCell ref="U38:V38"/>
    <mergeCell ref="D39:F39"/>
    <mergeCell ref="G39:H39"/>
    <mergeCell ref="I39:K39"/>
    <mergeCell ref="L39:P39"/>
    <mergeCell ref="Q39:T39"/>
    <mergeCell ref="U39:V39"/>
    <mergeCell ref="B34:D34"/>
    <mergeCell ref="E34:F34"/>
    <mergeCell ref="H34:J34"/>
    <mergeCell ref="K34:O34"/>
    <mergeCell ref="B37:V37"/>
    <mergeCell ref="B38:C38"/>
    <mergeCell ref="D38:F38"/>
    <mergeCell ref="G38:H38"/>
    <mergeCell ref="I38:K38"/>
    <mergeCell ref="L38:P38"/>
    <mergeCell ref="H29:J29"/>
    <mergeCell ref="K29:L29"/>
    <mergeCell ref="M29:O29"/>
    <mergeCell ref="Q29:S29"/>
    <mergeCell ref="H30:J30"/>
    <mergeCell ref="K30:L30"/>
    <mergeCell ref="M30:O30"/>
    <mergeCell ref="Q30:S30"/>
    <mergeCell ref="B33:D33"/>
    <mergeCell ref="E33:F33"/>
    <mergeCell ref="H33:J33"/>
    <mergeCell ref="K33:L33"/>
    <mergeCell ref="M33:O33"/>
    <mergeCell ref="Q33:S33"/>
    <mergeCell ref="H31:J31"/>
    <mergeCell ref="K31:L31"/>
    <mergeCell ref="M31:O31"/>
    <mergeCell ref="Q31:S31"/>
    <mergeCell ref="H32:J32"/>
    <mergeCell ref="K32:L32"/>
    <mergeCell ref="M32:O32"/>
    <mergeCell ref="Q32:S32"/>
    <mergeCell ref="B26:V26"/>
    <mergeCell ref="B27:D28"/>
    <mergeCell ref="E27:F28"/>
    <mergeCell ref="G27:G28"/>
    <mergeCell ref="H27:J28"/>
    <mergeCell ref="K27:O28"/>
    <mergeCell ref="P27:S27"/>
    <mergeCell ref="T27:T28"/>
    <mergeCell ref="U27:U28"/>
    <mergeCell ref="V27:V28"/>
    <mergeCell ref="P28:S28"/>
    <mergeCell ref="K20:M20"/>
    <mergeCell ref="S20:T20"/>
    <mergeCell ref="H23:I23"/>
    <mergeCell ref="K23:M23"/>
    <mergeCell ref="O23:R23"/>
    <mergeCell ref="S23:T23"/>
    <mergeCell ref="B24:C24"/>
    <mergeCell ref="D24:F24"/>
    <mergeCell ref="H24:I24"/>
    <mergeCell ref="J24:M24"/>
    <mergeCell ref="N24:R24"/>
    <mergeCell ref="S24:T24"/>
    <mergeCell ref="B7:D7"/>
    <mergeCell ref="C9:E9"/>
    <mergeCell ref="H9:I9"/>
    <mergeCell ref="J9:L9"/>
    <mergeCell ref="O9:T9"/>
    <mergeCell ref="U9:V9"/>
    <mergeCell ref="H17:I17"/>
    <mergeCell ref="K17:M17"/>
    <mergeCell ref="O17:R17"/>
    <mergeCell ref="S17:T17"/>
    <mergeCell ref="B14:V14"/>
    <mergeCell ref="B15:C16"/>
    <mergeCell ref="D15:F16"/>
    <mergeCell ref="G15:G16"/>
    <mergeCell ref="H15:I16"/>
    <mergeCell ref="J15:M16"/>
    <mergeCell ref="N15:R16"/>
    <mergeCell ref="S15:T16"/>
    <mergeCell ref="U15:U16"/>
    <mergeCell ref="V15:V16"/>
    <mergeCell ref="H48:I48"/>
    <mergeCell ref="J48:L48"/>
    <mergeCell ref="O48:T49"/>
    <mergeCell ref="U48:V49"/>
    <mergeCell ref="E10:E11"/>
    <mergeCell ref="H10:I10"/>
    <mergeCell ref="J10:L10"/>
    <mergeCell ref="O10:T11"/>
    <mergeCell ref="U10:V11"/>
    <mergeCell ref="H11:I11"/>
    <mergeCell ref="J11:L11"/>
    <mergeCell ref="H18:I18"/>
    <mergeCell ref="K18:M18"/>
    <mergeCell ref="S18:T18"/>
    <mergeCell ref="H21:I21"/>
    <mergeCell ref="K21:M21"/>
    <mergeCell ref="S21:T21"/>
    <mergeCell ref="H22:I22"/>
    <mergeCell ref="K22:M22"/>
    <mergeCell ref="S22:T22"/>
    <mergeCell ref="H19:I19"/>
    <mergeCell ref="K19:M19"/>
    <mergeCell ref="S19:T19"/>
    <mergeCell ref="H20:I20"/>
    <mergeCell ref="S57:T57"/>
    <mergeCell ref="B52:V52"/>
    <mergeCell ref="U53:U54"/>
    <mergeCell ref="V53:V54"/>
    <mergeCell ref="H55:I55"/>
    <mergeCell ref="K55:M55"/>
    <mergeCell ref="O55:R55"/>
    <mergeCell ref="S55:T55"/>
    <mergeCell ref="B45:D45"/>
    <mergeCell ref="C47:E47"/>
    <mergeCell ref="H47:I47"/>
    <mergeCell ref="B53:C54"/>
    <mergeCell ref="D53:F54"/>
    <mergeCell ref="G53:G54"/>
    <mergeCell ref="H53:I54"/>
    <mergeCell ref="J53:M54"/>
    <mergeCell ref="N53:R54"/>
    <mergeCell ref="J47:L47"/>
    <mergeCell ref="O47:T47"/>
    <mergeCell ref="S53:T54"/>
    <mergeCell ref="H49:I49"/>
    <mergeCell ref="J49:L49"/>
    <mergeCell ref="U47:V47"/>
    <mergeCell ref="E48:E49"/>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316418"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316418" r:id="rId3" name="Label1"/>
      </mc:Fallback>
    </mc:AlternateContent>
    <mc:AlternateContent xmlns:mc="http://schemas.openxmlformats.org/markup-compatibility/2006">
      <mc:Choice Requires="x14">
        <control shapeId="316417"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316417" r:id="rId5" name="ComboBox1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57468-E43C-4002-9760-E53540C2BC9F}">
  <sheetPr codeName="Planilha15">
    <tabColor rgb="FF00B050"/>
  </sheetPr>
  <dimension ref="B5:N26"/>
  <sheetViews>
    <sheetView showGridLines="0" topLeftCell="A4" zoomScaleNormal="100" workbookViewId="0">
      <selection activeCell="K39" sqref="K39"/>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6.6640625" style="58" customWidth="1"/>
    <col min="6" max="6" width="6" style="58" bestFit="1" customWidth="1"/>
    <col min="7" max="7" width="4" style="58" bestFit="1" customWidth="1"/>
    <col min="8" max="8" width="18" style="58" customWidth="1"/>
    <col min="9" max="9" width="14.109375" style="58" bestFit="1" customWidth="1"/>
    <col min="10" max="10" width="11.109375" style="58" customWidth="1"/>
    <col min="11" max="13" width="9" style="58" customWidth="1"/>
    <col min="14" max="14" width="10.6640625" style="58" customWidth="1"/>
    <col min="15" max="16384" width="9.109375" style="58"/>
  </cols>
  <sheetData>
    <row r="5" spans="2:14" ht="12.75" customHeight="1" thickBot="1"/>
    <row r="6" spans="2:14" ht="26.25" customHeight="1" thickBot="1">
      <c r="J6" s="992" t="s">
        <v>1431</v>
      </c>
      <c r="K6" s="993">
        <v>0.2</v>
      </c>
    </row>
    <row r="7" spans="2:14" ht="18.75" customHeight="1">
      <c r="B7" s="1044"/>
      <c r="C7" s="1044"/>
      <c r="D7" s="1044"/>
      <c r="E7" s="887"/>
    </row>
    <row r="9" spans="2:14" ht="12.75" customHeight="1">
      <c r="B9" s="1055" t="s">
        <v>344</v>
      </c>
      <c r="C9" s="1055"/>
      <c r="D9" s="1055"/>
      <c r="E9" s="1055"/>
      <c r="F9" s="1055"/>
      <c r="G9" s="1055"/>
      <c r="H9" s="1055"/>
      <c r="I9" s="1055"/>
      <c r="J9" s="1055"/>
      <c r="K9" s="1055"/>
      <c r="L9" s="1055"/>
      <c r="M9" s="1055"/>
      <c r="N9" s="1055"/>
    </row>
    <row r="10" spans="2:14" ht="12.75" customHeight="1">
      <c r="B10" s="1056" t="s">
        <v>183</v>
      </c>
      <c r="C10" s="1057"/>
      <c r="D10" s="1060" t="s">
        <v>349</v>
      </c>
      <c r="E10" s="1060"/>
      <c r="F10" s="1060"/>
      <c r="G10" s="1060" t="s">
        <v>350</v>
      </c>
      <c r="H10" s="975"/>
      <c r="I10" s="975"/>
      <c r="J10" s="975" t="s">
        <v>1429</v>
      </c>
      <c r="K10" s="975" t="s">
        <v>1429</v>
      </c>
      <c r="L10" s="975" t="s">
        <v>1430</v>
      </c>
      <c r="M10" s="975" t="s">
        <v>1430</v>
      </c>
      <c r="N10" s="975"/>
    </row>
    <row r="11" spans="2:14" ht="22.5" customHeight="1">
      <c r="B11" s="1058"/>
      <c r="C11" s="1059"/>
      <c r="D11" s="1060"/>
      <c r="E11" s="1060"/>
      <c r="F11" s="1060"/>
      <c r="G11" s="1060"/>
      <c r="H11" s="976" t="s">
        <v>1423</v>
      </c>
      <c r="I11" s="975" t="s">
        <v>1424</v>
      </c>
      <c r="J11" s="975" t="s">
        <v>1425</v>
      </c>
      <c r="K11" s="975" t="s">
        <v>1426</v>
      </c>
      <c r="L11" s="975" t="s">
        <v>1427</v>
      </c>
      <c r="M11" s="975" t="s">
        <v>1428</v>
      </c>
      <c r="N11" s="975"/>
    </row>
    <row r="12" spans="2:14" ht="15" customHeight="1">
      <c r="B12" s="74" t="str">
        <f t="shared" ref="B12:B24" si="0">F12</f>
        <v>P0045</v>
      </c>
      <c r="C12" s="199"/>
      <c r="D12" s="75"/>
      <c r="E12" s="198" t="s">
        <v>1369</v>
      </c>
      <c r="F12" s="198" t="str">
        <f>VLOOKUP(E12,'MÃO DE OBRA'!$A:$B,2,FALSE)</f>
        <v>P0045</v>
      </c>
      <c r="G12" s="186">
        <v>1</v>
      </c>
      <c r="H12" s="186">
        <f>30*24</f>
        <v>720</v>
      </c>
      <c r="I12" s="979">
        <f>(IF(D12="h",VLOOKUP(B12,'MÃO DE OBRA'!$B$3:$D$97,3,0)*220,VLOOKUP(B12,'MÃO DE OBRA'!$B$3:$D$97,3,0)))</f>
        <v>2805.6</v>
      </c>
      <c r="J12" s="979">
        <f>I12</f>
        <v>2805.6</v>
      </c>
      <c r="K12" s="979">
        <f>I12</f>
        <v>2805.6</v>
      </c>
      <c r="L12" s="979">
        <f>I12*(1+$K$6)</f>
        <v>3366.72</v>
      </c>
      <c r="M12" s="979">
        <f>J12*(1+$K$6)</f>
        <v>3366.72</v>
      </c>
      <c r="N12" s="995">
        <f>SUM(J12:M12)</f>
        <v>12344.64</v>
      </c>
    </row>
    <row r="13" spans="2:14" ht="12.75" customHeight="1">
      <c r="B13" s="75" t="str">
        <f t="shared" si="0"/>
        <v>P0032</v>
      </c>
      <c r="C13" s="199"/>
      <c r="D13" s="75"/>
      <c r="E13" s="77" t="s">
        <v>1174</v>
      </c>
      <c r="F13" s="198" t="str">
        <f>VLOOKUP(E13,'MÃO DE OBRA'!$A:$B,2,FALSE)</f>
        <v>P0032</v>
      </c>
      <c r="G13" s="861">
        <v>1</v>
      </c>
      <c r="H13" s="861">
        <f>12*30</f>
        <v>360</v>
      </c>
      <c r="I13" s="979">
        <f>(IF(D13="h",VLOOKUP(B13,'MÃO DE OBRA'!$B$3:$D$97,3,0)*220,VLOOKUP(B13,'MÃO DE OBRA'!$B$3:$D$97,3,0)))</f>
        <v>2853</v>
      </c>
      <c r="J13" s="979">
        <f>I13</f>
        <v>2853</v>
      </c>
      <c r="K13" s="979">
        <f>I13</f>
        <v>2853</v>
      </c>
      <c r="L13" s="979"/>
      <c r="M13" s="979"/>
      <c r="N13" s="977">
        <f>SUM(J13:M13)</f>
        <v>5706</v>
      </c>
    </row>
    <row r="14" spans="2:14" ht="12.75" customHeight="1">
      <c r="B14" s="75" t="str">
        <f t="shared" si="0"/>
        <v>P0072</v>
      </c>
      <c r="C14" s="199"/>
      <c r="D14" s="75"/>
      <c r="E14" s="198" t="s">
        <v>392</v>
      </c>
      <c r="F14" s="198" t="str">
        <f>VLOOKUP(E14,'MÃO DE OBRA'!$A:$B,2,FALSE)</f>
        <v>P0072</v>
      </c>
      <c r="G14" s="186">
        <v>1</v>
      </c>
      <c r="H14" s="861">
        <f t="shared" ref="H14:H24" si="1">12*30</f>
        <v>360</v>
      </c>
      <c r="I14" s="979">
        <f>(IF(D14="h",VLOOKUP(B14,'MÃO DE OBRA'!$B$3:$D$97,3,0)*220,VLOOKUP(B14,'MÃO DE OBRA'!$B$3:$D$97,3,0)))</f>
        <v>2754.2</v>
      </c>
      <c r="J14" s="979">
        <f t="shared" ref="J14:J24" si="2">I14</f>
        <v>2754.2</v>
      </c>
      <c r="K14" s="979">
        <f t="shared" ref="K14:K23" si="3">I14</f>
        <v>2754.2</v>
      </c>
      <c r="L14" s="979"/>
      <c r="M14" s="979"/>
      <c r="N14" s="977">
        <f t="shared" ref="N14:N23" si="4">SUM(J14:M14)</f>
        <v>5508.4</v>
      </c>
    </row>
    <row r="15" spans="2:14" ht="12.75" customHeight="1">
      <c r="B15" s="75" t="str">
        <f t="shared" si="0"/>
        <v>P0001</v>
      </c>
      <c r="C15" s="199"/>
      <c r="D15" s="75"/>
      <c r="E15" s="198" t="s">
        <v>356</v>
      </c>
      <c r="F15" s="198" t="str">
        <f>VLOOKUP(E15,'MÃO DE OBRA'!$A:$B,2,FALSE)</f>
        <v>P0001</v>
      </c>
      <c r="G15" s="186">
        <v>1</v>
      </c>
      <c r="H15" s="861">
        <f t="shared" si="1"/>
        <v>360</v>
      </c>
      <c r="I15" s="979">
        <f>(IF(D15="h",VLOOKUP(B15,'MÃO DE OBRA'!$B$3:$D$97,3,0)*220,VLOOKUP(B15,'MÃO DE OBRA'!$B$3:$D$97,3,0)))</f>
        <v>1962.6</v>
      </c>
      <c r="J15" s="979">
        <f t="shared" si="2"/>
        <v>1962.6</v>
      </c>
      <c r="K15" s="979">
        <f t="shared" si="3"/>
        <v>1962.6</v>
      </c>
      <c r="L15" s="979"/>
      <c r="M15" s="979"/>
      <c r="N15" s="977">
        <f t="shared" si="4"/>
        <v>3925.2</v>
      </c>
    </row>
    <row r="16" spans="2:14" ht="12.75" customHeight="1">
      <c r="B16" s="75" t="str">
        <f t="shared" si="0"/>
        <v>P0048</v>
      </c>
      <c r="C16" s="199"/>
      <c r="D16" s="75"/>
      <c r="E16" s="77" t="s">
        <v>1370</v>
      </c>
      <c r="F16" s="198" t="str">
        <f>VLOOKUP(E16,'MÃO DE OBRA'!$A:$B,2,FALSE)</f>
        <v>P0048</v>
      </c>
      <c r="G16" s="186">
        <v>1</v>
      </c>
      <c r="H16" s="861">
        <f t="shared" si="1"/>
        <v>360</v>
      </c>
      <c r="I16" s="979">
        <f>(IF(D16="h",VLOOKUP(B16,'MÃO DE OBRA'!$B$3:$D$97,3,0)*220,VLOOKUP(B16,'MÃO DE OBRA'!$B$3:$D$97,3,0)))</f>
        <v>3813.8</v>
      </c>
      <c r="J16" s="979">
        <f t="shared" si="2"/>
        <v>3813.8</v>
      </c>
      <c r="K16" s="979">
        <f t="shared" si="3"/>
        <v>3813.8</v>
      </c>
      <c r="L16" s="979"/>
      <c r="M16" s="979"/>
      <c r="N16" s="977">
        <f t="shared" si="4"/>
        <v>7627.6</v>
      </c>
    </row>
    <row r="17" spans="2:14" ht="12.75" customHeight="1">
      <c r="B17" s="75" t="str">
        <f t="shared" si="0"/>
        <v>P0049</v>
      </c>
      <c r="C17" s="199"/>
      <c r="D17" s="75"/>
      <c r="E17" s="77" t="s">
        <v>393</v>
      </c>
      <c r="F17" s="198" t="str">
        <f>VLOOKUP(E17,'MÃO DE OBRA'!$A:$B,2,FALSE)</f>
        <v>P0049</v>
      </c>
      <c r="G17" s="186">
        <v>1</v>
      </c>
      <c r="H17" s="861">
        <f t="shared" si="1"/>
        <v>360</v>
      </c>
      <c r="I17" s="979">
        <f>(IF(D17="h",VLOOKUP(B17,'MÃO DE OBRA'!$B$3:$D$97,3,0)*220,VLOOKUP(B17,'MÃO DE OBRA'!$B$3:$D$97,3,0)))</f>
        <v>2305.6</v>
      </c>
      <c r="J17" s="979">
        <f t="shared" si="2"/>
        <v>2305.6</v>
      </c>
      <c r="K17" s="979">
        <f t="shared" si="3"/>
        <v>2305.6</v>
      </c>
      <c r="L17" s="979"/>
      <c r="M17" s="979"/>
      <c r="N17" s="977">
        <f t="shared" si="4"/>
        <v>4611.2</v>
      </c>
    </row>
    <row r="18" spans="2:14" ht="12.75" customHeight="1">
      <c r="B18" s="75" t="str">
        <f t="shared" si="0"/>
        <v>P0043</v>
      </c>
      <c r="C18" s="199"/>
      <c r="D18" s="75"/>
      <c r="E18" s="77" t="s">
        <v>378</v>
      </c>
      <c r="F18" s="198" t="str">
        <f>VLOOKUP(E18,'MÃO DE OBRA'!$A:$B,2,FALSE)</f>
        <v>P0043</v>
      </c>
      <c r="G18" s="186">
        <v>1</v>
      </c>
      <c r="H18" s="861">
        <f t="shared" si="1"/>
        <v>360</v>
      </c>
      <c r="I18" s="979">
        <f>(IF(D18="h",VLOOKUP(B18,'MÃO DE OBRA'!$B$3:$D$97,3,0)*220,VLOOKUP(B18,'MÃO DE OBRA'!$B$3:$D$97,3,0)))</f>
        <v>3843.4</v>
      </c>
      <c r="J18" s="979">
        <f t="shared" si="2"/>
        <v>3843.4</v>
      </c>
      <c r="K18" s="979">
        <f t="shared" si="3"/>
        <v>3843.4</v>
      </c>
      <c r="L18" s="979"/>
      <c r="M18" s="979"/>
      <c r="N18" s="977">
        <f t="shared" si="4"/>
        <v>7686.8</v>
      </c>
    </row>
    <row r="19" spans="2:14" ht="12.75" customHeight="1">
      <c r="B19" s="75" t="str">
        <f t="shared" si="0"/>
        <v>P0046</v>
      </c>
      <c r="C19" s="199"/>
      <c r="D19" s="75"/>
      <c r="E19" s="77" t="s">
        <v>377</v>
      </c>
      <c r="F19" s="198" t="str">
        <f>VLOOKUP(E19,'MÃO DE OBRA'!$A:$B,2,FALSE)</f>
        <v>P0046</v>
      </c>
      <c r="G19" s="186">
        <v>1</v>
      </c>
      <c r="H19" s="861">
        <f t="shared" si="1"/>
        <v>360</v>
      </c>
      <c r="I19" s="979">
        <f>(IF(D19="h",VLOOKUP(B19,'MÃO DE OBRA'!$B$3:$D$97,3,0)*220,VLOOKUP(B19,'MÃO DE OBRA'!$B$3:$D$97,3,0)))</f>
        <v>2305.6</v>
      </c>
      <c r="J19" s="979">
        <f t="shared" si="2"/>
        <v>2305.6</v>
      </c>
      <c r="K19" s="979">
        <f t="shared" si="3"/>
        <v>2305.6</v>
      </c>
      <c r="L19" s="979"/>
      <c r="M19" s="979"/>
      <c r="N19" s="977">
        <f t="shared" si="4"/>
        <v>4611.2</v>
      </c>
    </row>
    <row r="20" spans="2:14" ht="12.75" customHeight="1">
      <c r="B20" s="75" t="str">
        <f t="shared" si="0"/>
        <v>P0044</v>
      </c>
      <c r="C20" s="199"/>
      <c r="D20" s="75"/>
      <c r="E20" s="198" t="s">
        <v>374</v>
      </c>
      <c r="F20" s="198" t="str">
        <f>VLOOKUP(E20,'MÃO DE OBRA'!$A:$B,2,FALSE)</f>
        <v>P0044</v>
      </c>
      <c r="G20" s="186">
        <v>1</v>
      </c>
      <c r="H20" s="861">
        <f t="shared" si="1"/>
        <v>360</v>
      </c>
      <c r="I20" s="979">
        <f>(IF(D20="h",VLOOKUP(B20,'MÃO DE OBRA'!$B$3:$D$97,3,0)*220,VLOOKUP(B20,'MÃO DE OBRA'!$B$3:$D$97,3,0)))</f>
        <v>2813.8</v>
      </c>
      <c r="J20" s="979">
        <f t="shared" si="2"/>
        <v>2813.8</v>
      </c>
      <c r="K20" s="979">
        <f t="shared" si="3"/>
        <v>2813.8</v>
      </c>
      <c r="L20" s="979"/>
      <c r="M20" s="979"/>
      <c r="N20" s="977">
        <f t="shared" si="4"/>
        <v>5627.6</v>
      </c>
    </row>
    <row r="21" spans="2:14" ht="12.75" customHeight="1">
      <c r="B21" s="75" t="str">
        <f t="shared" si="0"/>
        <v>P0040</v>
      </c>
      <c r="C21" s="199"/>
      <c r="D21" s="75"/>
      <c r="E21" s="198" t="s">
        <v>355</v>
      </c>
      <c r="F21" s="198" t="str">
        <f>VLOOKUP(E21,'MÃO DE OBRA'!$A:$B,2,FALSE)</f>
        <v>P0040</v>
      </c>
      <c r="G21" s="186">
        <v>1</v>
      </c>
      <c r="H21" s="861">
        <f t="shared" si="1"/>
        <v>360</v>
      </c>
      <c r="I21" s="979">
        <f>(IF(D21="h",VLOOKUP(B21,'MÃO DE OBRA'!$B$3:$D$97,3,0)*220,VLOOKUP(B21,'MÃO DE OBRA'!$B$3:$D$97,3,0)))</f>
        <v>3843.4</v>
      </c>
      <c r="J21" s="979">
        <f t="shared" si="2"/>
        <v>3843.4</v>
      </c>
      <c r="K21" s="979">
        <f t="shared" si="3"/>
        <v>3843.4</v>
      </c>
      <c r="L21" s="979"/>
      <c r="M21" s="979"/>
      <c r="N21" s="977">
        <f t="shared" si="4"/>
        <v>7686.8</v>
      </c>
    </row>
    <row r="22" spans="2:14" ht="12.75" customHeight="1">
      <c r="B22" s="75" t="str">
        <f t="shared" si="0"/>
        <v>P0033</v>
      </c>
      <c r="C22" s="199"/>
      <c r="D22" s="75"/>
      <c r="E22" s="198" t="s">
        <v>394</v>
      </c>
      <c r="F22" s="198" t="str">
        <f>VLOOKUP(E22,'MÃO DE OBRA'!$A:$B,2,FALSE)</f>
        <v>P0033</v>
      </c>
      <c r="G22" s="186">
        <v>1</v>
      </c>
      <c r="H22" s="861">
        <f t="shared" si="1"/>
        <v>360</v>
      </c>
      <c r="I22" s="979">
        <f>(IF(D22="h",VLOOKUP(B22,'MÃO DE OBRA'!$B$3:$D$97,3,0)*220,VLOOKUP(B22,'MÃO DE OBRA'!$B$3:$D$97,3,0)))</f>
        <v>2956.5</v>
      </c>
      <c r="J22" s="979">
        <f t="shared" si="2"/>
        <v>2956.5</v>
      </c>
      <c r="K22" s="979">
        <f t="shared" si="3"/>
        <v>2956.5</v>
      </c>
      <c r="L22" s="979"/>
      <c r="M22" s="979"/>
      <c r="N22" s="977">
        <f t="shared" si="4"/>
        <v>5913</v>
      </c>
    </row>
    <row r="23" spans="2:14" ht="12.75" customHeight="1">
      <c r="B23" s="75" t="str">
        <f t="shared" si="0"/>
        <v>P0029</v>
      </c>
      <c r="C23" s="199"/>
      <c r="D23" s="75"/>
      <c r="E23" s="198" t="s">
        <v>382</v>
      </c>
      <c r="F23" s="198" t="str">
        <f>VLOOKUP(E23,'MÃO DE OBRA'!$A:$B,2,FALSE)</f>
        <v>P0029</v>
      </c>
      <c r="G23" s="186">
        <v>1</v>
      </c>
      <c r="H23" s="861">
        <f t="shared" si="1"/>
        <v>360</v>
      </c>
      <c r="I23" s="979">
        <f>(IF(D23="h",VLOOKUP(B23,'MÃO DE OBRA'!$B$3:$D$97,3,0)*220,VLOOKUP(B23,'MÃO DE OBRA'!$B$3:$D$97,3,0)))</f>
        <v>2305.6</v>
      </c>
      <c r="J23" s="979">
        <f t="shared" si="2"/>
        <v>2305.6</v>
      </c>
      <c r="K23" s="979">
        <f t="shared" si="3"/>
        <v>2305.6</v>
      </c>
      <c r="L23" s="979"/>
      <c r="M23" s="979"/>
      <c r="N23" s="978">
        <f t="shared" si="4"/>
        <v>4611.2</v>
      </c>
    </row>
    <row r="24" spans="2:14" ht="12.75" customHeight="1">
      <c r="B24" s="75" t="str">
        <f t="shared" si="0"/>
        <v>P0079</v>
      </c>
      <c r="C24" s="199"/>
      <c r="D24" s="75"/>
      <c r="E24" s="198" t="s">
        <v>1412</v>
      </c>
      <c r="F24" s="198" t="str">
        <f>VLOOKUP(E24,'MÃO DE OBRA'!$A:$B,2,FALSE)</f>
        <v>P0079</v>
      </c>
      <c r="G24" s="186">
        <v>1</v>
      </c>
      <c r="H24" s="861">
        <f t="shared" si="1"/>
        <v>360</v>
      </c>
      <c r="I24" s="979">
        <f>(IF(D24="h",VLOOKUP(B24,'MÃO DE OBRA'!$B$3:$D$97,3,0)*220,VLOOKUP(B24,'MÃO DE OBRA'!$B$3:$D$97,3,0)))</f>
        <v>1674.2</v>
      </c>
      <c r="J24" s="979">
        <f t="shared" si="2"/>
        <v>1674.2</v>
      </c>
      <c r="K24" s="979">
        <f t="shared" ref="K24" si="5">I24</f>
        <v>1674.2</v>
      </c>
      <c r="L24" s="979"/>
      <c r="M24" s="979"/>
      <c r="N24" s="978">
        <f t="shared" ref="N24" si="6">SUM(J24:M24)</f>
        <v>3348.4</v>
      </c>
    </row>
    <row r="25" spans="2:14" ht="12.75" customHeight="1">
      <c r="J25" s="116"/>
      <c r="K25" s="116"/>
      <c r="L25" s="116"/>
    </row>
    <row r="26" spans="2:14" ht="12.75" customHeight="1">
      <c r="I26" s="116"/>
      <c r="J26" s="116"/>
      <c r="K26" s="116"/>
      <c r="L26" s="116"/>
    </row>
  </sheetData>
  <mergeCells count="5">
    <mergeCell ref="B9:N9"/>
    <mergeCell ref="B10:C11"/>
    <mergeCell ref="D10:F11"/>
    <mergeCell ref="G10:G11"/>
    <mergeCell ref="B7:D7"/>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58EC-25F3-4A1B-856A-21E63233C566}">
  <sheetPr codeName="Planilha16">
    <tabColor theme="6" tint="0.39997558519241921"/>
  </sheetPr>
  <dimension ref="B1:AF108"/>
  <sheetViews>
    <sheetView showGridLines="0" topLeftCell="B59" zoomScale="85" zoomScaleNormal="85" workbookViewId="0">
      <selection activeCell="I91" sqref="I91:K91"/>
    </sheetView>
  </sheetViews>
  <sheetFormatPr defaultColWidth="9.109375" defaultRowHeight="12.75" customHeight="1"/>
  <cols>
    <col min="1" max="1" width="3.44140625" style="58" customWidth="1"/>
    <col min="2" max="2" width="7.44140625" style="58" bestFit="1" customWidth="1"/>
    <col min="3" max="3" width="2.109375" style="58" customWidth="1"/>
    <col min="4" max="4" width="2.5546875" style="58" customWidth="1"/>
    <col min="5" max="5" width="38" style="58" bestFit="1" customWidth="1"/>
    <col min="6" max="6" width="7.44140625" style="58" customWidth="1"/>
    <col min="7" max="7" width="3.5546875" style="58" bestFit="1" customWidth="1"/>
    <col min="8" max="8" width="6.6640625" style="58" customWidth="1"/>
    <col min="9" max="9" width="7.44140625" style="58" customWidth="1"/>
    <col min="10" max="12" width="5.6640625" style="58" customWidth="1"/>
    <col min="13" max="14" width="3.109375" style="58" customWidth="1"/>
    <col min="15" max="15" width="4.33203125" style="58" customWidth="1"/>
    <col min="16" max="16" width="2.6640625" style="58" customWidth="1"/>
    <col min="17" max="18" width="3.109375" style="58" customWidth="1"/>
    <col min="19" max="19" width="3" style="58" customWidth="1"/>
    <col min="20" max="20" width="14.109375" style="58" customWidth="1"/>
    <col min="21" max="21" width="14.6640625" style="58" customWidth="1"/>
    <col min="22" max="22" width="42.6640625" style="58" customWidth="1"/>
    <col min="23" max="23" width="13.33203125" style="58" customWidth="1"/>
    <col min="24" max="24" width="11" style="58" bestFit="1" customWidth="1"/>
    <col min="25" max="25" width="12.109375" style="58" customWidth="1"/>
    <col min="26" max="26" width="6.88671875" style="58" bestFit="1" customWidth="1"/>
    <col min="27" max="27" width="6.33203125" style="58" customWidth="1"/>
    <col min="28" max="28" width="9.109375" style="58" customWidth="1"/>
    <col min="29" max="29" width="31.88671875" style="58" customWidth="1"/>
    <col min="30" max="30" width="15.109375" style="58" bestFit="1" customWidth="1"/>
    <col min="31" max="32" width="11" style="58" customWidth="1"/>
    <col min="33" max="16384" width="9.109375" style="58"/>
  </cols>
  <sheetData>
    <row r="1" spans="2:30" ht="12.75" customHeight="1">
      <c r="W1" s="755" t="s">
        <v>1437</v>
      </c>
      <c r="X1" s="116">
        <f>U34</f>
        <v>131672.51472727273</v>
      </c>
      <c r="Y1" s="116">
        <f>X1*O9+QSMS!U25*QSMS!O9</f>
        <v>746362.57363636373</v>
      </c>
    </row>
    <row r="2" spans="2:30" ht="12.75" customHeight="1">
      <c r="W2" s="990" t="s">
        <v>1438</v>
      </c>
      <c r="X2" s="116">
        <f>H46+QSMS!H33+Q54+Q68</f>
        <v>144550</v>
      </c>
      <c r="Y2" s="116">
        <f>X2*O9</f>
        <v>722750</v>
      </c>
    </row>
    <row r="3" spans="2:30" ht="12.75" customHeight="1">
      <c r="W3" s="58" t="s">
        <v>1439</v>
      </c>
      <c r="X3" s="116">
        <f>T46+QSMS!T33</f>
        <v>5272</v>
      </c>
      <c r="Y3" s="116">
        <f>X3*O9</f>
        <v>26360</v>
      </c>
    </row>
    <row r="4" spans="2:30" ht="12.75" customHeight="1">
      <c r="H4" s="755"/>
    </row>
    <row r="5" spans="2:30" ht="12.75" customHeight="1">
      <c r="H5" s="755"/>
    </row>
    <row r="6" spans="2:30" ht="18.75" customHeight="1">
      <c r="B6" s="1044" t="s">
        <v>343</v>
      </c>
      <c r="C6" s="1044"/>
      <c r="D6" s="1044"/>
      <c r="E6" s="70" t="s">
        <v>306</v>
      </c>
    </row>
    <row r="7" spans="2:30" ht="12.75" customHeight="1">
      <c r="B7" s="71"/>
      <c r="C7" s="71"/>
      <c r="D7" s="71"/>
      <c r="E7" s="71"/>
      <c r="F7" s="71"/>
      <c r="G7" s="71"/>
      <c r="H7" s="71"/>
      <c r="I7" s="71"/>
      <c r="J7" s="71"/>
      <c r="K7" s="71"/>
      <c r="L7" s="71"/>
      <c r="M7" s="71"/>
      <c r="N7" s="71"/>
      <c r="O7" s="71"/>
      <c r="P7" s="71"/>
      <c r="Q7" s="71"/>
      <c r="R7" s="71"/>
      <c r="S7" s="71"/>
      <c r="T7" s="71"/>
      <c r="U7" s="71"/>
      <c r="V7" s="71"/>
      <c r="W7" s="755">
        <f>CRONOGRAMA!AJ7</f>
        <v>46111</v>
      </c>
      <c r="X7" s="755">
        <f>CRONOGRAMA!CG7</f>
        <v>46285</v>
      </c>
      <c r="Y7" s="58">
        <f>X7-W7-24</f>
        <v>150</v>
      </c>
      <c r="Z7" s="58">
        <f>Y7/30</f>
        <v>5</v>
      </c>
      <c r="AA7" s="137"/>
    </row>
    <row r="8" spans="2:30" ht="12.75" customHeight="1">
      <c r="B8" s="71"/>
      <c r="C8" s="1045" t="s">
        <v>303</v>
      </c>
      <c r="D8" s="1045"/>
      <c r="E8" s="1046"/>
      <c r="F8" s="71"/>
      <c r="G8" s="71"/>
      <c r="H8" s="1039" t="s">
        <v>344</v>
      </c>
      <c r="I8" s="1039"/>
      <c r="J8" s="1040">
        <f>U34</f>
        <v>131672.51472727273</v>
      </c>
      <c r="K8" s="1040"/>
      <c r="L8" s="1040"/>
      <c r="M8" s="448"/>
      <c r="N8" s="447"/>
      <c r="O8" s="1047" t="s">
        <v>345</v>
      </c>
      <c r="P8" s="1047"/>
      <c r="Q8" s="1047"/>
      <c r="R8" s="1047"/>
      <c r="S8" s="1047"/>
      <c r="T8" s="1047"/>
      <c r="U8" s="1048" t="s">
        <v>346</v>
      </c>
      <c r="V8" s="1047"/>
      <c r="W8" s="58">
        <f>12*30</f>
        <v>360</v>
      </c>
    </row>
    <row r="9" spans="2:30" ht="12.75" customHeight="1">
      <c r="B9" s="71"/>
      <c r="C9" s="446"/>
      <c r="D9" s="446"/>
      <c r="E9" s="1038">
        <f>J8+J9+J10</f>
        <v>340989.18139393942</v>
      </c>
      <c r="F9" s="71"/>
      <c r="G9" s="71"/>
      <c r="H9" s="1039" t="s">
        <v>347</v>
      </c>
      <c r="I9" s="1039"/>
      <c r="J9" s="1040">
        <f>V46</f>
        <v>138514.66666666669</v>
      </c>
      <c r="K9" s="1040"/>
      <c r="L9" s="1040"/>
      <c r="M9" s="449"/>
      <c r="N9" s="402"/>
      <c r="O9" s="1041">
        <f>Z7</f>
        <v>5</v>
      </c>
      <c r="P9" s="1041"/>
      <c r="Q9" s="1041"/>
      <c r="R9" s="1041"/>
      <c r="S9" s="1041"/>
      <c r="T9" s="1041"/>
      <c r="U9" s="1042">
        <f>E9*O9</f>
        <v>1704945.9069696972</v>
      </c>
      <c r="V9" s="1043"/>
    </row>
    <row r="10" spans="2:30" ht="12.75" customHeight="1">
      <c r="B10" s="73"/>
      <c r="C10" s="446"/>
      <c r="D10" s="446"/>
      <c r="E10" s="1038"/>
      <c r="F10" s="71"/>
      <c r="G10" s="71"/>
      <c r="H10" s="1039" t="s">
        <v>348</v>
      </c>
      <c r="I10" s="1039"/>
      <c r="J10" s="1040">
        <f>Q71+Q95+Q103</f>
        <v>70802</v>
      </c>
      <c r="K10" s="1040"/>
      <c r="L10" s="1040"/>
      <c r="M10" s="449"/>
      <c r="N10" s="402"/>
      <c r="O10" s="1041"/>
      <c r="P10" s="1041"/>
      <c r="Q10" s="1041"/>
      <c r="R10" s="1041"/>
      <c r="S10" s="1041"/>
      <c r="T10" s="1041"/>
      <c r="U10" s="1042"/>
      <c r="V10" s="1043"/>
    </row>
    <row r="11" spans="2:30" ht="12.75" customHeight="1">
      <c r="B11" s="71"/>
      <c r="C11" s="71"/>
      <c r="D11" s="71"/>
      <c r="E11" s="71"/>
      <c r="F11" s="71"/>
      <c r="G11" s="71"/>
      <c r="H11" s="71"/>
      <c r="I11" s="71"/>
      <c r="J11" s="71"/>
      <c r="K11" s="71"/>
      <c r="L11" s="71"/>
      <c r="M11" s="71"/>
      <c r="N11" s="71"/>
      <c r="O11" s="71"/>
      <c r="P11" s="71"/>
      <c r="Q11" s="71"/>
      <c r="R11" s="71"/>
      <c r="S11" s="71"/>
      <c r="T11" s="71"/>
      <c r="U11" s="71"/>
      <c r="V11" s="71"/>
    </row>
    <row r="12" spans="2:30" ht="12.75" customHeight="1">
      <c r="AA12" s="733"/>
      <c r="AB12" s="733"/>
    </row>
    <row r="13" spans="2:30"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c r="Y13" s="116"/>
      <c r="Z13" s="684"/>
    </row>
    <row r="14" spans="2:30"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c r="Y14" s="755"/>
      <c r="Z14" s="684"/>
      <c r="AC14" s="755"/>
      <c r="AD14" s="755"/>
    </row>
    <row r="15" spans="2:30"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c r="Y15" s="116"/>
      <c r="Z15" s="684"/>
    </row>
    <row r="16" spans="2:30" ht="14.4" customHeight="1">
      <c r="B16" s="74" t="str">
        <f>F16</f>
        <v>P0013</v>
      </c>
      <c r="C16" s="199" t="s">
        <v>402</v>
      </c>
      <c r="D16" s="75"/>
      <c r="E16" s="198" t="s">
        <v>403</v>
      </c>
      <c r="F16" s="198" t="str">
        <f>VLOOKUP(E16,'MÃO DE OBRA'!$A:$B,2,FALSE)</f>
        <v>P0013</v>
      </c>
      <c r="G16" s="186">
        <v>1</v>
      </c>
      <c r="H16" s="1049">
        <f>(IF(D16="h",VLOOKUP(B16,'MÃO DE OBRA'!$B$3:$D$97,3,0)*220,VLOOKUP(B16,'MÃO DE OBRA'!$B$3:$D$97,3,0)))</f>
        <v>8000</v>
      </c>
      <c r="I16" s="1050"/>
      <c r="J16" s="76"/>
      <c r="K16" s="1051">
        <f>IF(J16="",0,IF(J16="D",H16*DADOS!$D$18,H16*DADOS!$D$19))</f>
        <v>0</v>
      </c>
      <c r="L16" s="1052"/>
      <c r="M16" s="1053"/>
      <c r="N16" s="186" t="s">
        <v>404</v>
      </c>
      <c r="O16" s="1051">
        <f>IF(N16="C",(DADOS!$E$9+DADOS!$E$10)*30,IF(N16="J",(DADOS!$E$9+DADOS!$E$10+DADOS!$E$11)*30,IF(C16="PJ",DADOS!$E$12,0)))</f>
        <v>300</v>
      </c>
      <c r="P16" s="1052"/>
      <c r="Q16" s="1052"/>
      <c r="R16" s="1053"/>
      <c r="S16" s="1054">
        <f>IF(G16="",0,IF(C16="3º",0,IF(C16="PJ",0,((H16+K16)*DADOS!$D$7)+((H16+K16)*DADOS!$D$6))))</f>
        <v>0</v>
      </c>
      <c r="T16" s="1054"/>
      <c r="U16" s="450">
        <f t="shared" ref="U16:U32" si="0">IF(G16="",0,SUM(H16,K16,,O16,V16,S16))</f>
        <v>8300</v>
      </c>
      <c r="V16" s="451"/>
      <c r="W16" s="116">
        <f>U16*G16*$O$9</f>
        <v>41500</v>
      </c>
      <c r="Y16" s="116"/>
      <c r="Z16" s="684"/>
    </row>
    <row r="17" spans="2:28" ht="12.75" hidden="1" customHeight="1">
      <c r="B17" s="75" t="str">
        <f>F17</f>
        <v>P0006</v>
      </c>
      <c r="C17" s="199"/>
      <c r="D17" s="75"/>
      <c r="E17" s="77" t="s">
        <v>405</v>
      </c>
      <c r="F17" s="198" t="str">
        <f>VLOOKUP(E17,'MÃO DE OBRA'!$A:$B,2,FALSE)</f>
        <v>P0006</v>
      </c>
      <c r="G17" s="186"/>
      <c r="H17" s="1049">
        <f>(IF(D17="h",VLOOKUP(B17,'MÃO DE OBRA'!$B$3:$D$97,3,0)*220,VLOOKUP(B17,'MÃO DE OBRA'!$B$3:$D$97,3,0)))/220*360</f>
        <v>4579.2</v>
      </c>
      <c r="I17" s="1542"/>
      <c r="J17" s="76" t="s">
        <v>354</v>
      </c>
      <c r="K17" s="1051">
        <f>IF(J17="",0,IF(J17="D",H17*DADOS!$D$18,H17*DADOS!$D$19))</f>
        <v>1144.8</v>
      </c>
      <c r="L17" s="1052"/>
      <c r="M17" s="1053"/>
      <c r="N17" s="186" t="s">
        <v>404</v>
      </c>
      <c r="O17" s="1051">
        <f>IF(N17="C",(DADOS!$E$9+DADOS!$E$10)*30,IF(N17="J",(DADOS!$E$9+DADOS!$E$10+DADOS!$E$11)*30,IF(C17="PJ",DADOS!$E$12,0)))+DADOS!E24+DADOS!E25+DADOS!E26</f>
        <v>1020</v>
      </c>
      <c r="P17" s="1052"/>
      <c r="Q17" s="1052"/>
      <c r="R17" s="1053"/>
      <c r="S17" s="1054">
        <f>IF(G17="",0,IF(C17="3º",0,IF(C17="PJ",0,((H17+K17)*DADOS!$D$7)+((H17+K17)*DADOS!$D$6))))</f>
        <v>0</v>
      </c>
      <c r="T17" s="1054"/>
      <c r="U17" s="450">
        <f t="shared" si="0"/>
        <v>0</v>
      </c>
      <c r="V17" s="451"/>
      <c r="W17" s="116">
        <f t="shared" ref="W17:W23" si="1">U17*G17*$O$9</f>
        <v>0</v>
      </c>
      <c r="Y17" s="116"/>
      <c r="Z17" s="684"/>
    </row>
    <row r="18" spans="2:28" ht="12" customHeight="1">
      <c r="B18" s="75" t="str">
        <f>F18</f>
        <v>P0018</v>
      </c>
      <c r="C18" s="199" t="s">
        <v>402</v>
      </c>
      <c r="D18" s="75"/>
      <c r="E18" s="77" t="s">
        <v>406</v>
      </c>
      <c r="F18" s="198" t="str">
        <f>VLOOKUP(E18,'MÃO DE OBRA'!$A:$B,2,FALSE)</f>
        <v>P0018</v>
      </c>
      <c r="G18" s="186">
        <v>1</v>
      </c>
      <c r="H18" s="1049">
        <f>(IF(D18="h",VLOOKUP(B18,'MÃO DE OBRA'!$B$3:$D$97,3,0)*220,VLOOKUP(B18,'MÃO DE OBRA'!$B$3:$D$97,3,0)))</f>
        <v>15000</v>
      </c>
      <c r="I18" s="1542"/>
      <c r="J18" s="76"/>
      <c r="K18" s="1051">
        <f>IF(J18="",0,IF(J18="D",H18*DADOS!$D$18,H18*DADOS!$D$19))</f>
        <v>0</v>
      </c>
      <c r="L18" s="1052"/>
      <c r="M18" s="1053"/>
      <c r="N18" s="186" t="s">
        <v>404</v>
      </c>
      <c r="O18" s="1051">
        <f>IF(N18="C",(DADOS!$E$9+DADOS!$E$10)*30,IF(N18="J",(DADOS!$E$9+DADOS!$E$10+DADOS!$E$11)*30,IF(C18="PJ",DADOS!$E$12,0)))</f>
        <v>300</v>
      </c>
      <c r="P18" s="1052"/>
      <c r="Q18" s="1052"/>
      <c r="R18" s="1053"/>
      <c r="S18" s="1054">
        <f>IF(G18="",0,IF(C18="3º",0,IF(C18="PJ",0,((H18+K18)*DADOS!$D$7)+((H18+K18)*DADOS!$D$6))))</f>
        <v>0</v>
      </c>
      <c r="T18" s="1054"/>
      <c r="U18" s="450">
        <f t="shared" si="0"/>
        <v>15300</v>
      </c>
      <c r="V18" s="451"/>
      <c r="W18" s="116">
        <f t="shared" si="1"/>
        <v>76500</v>
      </c>
      <c r="Y18" s="116"/>
      <c r="Z18" s="684"/>
    </row>
    <row r="19" spans="2:28" ht="13.5" hidden="1" customHeight="1">
      <c r="B19" s="75" t="str">
        <f>F19</f>
        <v>P0065</v>
      </c>
      <c r="C19" s="199" t="s">
        <v>402</v>
      </c>
      <c r="D19" s="75"/>
      <c r="E19" s="756" t="s">
        <v>1194</v>
      </c>
      <c r="F19" s="198" t="str">
        <f>VLOOKUP(E19,'MÃO DE OBRA'!$A:$B,2,FALSE)</f>
        <v>P0065</v>
      </c>
      <c r="G19" s="186"/>
      <c r="H19" s="1049">
        <f>(IF(D19="h",VLOOKUP(B19,'MÃO DE OBRA'!$B$3:$D$97,3,0)*220,VLOOKUP(B19,'MÃO DE OBRA'!$B$3:$D$97,3,0)))/220*360</f>
        <v>8181.818181818182</v>
      </c>
      <c r="I19" s="1542"/>
      <c r="J19" s="76"/>
      <c r="K19" s="1051">
        <f>IF(J19="",0,IF(J19="D",H19*DADOS!$D$18,H19*DADOS!$D$19))</f>
        <v>0</v>
      </c>
      <c r="L19" s="1052"/>
      <c r="M19" s="1053"/>
      <c r="N19" s="186" t="s">
        <v>429</v>
      </c>
      <c r="O19" s="1051">
        <f>IF(N19="C",(DADOS!$E$9+DADOS!$E$10)*30,IF(N19="J",(DADOS!$E$9+DADOS!$E$10+DADOS!$E$11)*30,IF(C19="PJ",DADOS!$E$12,0)))</f>
        <v>300</v>
      </c>
      <c r="P19" s="1052"/>
      <c r="Q19" s="1052"/>
      <c r="R19" s="1053"/>
      <c r="S19" s="1054">
        <f>IF(G19="",0,IF(C19="3º",0,IF(C19="PJ",0,((H19+K19)*DADOS!$D$7)+((H19+K19)*DADOS!$D$6))))</f>
        <v>0</v>
      </c>
      <c r="T19" s="1054"/>
      <c r="U19" s="450">
        <f t="shared" si="0"/>
        <v>0</v>
      </c>
      <c r="V19" s="451"/>
      <c r="W19" s="116">
        <f t="shared" si="1"/>
        <v>0</v>
      </c>
      <c r="Y19" s="116"/>
      <c r="Z19" s="684"/>
    </row>
    <row r="20" spans="2:28" ht="13.8" hidden="1">
      <c r="B20" s="75" t="str">
        <f t="shared" ref="B20:B33" si="2">F20</f>
        <v>P0065</v>
      </c>
      <c r="C20" s="199"/>
      <c r="D20" s="75"/>
      <c r="E20" s="756" t="s">
        <v>1194</v>
      </c>
      <c r="F20" s="198" t="str">
        <f>VLOOKUP(E20,'MÃO DE OBRA'!$A:$B,2,FALSE)</f>
        <v>P0065</v>
      </c>
      <c r="G20" s="1000"/>
      <c r="H20" s="1049">
        <f>(IF(D20="h",VLOOKUP(B20,'MÃO DE OBRA'!$B$3:$D$97,3,0)*220,VLOOKUP(B20,'MÃO DE OBRA'!$B$3:$D$97,3,0)))</f>
        <v>5000</v>
      </c>
      <c r="I20" s="1542"/>
      <c r="J20" s="76" t="s">
        <v>354</v>
      </c>
      <c r="K20" s="1051">
        <f>IF(J20="",0,IF(J20="D",H20*DADOS!$D$18,H20*DADOS!$D$19))</f>
        <v>1250</v>
      </c>
      <c r="L20" s="1052"/>
      <c r="M20" s="1053"/>
      <c r="N20" s="186" t="s">
        <v>404</v>
      </c>
      <c r="O20" s="1051">
        <f>IF(N20="C",(DADOS!$E$9+DADOS!$E$10)*30,IF(N20="J",(DADOS!$E$9+DADOS!$E$10+DADOS!$E$11)*30,IF(C20="PJ",DADOS!$E$12,0)))+DADOS!$E$24+DADOS!$E$25+DADOS!$E$26</f>
        <v>1020</v>
      </c>
      <c r="P20" s="1052"/>
      <c r="Q20" s="1052"/>
      <c r="R20" s="1053"/>
      <c r="S20" s="1054">
        <f>IF(G20="",0,IF(C20="3º",0,IF(C20="PJ",0,((H20+K20)*DADOS!$D$7)+((H20+K20)*DADOS!$D$6))))</f>
        <v>0</v>
      </c>
      <c r="T20" s="1054"/>
      <c r="U20" s="450">
        <f t="shared" si="0"/>
        <v>0</v>
      </c>
      <c r="V20" s="451"/>
      <c r="W20" s="116">
        <f t="shared" si="1"/>
        <v>0</v>
      </c>
      <c r="Y20" s="684"/>
      <c r="Z20" s="684"/>
    </row>
    <row r="21" spans="2:28" ht="12.75" customHeight="1">
      <c r="B21" s="75" t="str">
        <f t="shared" si="2"/>
        <v>P0024</v>
      </c>
      <c r="C21" s="199" t="s">
        <v>402</v>
      </c>
      <c r="D21" s="75"/>
      <c r="E21" s="198" t="s">
        <v>1207</v>
      </c>
      <c r="F21" s="198" t="str">
        <f>VLOOKUP(E21,'MÃO DE OBRA'!$A:$B,2,FALSE)</f>
        <v>P0024</v>
      </c>
      <c r="G21" s="861">
        <v>1</v>
      </c>
      <c r="H21" s="1049">
        <f>(IF(D21="h",VLOOKUP(B21,'MÃO DE OBRA'!$B$3:$D$97,3,0)*220,VLOOKUP(B21,'MÃO DE OBRA'!$B$3:$D$97,3,0)))</f>
        <v>18000</v>
      </c>
      <c r="I21" s="1542"/>
      <c r="J21" s="76"/>
      <c r="K21" s="1051">
        <f>IF(J21="",0,IF(J21="D",H21*DADOS!$D$18,H21*DADOS!$D$19))</f>
        <v>0</v>
      </c>
      <c r="L21" s="1052"/>
      <c r="M21" s="1053"/>
      <c r="N21" s="186" t="s">
        <v>404</v>
      </c>
      <c r="O21" s="1051">
        <f>IF(N21="C",(DADOS!$E$9+DADOS!$E$10)*30,IF(N21="J",(DADOS!$E$9+DADOS!$E$10+DADOS!$E$11)*30,IF(C21="PJ",DADOS!$E$12,0)))</f>
        <v>300</v>
      </c>
      <c r="P21" s="1052"/>
      <c r="Q21" s="1052"/>
      <c r="R21" s="1053"/>
      <c r="S21" s="1054">
        <f>IF(G21="",0,IF(C21="3º",0,IF(C21="PJ",0,((H21+K21)*DADOS!$D$7)+((H21+K21)*DADOS!$D$6))))</f>
        <v>0</v>
      </c>
      <c r="T21" s="1054"/>
      <c r="U21" s="450">
        <f t="shared" si="0"/>
        <v>18300</v>
      </c>
      <c r="V21" s="451"/>
      <c r="W21" s="116">
        <f t="shared" si="1"/>
        <v>91500</v>
      </c>
      <c r="Y21" s="116"/>
      <c r="Z21" s="684"/>
    </row>
    <row r="22" spans="2:28" ht="13.8" hidden="1">
      <c r="B22" s="75" t="str">
        <f t="shared" si="2"/>
        <v>P0075</v>
      </c>
      <c r="C22" s="199" t="s">
        <v>402</v>
      </c>
      <c r="D22" s="75"/>
      <c r="E22" s="198" t="s">
        <v>1118</v>
      </c>
      <c r="F22" s="198" t="str">
        <f>VLOOKUP(E22,'MÃO DE OBRA'!$A:$B,2,FALSE)</f>
        <v>P0075</v>
      </c>
      <c r="G22" s="186"/>
      <c r="H22" s="1049">
        <f>(IF(D22="h",VLOOKUP(B22,'MÃO DE OBRA'!$B$3:$D$97,3,0)*220,VLOOKUP(B22,'MÃO DE OBRA'!$B$3:$D$97,3,0)))</f>
        <v>12000</v>
      </c>
      <c r="I22" s="1542"/>
      <c r="J22" s="76"/>
      <c r="K22" s="1051">
        <f>IF(J22="",0,IF(J22="D",H22*DADOS!$D$18,H22*DADOS!$D$19))</f>
        <v>0</v>
      </c>
      <c r="L22" s="1052"/>
      <c r="M22" s="1053"/>
      <c r="N22" s="186" t="s">
        <v>404</v>
      </c>
      <c r="O22" s="1051">
        <f>IF(N22="C",(DADOS!$E$9+DADOS!$E$10)*30,IF(N22="J",(DADOS!$E$9+DADOS!$E$10+DADOS!$E$11)*30,IF(C22="PJ",DADOS!$E$12,0)))</f>
        <v>300</v>
      </c>
      <c r="P22" s="1052"/>
      <c r="Q22" s="1052"/>
      <c r="R22" s="1053"/>
      <c r="S22" s="1054">
        <f>IF(G22="",0,IF(C22="3º",0,IF(C22="PJ",0,((H22+K22)*DADOS!$D$7)+((H22+K22)*DADOS!$D$6))))</f>
        <v>0</v>
      </c>
      <c r="T22" s="1054"/>
      <c r="U22" s="450">
        <f t="shared" si="0"/>
        <v>0</v>
      </c>
      <c r="V22" s="451"/>
      <c r="W22" s="116">
        <f t="shared" si="1"/>
        <v>0</v>
      </c>
      <c r="Y22" s="684"/>
      <c r="Z22" s="684"/>
    </row>
    <row r="23" spans="2:28" ht="13.8" hidden="1">
      <c r="B23" s="75" t="str">
        <f t="shared" si="2"/>
        <v>P0027</v>
      </c>
      <c r="C23" s="199" t="s">
        <v>402</v>
      </c>
      <c r="D23" s="75"/>
      <c r="E23" s="756" t="s">
        <v>1375</v>
      </c>
      <c r="F23" s="198" t="str">
        <f>VLOOKUP(E23,'MÃO DE OBRA'!$A:$B,2,FALSE)</f>
        <v>P0027</v>
      </c>
      <c r="G23" s="186"/>
      <c r="H23" s="1049">
        <f>(IF(D23="h",VLOOKUP(B23,'MÃO DE OBRA'!$B$3:$D$97,3,0)*220,VLOOKUP(B23,'MÃO DE OBRA'!$B$3:$D$97,3,0)))</f>
        <v>25000</v>
      </c>
      <c r="I23" s="1542"/>
      <c r="J23" s="76"/>
      <c r="K23" s="1051">
        <f>IF(J23="",0,IF(J23="D",H23*DADOS!$D$18,H23*DADOS!$D$19))</f>
        <v>0</v>
      </c>
      <c r="L23" s="1052"/>
      <c r="M23" s="1053"/>
      <c r="N23" s="186" t="s">
        <v>404</v>
      </c>
      <c r="O23" s="1051">
        <f>IF(N23="C",(DADOS!$E$9+DADOS!$E$10)*30,IF(N23="J",(DADOS!$E$9+DADOS!$E$10+DADOS!$E$11)*30,IF(C23="PJ",DADOS!$E$12,0)))</f>
        <v>300</v>
      </c>
      <c r="P23" s="1052"/>
      <c r="Q23" s="1052"/>
      <c r="R23" s="1053"/>
      <c r="S23" s="1054">
        <f>IF(G23="",0,IF(C23="3º",0,IF(C23="PJ",0,((H23+K23)*DADOS!$D$7)+((H23+K23)*DADOS!$D$6))))</f>
        <v>0</v>
      </c>
      <c r="T23" s="1054"/>
      <c r="U23" s="450">
        <f>IF(G23="",0,SUM(H23,K23,,O23,V23,S23))</f>
        <v>0</v>
      </c>
      <c r="V23" s="451"/>
      <c r="W23" s="116">
        <f t="shared" si="1"/>
        <v>0</v>
      </c>
      <c r="Y23" s="684"/>
      <c r="Z23" s="684"/>
    </row>
    <row r="24" spans="2:28" ht="13.8">
      <c r="B24" s="75" t="str">
        <f>F24</f>
        <v>P0063</v>
      </c>
      <c r="C24" s="197"/>
      <c r="D24" s="78"/>
      <c r="E24" s="196" t="s">
        <v>1126</v>
      </c>
      <c r="F24" s="198" t="str">
        <f>VLOOKUP(E24,'MÃO DE OBRA'!$A:$B,2,FALSE)</f>
        <v>P0063</v>
      </c>
      <c r="G24" s="999">
        <v>2</v>
      </c>
      <c r="H24" s="1049">
        <f>(IF(D24="h",VLOOKUP(B24,'MÃO DE OBRA'!$B$3:$D$97,3,0)*220,VLOOKUP(B24,'MÃO DE OBRA'!$B$3:$D$97,3,0)))</f>
        <v>2300</v>
      </c>
      <c r="I24" s="1542"/>
      <c r="J24" s="79" t="s">
        <v>354</v>
      </c>
      <c r="K24" s="1051">
        <f>IF(J24="",0,IF(J24="D",H24*DADOS!$D$18,H24*DADOS!$D$19))</f>
        <v>575</v>
      </c>
      <c r="L24" s="1052"/>
      <c r="M24" s="1053"/>
      <c r="N24" s="186" t="s">
        <v>404</v>
      </c>
      <c r="O24" s="1051">
        <f>IF(N24="C",(DADOS!$E$9+DADOS!$E$10)*30,IF(N24="J",(DADOS!$E$9+DADOS!$E$10+DADOS!$E$11)*30,IF(C24="PJ",DADOS!$E$12,0)))+DADOS!$E$24+DADOS!$E$25+DADOS!$E$26</f>
        <v>1020</v>
      </c>
      <c r="P24" s="1052"/>
      <c r="Q24" s="1052"/>
      <c r="R24" s="1053"/>
      <c r="S24" s="1054">
        <f>IF(G24="",0,IF(C24="3º",0,IF(C24="PJ",0,((H24+K24)*DADOS!$D$7)+((H24+K24)*DADOS!$D$6))))</f>
        <v>1753.75</v>
      </c>
      <c r="T24" s="1054"/>
      <c r="U24" s="450">
        <f t="shared" si="0"/>
        <v>5648.75</v>
      </c>
      <c r="V24" s="451"/>
      <c r="W24" s="116">
        <f>U24*G24*O9</f>
        <v>56487.5</v>
      </c>
    </row>
    <row r="25" spans="2:28" ht="13.8">
      <c r="B25" s="75" t="str">
        <f>F25</f>
        <v>P0072</v>
      </c>
      <c r="C25" s="197"/>
      <c r="D25" s="78"/>
      <c r="E25" s="196" t="s">
        <v>392</v>
      </c>
      <c r="F25" s="198" t="str">
        <f>VLOOKUP(E25,'MÃO DE OBRA'!$A:$B,2,FALSE)</f>
        <v>P0072</v>
      </c>
      <c r="G25" s="999">
        <v>1</v>
      </c>
      <c r="H25" s="1049">
        <f>(IF(D25="h",VLOOKUP(B25,'MÃO DE OBRA'!$B$3:$D$97,3,0)*220,VLOOKUP(B25,'MÃO DE OBRA'!$B$3:$D$97,3,0)))</f>
        <v>2754.2</v>
      </c>
      <c r="I25" s="1542"/>
      <c r="J25" s="79" t="s">
        <v>354</v>
      </c>
      <c r="K25" s="1051">
        <f>IF(J25="",0,IF(J25="D",H25*DADOS!$D$18,H25*DADOS!$D$19))</f>
        <v>688.55</v>
      </c>
      <c r="L25" s="1052"/>
      <c r="M25" s="1053"/>
      <c r="N25" s="186" t="s">
        <v>404</v>
      </c>
      <c r="O25" s="1051">
        <f>IF(N25="C",(DADOS!$E$9+DADOS!$E$10)*30,IF(N25="J",(DADOS!$E$9+DADOS!$E$10+DADOS!$E$11)*30,IF(C25="PJ",DADOS!$E$12,0)))+DADOS!$E$24+DADOS!$E$25+DADOS!$E$26</f>
        <v>1020</v>
      </c>
      <c r="P25" s="1052"/>
      <c r="Q25" s="1052"/>
      <c r="R25" s="1053"/>
      <c r="S25" s="1054">
        <f>IF(G25="",0,IF(C25="3º",0,IF(C25="PJ",0,((H25+K25)*DADOS!$D$7)+((H25+K25)*DADOS!$D$6))))</f>
        <v>2100.0775000000003</v>
      </c>
      <c r="T25" s="1054"/>
      <c r="U25" s="450">
        <f t="shared" si="0"/>
        <v>6562.8275000000003</v>
      </c>
      <c r="V25" s="451"/>
      <c r="W25" s="116">
        <f>U25*G25*O9</f>
        <v>32814.137500000004</v>
      </c>
      <c r="AB25" s="733"/>
    </row>
    <row r="26" spans="2:28" ht="13.2" customHeight="1">
      <c r="B26" s="75" t="str">
        <f t="shared" ref="B26:B28" si="3">F26</f>
        <v>P0043</v>
      </c>
      <c r="C26" s="197"/>
      <c r="D26" s="78"/>
      <c r="E26" s="196" t="s">
        <v>378</v>
      </c>
      <c r="F26" s="198" t="str">
        <f>VLOOKUP(E26,'MÃO DE OBRA'!$A:$B,2,FALSE)</f>
        <v>P0043</v>
      </c>
      <c r="G26" s="999">
        <v>1</v>
      </c>
      <c r="H26" s="1049">
        <f>(IF(D26="h",VLOOKUP(B26,'MÃO DE OBRA'!$B$3:$D$97,3,0)*220,VLOOKUP(B26,'MÃO DE OBRA'!$B$3:$D$97,3,0)))</f>
        <v>3843.4</v>
      </c>
      <c r="I26" s="1542"/>
      <c r="J26" s="79" t="s">
        <v>354</v>
      </c>
      <c r="K26" s="1051">
        <f>IF(J26="",0,IF(J26="D",H26*DADOS!$D$18,H26*DADOS!$D$19))</f>
        <v>960.85</v>
      </c>
      <c r="L26" s="1052"/>
      <c r="M26" s="1053"/>
      <c r="N26" s="186" t="s">
        <v>404</v>
      </c>
      <c r="O26" s="1051">
        <f>IF(N26="C",(DADOS!$E$9+DADOS!$E$10)*30,IF(N26="J",(DADOS!$E$9+DADOS!$E$10+DADOS!$E$11)*30,IF(C26="PJ",DADOS!$E$12,0)))+DADOS!$E$24+DADOS!$E$25+DADOS!$E$26</f>
        <v>1020</v>
      </c>
      <c r="P26" s="1052"/>
      <c r="Q26" s="1052"/>
      <c r="R26" s="1053"/>
      <c r="S26" s="1054">
        <f>IF(G26="",0,IF(C26="3º",0,IF(C26="PJ",0,((H26+K26)*DADOS!$D$7)+((H26+K26)*DADOS!$D$6))))</f>
        <v>2930.5924999999997</v>
      </c>
      <c r="T26" s="1054"/>
      <c r="U26" s="450">
        <f t="shared" ref="U26:U27" si="4">IF(G26="",0,SUM(H26,K26,,O26,V26,S26))</f>
        <v>8754.8424999999988</v>
      </c>
      <c r="V26" s="451" t="s">
        <v>1444</v>
      </c>
      <c r="W26" s="116">
        <f>U26*G26*O9</f>
        <v>43774.212499999994</v>
      </c>
      <c r="AB26" s="733"/>
    </row>
    <row r="27" spans="2:28" ht="13.8">
      <c r="B27" s="75" t="str">
        <f t="shared" si="3"/>
        <v>P0033</v>
      </c>
      <c r="C27" s="197"/>
      <c r="D27" s="78"/>
      <c r="E27" s="196" t="s">
        <v>394</v>
      </c>
      <c r="F27" s="198" t="str">
        <f>VLOOKUP(E27,'MÃO DE OBRA'!$A:$B,2,FALSE)</f>
        <v>P0033</v>
      </c>
      <c r="G27" s="999">
        <v>1</v>
      </c>
      <c r="H27" s="1049">
        <f>(IF(D27="h",VLOOKUP(B27,'MÃO DE OBRA'!$B$3:$D$97,3,0)*220,VLOOKUP(B27,'MÃO DE OBRA'!$B$3:$D$97,3,0)))</f>
        <v>2956.5</v>
      </c>
      <c r="I27" s="1542"/>
      <c r="J27" s="79" t="s">
        <v>354</v>
      </c>
      <c r="K27" s="1051">
        <f>IF(J27="",0,IF(J27="D",H27*DADOS!$D$18,H27*DADOS!$D$19))</f>
        <v>739.125</v>
      </c>
      <c r="L27" s="1052"/>
      <c r="M27" s="1053"/>
      <c r="N27" s="186" t="s">
        <v>404</v>
      </c>
      <c r="O27" s="1051">
        <f>IF(N27="C",(DADOS!$E$9+DADOS!$E$10)*30,IF(N27="J",(DADOS!$E$9+DADOS!$E$10+DADOS!$E$11)*30,IF(C27="PJ",DADOS!$E$12,0)))+DADOS!$E$24+DADOS!$E$25+DADOS!$E$26</f>
        <v>1020</v>
      </c>
      <c r="P27" s="1052"/>
      <c r="Q27" s="1052"/>
      <c r="R27" s="1053"/>
      <c r="S27" s="1054">
        <f>IF(G27="",0,IF(C27="3º",0,IF(C27="PJ",0,((H27+K27)*DADOS!$D$7)+((H27+K27)*DADOS!$D$6))))</f>
        <v>2254.3312500000002</v>
      </c>
      <c r="T27" s="1054"/>
      <c r="U27" s="450">
        <f t="shared" si="4"/>
        <v>6969.9562500000002</v>
      </c>
      <c r="V27" s="451" t="s">
        <v>1444</v>
      </c>
      <c r="W27" s="116">
        <f>U27*G27*O9</f>
        <v>34849.78125</v>
      </c>
      <c r="AB27" s="733"/>
    </row>
    <row r="28" spans="2:28" ht="12.75" hidden="1" customHeight="1">
      <c r="B28" s="75" t="str">
        <f t="shared" si="3"/>
        <v>P0002</v>
      </c>
      <c r="C28" s="197"/>
      <c r="D28" s="78"/>
      <c r="E28" s="196" t="s">
        <v>1400</v>
      </c>
      <c r="F28" s="198" t="str">
        <f>VLOOKUP(E28,'MÃO DE OBRA'!$A:$B,2,FALSE)</f>
        <v>P0002</v>
      </c>
      <c r="G28" s="999"/>
      <c r="H28" s="1049">
        <f>(IF(D28="h",VLOOKUP(B28,'MÃO DE OBRA'!$B$3:$D$97,3,0)*220,VLOOKUP(B28,'MÃO DE OBRA'!$B$3:$D$97,3,0)))/220*360</f>
        <v>2815.2000000000003</v>
      </c>
      <c r="I28" s="1542"/>
      <c r="J28" s="79" t="s">
        <v>354</v>
      </c>
      <c r="K28" s="1051">
        <f>IF(J28="",0,IF(J28="D",H28*DADOS!$D$18,H28*DADOS!$D$19))</f>
        <v>703.80000000000007</v>
      </c>
      <c r="L28" s="1052"/>
      <c r="M28" s="1053"/>
      <c r="N28" s="186" t="s">
        <v>404</v>
      </c>
      <c r="O28" s="1051">
        <f>IF(N28="C",(DADOS!$E$9+DADOS!$E$10)*30,IF(N28="J",(DADOS!$E$9+DADOS!$E$10+DADOS!$E$11)*30,IF(C28="PJ",DADOS!$E$12,0)))+DADOS!$E$24+DADOS!$E$25+DADOS!$E$26</f>
        <v>1020</v>
      </c>
      <c r="P28" s="1052"/>
      <c r="Q28" s="1052"/>
      <c r="R28" s="1053"/>
      <c r="S28" s="1054">
        <f>IF(G28="",0,IF(C28="3º",0,IF(C28="PJ",0,((H28+K28)*DADOS!$D$7)+((H28+K28)*DADOS!$D$6))))</f>
        <v>0</v>
      </c>
      <c r="T28" s="1054"/>
      <c r="U28" s="450">
        <f t="shared" ref="U28" si="5">IF(G28="",0,SUM(H28,K28,,O28,V28,S28))</f>
        <v>0</v>
      </c>
      <c r="V28" s="451" t="s">
        <v>1376</v>
      </c>
      <c r="AB28" s="733"/>
    </row>
    <row r="29" spans="2:28" ht="13.8">
      <c r="B29" s="75" t="str">
        <f>F29</f>
        <v>P0034</v>
      </c>
      <c r="C29" s="199"/>
      <c r="D29" s="75"/>
      <c r="E29" s="756" t="s">
        <v>408</v>
      </c>
      <c r="F29" s="198" t="str">
        <f>VLOOKUP(E29,'MÃO DE OBRA'!$A:$B,2,FALSE)</f>
        <v>P0034</v>
      </c>
      <c r="G29" s="861">
        <v>1</v>
      </c>
      <c r="H29" s="1049">
        <f>(IF(D29="h",VLOOKUP(B29,'MÃO DE OBRA'!$B$3:$D$97,3,0)*220,VLOOKUP(B29,'MÃO DE OBRA'!$B$3:$D$97,3,0)))</f>
        <v>3130</v>
      </c>
      <c r="I29" s="1542"/>
      <c r="J29" s="76" t="s">
        <v>354</v>
      </c>
      <c r="K29" s="1051">
        <f>IF(J29="",0,IF(J29="D",H29*DADOS!$D$18,H29*DADOS!$D$19))</f>
        <v>782.5</v>
      </c>
      <c r="L29" s="1052"/>
      <c r="M29" s="1053"/>
      <c r="N29" s="186" t="s">
        <v>404</v>
      </c>
      <c r="O29" s="1051">
        <f>IF(N29="C",(DADOS!$E$9+DADOS!$E$10)*30,IF(N29="J",(DADOS!$E$9+DADOS!$E$10+DADOS!$E$11)*30,IF(C29="PJ",DADOS!$E$12,0)))+DADOS!$E$24+DADOS!$E$25+DADOS!$E$26</f>
        <v>1020</v>
      </c>
      <c r="P29" s="1052"/>
      <c r="Q29" s="1052"/>
      <c r="R29" s="1053"/>
      <c r="S29" s="1054">
        <f>IF(G29="",0,IF(C29="3º",0,IF(C29="PJ",0,((H29+K29)*DADOS!$D$7)+((H29+K29)*DADOS!$D$6))))</f>
        <v>2386.625</v>
      </c>
      <c r="T29" s="1054"/>
      <c r="U29" s="450">
        <f t="shared" si="0"/>
        <v>7319.125</v>
      </c>
      <c r="V29" s="451"/>
      <c r="W29" s="116">
        <f>U29*G29*O9</f>
        <v>36595.625</v>
      </c>
      <c r="AB29" s="733"/>
    </row>
    <row r="30" spans="2:28" ht="12.75" customHeight="1">
      <c r="B30" s="75" t="str">
        <f t="shared" si="2"/>
        <v>P0073</v>
      </c>
      <c r="C30" s="199"/>
      <c r="D30" s="75"/>
      <c r="E30" s="756" t="s">
        <v>457</v>
      </c>
      <c r="F30" s="198" t="str">
        <f>VLOOKUP(E30,'MÃO DE OBRA'!$A:$B,2,FALSE)</f>
        <v>P0073</v>
      </c>
      <c r="G30" s="861">
        <v>1</v>
      </c>
      <c r="H30" s="1049">
        <f>(IF(D30="h",VLOOKUP(B30,'MÃO DE OBRA'!$B$3:$D$97,3,0)*220,VLOOKUP(B30,'MÃO DE OBRA'!$B$3:$D$97,3,0)))/220*360</f>
        <v>11454.545454545454</v>
      </c>
      <c r="I30" s="1542"/>
      <c r="J30" s="76" t="s">
        <v>354</v>
      </c>
      <c r="K30" s="1051">
        <f>IF(J30="",0,IF(J30="D",H30*DADOS!$D$18,H30*DADOS!$D$19))</f>
        <v>2863.6363636363635</v>
      </c>
      <c r="L30" s="1052"/>
      <c r="M30" s="1053"/>
      <c r="N30" s="186" t="s">
        <v>404</v>
      </c>
      <c r="O30" s="1051">
        <f>IF(N30="C",(DADOS!$E$9+DADOS!$E$10)*30,IF(N30="J",(DADOS!$E$9+DADOS!$E$10+DADOS!$E$11)*30,IF(C30="PJ",DADOS!$E$12,0)))+DADOS!$E$24+DADOS!$E$25+DADOS!$E$26</f>
        <v>1020</v>
      </c>
      <c r="P30" s="1052"/>
      <c r="Q30" s="1052"/>
      <c r="R30" s="1053"/>
      <c r="S30" s="1054">
        <f>IF(G30="",0,IF(C30="3º",0,IF(C30="PJ",0,((H30+K30)*DADOS!$D$7)+((H30+K30)*DADOS!$D$6))))</f>
        <v>8734.0909090909081</v>
      </c>
      <c r="T30" s="1054"/>
      <c r="U30" s="450">
        <f t="shared" si="0"/>
        <v>24072.272727272728</v>
      </c>
      <c r="V30" s="451"/>
      <c r="Z30" s="684"/>
    </row>
    <row r="31" spans="2:28" ht="12.75" customHeight="1">
      <c r="B31" s="75" t="str">
        <f t="shared" ref="B31" si="6">F31</f>
        <v>P0011</v>
      </c>
      <c r="C31" s="199"/>
      <c r="D31" s="75"/>
      <c r="E31" s="756" t="s">
        <v>1483</v>
      </c>
      <c r="F31" s="198" t="str">
        <f>VLOOKUP(E31,'MÃO DE OBRA'!$A:$B,2,FALSE)</f>
        <v>P0011</v>
      </c>
      <c r="G31" s="861">
        <v>1</v>
      </c>
      <c r="H31" s="1049">
        <f>(IF(D31="h",VLOOKUP(B31,'MÃO DE OBRA'!$B$3:$D$97,3,0)*220,VLOOKUP(B31,'MÃO DE OBRA'!$B$3:$D$97,3,0)))/220*360</f>
        <v>2534.4</v>
      </c>
      <c r="I31" s="1542"/>
      <c r="J31" s="76" t="s">
        <v>354</v>
      </c>
      <c r="K31" s="1051">
        <f>IF(J31="",0,IF(J31="D",H31*DADOS!$D$18,H31*DADOS!$D$19))</f>
        <v>633.6</v>
      </c>
      <c r="L31" s="1052"/>
      <c r="M31" s="1053"/>
      <c r="N31" s="186" t="s">
        <v>404</v>
      </c>
      <c r="O31" s="1051">
        <f>IF(N31="C",(DADOS!$E$9+DADOS!$E$10)*30,IF(N31="J",(DADOS!$E$9+DADOS!$E$10+DADOS!$E$11)*30,IF(C31="PJ",DADOS!$E$12,0)))+DADOS!$E$24+DADOS!$E$25+DADOS!$E$26</f>
        <v>1020</v>
      </c>
      <c r="P31" s="1052"/>
      <c r="Q31" s="1052"/>
      <c r="R31" s="1053"/>
      <c r="S31" s="1054">
        <f>IF(G31="",0,IF(C31="3º",0,IF(C31="PJ",0,((H31+K31)*DADOS!$D$7)+((H31+K31)*DADOS!$D$6))))</f>
        <v>1932.48</v>
      </c>
      <c r="T31" s="1054"/>
      <c r="U31" s="450">
        <f t="shared" ref="U31" si="7">IF(G31="",0,SUM(H31,K31,,O31,V31,S31))</f>
        <v>6120.48</v>
      </c>
      <c r="V31" s="451"/>
      <c r="Z31" s="684"/>
    </row>
    <row r="32" spans="2:28" ht="13.8">
      <c r="B32" s="75" t="str">
        <f t="shared" si="2"/>
        <v>P0036</v>
      </c>
      <c r="C32" s="199"/>
      <c r="D32" s="75"/>
      <c r="E32" s="756" t="s">
        <v>407</v>
      </c>
      <c r="F32" s="198" t="str">
        <f>VLOOKUP(E32,'MÃO DE OBRA'!$A:$B,2,FALSE)</f>
        <v>P0036</v>
      </c>
      <c r="G32" s="861">
        <f>1</f>
        <v>1</v>
      </c>
      <c r="H32" s="1049">
        <f>(IF(D32="h",VLOOKUP(B32,'MÃO DE OBRA'!$B$3:$D$97,3,0)*220,VLOOKUP(B32,'MÃO DE OBRA'!$B$3:$D$97,3,0)))</f>
        <v>2656.5</v>
      </c>
      <c r="I32" s="1542"/>
      <c r="J32" s="76" t="s">
        <v>354</v>
      </c>
      <c r="K32" s="1051">
        <f>IF(J32="",0,IF(J32="D",H32*DADOS!$D$18,H32*DADOS!$D$19))</f>
        <v>664.125</v>
      </c>
      <c r="L32" s="1052"/>
      <c r="M32" s="1053"/>
      <c r="N32" s="186" t="s">
        <v>404</v>
      </c>
      <c r="O32" s="1051">
        <f>IF(N32="C",(DADOS!$E$9+DADOS!$E$10)*30,IF(N32="J",(DADOS!$E$9+DADOS!$E$10+DADOS!$E$11)*30,IF(C32="PJ",DADOS!$E$12,0)))+DADOS!$E$24+DADOS!$E$25+DADOS!$E$26</f>
        <v>1020</v>
      </c>
      <c r="P32" s="1052"/>
      <c r="Q32" s="1052"/>
      <c r="R32" s="1053"/>
      <c r="S32" s="1054">
        <f>IF(G32="",0,IF(C32="3º",0,IF(C32="PJ",0,((H32+K32)*DADOS!$D$7)+((H32+K32)*DADOS!$D$6))))</f>
        <v>2025.58125</v>
      </c>
      <c r="T32" s="1054"/>
      <c r="U32" s="450">
        <f t="shared" si="0"/>
        <v>6366.2062500000002</v>
      </c>
      <c r="V32" s="451"/>
      <c r="W32" s="116">
        <f>U32*O9</f>
        <v>31831.03125</v>
      </c>
      <c r="Z32" s="116"/>
    </row>
    <row r="33" spans="2:32" ht="13.8">
      <c r="B33" s="75" t="str">
        <f t="shared" si="2"/>
        <v>P0001</v>
      </c>
      <c r="C33" s="199"/>
      <c r="D33" s="75"/>
      <c r="E33" s="756" t="s">
        <v>356</v>
      </c>
      <c r="F33" s="198" t="str">
        <f>VLOOKUP(E33,'MÃO DE OBRA'!$A:$B,2,FALSE)</f>
        <v>P0001</v>
      </c>
      <c r="G33" s="861">
        <v>2</v>
      </c>
      <c r="H33" s="1597">
        <f>(IF(D33="h",VLOOKUP(B33,'MÃO DE OBRA'!$B$3:$D$97,3,0)*220,VLOOKUP(B33,'MÃO DE OBRA'!$B$3:$D$97,3,0)))*1.3</f>
        <v>2551.38</v>
      </c>
      <c r="I33" s="1598"/>
      <c r="J33" s="76" t="s">
        <v>354</v>
      </c>
      <c r="K33" s="1051">
        <f>IF(J33="",0,IF(J33="D",H33*DADOS!$D$18,H33*DADOS!$D$19))</f>
        <v>637.84500000000003</v>
      </c>
      <c r="L33" s="1052"/>
      <c r="M33" s="1053"/>
      <c r="N33" s="186" t="s">
        <v>404</v>
      </c>
      <c r="O33" s="1051">
        <f>IF(N33="C",(DADOS!$E$9+DADOS!$E$10)*30,IF(N33="J",(DADOS!$E$9+DADOS!$E$10+DADOS!$E$11)*30,IF(C33="PJ",DADOS!$E$12,0)))+DADOS!$E$24+DADOS!$E$25+DADOS!$E$26</f>
        <v>1020</v>
      </c>
      <c r="P33" s="1052"/>
      <c r="Q33" s="1052"/>
      <c r="R33" s="1053"/>
      <c r="S33" s="1054">
        <f>IF(G33="",0,IF(C33="3º",0,IF(C33="PJ",0,((H33+K33)*DADOS!$D$7)+((H33+K33)*DADOS!$D$6))))</f>
        <v>1945.4272500000002</v>
      </c>
      <c r="T33" s="1054"/>
      <c r="U33" s="450">
        <f>IF(G33="",0,SUM(H33,K33,,O33,V33,S33))</f>
        <v>6154.652250000001</v>
      </c>
      <c r="V33" s="451"/>
      <c r="W33" s="116">
        <f>U33*G33*O9</f>
        <v>61546.522500000006</v>
      </c>
      <c r="Z33" s="116"/>
    </row>
    <row r="34" spans="2:32" ht="13.8">
      <c r="B34" s="1064"/>
      <c r="C34" s="1065"/>
      <c r="D34" s="1066" t="s">
        <v>175</v>
      </c>
      <c r="E34" s="1066"/>
      <c r="F34" s="1066"/>
      <c r="G34" s="818">
        <f>SUM(G16:G33)</f>
        <v>14</v>
      </c>
      <c r="H34" s="1067">
        <f>SUMPRODUCT($G$16:$G$33,H16:H33)</f>
        <v>80032.305454545436</v>
      </c>
      <c r="I34" s="1068"/>
      <c r="J34" s="1067">
        <f>SUMPRODUCT($G$16:$G$33,K16:K33)</f>
        <v>9758.0763636363645</v>
      </c>
      <c r="K34" s="1068"/>
      <c r="L34" s="1068"/>
      <c r="M34" s="1069"/>
      <c r="N34" s="1067">
        <f>SUMPRODUCT($G$16:$G$33,O16:O33)</f>
        <v>12120</v>
      </c>
      <c r="O34" s="1068"/>
      <c r="P34" s="1068"/>
      <c r="Q34" s="1068"/>
      <c r="R34" s="1069"/>
      <c r="S34" s="1067">
        <f>SUMPRODUCT($G$16:$G$33,S16:S33)</f>
        <v>29762.132909090909</v>
      </c>
      <c r="T34" s="1069"/>
      <c r="U34" s="453">
        <f>SUMPRODUCT($G$16:$G$33,U16:U33)</f>
        <v>131672.51472727273</v>
      </c>
      <c r="V34" s="452"/>
      <c r="W34" s="116">
        <f>U34*O9+TOP!U28*TOP!O9+QSMS!U25*QSMS!O9</f>
        <v>856193.9236363637</v>
      </c>
      <c r="X34" s="695"/>
      <c r="Z34" s="710"/>
      <c r="AB34" s="733"/>
    </row>
    <row r="35" spans="2:32" ht="13.8">
      <c r="X35" s="695"/>
    </row>
    <row r="36" spans="2:32" ht="12.75" customHeight="1">
      <c r="B36" s="1055" t="s">
        <v>347</v>
      </c>
      <c r="C36" s="1055"/>
      <c r="D36" s="1055"/>
      <c r="E36" s="1055"/>
      <c r="F36" s="1055"/>
      <c r="G36" s="1055"/>
      <c r="H36" s="1055"/>
      <c r="I36" s="1055"/>
      <c r="J36" s="1055"/>
      <c r="K36" s="1055"/>
      <c r="L36" s="1055"/>
      <c r="M36" s="1055"/>
      <c r="N36" s="1055"/>
      <c r="O36" s="1055"/>
      <c r="P36" s="1055"/>
      <c r="Q36" s="1055"/>
      <c r="R36" s="1055"/>
      <c r="S36" s="1055"/>
      <c r="T36" s="1055"/>
      <c r="U36" s="1055"/>
      <c r="V36" s="1055"/>
    </row>
    <row r="37" spans="2:32" ht="12.75" customHeight="1">
      <c r="B37" s="1056" t="s">
        <v>357</v>
      </c>
      <c r="C37" s="1088"/>
      <c r="D37" s="1088"/>
      <c r="E37" s="1088" t="s">
        <v>358</v>
      </c>
      <c r="F37" s="1088"/>
      <c r="G37" s="1089" t="s">
        <v>350</v>
      </c>
      <c r="H37" s="1056" t="s">
        <v>359</v>
      </c>
      <c r="I37" s="1088"/>
      <c r="J37" s="1057"/>
      <c r="K37" s="1089" t="s">
        <v>360</v>
      </c>
      <c r="L37" s="1091"/>
      <c r="M37" s="1091"/>
      <c r="N37" s="1091"/>
      <c r="O37" s="1092"/>
      <c r="P37" s="1056" t="s">
        <v>361</v>
      </c>
      <c r="Q37" s="1088"/>
      <c r="R37" s="1088"/>
      <c r="S37" s="1088"/>
      <c r="T37" s="1095" t="s">
        <v>362</v>
      </c>
      <c r="U37" s="1092" t="s">
        <v>363</v>
      </c>
      <c r="V37" s="1062" t="s">
        <v>364</v>
      </c>
    </row>
    <row r="38" spans="2:32" ht="13.8">
      <c r="B38" s="1058"/>
      <c r="C38" s="1075"/>
      <c r="D38" s="1075"/>
      <c r="E38" s="1075"/>
      <c r="F38" s="1075"/>
      <c r="G38" s="1090"/>
      <c r="H38" s="1058"/>
      <c r="I38" s="1075"/>
      <c r="J38" s="1059"/>
      <c r="K38" s="1090"/>
      <c r="L38" s="1093"/>
      <c r="M38" s="1093"/>
      <c r="N38" s="1093"/>
      <c r="O38" s="1094"/>
      <c r="P38" s="1058" t="s">
        <v>365</v>
      </c>
      <c r="Q38" s="1075"/>
      <c r="R38" s="1075"/>
      <c r="S38" s="1075"/>
      <c r="T38" s="1096"/>
      <c r="U38" s="1094"/>
      <c r="V38" s="1063"/>
    </row>
    <row r="39" spans="2:32" ht="13.8">
      <c r="B39" s="1097" t="str">
        <f t="shared" ref="B39:B44" si="8">F39</f>
        <v>E0021</v>
      </c>
      <c r="C39" s="1098"/>
      <c r="D39" s="1099"/>
      <c r="E39" s="884" t="s">
        <v>645</v>
      </c>
      <c r="F39" s="198" t="str">
        <f>VLOOKUP($E39,EQUIPAMENTOS!$A:$B,2,FALSE)</f>
        <v>E0021</v>
      </c>
      <c r="G39" s="433">
        <v>1</v>
      </c>
      <c r="H39" s="1579">
        <f>VLOOKUP($B39,EQUIPAMENTOS!$B$3:$N$99,9,0)*200</f>
        <v>28000</v>
      </c>
      <c r="I39" s="1580"/>
      <c r="J39" s="1580"/>
      <c r="K39" s="1082" t="s">
        <v>370</v>
      </c>
      <c r="L39" s="1083"/>
      <c r="M39" s="1084">
        <f t="shared" ref="M39:M44" si="9">50*24</f>
        <v>1200</v>
      </c>
      <c r="N39" s="1084"/>
      <c r="O39" s="1084"/>
      <c r="P39" s="80" t="s">
        <v>380</v>
      </c>
      <c r="Q39" s="1085">
        <f>VLOOKUP($B39,EQUIPAMENTOS!$B$3:$N$99,13,0)</f>
        <v>9</v>
      </c>
      <c r="R39" s="1086"/>
      <c r="S39" s="1087"/>
      <c r="T39" s="436">
        <f>IF(Q39="","",IF(K39="km",M39/Q39,200*Q39)*INDEX(DADOS!$1:$1048576,MATCH(P39,DADOS!D:D,0),5))</f>
        <v>0</v>
      </c>
      <c r="U39" s="202">
        <f t="shared" ref="U39:U44" si="10">SUM(H39,T39)</f>
        <v>28000</v>
      </c>
      <c r="V39" s="203">
        <f>G39*U39</f>
        <v>28000</v>
      </c>
      <c r="W39" s="116"/>
      <c r="X39" s="137"/>
      <c r="Y39" s="116"/>
      <c r="Z39" s="116"/>
    </row>
    <row r="40" spans="2:32" ht="13.8">
      <c r="B40" s="1097" t="str">
        <f t="shared" si="8"/>
        <v>E0038</v>
      </c>
      <c r="C40" s="1098"/>
      <c r="D40" s="1099"/>
      <c r="E40" s="200" t="s">
        <v>1335</v>
      </c>
      <c r="F40" s="198" t="str">
        <f>VLOOKUP($E40,EQUIPAMENTOS!$A:$B,2,FALSE)</f>
        <v>E0038</v>
      </c>
      <c r="G40" s="885">
        <v>1</v>
      </c>
      <c r="H40" s="1079">
        <f>VLOOKUP($B40,EQUIPAMENTOS!$B$3:$N$99,9,0)*200</f>
        <v>8000</v>
      </c>
      <c r="I40" s="1080"/>
      <c r="J40" s="1081"/>
      <c r="K40" s="1082" t="s">
        <v>370</v>
      </c>
      <c r="L40" s="1083"/>
      <c r="M40" s="1084">
        <f t="shared" si="9"/>
        <v>1200</v>
      </c>
      <c r="N40" s="1084"/>
      <c r="O40" s="1084"/>
      <c r="P40" s="80" t="s">
        <v>380</v>
      </c>
      <c r="Q40" s="1085">
        <f>VLOOKUP($B40,EQUIPAMENTOS!$B$3:$N$99,13,0)</f>
        <v>9</v>
      </c>
      <c r="R40" s="1086"/>
      <c r="S40" s="1087"/>
      <c r="T40" s="436">
        <f>IF(Q40="","",IF(K40="km",M40/Q40,200*Q40)*INDEX(DADOS!$1:$1048576,MATCH(P40,DADOS!D:D,0),5))</f>
        <v>0</v>
      </c>
      <c r="U40" s="202">
        <f t="shared" si="10"/>
        <v>8000</v>
      </c>
      <c r="V40" s="436">
        <f>U40*G40</f>
        <v>8000</v>
      </c>
      <c r="W40" s="116"/>
    </row>
    <row r="41" spans="2:32" ht="13.8">
      <c r="B41" s="1097" t="str">
        <f t="shared" si="8"/>
        <v>E0037</v>
      </c>
      <c r="C41" s="1098"/>
      <c r="D41" s="1099"/>
      <c r="E41" s="200" t="s">
        <v>675</v>
      </c>
      <c r="F41" s="198" t="str">
        <f>VLOOKUP($E41,EQUIPAMENTOS!$A:$B,2,FALSE)</f>
        <v>E0037</v>
      </c>
      <c r="G41" s="885">
        <v>2</v>
      </c>
      <c r="H41" s="1079">
        <f>VLOOKUP($B41,EQUIPAMENTOS!$B$3:$N$99,9,0)*200</f>
        <v>4000</v>
      </c>
      <c r="I41" s="1080"/>
      <c r="J41" s="1081"/>
      <c r="K41" s="1082" t="s">
        <v>370</v>
      </c>
      <c r="L41" s="1083"/>
      <c r="M41" s="1084">
        <f>100*24</f>
        <v>2400</v>
      </c>
      <c r="N41" s="1084"/>
      <c r="O41" s="1084"/>
      <c r="P41" s="80" t="s">
        <v>376</v>
      </c>
      <c r="Q41" s="1085">
        <f>VLOOKUP($B41,EQUIPAMENTOS!$B$3:$N$99,13,0)</f>
        <v>9</v>
      </c>
      <c r="R41" s="1086"/>
      <c r="S41" s="1087"/>
      <c r="T41" s="436">
        <f>IF(Q41="","",IF(K41="km",M41/Q41,200*Q41)*INDEX(DADOS!$1:$1048576,MATCH(P41,DADOS!D:D,0),5))</f>
        <v>1757.3333333333335</v>
      </c>
      <c r="U41" s="202">
        <f t="shared" si="10"/>
        <v>5757.3333333333339</v>
      </c>
      <c r="V41" s="436">
        <f>U41*G41</f>
        <v>11514.666666666668</v>
      </c>
      <c r="W41" s="116"/>
    </row>
    <row r="42" spans="2:32" ht="13.8">
      <c r="B42" s="1097" t="str">
        <f t="shared" si="8"/>
        <v>E0007</v>
      </c>
      <c r="C42" s="1098"/>
      <c r="D42" s="1099"/>
      <c r="E42" s="200" t="s">
        <v>1105</v>
      </c>
      <c r="F42" s="198" t="str">
        <f>VLOOKUP($E42,EQUIPAMENTOS!$A:$B,2,FALSE)</f>
        <v>E0007</v>
      </c>
      <c r="G42" s="434">
        <v>1</v>
      </c>
      <c r="H42" s="1079">
        <f>VLOOKUP($B42,EQUIPAMENTOS!$B$3:$N$99,9,0)*200</f>
        <v>28000</v>
      </c>
      <c r="I42" s="1080"/>
      <c r="J42" s="1081"/>
      <c r="K42" s="1577" t="s">
        <v>367</v>
      </c>
      <c r="L42" s="1578"/>
      <c r="M42" s="1084">
        <f t="shared" si="9"/>
        <v>1200</v>
      </c>
      <c r="N42" s="1084"/>
      <c r="O42" s="1084"/>
      <c r="P42" s="80" t="s">
        <v>380</v>
      </c>
      <c r="Q42" s="1085">
        <f>VLOOKUP($B42,EQUIPAMENTOS!$B$3:$N$99,13,0)</f>
        <v>4</v>
      </c>
      <c r="R42" s="1086"/>
      <c r="S42" s="1087"/>
      <c r="T42" s="436">
        <f>IF(Q42="","",IF(K42="km",M42/Q42,200*Q42)*INDEX(DADOS!$1:$1048576,MATCH(P42,DADOS!D:D,0),5))</f>
        <v>0</v>
      </c>
      <c r="U42" s="202">
        <f t="shared" si="10"/>
        <v>28000</v>
      </c>
      <c r="V42" s="436">
        <f>U42*G42</f>
        <v>28000</v>
      </c>
      <c r="W42" s="116"/>
      <c r="AC42" s="697"/>
      <c r="AD42" s="697"/>
      <c r="AE42" s="697"/>
      <c r="AF42" s="697"/>
    </row>
    <row r="43" spans="2:32" ht="13.8">
      <c r="B43" s="1097" t="str">
        <f t="shared" si="8"/>
        <v>E0011</v>
      </c>
      <c r="C43" s="1098"/>
      <c r="D43" s="1099"/>
      <c r="E43" s="200" t="s">
        <v>1373</v>
      </c>
      <c r="F43" s="198" t="str">
        <f>VLOOKUP($E43,EQUIPAMENTOS!$A:$B,2,FALSE)</f>
        <v>E0011</v>
      </c>
      <c r="G43" s="434">
        <v>1</v>
      </c>
      <c r="H43" s="1079">
        <f>VLOOKUP($B43,EQUIPAMENTOS!$B$3:$N$99,9,0)*200</f>
        <v>25000</v>
      </c>
      <c r="I43" s="1080"/>
      <c r="J43" s="1081"/>
      <c r="K43" s="1577" t="s">
        <v>367</v>
      </c>
      <c r="L43" s="1578"/>
      <c r="M43" s="1084">
        <f t="shared" si="9"/>
        <v>1200</v>
      </c>
      <c r="N43" s="1084"/>
      <c r="O43" s="1084"/>
      <c r="P43" s="80" t="s">
        <v>380</v>
      </c>
      <c r="Q43" s="1085">
        <f>VLOOKUP($B43,EQUIPAMENTOS!$B$3:$N$99,13,0)</f>
        <v>7</v>
      </c>
      <c r="R43" s="1086"/>
      <c r="S43" s="1087"/>
      <c r="T43" s="436">
        <f>IF(Q43="","",IF(K43="km",M43/Q43,200*Q43)*INDEX(DADOS!$1:$1048576,MATCH(P43,DADOS!D:D,0),5))</f>
        <v>0</v>
      </c>
      <c r="U43" s="202">
        <f t="shared" si="10"/>
        <v>25000</v>
      </c>
      <c r="V43" s="436">
        <f>U43*G43</f>
        <v>25000</v>
      </c>
      <c r="W43" s="116"/>
      <c r="AC43" s="697"/>
      <c r="AD43" s="697"/>
      <c r="AE43" s="697"/>
      <c r="AF43" s="697"/>
    </row>
    <row r="44" spans="2:32" ht="13.8">
      <c r="B44" s="1097" t="str">
        <f t="shared" si="8"/>
        <v>E0019</v>
      </c>
      <c r="C44" s="1098"/>
      <c r="D44" s="1099"/>
      <c r="E44" s="200" t="s">
        <v>642</v>
      </c>
      <c r="F44" s="198" t="str">
        <f>VLOOKUP($E44,EQUIPAMENTOS!$A:$B,2,FALSE)</f>
        <v>E0019</v>
      </c>
      <c r="G44" s="434">
        <v>1</v>
      </c>
      <c r="H44" s="1079">
        <f>VLOOKUP($B44,EQUIPAMENTOS!$B$3:$N$99,9,0)*200</f>
        <v>38000</v>
      </c>
      <c r="I44" s="1080"/>
      <c r="J44" s="1081"/>
      <c r="K44" s="1577" t="s">
        <v>367</v>
      </c>
      <c r="L44" s="1578"/>
      <c r="M44" s="1084">
        <f t="shared" si="9"/>
        <v>1200</v>
      </c>
      <c r="N44" s="1084"/>
      <c r="O44" s="1084"/>
      <c r="P44" s="80" t="s">
        <v>380</v>
      </c>
      <c r="Q44" s="1085">
        <f>VLOOKUP($B44,EQUIPAMENTOS!$B$3:$N$99,13,0)</f>
        <v>28</v>
      </c>
      <c r="R44" s="1086"/>
      <c r="S44" s="1087"/>
      <c r="T44" s="436">
        <f>IF(Q44="","",IF(K44="km",M44/Q44,200*Q44)*INDEX(DADOS!$1:$1048576,MATCH(P44,DADOS!D:D,0),5))</f>
        <v>0</v>
      </c>
      <c r="U44" s="202">
        <f t="shared" si="10"/>
        <v>38000</v>
      </c>
      <c r="V44" s="436">
        <f>U44*G44</f>
        <v>38000</v>
      </c>
      <c r="W44" s="116"/>
      <c r="AC44" s="697"/>
      <c r="AD44" s="697"/>
      <c r="AE44" s="697"/>
      <c r="AF44" s="697"/>
    </row>
    <row r="45" spans="2:32" ht="13.8">
      <c r="B45" s="1097"/>
      <c r="C45" s="1098"/>
      <c r="D45" s="1099"/>
      <c r="E45" s="200"/>
      <c r="F45" s="198"/>
      <c r="G45" s="434"/>
      <c r="H45" s="1599"/>
      <c r="I45" s="1600"/>
      <c r="J45" s="1601"/>
      <c r="K45" s="1577"/>
      <c r="L45" s="1578"/>
      <c r="M45" s="1084"/>
      <c r="N45" s="1084"/>
      <c r="O45" s="1084"/>
      <c r="P45" s="80"/>
      <c r="Q45" s="1085"/>
      <c r="R45" s="1086"/>
      <c r="S45" s="1087"/>
      <c r="T45" s="436"/>
      <c r="U45" s="202"/>
      <c r="V45" s="436"/>
      <c r="W45" s="116"/>
      <c r="AC45" s="697"/>
      <c r="AD45" s="697"/>
      <c r="AE45" s="697"/>
      <c r="AF45" s="697"/>
    </row>
    <row r="46" spans="2:32" ht="13.8">
      <c r="B46" s="1123"/>
      <c r="C46" s="1124"/>
      <c r="D46" s="1125"/>
      <c r="E46" s="1126" t="s">
        <v>175</v>
      </c>
      <c r="F46" s="1127"/>
      <c r="G46" s="435">
        <f>SUM(G39:G43)</f>
        <v>6</v>
      </c>
      <c r="H46" s="1550">
        <f>SUMPRODUCT(G39:$G$45,H39:H45)</f>
        <v>135000</v>
      </c>
      <c r="I46" s="1550"/>
      <c r="J46" s="1550"/>
      <c r="K46" s="1129"/>
      <c r="L46" s="1130"/>
      <c r="M46" s="1130"/>
      <c r="N46" s="1130"/>
      <c r="O46" s="1131"/>
      <c r="P46" s="699"/>
      <c r="Q46" s="819"/>
      <c r="R46" s="819"/>
      <c r="S46" s="819"/>
      <c r="T46" s="668">
        <f>SUMPRODUCT($G39:G$45,T39:T45)</f>
        <v>3514.666666666667</v>
      </c>
      <c r="U46" s="668"/>
      <c r="V46" s="668">
        <f>SUM(V39:V45)</f>
        <v>138514.66666666669</v>
      </c>
      <c r="W46" s="116">
        <f>V46*O9+TOP!V38*TOP!O9+QSMS!V33*QSMS!O9+Q68*O9+Q54*O9</f>
        <v>777896.66666666674</v>
      </c>
    </row>
    <row r="47" spans="2:32" ht="12.75" customHeight="1">
      <c r="T47" s="116"/>
    </row>
    <row r="48" spans="2:32" ht="12.75" customHeight="1">
      <c r="B48" s="1055" t="s">
        <v>410</v>
      </c>
      <c r="C48" s="1055"/>
      <c r="D48" s="1055"/>
      <c r="E48" s="1055"/>
      <c r="F48" s="1055"/>
      <c r="G48" s="1055"/>
      <c r="H48" s="1055"/>
      <c r="I48" s="1055"/>
      <c r="J48" s="1055"/>
      <c r="K48" s="1055"/>
      <c r="L48" s="1055"/>
      <c r="M48" s="1055"/>
      <c r="N48" s="1055"/>
      <c r="O48" s="1055"/>
      <c r="P48" s="1055"/>
      <c r="Q48" s="1055"/>
      <c r="R48" s="1055"/>
      <c r="S48" s="1055"/>
      <c r="T48" s="1055"/>
      <c r="U48" s="1055"/>
      <c r="V48" s="1055"/>
    </row>
    <row r="49" spans="2:26" ht="13.8">
      <c r="B49" s="1112" t="s">
        <v>183</v>
      </c>
      <c r="C49" s="1114"/>
      <c r="D49" s="1112" t="s">
        <v>324</v>
      </c>
      <c r="E49" s="1113"/>
      <c r="F49" s="1113"/>
      <c r="G49" s="1112" t="s">
        <v>371</v>
      </c>
      <c r="H49" s="1114"/>
      <c r="I49" s="1115" t="s">
        <v>372</v>
      </c>
      <c r="J49" s="1132"/>
      <c r="K49" s="1116"/>
      <c r="L49" s="1115" t="s">
        <v>189</v>
      </c>
      <c r="M49" s="1132"/>
      <c r="N49" s="1132"/>
      <c r="O49" s="1132"/>
      <c r="P49" s="1116"/>
      <c r="Q49" s="1112" t="s">
        <v>373</v>
      </c>
      <c r="R49" s="1113"/>
      <c r="S49" s="1113"/>
      <c r="T49" s="1114"/>
      <c r="U49" s="1115"/>
      <c r="V49" s="1116"/>
      <c r="Z49" s="137"/>
    </row>
    <row r="50" spans="2:26" ht="13.8" hidden="1">
      <c r="B50" s="186" t="str">
        <f>IF(I50="","",COUNT($I$50:I50))</f>
        <v/>
      </c>
      <c r="C50" s="430"/>
      <c r="D50" s="1117" t="s">
        <v>411</v>
      </c>
      <c r="E50" s="1118"/>
      <c r="F50" s="1118"/>
      <c r="G50" s="1119" t="s">
        <v>412</v>
      </c>
      <c r="H50" s="1119"/>
      <c r="I50" s="1120"/>
      <c r="J50" s="1120"/>
      <c r="K50" s="1120"/>
      <c r="L50" s="1120">
        <v>1800</v>
      </c>
      <c r="M50" s="1120"/>
      <c r="N50" s="1120"/>
      <c r="O50" s="1120"/>
      <c r="P50" s="1120"/>
      <c r="Q50" s="1054">
        <f t="shared" ref="Q50:Q70" si="11">I50*L50</f>
        <v>0</v>
      </c>
      <c r="R50" s="1054"/>
      <c r="S50" s="1054"/>
      <c r="T50" s="1054"/>
      <c r="U50" s="1584" t="s">
        <v>1120</v>
      </c>
      <c r="V50" s="1585"/>
    </row>
    <row r="51" spans="2:26" ht="13.8">
      <c r="B51" s="186">
        <f>IF(I51="","",COUNT($I$50:I51))</f>
        <v>1</v>
      </c>
      <c r="C51" s="430"/>
      <c r="D51" s="1117" t="s">
        <v>413</v>
      </c>
      <c r="E51" s="1118"/>
      <c r="F51" s="1118"/>
      <c r="G51" s="1119" t="s">
        <v>412</v>
      </c>
      <c r="H51" s="1119"/>
      <c r="I51" s="1120">
        <v>2</v>
      </c>
      <c r="J51" s="1120"/>
      <c r="K51" s="1120"/>
      <c r="L51" s="1120">
        <v>2000</v>
      </c>
      <c r="M51" s="1120"/>
      <c r="N51" s="1120"/>
      <c r="O51" s="1120"/>
      <c r="P51" s="1120"/>
      <c r="Q51" s="1054">
        <f t="shared" si="11"/>
        <v>4000</v>
      </c>
      <c r="R51" s="1054"/>
      <c r="S51" s="1054"/>
      <c r="T51" s="1054"/>
      <c r="U51" s="1584"/>
      <c r="V51" s="1585"/>
    </row>
    <row r="52" spans="2:26" ht="13.8">
      <c r="B52" s="186">
        <f>IF(I52="","",COUNT($I$50:I52))</f>
        <v>2</v>
      </c>
      <c r="C52" s="430"/>
      <c r="D52" s="1117" t="s">
        <v>1121</v>
      </c>
      <c r="E52" s="1118"/>
      <c r="F52" s="1118"/>
      <c r="G52" s="1119" t="s">
        <v>412</v>
      </c>
      <c r="H52" s="1119"/>
      <c r="I52" s="1120">
        <v>2</v>
      </c>
      <c r="J52" s="1120"/>
      <c r="K52" s="1120"/>
      <c r="L52" s="1120">
        <v>1800</v>
      </c>
      <c r="M52" s="1120"/>
      <c r="N52" s="1120"/>
      <c r="O52" s="1120"/>
      <c r="P52" s="1120"/>
      <c r="Q52" s="1054">
        <f t="shared" si="11"/>
        <v>3600</v>
      </c>
      <c r="R52" s="1054"/>
      <c r="S52" s="1054"/>
      <c r="T52" s="1054"/>
      <c r="U52" s="1584"/>
      <c r="V52" s="1585"/>
    </row>
    <row r="53" spans="2:26" ht="13.8">
      <c r="B53" s="186">
        <f>IF(I53="","",COUNT($I$50:I53))</f>
        <v>3</v>
      </c>
      <c r="C53" s="430"/>
      <c r="D53" s="1117" t="s">
        <v>1119</v>
      </c>
      <c r="E53" s="1118"/>
      <c r="F53" s="1118"/>
      <c r="G53" s="1119" t="s">
        <v>412</v>
      </c>
      <c r="H53" s="1119"/>
      <c r="I53" s="1120">
        <v>2</v>
      </c>
      <c r="J53" s="1120"/>
      <c r="K53" s="1120"/>
      <c r="L53" s="1120">
        <v>850</v>
      </c>
      <c r="M53" s="1120"/>
      <c r="N53" s="1120"/>
      <c r="O53" s="1120"/>
      <c r="P53" s="1120"/>
      <c r="Q53" s="1054">
        <f t="shared" si="11"/>
        <v>1700</v>
      </c>
      <c r="R53" s="1054"/>
      <c r="S53" s="1054"/>
      <c r="T53" s="1054"/>
      <c r="U53" s="1584"/>
      <c r="V53" s="1585"/>
    </row>
    <row r="54" spans="2:26" ht="13.8">
      <c r="B54" s="186">
        <f>IF(I54="","",COUNT($I$50:I54))</f>
        <v>4</v>
      </c>
      <c r="C54" s="430"/>
      <c r="D54" s="1117" t="s">
        <v>1380</v>
      </c>
      <c r="E54" s="1118"/>
      <c r="F54" s="1118"/>
      <c r="G54" s="1119" t="s">
        <v>371</v>
      </c>
      <c r="H54" s="1119"/>
      <c r="I54" s="1583">
        <v>3</v>
      </c>
      <c r="J54" s="1583"/>
      <c r="K54" s="1583"/>
      <c r="L54" s="1120">
        <v>1850</v>
      </c>
      <c r="M54" s="1120"/>
      <c r="N54" s="1120"/>
      <c r="O54" s="1120"/>
      <c r="P54" s="1120"/>
      <c r="Q54" s="1054">
        <f t="shared" si="11"/>
        <v>5550</v>
      </c>
      <c r="R54" s="1595"/>
      <c r="S54" s="1595"/>
      <c r="T54" s="1596"/>
      <c r="U54" s="1584" t="s">
        <v>1381</v>
      </c>
      <c r="V54" s="1585"/>
    </row>
    <row r="55" spans="2:26" ht="21" customHeight="1">
      <c r="B55" s="186">
        <f>IF(I55="","",COUNT($I$50:I55))</f>
        <v>5</v>
      </c>
      <c r="C55" s="430"/>
      <c r="D55" s="1117" t="s">
        <v>1198</v>
      </c>
      <c r="E55" s="1118"/>
      <c r="F55" s="1118"/>
      <c r="G55" s="1119" t="s">
        <v>371</v>
      </c>
      <c r="H55" s="1119"/>
      <c r="I55" s="1583">
        <f>ROUNDUP(C_FIXO!C18,0)</f>
        <v>7</v>
      </c>
      <c r="J55" s="1583"/>
      <c r="K55" s="1583"/>
      <c r="L55" s="1120">
        <v>3500</v>
      </c>
      <c r="M55" s="1120"/>
      <c r="N55" s="1120"/>
      <c r="O55" s="1120"/>
      <c r="P55" s="1120"/>
      <c r="Q55" s="1054">
        <f t="shared" si="11"/>
        <v>24500</v>
      </c>
      <c r="R55" s="1595"/>
      <c r="S55" s="1595"/>
      <c r="T55" s="1596"/>
      <c r="U55" s="1584"/>
      <c r="V55" s="1585"/>
    </row>
    <row r="56" spans="2:26" ht="24.75" customHeight="1">
      <c r="B56" s="186">
        <f>IF(I56="","",COUNT($I$50:I56))</f>
        <v>6</v>
      </c>
      <c r="C56" s="430"/>
      <c r="D56" s="1117" t="s">
        <v>419</v>
      </c>
      <c r="E56" s="1118"/>
      <c r="F56" s="1118"/>
      <c r="G56" s="1119" t="s">
        <v>371</v>
      </c>
      <c r="H56" s="1119"/>
      <c r="I56" s="1120">
        <f>I55</f>
        <v>7</v>
      </c>
      <c r="J56" s="1120"/>
      <c r="K56" s="1120"/>
      <c r="L56" s="1583">
        <v>3200</v>
      </c>
      <c r="M56" s="1583"/>
      <c r="N56" s="1583"/>
      <c r="O56" s="1583"/>
      <c r="P56" s="1583"/>
      <c r="Q56" s="1054">
        <f t="shared" si="11"/>
        <v>22400</v>
      </c>
      <c r="R56" s="1054"/>
      <c r="S56" s="1054"/>
      <c r="T56" s="1054"/>
      <c r="U56" s="1584"/>
      <c r="V56" s="1585"/>
    </row>
    <row r="57" spans="2:26" ht="13.8">
      <c r="B57" s="186">
        <f>IF(I57="","",COUNT($I$50:I57))</f>
        <v>7</v>
      </c>
      <c r="C57" s="430"/>
      <c r="D57" s="1117" t="s">
        <v>420</v>
      </c>
      <c r="E57" s="1118"/>
      <c r="F57" s="1118"/>
      <c r="G57" s="1119" t="s">
        <v>371</v>
      </c>
      <c r="H57" s="1119"/>
      <c r="I57" s="1120">
        <f>I56</f>
        <v>7</v>
      </c>
      <c r="J57" s="1120"/>
      <c r="K57" s="1120"/>
      <c r="L57" s="1583">
        <v>1000</v>
      </c>
      <c r="M57" s="1583"/>
      <c r="N57" s="1583"/>
      <c r="O57" s="1583"/>
      <c r="P57" s="1583"/>
      <c r="Q57" s="1054">
        <f t="shared" si="11"/>
        <v>7000</v>
      </c>
      <c r="R57" s="1054"/>
      <c r="S57" s="1054"/>
      <c r="T57" s="1054"/>
      <c r="U57" s="1584"/>
      <c r="V57" s="1585"/>
    </row>
    <row r="58" spans="2:26" ht="13.8">
      <c r="B58" s="186" t="str">
        <f>IF(I58="","",COUNT($I$50:I58))</f>
        <v/>
      </c>
      <c r="C58" s="430"/>
      <c r="D58" s="1581" t="s">
        <v>1106</v>
      </c>
      <c r="E58" s="1582"/>
      <c r="F58" s="1582"/>
      <c r="G58" s="1119" t="s">
        <v>412</v>
      </c>
      <c r="H58" s="1119"/>
      <c r="I58" s="1120"/>
      <c r="J58" s="1120"/>
      <c r="K58" s="1120"/>
      <c r="L58" s="1583">
        <v>15000</v>
      </c>
      <c r="M58" s="1583"/>
      <c r="N58" s="1583"/>
      <c r="O58" s="1583"/>
      <c r="P58" s="1583"/>
      <c r="Q58" s="1054">
        <f t="shared" si="11"/>
        <v>0</v>
      </c>
      <c r="R58" s="1054"/>
      <c r="S58" s="1054"/>
      <c r="T58" s="1054"/>
      <c r="U58" s="1587" t="s">
        <v>1417</v>
      </c>
      <c r="V58" s="1588"/>
    </row>
    <row r="59" spans="2:26" ht="13.8">
      <c r="B59" s="186">
        <f>IF(I59="","",COUNT($I$50:I59))</f>
        <v>8</v>
      </c>
      <c r="C59" s="430"/>
      <c r="D59" s="1117" t="s">
        <v>414</v>
      </c>
      <c r="E59" s="1118"/>
      <c r="F59" s="1118"/>
      <c r="G59" s="1119" t="s">
        <v>415</v>
      </c>
      <c r="H59" s="1119"/>
      <c r="I59" s="1120">
        <f>(C_FIXO!C14+C_FIXO!C15)*3*30</f>
        <v>3420</v>
      </c>
      <c r="J59" s="1120"/>
      <c r="K59" s="1120"/>
      <c r="L59" s="1583">
        <v>1</v>
      </c>
      <c r="M59" s="1583"/>
      <c r="N59" s="1583"/>
      <c r="O59" s="1583"/>
      <c r="P59" s="1583"/>
      <c r="Q59" s="1054">
        <f t="shared" si="11"/>
        <v>3420</v>
      </c>
      <c r="R59" s="1054"/>
      <c r="S59" s="1054"/>
      <c r="T59" s="1054"/>
      <c r="U59" s="1587"/>
      <c r="V59" s="1588"/>
    </row>
    <row r="60" spans="2:26" ht="13.8">
      <c r="B60" s="186">
        <f>IF(I60="","",COUNT($I$50:I60))</f>
        <v>9</v>
      </c>
      <c r="C60" s="430"/>
      <c r="D60" s="1117" t="s">
        <v>416</v>
      </c>
      <c r="E60" s="1118"/>
      <c r="F60" s="1118"/>
      <c r="G60" s="1119" t="s">
        <v>412</v>
      </c>
      <c r="H60" s="1119"/>
      <c r="I60" s="1120">
        <v>1</v>
      </c>
      <c r="J60" s="1120"/>
      <c r="K60" s="1120"/>
      <c r="L60" s="1583">
        <v>300</v>
      </c>
      <c r="M60" s="1583"/>
      <c r="N60" s="1583"/>
      <c r="O60" s="1583"/>
      <c r="P60" s="1583"/>
      <c r="Q60" s="1054">
        <f t="shared" si="11"/>
        <v>300</v>
      </c>
      <c r="R60" s="1054"/>
      <c r="S60" s="1054"/>
      <c r="T60" s="1054"/>
      <c r="U60" s="1584"/>
      <c r="V60" s="1585"/>
      <c r="W60" s="116">
        <f>Q60*36</f>
        <v>10800</v>
      </c>
    </row>
    <row r="61" spans="2:26" ht="13.8" hidden="1">
      <c r="B61" s="186" t="str">
        <f>IF(I61="","",COUNT($I$50:I61))</f>
        <v/>
      </c>
      <c r="C61" s="430"/>
      <c r="D61" s="1117" t="s">
        <v>417</v>
      </c>
      <c r="E61" s="1118"/>
      <c r="F61" s="1118"/>
      <c r="G61" s="1119" t="s">
        <v>412</v>
      </c>
      <c r="H61" s="1119"/>
      <c r="I61" s="1120"/>
      <c r="J61" s="1120"/>
      <c r="K61" s="1120"/>
      <c r="L61" s="1583">
        <v>300</v>
      </c>
      <c r="M61" s="1583"/>
      <c r="N61" s="1583"/>
      <c r="O61" s="1583"/>
      <c r="P61" s="1583"/>
      <c r="Q61" s="1054">
        <f t="shared" si="11"/>
        <v>0</v>
      </c>
      <c r="R61" s="1054"/>
      <c r="S61" s="1054"/>
      <c r="T61" s="1054"/>
      <c r="U61" s="1584"/>
      <c r="V61" s="1585"/>
    </row>
    <row r="62" spans="2:26" ht="13.8">
      <c r="B62" s="186">
        <f>IF(I62="","",COUNT($I$50:I62))</f>
        <v>10</v>
      </c>
      <c r="C62" s="430"/>
      <c r="D62" s="1581" t="s">
        <v>1367</v>
      </c>
      <c r="E62" s="1582"/>
      <c r="F62" s="1582"/>
      <c r="G62" s="1119" t="s">
        <v>412</v>
      </c>
      <c r="H62" s="1119"/>
      <c r="I62" s="1120">
        <v>2</v>
      </c>
      <c r="J62" s="1120"/>
      <c r="K62" s="1120"/>
      <c r="L62" s="1120">
        <v>600</v>
      </c>
      <c r="M62" s="1120"/>
      <c r="N62" s="1120"/>
      <c r="O62" s="1120"/>
      <c r="P62" s="1120"/>
      <c r="Q62" s="1054">
        <f t="shared" si="11"/>
        <v>1200</v>
      </c>
      <c r="R62" s="1054"/>
      <c r="S62" s="1054"/>
      <c r="T62" s="1054"/>
      <c r="U62" s="1584"/>
      <c r="V62" s="1585"/>
    </row>
    <row r="63" spans="2:26" ht="13.8">
      <c r="B63" s="186">
        <f>IF(I63="","",COUNT($I$50:I63))</f>
        <v>11</v>
      </c>
      <c r="C63" s="430"/>
      <c r="D63" s="1581" t="s">
        <v>418</v>
      </c>
      <c r="E63" s="1582"/>
      <c r="F63" s="1582"/>
      <c r="G63" s="1119" t="s">
        <v>412</v>
      </c>
      <c r="H63" s="1119"/>
      <c r="I63" s="1583">
        <v>1</v>
      </c>
      <c r="J63" s="1583"/>
      <c r="K63" s="1583"/>
      <c r="L63" s="1583">
        <v>2000</v>
      </c>
      <c r="M63" s="1583"/>
      <c r="N63" s="1583"/>
      <c r="O63" s="1583"/>
      <c r="P63" s="1583"/>
      <c r="Q63" s="1054">
        <f t="shared" si="11"/>
        <v>2000</v>
      </c>
      <c r="R63" s="1054"/>
      <c r="S63" s="1054"/>
      <c r="T63" s="1054"/>
      <c r="U63" s="1584"/>
      <c r="V63" s="1585"/>
    </row>
    <row r="64" spans="2:26" ht="13.8" hidden="1">
      <c r="B64" s="186" t="str">
        <f>IF(I64="","",COUNT($I$50:I64))</f>
        <v/>
      </c>
      <c r="C64" s="430"/>
      <c r="D64" s="1581" t="s">
        <v>421</v>
      </c>
      <c r="E64" s="1582"/>
      <c r="F64" s="1582"/>
      <c r="G64" s="1119" t="s">
        <v>371</v>
      </c>
      <c r="H64" s="1119"/>
      <c r="I64" s="1583"/>
      <c r="J64" s="1583"/>
      <c r="K64" s="1583"/>
      <c r="L64" s="1589">
        <f>5*12*20*DADOS!E21</f>
        <v>0</v>
      </c>
      <c r="M64" s="1589"/>
      <c r="N64" s="1589"/>
      <c r="O64" s="1589"/>
      <c r="P64" s="1589"/>
      <c r="Q64" s="1054">
        <f t="shared" si="11"/>
        <v>0</v>
      </c>
      <c r="R64" s="1054"/>
      <c r="S64" s="1054"/>
      <c r="T64" s="1054"/>
      <c r="U64" s="1584"/>
      <c r="V64" s="1585"/>
    </row>
    <row r="65" spans="2:22" ht="13.8" hidden="1">
      <c r="B65" s="186" t="str">
        <f>IF(I65="","",COUNT($I$50:I65))</f>
        <v/>
      </c>
      <c r="C65" s="430"/>
      <c r="D65" s="1581" t="s">
        <v>424</v>
      </c>
      <c r="E65" s="1582"/>
      <c r="F65" s="1582"/>
      <c r="G65" s="1119" t="s">
        <v>371</v>
      </c>
      <c r="H65" s="1119"/>
      <c r="I65" s="1120"/>
      <c r="J65" s="1120"/>
      <c r="K65" s="1120"/>
      <c r="L65" s="1135">
        <v>6000</v>
      </c>
      <c r="M65" s="1135"/>
      <c r="N65" s="1135"/>
      <c r="O65" s="1135"/>
      <c r="P65" s="1135"/>
      <c r="Q65" s="1054">
        <f>I65*L65</f>
        <v>0</v>
      </c>
      <c r="R65" s="1054"/>
      <c r="S65" s="1054"/>
      <c r="T65" s="1054"/>
      <c r="U65" s="1584"/>
      <c r="V65" s="1585"/>
    </row>
    <row r="66" spans="2:22" ht="13.8">
      <c r="B66" s="186">
        <f>IF(I66="","",COUNT($I$50:I66))</f>
        <v>12</v>
      </c>
      <c r="C66" s="430"/>
      <c r="D66" s="1117" t="s">
        <v>1395</v>
      </c>
      <c r="E66" s="1118"/>
      <c r="F66" s="1118"/>
      <c r="G66" s="1119" t="s">
        <v>371</v>
      </c>
      <c r="H66" s="1119"/>
      <c r="I66" s="1583">
        <v>6</v>
      </c>
      <c r="J66" s="1583"/>
      <c r="K66" s="1583"/>
      <c r="L66" s="1583">
        <v>150</v>
      </c>
      <c r="M66" s="1583"/>
      <c r="N66" s="1583"/>
      <c r="O66" s="1583"/>
      <c r="P66" s="1583"/>
      <c r="Q66" s="1054">
        <f t="shared" ref="Q66:Q67" si="12">I66*L66</f>
        <v>900</v>
      </c>
      <c r="R66" s="1054"/>
      <c r="S66" s="1054"/>
      <c r="T66" s="1054"/>
      <c r="U66" s="1584"/>
      <c r="V66" s="1585"/>
    </row>
    <row r="67" spans="2:22" ht="13.8">
      <c r="B67" s="186">
        <f>IF(I67="","",COUNT($I$50:I67))</f>
        <v>13</v>
      </c>
      <c r="C67" s="430"/>
      <c r="D67" s="1117" t="s">
        <v>1396</v>
      </c>
      <c r="E67" s="1118"/>
      <c r="F67" s="1118"/>
      <c r="G67" s="1119" t="s">
        <v>371</v>
      </c>
      <c r="H67" s="1119"/>
      <c r="I67" s="1583">
        <v>2</v>
      </c>
      <c r="J67" s="1583"/>
      <c r="K67" s="1583"/>
      <c r="L67" s="1583">
        <v>250</v>
      </c>
      <c r="M67" s="1583"/>
      <c r="N67" s="1583"/>
      <c r="O67" s="1583"/>
      <c r="P67" s="1583"/>
      <c r="Q67" s="1054">
        <f t="shared" si="12"/>
        <v>500</v>
      </c>
      <c r="R67" s="1054"/>
      <c r="S67" s="1054"/>
      <c r="T67" s="1054"/>
      <c r="U67" s="1584"/>
      <c r="V67" s="1585"/>
    </row>
    <row r="68" spans="2:22" ht="13.8">
      <c r="B68" s="186" t="str">
        <f>IF(I68="","",COUNT($I$50:I68))</f>
        <v/>
      </c>
      <c r="C68" s="430"/>
      <c r="D68" s="1117" t="s">
        <v>1413</v>
      </c>
      <c r="E68" s="1118"/>
      <c r="F68" s="1118"/>
      <c r="G68" s="1119" t="s">
        <v>371</v>
      </c>
      <c r="H68" s="1119"/>
      <c r="I68" s="1120"/>
      <c r="J68" s="1120"/>
      <c r="K68" s="1120"/>
      <c r="L68" s="1135">
        <v>6500</v>
      </c>
      <c r="M68" s="1135"/>
      <c r="N68" s="1135"/>
      <c r="O68" s="1135"/>
      <c r="P68" s="1135"/>
      <c r="Q68" s="1054">
        <f t="shared" ref="Q68" si="13">I68*L68</f>
        <v>0</v>
      </c>
      <c r="R68" s="1054"/>
      <c r="S68" s="1054"/>
      <c r="T68" s="1054"/>
      <c r="U68" s="1584"/>
      <c r="V68" s="1585"/>
    </row>
    <row r="69" spans="2:22" ht="13.8" hidden="1">
      <c r="B69" s="186" t="str">
        <f>IF(I69="","",COUNT($I$50:I69))</f>
        <v/>
      </c>
      <c r="C69" s="430"/>
      <c r="D69" s="1581" t="s">
        <v>1130</v>
      </c>
      <c r="E69" s="1582"/>
      <c r="F69" s="1582"/>
      <c r="G69" s="1119" t="s">
        <v>412</v>
      </c>
      <c r="H69" s="1119"/>
      <c r="I69" s="1120"/>
      <c r="J69" s="1120"/>
      <c r="K69" s="1120"/>
      <c r="L69" s="1120">
        <v>1800</v>
      </c>
      <c r="M69" s="1120"/>
      <c r="N69" s="1120"/>
      <c r="O69" s="1120"/>
      <c r="P69" s="1120"/>
      <c r="Q69" s="1054">
        <f t="shared" si="11"/>
        <v>0</v>
      </c>
      <c r="R69" s="1054"/>
      <c r="S69" s="1054"/>
      <c r="T69" s="1054"/>
      <c r="U69" s="1584"/>
      <c r="V69" s="1585"/>
    </row>
    <row r="70" spans="2:22" ht="13.8">
      <c r="B70" s="186">
        <f>IF(I70="","",COUNT($I$50:I70))</f>
        <v>14</v>
      </c>
      <c r="C70" s="430"/>
      <c r="D70" s="1581" t="s">
        <v>1418</v>
      </c>
      <c r="E70" s="1582"/>
      <c r="F70" s="1582"/>
      <c r="G70" s="1119" t="s">
        <v>371</v>
      </c>
      <c r="H70" s="1119"/>
      <c r="I70" s="1120">
        <v>5</v>
      </c>
      <c r="J70" s="1120"/>
      <c r="K70" s="1120"/>
      <c r="L70" s="1583">
        <f>250</f>
        <v>250</v>
      </c>
      <c r="M70" s="1583"/>
      <c r="N70" s="1583"/>
      <c r="O70" s="1583"/>
      <c r="P70" s="1583"/>
      <c r="Q70" s="1054">
        <f t="shared" si="11"/>
        <v>1250</v>
      </c>
      <c r="R70" s="1054"/>
      <c r="S70" s="1054"/>
      <c r="T70" s="1054"/>
      <c r="U70" s="1584" t="s">
        <v>1421</v>
      </c>
      <c r="V70" s="1585"/>
    </row>
    <row r="71" spans="2:22" ht="13.8">
      <c r="B71" s="1123"/>
      <c r="C71" s="1125"/>
      <c r="D71" s="1123"/>
      <c r="E71" s="1124"/>
      <c r="F71" s="1124"/>
      <c r="G71" s="1123"/>
      <c r="H71" s="1125"/>
      <c r="I71" s="1123"/>
      <c r="J71" s="1124"/>
      <c r="K71" s="1125"/>
      <c r="L71" s="1123"/>
      <c r="M71" s="1124"/>
      <c r="N71" s="1124"/>
      <c r="O71" s="1124"/>
      <c r="P71" s="1125"/>
      <c r="Q71" s="1136">
        <f>SUM(Q50:T70)/O9</f>
        <v>15664</v>
      </c>
      <c r="R71" s="1137"/>
      <c r="S71" s="1137"/>
      <c r="T71" s="1137"/>
      <c r="U71" s="1123"/>
      <c r="V71" s="1125"/>
    </row>
    <row r="73" spans="2:22" ht="12.75" customHeight="1">
      <c r="B73" s="1055" t="s">
        <v>422</v>
      </c>
      <c r="C73" s="1055"/>
      <c r="D73" s="1055"/>
      <c r="E73" s="1055"/>
      <c r="F73" s="1055"/>
      <c r="G73" s="1055"/>
      <c r="H73" s="1055"/>
      <c r="I73" s="1055"/>
      <c r="J73" s="1055"/>
      <c r="K73" s="1055"/>
      <c r="L73" s="1055"/>
      <c r="M73" s="1055"/>
      <c r="N73" s="1055"/>
      <c r="O73" s="1055"/>
      <c r="P73" s="1055"/>
      <c r="Q73" s="1055"/>
      <c r="R73" s="1055"/>
      <c r="S73" s="1055"/>
      <c r="T73" s="1055"/>
      <c r="U73" s="1055"/>
      <c r="V73" s="1055"/>
    </row>
    <row r="74" spans="2:22" ht="12.75" customHeight="1">
      <c r="B74" s="1112" t="s">
        <v>183</v>
      </c>
      <c r="C74" s="1114"/>
      <c r="D74" s="1112" t="s">
        <v>324</v>
      </c>
      <c r="E74" s="1113"/>
      <c r="F74" s="1113"/>
      <c r="G74" s="1112" t="s">
        <v>371</v>
      </c>
      <c r="H74" s="1114"/>
      <c r="I74" s="1115"/>
      <c r="J74" s="1132"/>
      <c r="K74" s="1116"/>
      <c r="L74" s="1115" t="s">
        <v>189</v>
      </c>
      <c r="M74" s="1132"/>
      <c r="N74" s="1132"/>
      <c r="O74" s="1132"/>
      <c r="P74" s="1116"/>
      <c r="Q74" s="1112" t="s">
        <v>373</v>
      </c>
      <c r="R74" s="1113"/>
      <c r="S74" s="1113"/>
      <c r="T74" s="1114"/>
      <c r="U74" s="1115"/>
      <c r="V74" s="1116"/>
    </row>
    <row r="75" spans="2:22" ht="13.8">
      <c r="B75" s="186">
        <f>IF(I75="","",COUNT($I75:I$75))</f>
        <v>1</v>
      </c>
      <c r="C75" s="430"/>
      <c r="D75" s="1117" t="s">
        <v>423</v>
      </c>
      <c r="E75" s="1118"/>
      <c r="F75" s="1118"/>
      <c r="G75" s="1119" t="s">
        <v>412</v>
      </c>
      <c r="H75" s="1119"/>
      <c r="I75" s="1120">
        <v>1</v>
      </c>
      <c r="J75" s="1120"/>
      <c r="K75" s="1120"/>
      <c r="L75" s="1583">
        <v>20000</v>
      </c>
      <c r="M75" s="1583"/>
      <c r="N75" s="1583"/>
      <c r="O75" s="1583"/>
      <c r="P75" s="1583"/>
      <c r="Q75" s="1054">
        <f t="shared" ref="Q75:Q94" si="14">I75*L75</f>
        <v>20000</v>
      </c>
      <c r="R75" s="1054"/>
      <c r="S75" s="1054"/>
      <c r="T75" s="1054"/>
      <c r="U75" s="1117"/>
      <c r="V75" s="1586"/>
    </row>
    <row r="76" spans="2:22" ht="13.8">
      <c r="B76" s="186">
        <f>IF(I76="","",COUNT($I$75:I76))</f>
        <v>2</v>
      </c>
      <c r="C76" s="430"/>
      <c r="D76" s="1117" t="s">
        <v>1382</v>
      </c>
      <c r="E76" s="1118"/>
      <c r="F76" s="1586"/>
      <c r="G76" s="1133" t="s">
        <v>412</v>
      </c>
      <c r="H76" s="1134"/>
      <c r="I76" s="1590">
        <v>1</v>
      </c>
      <c r="J76" s="1591"/>
      <c r="K76" s="1592"/>
      <c r="L76" s="1543">
        <f>2500+250+400+180</f>
        <v>3330</v>
      </c>
      <c r="M76" s="1052"/>
      <c r="N76" s="1052"/>
      <c r="O76" s="1052"/>
      <c r="P76" s="1053"/>
      <c r="Q76" s="1054">
        <f t="shared" si="14"/>
        <v>3330</v>
      </c>
      <c r="R76" s="1054"/>
      <c r="S76" s="1054"/>
      <c r="T76" s="1054"/>
      <c r="U76" s="1133" t="s">
        <v>1383</v>
      </c>
      <c r="V76" s="1134"/>
    </row>
    <row r="77" spans="2:22" ht="13.8">
      <c r="B77" s="186">
        <f>IF(I77="","",COUNT($I$75:I77))</f>
        <v>3</v>
      </c>
      <c r="C77" s="430"/>
      <c r="D77" s="1117" t="s">
        <v>1349</v>
      </c>
      <c r="E77" s="1118"/>
      <c r="F77" s="1118"/>
      <c r="G77" s="1133" t="s">
        <v>412</v>
      </c>
      <c r="H77" s="1134"/>
      <c r="I77" s="1583">
        <v>1</v>
      </c>
      <c r="J77" s="1583"/>
      <c r="K77" s="1583"/>
      <c r="L77" s="1120">
        <v>5000</v>
      </c>
      <c r="M77" s="1120"/>
      <c r="N77" s="1120"/>
      <c r="O77" s="1120"/>
      <c r="P77" s="1120"/>
      <c r="Q77" s="1054">
        <f t="shared" si="14"/>
        <v>5000</v>
      </c>
      <c r="R77" s="1054"/>
      <c r="S77" s="1054"/>
      <c r="T77" s="1054"/>
      <c r="U77" s="1133"/>
      <c r="V77" s="1134"/>
    </row>
    <row r="78" spans="2:22" ht="13.8">
      <c r="B78" s="186">
        <f>IF(I78="","",COUNT($I$75:I78))</f>
        <v>4</v>
      </c>
      <c r="C78" s="430"/>
      <c r="D78" s="1117" t="s">
        <v>1385</v>
      </c>
      <c r="E78" s="1118"/>
      <c r="F78" s="1118"/>
      <c r="G78" s="1119" t="s">
        <v>371</v>
      </c>
      <c r="H78" s="1119"/>
      <c r="I78" s="1583">
        <v>2</v>
      </c>
      <c r="J78" s="1583"/>
      <c r="K78" s="1583"/>
      <c r="L78" s="1120">
        <f>(5500+36*60+9*120)</f>
        <v>8740</v>
      </c>
      <c r="M78" s="1120"/>
      <c r="N78" s="1120"/>
      <c r="O78" s="1120"/>
      <c r="P78" s="1120"/>
      <c r="Q78" s="1054">
        <f t="shared" si="14"/>
        <v>17480</v>
      </c>
      <c r="R78" s="1054"/>
      <c r="S78" s="1054"/>
      <c r="T78" s="1054"/>
      <c r="U78" s="1133" t="s">
        <v>1416</v>
      </c>
      <c r="V78" s="1134"/>
    </row>
    <row r="79" spans="2:22" ht="13.8">
      <c r="B79" s="186">
        <f>IF(I79="","",COUNT($I$75:I79))</f>
        <v>5</v>
      </c>
      <c r="C79" s="430"/>
      <c r="D79" s="1117" t="s">
        <v>1384</v>
      </c>
      <c r="E79" s="1118"/>
      <c r="F79" s="1118"/>
      <c r="G79" s="1119" t="s">
        <v>412</v>
      </c>
      <c r="H79" s="1119"/>
      <c r="I79" s="1583">
        <v>1</v>
      </c>
      <c r="J79" s="1583"/>
      <c r="K79" s="1583"/>
      <c r="L79" s="1120">
        <f>2000+260</f>
        <v>2260</v>
      </c>
      <c r="M79" s="1120"/>
      <c r="N79" s="1120"/>
      <c r="O79" s="1120"/>
      <c r="P79" s="1120"/>
      <c r="Q79" s="1054">
        <f>I79*L79</f>
        <v>2260</v>
      </c>
      <c r="R79" s="1054"/>
      <c r="S79" s="1054"/>
      <c r="T79" s="1054"/>
      <c r="U79" s="1133"/>
      <c r="V79" s="1134"/>
    </row>
    <row r="80" spans="2:22" ht="13.8">
      <c r="B80" s="186">
        <f>IF(I80="","",COUNT($I$75:I80))</f>
        <v>6</v>
      </c>
      <c r="C80" s="430"/>
      <c r="D80" s="1117" t="s">
        <v>425</v>
      </c>
      <c r="E80" s="1118"/>
      <c r="F80" s="1118"/>
      <c r="G80" s="1119" t="s">
        <v>412</v>
      </c>
      <c r="H80" s="1119"/>
      <c r="I80" s="1583">
        <v>1</v>
      </c>
      <c r="J80" s="1583"/>
      <c r="K80" s="1583"/>
      <c r="L80" s="1120">
        <v>5000</v>
      </c>
      <c r="M80" s="1120"/>
      <c r="N80" s="1120"/>
      <c r="O80" s="1120"/>
      <c r="P80" s="1120"/>
      <c r="Q80" s="1054">
        <f t="shared" ref="Q80:Q82" si="15">I80*L80</f>
        <v>5000</v>
      </c>
      <c r="R80" s="1054"/>
      <c r="S80" s="1054"/>
      <c r="T80" s="1054"/>
      <c r="U80" s="1133"/>
      <c r="V80" s="1134"/>
    </row>
    <row r="81" spans="2:24" ht="13.8">
      <c r="B81" s="186">
        <f>IF(I81="","",COUNT($I$75:I81))</f>
        <v>7</v>
      </c>
      <c r="C81" s="430"/>
      <c r="D81" s="1117" t="s">
        <v>1387</v>
      </c>
      <c r="E81" s="1118"/>
      <c r="F81" s="1118"/>
      <c r="G81" s="1119" t="s">
        <v>371</v>
      </c>
      <c r="H81" s="1119"/>
      <c r="I81" s="1583">
        <v>3</v>
      </c>
      <c r="J81" s="1583"/>
      <c r="K81" s="1583"/>
      <c r="L81" s="1120">
        <v>1050</v>
      </c>
      <c r="M81" s="1120"/>
      <c r="N81" s="1120"/>
      <c r="O81" s="1120"/>
      <c r="P81" s="1120"/>
      <c r="Q81" s="1054">
        <f t="shared" si="15"/>
        <v>3150</v>
      </c>
      <c r="R81" s="1054"/>
      <c r="S81" s="1054"/>
      <c r="T81" s="1054"/>
      <c r="U81" s="1133"/>
      <c r="V81" s="1134"/>
    </row>
    <row r="82" spans="2:24" ht="24.75" customHeight="1">
      <c r="B82" s="186">
        <f>IF(I82="","",COUNT($I$75:I82))</f>
        <v>8</v>
      </c>
      <c r="C82" s="430"/>
      <c r="D82" s="1593" t="s">
        <v>1386</v>
      </c>
      <c r="E82" s="1594"/>
      <c r="F82" s="1594"/>
      <c r="G82" s="1119" t="s">
        <v>412</v>
      </c>
      <c r="H82" s="1119"/>
      <c r="I82" s="1583">
        <v>1</v>
      </c>
      <c r="J82" s="1583"/>
      <c r="K82" s="1583"/>
      <c r="L82" s="1120">
        <v>5000</v>
      </c>
      <c r="M82" s="1120"/>
      <c r="N82" s="1120"/>
      <c r="O82" s="1120"/>
      <c r="P82" s="1120"/>
      <c r="Q82" s="1054">
        <f t="shared" si="15"/>
        <v>5000</v>
      </c>
      <c r="R82" s="1054"/>
      <c r="S82" s="1054"/>
      <c r="T82" s="1054"/>
      <c r="U82" s="1133"/>
      <c r="V82" s="1134"/>
    </row>
    <row r="83" spans="2:24" ht="13.8">
      <c r="B83" s="186">
        <f>IF(I83="","",COUNT($I$75:I83))</f>
        <v>9</v>
      </c>
      <c r="C83" s="430"/>
      <c r="D83" s="1117" t="s">
        <v>1388</v>
      </c>
      <c r="E83" s="1118"/>
      <c r="F83" s="1118"/>
      <c r="G83" s="1119" t="s">
        <v>371</v>
      </c>
      <c r="H83" s="1119"/>
      <c r="I83" s="1583">
        <v>4</v>
      </c>
      <c r="J83" s="1583"/>
      <c r="K83" s="1583"/>
      <c r="L83" s="1120">
        <f>400+3*120+(30+48+150)</f>
        <v>988</v>
      </c>
      <c r="M83" s="1120"/>
      <c r="N83" s="1120"/>
      <c r="O83" s="1120"/>
      <c r="P83" s="1120"/>
      <c r="Q83" s="1054">
        <f t="shared" ref="Q83:Q85" si="16">I83*L83</f>
        <v>3952</v>
      </c>
      <c r="R83" s="1054"/>
      <c r="S83" s="1054"/>
      <c r="T83" s="1054"/>
      <c r="U83" s="1133" t="s">
        <v>1389</v>
      </c>
      <c r="V83" s="1134"/>
    </row>
    <row r="84" spans="2:24" ht="42.6" hidden="1" customHeight="1">
      <c r="B84" s="186" t="str">
        <f>IF(I84="","",COUNT($I$75:I84))</f>
        <v/>
      </c>
      <c r="C84" s="430"/>
      <c r="D84" s="1593" t="s">
        <v>1390</v>
      </c>
      <c r="E84" s="1594"/>
      <c r="F84" s="1594"/>
      <c r="G84" s="1119" t="s">
        <v>371</v>
      </c>
      <c r="H84" s="1119"/>
      <c r="I84" s="1583"/>
      <c r="J84" s="1583"/>
      <c r="K84" s="1583"/>
      <c r="L84" s="1120">
        <v>500</v>
      </c>
      <c r="M84" s="1120"/>
      <c r="N84" s="1120"/>
      <c r="O84" s="1120"/>
      <c r="P84" s="1120"/>
      <c r="Q84" s="1054">
        <f t="shared" si="16"/>
        <v>0</v>
      </c>
      <c r="R84" s="1054"/>
      <c r="S84" s="1054"/>
      <c r="T84" s="1054"/>
      <c r="U84" s="1133" t="s">
        <v>1391</v>
      </c>
      <c r="V84" s="1134"/>
    </row>
    <row r="85" spans="2:24" ht="13.8">
      <c r="B85" s="186">
        <f>IF(I85="","",COUNT($I$75:I85))</f>
        <v>10</v>
      </c>
      <c r="C85" s="430"/>
      <c r="D85" s="1117" t="s">
        <v>1392</v>
      </c>
      <c r="E85" s="1118"/>
      <c r="F85" s="1118"/>
      <c r="G85" s="1119" t="s">
        <v>412</v>
      </c>
      <c r="H85" s="1119"/>
      <c r="I85" s="1583">
        <v>1</v>
      </c>
      <c r="J85" s="1583"/>
      <c r="K85" s="1583"/>
      <c r="L85" s="1120">
        <v>1800</v>
      </c>
      <c r="M85" s="1120"/>
      <c r="N85" s="1120"/>
      <c r="O85" s="1120"/>
      <c r="P85" s="1120"/>
      <c r="Q85" s="1054">
        <f t="shared" si="16"/>
        <v>1800</v>
      </c>
      <c r="R85" s="1054"/>
      <c r="S85" s="1054"/>
      <c r="T85" s="1054"/>
      <c r="U85" s="1133" t="s">
        <v>1393</v>
      </c>
      <c r="V85" s="1134"/>
    </row>
    <row r="86" spans="2:24" ht="13.5" customHeight="1">
      <c r="B86" s="186">
        <f>IF(I86="","",COUNT($I$75:I86))</f>
        <v>11</v>
      </c>
      <c r="C86" s="430"/>
      <c r="D86" s="1117" t="s">
        <v>1138</v>
      </c>
      <c r="E86" s="1118"/>
      <c r="F86" s="1118"/>
      <c r="G86" s="1119" t="s">
        <v>412</v>
      </c>
      <c r="H86" s="1119"/>
      <c r="I86" s="1583">
        <f>I54</f>
        <v>3</v>
      </c>
      <c r="J86" s="1583"/>
      <c r="K86" s="1583"/>
      <c r="L86" s="1120">
        <v>3500</v>
      </c>
      <c r="M86" s="1120"/>
      <c r="N86" s="1120"/>
      <c r="O86" s="1120"/>
      <c r="P86" s="1120"/>
      <c r="Q86" s="1054">
        <f>I86*L86</f>
        <v>10500</v>
      </c>
      <c r="R86" s="1054"/>
      <c r="S86" s="1054"/>
      <c r="T86" s="1054"/>
      <c r="U86" s="1133"/>
      <c r="V86" s="1134"/>
      <c r="W86" s="116"/>
    </row>
    <row r="87" spans="2:24" ht="99" hidden="1" customHeight="1">
      <c r="B87" s="186">
        <f>IF(I87="","",COUNT($I$75:I87))</f>
        <v>12</v>
      </c>
      <c r="C87" s="430"/>
      <c r="D87" s="1117" t="s">
        <v>1394</v>
      </c>
      <c r="E87" s="1118"/>
      <c r="F87" s="1118"/>
      <c r="G87" s="1119" t="s">
        <v>412</v>
      </c>
      <c r="H87" s="1119"/>
      <c r="I87" s="1583">
        <v>0</v>
      </c>
      <c r="J87" s="1583"/>
      <c r="K87" s="1583"/>
      <c r="L87" s="1589">
        <f>650*300</f>
        <v>195000</v>
      </c>
      <c r="M87" s="1589"/>
      <c r="N87" s="1589"/>
      <c r="O87" s="1589"/>
      <c r="P87" s="1589"/>
      <c r="Q87" s="1054">
        <f t="shared" ref="Q87:Q89" si="17">I87*L87</f>
        <v>0</v>
      </c>
      <c r="R87" s="1054"/>
      <c r="S87" s="1054"/>
      <c r="T87" s="1054"/>
      <c r="U87" s="1593" t="s">
        <v>1436</v>
      </c>
      <c r="V87" s="1602"/>
    </row>
    <row r="88" spans="2:24" ht="27" hidden="1" customHeight="1">
      <c r="B88" s="186" t="str">
        <f>IF(I88="","",COUNT($I$75:I88))</f>
        <v/>
      </c>
      <c r="C88" s="430"/>
      <c r="D88" s="1117" t="s">
        <v>1401</v>
      </c>
      <c r="E88" s="1118"/>
      <c r="F88" s="1118"/>
      <c r="G88" s="1119" t="s">
        <v>412</v>
      </c>
      <c r="H88" s="1119"/>
      <c r="I88" s="1583"/>
      <c r="J88" s="1583"/>
      <c r="K88" s="1583"/>
      <c r="L88" s="1120">
        <f>115000-45000+30000+20500</f>
        <v>120500</v>
      </c>
      <c r="M88" s="1120"/>
      <c r="N88" s="1120"/>
      <c r="O88" s="1120"/>
      <c r="P88" s="1120"/>
      <c r="Q88" s="1054">
        <f>I88*L88</f>
        <v>0</v>
      </c>
      <c r="R88" s="1054"/>
      <c r="S88" s="1054"/>
      <c r="T88" s="1054"/>
      <c r="U88" s="1584" t="s">
        <v>1415</v>
      </c>
      <c r="V88" s="1585"/>
    </row>
    <row r="89" spans="2:24" ht="12.75" hidden="1" customHeight="1">
      <c r="B89" s="1001" t="str">
        <f>IF(I89="","",COUNT($I$75:I89))</f>
        <v/>
      </c>
      <c r="C89" s="430"/>
      <c r="D89" s="1117" t="s">
        <v>1397</v>
      </c>
      <c r="E89" s="1118"/>
      <c r="F89" s="1118"/>
      <c r="G89" s="1119" t="s">
        <v>412</v>
      </c>
      <c r="H89" s="1119"/>
      <c r="I89" s="1583"/>
      <c r="J89" s="1583"/>
      <c r="K89" s="1583"/>
      <c r="L89" s="1120">
        <v>560000</v>
      </c>
      <c r="M89" s="1120"/>
      <c r="N89" s="1120"/>
      <c r="O89" s="1120"/>
      <c r="P89" s="1120"/>
      <c r="Q89" s="1054">
        <f t="shared" si="17"/>
        <v>0</v>
      </c>
      <c r="R89" s="1054"/>
      <c r="S89" s="1054"/>
      <c r="T89" s="1054"/>
      <c r="U89" s="1133" t="s">
        <v>1441</v>
      </c>
      <c r="V89" s="1134"/>
      <c r="W89" s="151" t="s">
        <v>1399</v>
      </c>
      <c r="X89" s="137">
        <f>36*25000</f>
        <v>900000</v>
      </c>
    </row>
    <row r="90" spans="2:24" ht="27.75" hidden="1" customHeight="1">
      <c r="B90" s="186" t="str">
        <f>IF(I90="","",COUNT($I$75:I90))</f>
        <v/>
      </c>
      <c r="C90" s="430"/>
      <c r="D90" s="1593" t="s">
        <v>1411</v>
      </c>
      <c r="E90" s="1594"/>
      <c r="F90" s="1594"/>
      <c r="G90" s="1119" t="s">
        <v>412</v>
      </c>
      <c r="H90" s="1119"/>
      <c r="I90" s="1583"/>
      <c r="J90" s="1583"/>
      <c r="K90" s="1583"/>
      <c r="L90" s="1120">
        <v>6650</v>
      </c>
      <c r="M90" s="1120"/>
      <c r="N90" s="1120"/>
      <c r="O90" s="1120"/>
      <c r="P90" s="1120"/>
      <c r="Q90" s="1054">
        <f t="shared" ref="Q90" si="18">I90*L90</f>
        <v>0</v>
      </c>
      <c r="R90" s="1054"/>
      <c r="S90" s="1054"/>
      <c r="T90" s="1054"/>
      <c r="U90" s="1133" t="s">
        <v>1398</v>
      </c>
      <c r="V90" s="1134"/>
    </row>
    <row r="91" spans="2:24" ht="13.8">
      <c r="B91" s="186">
        <f>IF(I91="","",COUNT($I$75:I91))</f>
        <v>13</v>
      </c>
      <c r="C91" s="430"/>
      <c r="D91" s="1117" t="s">
        <v>1125</v>
      </c>
      <c r="E91" s="1118"/>
      <c r="F91" s="1118"/>
      <c r="G91" s="1119" t="s">
        <v>412</v>
      </c>
      <c r="H91" s="1119"/>
      <c r="I91" s="1583">
        <v>1</v>
      </c>
      <c r="J91" s="1583"/>
      <c r="K91" s="1583"/>
      <c r="L91" s="1120">
        <f>DADOS!AB20+DADOS!AB35</f>
        <v>135218</v>
      </c>
      <c r="M91" s="1120"/>
      <c r="N91" s="1120"/>
      <c r="O91" s="1120"/>
      <c r="P91" s="1120"/>
      <c r="Q91" s="1054">
        <f t="shared" si="14"/>
        <v>135218</v>
      </c>
      <c r="R91" s="1054"/>
      <c r="S91" s="1054"/>
      <c r="T91" s="1054"/>
      <c r="U91" s="1133" t="s">
        <v>1443</v>
      </c>
      <c r="V91" s="1134"/>
    </row>
    <row r="92" spans="2:24" ht="13.8">
      <c r="B92" s="186">
        <f>IF(I92="","",COUNT($I$75:I92))</f>
        <v>14</v>
      </c>
      <c r="C92" s="430"/>
      <c r="D92" s="1117" t="s">
        <v>1419</v>
      </c>
      <c r="E92" s="1118"/>
      <c r="F92" s="1118"/>
      <c r="G92" s="1119" t="s">
        <v>371</v>
      </c>
      <c r="H92" s="1119"/>
      <c r="I92" s="1583">
        <f>I70</f>
        <v>5</v>
      </c>
      <c r="J92" s="1583"/>
      <c r="K92" s="1583"/>
      <c r="L92" s="1120">
        <v>300</v>
      </c>
      <c r="M92" s="1120"/>
      <c r="N92" s="1120"/>
      <c r="O92" s="1120"/>
      <c r="P92" s="1120"/>
      <c r="Q92" s="1054">
        <f t="shared" si="14"/>
        <v>1500</v>
      </c>
      <c r="R92" s="1054"/>
      <c r="S92" s="1054"/>
      <c r="T92" s="1054"/>
      <c r="U92" s="1133"/>
      <c r="V92" s="1134"/>
      <c r="W92" s="116">
        <f>Q92/36</f>
        <v>41.666666666666664</v>
      </c>
    </row>
    <row r="93" spans="2:24" ht="13.8" hidden="1">
      <c r="B93" s="186" t="str">
        <f>IF(I93="","",COUNT($I$75:I93))</f>
        <v/>
      </c>
      <c r="C93" s="430"/>
      <c r="D93" s="1117" t="s">
        <v>1336</v>
      </c>
      <c r="E93" s="1118"/>
      <c r="F93" s="1118"/>
      <c r="G93" s="1119" t="s">
        <v>371</v>
      </c>
      <c r="H93" s="1119"/>
      <c r="I93" s="1583"/>
      <c r="J93" s="1583"/>
      <c r="K93" s="1583"/>
      <c r="L93" s="1120">
        <v>27</v>
      </c>
      <c r="M93" s="1120"/>
      <c r="N93" s="1120"/>
      <c r="O93" s="1120"/>
      <c r="P93" s="1120"/>
      <c r="Q93" s="1054">
        <f t="shared" si="14"/>
        <v>0</v>
      </c>
      <c r="R93" s="1054"/>
      <c r="S93" s="1054"/>
      <c r="T93" s="1054"/>
      <c r="U93" s="1133" t="s">
        <v>1337</v>
      </c>
      <c r="V93" s="1134"/>
    </row>
    <row r="94" spans="2:24" ht="13.8">
      <c r="B94" s="186">
        <f>IF(I94="","",COUNT($I$75:I94))</f>
        <v>15</v>
      </c>
      <c r="C94" s="430"/>
      <c r="D94" s="1117" t="s">
        <v>1139</v>
      </c>
      <c r="E94" s="1118"/>
      <c r="F94" s="1118"/>
      <c r="G94" s="1119" t="s">
        <v>412</v>
      </c>
      <c r="H94" s="1119"/>
      <c r="I94" s="1583">
        <v>4</v>
      </c>
      <c r="J94" s="1583"/>
      <c r="K94" s="1583"/>
      <c r="L94" s="1120">
        <v>15000</v>
      </c>
      <c r="M94" s="1120"/>
      <c r="N94" s="1120"/>
      <c r="O94" s="1120"/>
      <c r="P94" s="1120"/>
      <c r="Q94" s="1054">
        <f t="shared" si="14"/>
        <v>60000</v>
      </c>
      <c r="R94" s="1054"/>
      <c r="S94" s="1054"/>
      <c r="T94" s="1054"/>
      <c r="U94" s="1133"/>
      <c r="V94" s="1134"/>
      <c r="W94" s="116">
        <f>Q94/36</f>
        <v>1666.6666666666667</v>
      </c>
    </row>
    <row r="95" spans="2:24" ht="13.8">
      <c r="B95" s="1123"/>
      <c r="C95" s="1125"/>
      <c r="D95" s="1123"/>
      <c r="E95" s="1124"/>
      <c r="F95" s="1124"/>
      <c r="G95" s="1123"/>
      <c r="H95" s="1125"/>
      <c r="I95" s="1123"/>
      <c r="J95" s="1124"/>
      <c r="K95" s="1125"/>
      <c r="L95" s="1123"/>
      <c r="M95" s="1124"/>
      <c r="N95" s="1124"/>
      <c r="O95" s="1124"/>
      <c r="P95" s="1125"/>
      <c r="Q95" s="1550">
        <f>SUM(Q75:T94)/O9</f>
        <v>54838</v>
      </c>
      <c r="R95" s="1550"/>
      <c r="S95" s="1550"/>
      <c r="T95" s="1550"/>
      <c r="U95" s="1123"/>
      <c r="V95" s="1125"/>
    </row>
    <row r="96" spans="2:24" ht="13.8"/>
    <row r="97" spans="2:22" ht="12.75" hidden="1" customHeight="1">
      <c r="B97" s="1055" t="s">
        <v>426</v>
      </c>
      <c r="C97" s="1055"/>
      <c r="D97" s="1055"/>
      <c r="E97" s="1055"/>
      <c r="F97" s="1055"/>
      <c r="G97" s="1055"/>
      <c r="H97" s="1055"/>
      <c r="I97" s="1055"/>
      <c r="J97" s="1055"/>
      <c r="K97" s="1055"/>
      <c r="L97" s="1055"/>
      <c r="M97" s="1055"/>
      <c r="N97" s="1055"/>
      <c r="O97" s="1055"/>
      <c r="P97" s="1055"/>
      <c r="Q97" s="1055"/>
      <c r="R97" s="1055"/>
      <c r="S97" s="1055"/>
      <c r="T97" s="1055"/>
      <c r="U97" s="1055"/>
      <c r="V97" s="1055"/>
    </row>
    <row r="98" spans="2:22" ht="9.75" hidden="1" customHeight="1">
      <c r="B98" s="1112" t="s">
        <v>183</v>
      </c>
      <c r="C98" s="1114"/>
      <c r="D98" s="1112" t="s">
        <v>324</v>
      </c>
      <c r="E98" s="1113"/>
      <c r="F98" s="1113"/>
      <c r="G98" s="1112" t="s">
        <v>371</v>
      </c>
      <c r="H98" s="1114"/>
      <c r="I98" s="932" t="s">
        <v>427</v>
      </c>
      <c r="J98" s="1132" t="s">
        <v>1256</v>
      </c>
      <c r="K98" s="1116"/>
      <c r="L98" s="1115" t="s">
        <v>189</v>
      </c>
      <c r="M98" s="1132"/>
      <c r="N98" s="1132"/>
      <c r="O98" s="1132"/>
      <c r="P98" s="1116"/>
      <c r="Q98" s="1112" t="s">
        <v>373</v>
      </c>
      <c r="R98" s="1113"/>
      <c r="S98" s="1113"/>
      <c r="T98" s="1114"/>
      <c r="U98" s="1115"/>
      <c r="V98" s="1116"/>
    </row>
    <row r="99" spans="2:22" ht="12.75" hidden="1" customHeight="1">
      <c r="B99" s="186"/>
      <c r="C99" s="430"/>
      <c r="D99" s="1117" t="str">
        <f>EQUIPE!E7</f>
        <v>EQUIPE 1 - SUPRESSÃO VEGETAL</v>
      </c>
      <c r="E99" s="1118"/>
      <c r="F99" s="1118"/>
      <c r="G99" s="1119" t="s">
        <v>412</v>
      </c>
      <c r="H99" s="1119"/>
      <c r="I99" s="450"/>
      <c r="J99" s="1543">
        <f>EQUIPE!O10</f>
        <v>1</v>
      </c>
      <c r="K99" s="1053"/>
      <c r="L99" s="1120">
        <v>1500</v>
      </c>
      <c r="M99" s="1120"/>
      <c r="N99" s="1120"/>
      <c r="O99" s="1120"/>
      <c r="P99" s="1120"/>
      <c r="Q99" s="1054">
        <f>L99*J99*I99</f>
        <v>0</v>
      </c>
      <c r="R99" s="1054"/>
      <c r="S99" s="1054"/>
      <c r="T99" s="1054"/>
      <c r="U99" s="1133"/>
      <c r="V99" s="1134"/>
    </row>
    <row r="100" spans="2:22" ht="12.75" hidden="1" customHeight="1">
      <c r="B100" s="186"/>
      <c r="C100" s="430"/>
      <c r="D100" s="1117" t="str">
        <f>EQUIPE!E43</f>
        <v>EQUIPE 2 - LIMPEZA DA ÁREA</v>
      </c>
      <c r="E100" s="1118"/>
      <c r="F100" s="1118"/>
      <c r="G100" s="1119" t="s">
        <v>412</v>
      </c>
      <c r="H100" s="1119"/>
      <c r="I100" s="450">
        <f>EQUIPE!G62</f>
        <v>1</v>
      </c>
      <c r="J100" s="1543">
        <f>EQUIPE!O46</f>
        <v>1</v>
      </c>
      <c r="K100" s="1053"/>
      <c r="L100" s="1120">
        <v>1500</v>
      </c>
      <c r="M100" s="1120"/>
      <c r="N100" s="1120"/>
      <c r="O100" s="1120"/>
      <c r="P100" s="1120"/>
      <c r="Q100" s="1054">
        <f t="shared" ref="Q100:Q101" si="19">L100*J100*I100</f>
        <v>1500</v>
      </c>
      <c r="R100" s="1054"/>
      <c r="S100" s="1054"/>
      <c r="T100" s="1054"/>
      <c r="U100" s="1133"/>
      <c r="V100" s="1134"/>
    </row>
    <row r="101" spans="2:22" ht="12.75" hidden="1" customHeight="1">
      <c r="B101" s="186"/>
      <c r="C101" s="430"/>
      <c r="D101" s="1117" t="str">
        <f>EQUIPE!E69</f>
        <v>EQUIPE 3 - ESCAVAÇÃO, CARGA, TRANSPORTE E ESPALHAMENTO</v>
      </c>
      <c r="E101" s="1118"/>
      <c r="F101" s="1118"/>
      <c r="G101" s="1119" t="s">
        <v>412</v>
      </c>
      <c r="H101" s="1119"/>
      <c r="I101" s="450"/>
      <c r="J101" s="1543">
        <f>EQUIPE!O72</f>
        <v>5</v>
      </c>
      <c r="K101" s="1053"/>
      <c r="L101" s="1120">
        <v>1500</v>
      </c>
      <c r="M101" s="1120"/>
      <c r="N101" s="1120"/>
      <c r="O101" s="1120"/>
      <c r="P101" s="1120"/>
      <c r="Q101" s="1054">
        <f t="shared" si="19"/>
        <v>0</v>
      </c>
      <c r="R101" s="1054"/>
      <c r="S101" s="1054"/>
      <c r="T101" s="1054"/>
      <c r="U101" s="1133"/>
      <c r="V101" s="1134"/>
    </row>
    <row r="102" spans="2:22" ht="12.75" hidden="1" customHeight="1">
      <c r="B102" s="186"/>
      <c r="C102" s="430"/>
      <c r="D102" s="1117"/>
      <c r="E102" s="1118"/>
      <c r="F102" s="1118"/>
      <c r="G102" s="1133"/>
      <c r="H102" s="1134"/>
      <c r="I102" s="933"/>
      <c r="J102" s="1575"/>
      <c r="K102" s="1576"/>
      <c r="L102" s="1120"/>
      <c r="M102" s="1120"/>
      <c r="N102" s="1120"/>
      <c r="O102" s="1120"/>
      <c r="P102" s="1120"/>
      <c r="Q102" s="1054"/>
      <c r="R102" s="1054"/>
      <c r="S102" s="1054"/>
      <c r="T102" s="1054"/>
      <c r="U102" s="1140"/>
      <c r="V102" s="1141"/>
    </row>
    <row r="103" spans="2:22" ht="12.75" hidden="1" customHeight="1">
      <c r="B103" s="1123"/>
      <c r="C103" s="1125"/>
      <c r="D103" s="1123"/>
      <c r="E103" s="1124"/>
      <c r="F103" s="1124"/>
      <c r="G103" s="1123"/>
      <c r="H103" s="1125"/>
      <c r="I103" s="699"/>
      <c r="J103" s="1574"/>
      <c r="K103" s="1574"/>
      <c r="L103" s="1123"/>
      <c r="M103" s="1124"/>
      <c r="N103" s="1124"/>
      <c r="O103" s="1124"/>
      <c r="P103" s="1125"/>
      <c r="Q103" s="1136">
        <f>SUM(Q99:T102)/O9</f>
        <v>300</v>
      </c>
      <c r="R103" s="1137"/>
      <c r="S103" s="1137"/>
      <c r="T103" s="1137"/>
      <c r="U103" s="1123"/>
      <c r="V103" s="1125"/>
    </row>
    <row r="104" spans="2:22" ht="12.75" hidden="1" customHeight="1"/>
    <row r="105" spans="2:22" ht="12.75" customHeight="1">
      <c r="T105" s="116"/>
    </row>
    <row r="106" spans="2:22" ht="12.75" customHeight="1">
      <c r="T106" s="116"/>
    </row>
    <row r="108" spans="2:22" ht="12.75" customHeight="1">
      <c r="T108" s="116"/>
    </row>
  </sheetData>
  <mergeCells count="466">
    <mergeCell ref="P38:S38"/>
    <mergeCell ref="B36:V36"/>
    <mergeCell ref="Q66:T66"/>
    <mergeCell ref="U66:V66"/>
    <mergeCell ref="D67:F67"/>
    <mergeCell ref="G67:H67"/>
    <mergeCell ref="I67:K67"/>
    <mergeCell ref="L67:P67"/>
    <mergeCell ref="Q67:T67"/>
    <mergeCell ref="U67:V67"/>
    <mergeCell ref="H41:J41"/>
    <mergeCell ref="K41:L41"/>
    <mergeCell ref="M41:O41"/>
    <mergeCell ref="Q41:S41"/>
    <mergeCell ref="B41:D41"/>
    <mergeCell ref="D51:F51"/>
    <mergeCell ref="G51:H51"/>
    <mergeCell ref="G61:H61"/>
    <mergeCell ref="I61:K61"/>
    <mergeCell ref="L61:P61"/>
    <mergeCell ref="G56:H56"/>
    <mergeCell ref="G52:H52"/>
    <mergeCell ref="I52:K52"/>
    <mergeCell ref="L52:P52"/>
    <mergeCell ref="L88:P88"/>
    <mergeCell ref="Q88:T88"/>
    <mergeCell ref="U88:V88"/>
    <mergeCell ref="Q84:T84"/>
    <mergeCell ref="U84:V84"/>
    <mergeCell ref="D85:F85"/>
    <mergeCell ref="G85:H85"/>
    <mergeCell ref="I85:K85"/>
    <mergeCell ref="L85:P85"/>
    <mergeCell ref="Q85:T85"/>
    <mergeCell ref="U85:V85"/>
    <mergeCell ref="D83:F83"/>
    <mergeCell ref="G83:H83"/>
    <mergeCell ref="I83:K83"/>
    <mergeCell ref="L83:P83"/>
    <mergeCell ref="Q83:T83"/>
    <mergeCell ref="U83:V83"/>
    <mergeCell ref="D90:F90"/>
    <mergeCell ref="G90:H90"/>
    <mergeCell ref="I90:K90"/>
    <mergeCell ref="L90:P90"/>
    <mergeCell ref="Q90:T90"/>
    <mergeCell ref="U90:V90"/>
    <mergeCell ref="D87:F87"/>
    <mergeCell ref="G87:H87"/>
    <mergeCell ref="I87:K87"/>
    <mergeCell ref="L87:P87"/>
    <mergeCell ref="Q87:T87"/>
    <mergeCell ref="U87:V87"/>
    <mergeCell ref="D89:F89"/>
    <mergeCell ref="G89:H89"/>
    <mergeCell ref="I89:K89"/>
    <mergeCell ref="L89:P89"/>
    <mergeCell ref="Q89:T89"/>
    <mergeCell ref="U89:V89"/>
    <mergeCell ref="D94:F94"/>
    <mergeCell ref="G94:H94"/>
    <mergeCell ref="I94:K94"/>
    <mergeCell ref="L94:P94"/>
    <mergeCell ref="Q94:T94"/>
    <mergeCell ref="U94:V94"/>
    <mergeCell ref="D86:F86"/>
    <mergeCell ref="G86:H86"/>
    <mergeCell ref="I86:K86"/>
    <mergeCell ref="L86:P86"/>
    <mergeCell ref="Q86:T86"/>
    <mergeCell ref="U86:V86"/>
    <mergeCell ref="D92:F92"/>
    <mergeCell ref="G92:H92"/>
    <mergeCell ref="I92:K92"/>
    <mergeCell ref="L92:P92"/>
    <mergeCell ref="Q92:T92"/>
    <mergeCell ref="L91:P91"/>
    <mergeCell ref="D91:F91"/>
    <mergeCell ref="G91:H91"/>
    <mergeCell ref="I91:K91"/>
    <mergeCell ref="D88:F88"/>
    <mergeCell ref="G88:H88"/>
    <mergeCell ref="I88:K88"/>
    <mergeCell ref="Q52:T52"/>
    <mergeCell ref="U52:V52"/>
    <mergeCell ref="G53:H53"/>
    <mergeCell ref="B46:D46"/>
    <mergeCell ref="E46:F46"/>
    <mergeCell ref="K46:O46"/>
    <mergeCell ref="B43:D43"/>
    <mergeCell ref="H43:J43"/>
    <mergeCell ref="K43:L43"/>
    <mergeCell ref="M43:O43"/>
    <mergeCell ref="H46:J46"/>
    <mergeCell ref="Q43:S43"/>
    <mergeCell ref="B44:D44"/>
    <mergeCell ref="H44:J44"/>
    <mergeCell ref="K44:L44"/>
    <mergeCell ref="M44:O44"/>
    <mergeCell ref="Q44:S44"/>
    <mergeCell ref="B45:D45"/>
    <mergeCell ref="H45:J45"/>
    <mergeCell ref="K45:L45"/>
    <mergeCell ref="M45:O45"/>
    <mergeCell ref="Q45:S45"/>
    <mergeCell ref="O25:R25"/>
    <mergeCell ref="S25:T25"/>
    <mergeCell ref="H33:I33"/>
    <mergeCell ref="Q39:S39"/>
    <mergeCell ref="B40:D40"/>
    <mergeCell ref="H40:J40"/>
    <mergeCell ref="K40:L40"/>
    <mergeCell ref="M40:O40"/>
    <mergeCell ref="Q40:S40"/>
    <mergeCell ref="K28:M28"/>
    <mergeCell ref="O28:R28"/>
    <mergeCell ref="S28:T28"/>
    <mergeCell ref="K39:L39"/>
    <mergeCell ref="M39:O39"/>
    <mergeCell ref="B37:D38"/>
    <mergeCell ref="E37:F38"/>
    <mergeCell ref="G37:G38"/>
    <mergeCell ref="K37:O38"/>
    <mergeCell ref="H37:J38"/>
    <mergeCell ref="H31:I31"/>
    <mergeCell ref="K31:M31"/>
    <mergeCell ref="O31:R31"/>
    <mergeCell ref="S31:T31"/>
    <mergeCell ref="O32:R32"/>
    <mergeCell ref="H30:I30"/>
    <mergeCell ref="K30:M30"/>
    <mergeCell ref="H29:I29"/>
    <mergeCell ref="K29:M29"/>
    <mergeCell ref="O29:R29"/>
    <mergeCell ref="S29:T29"/>
    <mergeCell ref="O30:R30"/>
    <mergeCell ref="S30:T30"/>
    <mergeCell ref="H23:I23"/>
    <mergeCell ref="K23:M23"/>
    <mergeCell ref="O23:R23"/>
    <mergeCell ref="S23:T23"/>
    <mergeCell ref="K24:M24"/>
    <mergeCell ref="H26:I26"/>
    <mergeCell ref="K26:M26"/>
    <mergeCell ref="O26:R26"/>
    <mergeCell ref="S26:T26"/>
    <mergeCell ref="H27:I27"/>
    <mergeCell ref="K27:M27"/>
    <mergeCell ref="O27:R27"/>
    <mergeCell ref="S27:T27"/>
    <mergeCell ref="H28:I28"/>
    <mergeCell ref="H25:I25"/>
    <mergeCell ref="K25:M25"/>
    <mergeCell ref="G57:H57"/>
    <mergeCell ref="I57:K57"/>
    <mergeCell ref="I49:K49"/>
    <mergeCell ref="L49:P49"/>
    <mergeCell ref="Q49:T49"/>
    <mergeCell ref="U49:V49"/>
    <mergeCell ref="Q57:T57"/>
    <mergeCell ref="Q58:T58"/>
    <mergeCell ref="U51:V51"/>
    <mergeCell ref="Q51:T51"/>
    <mergeCell ref="I51:K51"/>
    <mergeCell ref="L51:P51"/>
    <mergeCell ref="U50:V50"/>
    <mergeCell ref="I50:K50"/>
    <mergeCell ref="L50:P50"/>
    <mergeCell ref="Q50:T50"/>
    <mergeCell ref="Q54:T54"/>
    <mergeCell ref="G50:H50"/>
    <mergeCell ref="I58:K58"/>
    <mergeCell ref="L53:P53"/>
    <mergeCell ref="U55:V55"/>
    <mergeCell ref="L55:P55"/>
    <mergeCell ref="Q55:T55"/>
    <mergeCell ref="U58:V58"/>
    <mergeCell ref="I95:K95"/>
    <mergeCell ref="L95:P95"/>
    <mergeCell ref="D77:F77"/>
    <mergeCell ref="G77:H77"/>
    <mergeCell ref="I77:K77"/>
    <mergeCell ref="L77:P77"/>
    <mergeCell ref="L62:P62"/>
    <mergeCell ref="G64:H64"/>
    <mergeCell ref="D62:F62"/>
    <mergeCell ref="I62:K62"/>
    <mergeCell ref="D93:F93"/>
    <mergeCell ref="G93:H93"/>
    <mergeCell ref="I93:K93"/>
    <mergeCell ref="L93:P93"/>
    <mergeCell ref="I63:K63"/>
    <mergeCell ref="L63:P63"/>
    <mergeCell ref="D81:F81"/>
    <mergeCell ref="G81:H81"/>
    <mergeCell ref="I81:K81"/>
    <mergeCell ref="L81:P81"/>
    <mergeCell ref="D84:F84"/>
    <mergeCell ref="G84:H84"/>
    <mergeCell ref="I84:K84"/>
    <mergeCell ref="L84:P84"/>
    <mergeCell ref="D80:F80"/>
    <mergeCell ref="G80:H80"/>
    <mergeCell ref="I80:K80"/>
    <mergeCell ref="U77:V77"/>
    <mergeCell ref="U74:V74"/>
    <mergeCell ref="D71:F71"/>
    <mergeCell ref="I82:K82"/>
    <mergeCell ref="L82:P82"/>
    <mergeCell ref="U82:V82"/>
    <mergeCell ref="Q81:T81"/>
    <mergeCell ref="U81:V81"/>
    <mergeCell ref="D82:F82"/>
    <mergeCell ref="Q79:T79"/>
    <mergeCell ref="Q76:T76"/>
    <mergeCell ref="D78:F78"/>
    <mergeCell ref="G78:H78"/>
    <mergeCell ref="I78:K78"/>
    <mergeCell ref="L78:P78"/>
    <mergeCell ref="Q78:T78"/>
    <mergeCell ref="Q80:T80"/>
    <mergeCell ref="Q82:T82"/>
    <mergeCell ref="G82:H82"/>
    <mergeCell ref="D79:F79"/>
    <mergeCell ref="G79:H79"/>
    <mergeCell ref="I79:K79"/>
    <mergeCell ref="L79:P79"/>
    <mergeCell ref="Q91:T91"/>
    <mergeCell ref="B71:C71"/>
    <mergeCell ref="U78:V78"/>
    <mergeCell ref="D76:F76"/>
    <mergeCell ref="G76:H76"/>
    <mergeCell ref="I76:K76"/>
    <mergeCell ref="D69:F69"/>
    <mergeCell ref="G69:H69"/>
    <mergeCell ref="I69:K69"/>
    <mergeCell ref="L69:P69"/>
    <mergeCell ref="Q69:T69"/>
    <mergeCell ref="D74:F74"/>
    <mergeCell ref="G74:H74"/>
    <mergeCell ref="L76:P76"/>
    <mergeCell ref="L74:P74"/>
    <mergeCell ref="Q74:T74"/>
    <mergeCell ref="D75:F75"/>
    <mergeCell ref="G75:H75"/>
    <mergeCell ref="I75:K75"/>
    <mergeCell ref="L75:P75"/>
    <mergeCell ref="Q75:T75"/>
    <mergeCell ref="B73:V73"/>
    <mergeCell ref="B74:C74"/>
    <mergeCell ref="U75:V75"/>
    <mergeCell ref="U71:V71"/>
    <mergeCell ref="K18:M18"/>
    <mergeCell ref="O18:R18"/>
    <mergeCell ref="S18:T18"/>
    <mergeCell ref="H18:I18"/>
    <mergeCell ref="U60:V60"/>
    <mergeCell ref="U59:V59"/>
    <mergeCell ref="L64:P64"/>
    <mergeCell ref="U54:V54"/>
    <mergeCell ref="U62:V62"/>
    <mergeCell ref="Q61:T61"/>
    <mergeCell ref="U61:V61"/>
    <mergeCell ref="Q60:T60"/>
    <mergeCell ref="L54:P54"/>
    <mergeCell ref="U56:V56"/>
    <mergeCell ref="U57:V57"/>
    <mergeCell ref="Q64:T64"/>
    <mergeCell ref="G62:H62"/>
    <mergeCell ref="G63:H63"/>
    <mergeCell ref="I64:K64"/>
    <mergeCell ref="Q53:T53"/>
    <mergeCell ref="U53:V53"/>
    <mergeCell ref="L58:P58"/>
    <mergeCell ref="Q56:T56"/>
    <mergeCell ref="B6:D6"/>
    <mergeCell ref="C8:E8"/>
    <mergeCell ref="H8:I8"/>
    <mergeCell ref="J8:L8"/>
    <mergeCell ref="O8:T8"/>
    <mergeCell ref="H17:I17"/>
    <mergeCell ref="K17:M17"/>
    <mergeCell ref="O17:R17"/>
    <mergeCell ref="S17:T17"/>
    <mergeCell ref="K19:M19"/>
    <mergeCell ref="O19:R19"/>
    <mergeCell ref="H19:I19"/>
    <mergeCell ref="S19:T19"/>
    <mergeCell ref="J34:M34"/>
    <mergeCell ref="N34:R34"/>
    <mergeCell ref="S34:T34"/>
    <mergeCell ref="H32:I32"/>
    <mergeCell ref="K32:M32"/>
    <mergeCell ref="S32:T32"/>
    <mergeCell ref="S33:T33"/>
    <mergeCell ref="H20:I20"/>
    <mergeCell ref="K20:M20"/>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Q62:T62"/>
    <mergeCell ref="L56:P56"/>
    <mergeCell ref="L57:P57"/>
    <mergeCell ref="Q63:T63"/>
    <mergeCell ref="U63:V63"/>
    <mergeCell ref="Q95:T95"/>
    <mergeCell ref="Q59:T59"/>
    <mergeCell ref="L59:P59"/>
    <mergeCell ref="L60:P60"/>
    <mergeCell ref="U76:V76"/>
    <mergeCell ref="Q93:T93"/>
    <mergeCell ref="U93:V93"/>
    <mergeCell ref="L71:P71"/>
    <mergeCell ref="Q71:T71"/>
    <mergeCell ref="U69:V69"/>
    <mergeCell ref="U65:V65"/>
    <mergeCell ref="U80:V80"/>
    <mergeCell ref="U95:V95"/>
    <mergeCell ref="Q77:T77"/>
    <mergeCell ref="U79:V79"/>
    <mergeCell ref="U91:V91"/>
    <mergeCell ref="U92:V92"/>
    <mergeCell ref="L80:P80"/>
    <mergeCell ref="L66:P66"/>
    <mergeCell ref="D64:F64"/>
    <mergeCell ref="D61:F61"/>
    <mergeCell ref="D65:F65"/>
    <mergeCell ref="D63:F63"/>
    <mergeCell ref="G70:H70"/>
    <mergeCell ref="D66:F66"/>
    <mergeCell ref="G66:H66"/>
    <mergeCell ref="I66:K66"/>
    <mergeCell ref="U64:V64"/>
    <mergeCell ref="L65:P65"/>
    <mergeCell ref="Q65:T65"/>
    <mergeCell ref="L70:P70"/>
    <mergeCell ref="Q70:T70"/>
    <mergeCell ref="U70:V70"/>
    <mergeCell ref="I70:K70"/>
    <mergeCell ref="D70:F70"/>
    <mergeCell ref="G65:H65"/>
    <mergeCell ref="I65:K65"/>
    <mergeCell ref="D68:F68"/>
    <mergeCell ref="G68:H68"/>
    <mergeCell ref="I68:K68"/>
    <mergeCell ref="L68:P68"/>
    <mergeCell ref="Q68:T68"/>
    <mergeCell ref="U68:V68"/>
    <mergeCell ref="B95:C95"/>
    <mergeCell ref="D52:F52"/>
    <mergeCell ref="D53:F53"/>
    <mergeCell ref="D56:F56"/>
    <mergeCell ref="D57:F57"/>
    <mergeCell ref="D58:F58"/>
    <mergeCell ref="G58:H58"/>
    <mergeCell ref="I56:K56"/>
    <mergeCell ref="I53:K53"/>
    <mergeCell ref="D55:F55"/>
    <mergeCell ref="G55:H55"/>
    <mergeCell ref="I55:K55"/>
    <mergeCell ref="D59:F59"/>
    <mergeCell ref="D54:F54"/>
    <mergeCell ref="G54:H54"/>
    <mergeCell ref="I54:K54"/>
    <mergeCell ref="G59:H59"/>
    <mergeCell ref="I59:K59"/>
    <mergeCell ref="D60:F60"/>
    <mergeCell ref="G60:H60"/>
    <mergeCell ref="I60:K60"/>
    <mergeCell ref="G71:H71"/>
    <mergeCell ref="I71:K71"/>
    <mergeCell ref="I74:K74"/>
    <mergeCell ref="O20:R20"/>
    <mergeCell ref="S20:T20"/>
    <mergeCell ref="H21:I21"/>
    <mergeCell ref="K21:M21"/>
    <mergeCell ref="O24:R24"/>
    <mergeCell ref="S24:T24"/>
    <mergeCell ref="O21:R21"/>
    <mergeCell ref="S21:T21"/>
    <mergeCell ref="S22:T22"/>
    <mergeCell ref="O22:R22"/>
    <mergeCell ref="H24:I24"/>
    <mergeCell ref="H22:I22"/>
    <mergeCell ref="K22:M22"/>
    <mergeCell ref="L100:P100"/>
    <mergeCell ref="K33:M33"/>
    <mergeCell ref="O33:R33"/>
    <mergeCell ref="B34:C34"/>
    <mergeCell ref="D34:F34"/>
    <mergeCell ref="H34:I34"/>
    <mergeCell ref="B48:V48"/>
    <mergeCell ref="B49:C49"/>
    <mergeCell ref="D49:F49"/>
    <mergeCell ref="G49:H49"/>
    <mergeCell ref="D50:F50"/>
    <mergeCell ref="U37:U38"/>
    <mergeCell ref="V37:V38"/>
    <mergeCell ref="P37:S37"/>
    <mergeCell ref="T37:T38"/>
    <mergeCell ref="B42:D42"/>
    <mergeCell ref="H42:J42"/>
    <mergeCell ref="K42:L42"/>
    <mergeCell ref="M42:O42"/>
    <mergeCell ref="Q42:S42"/>
    <mergeCell ref="B39:D39"/>
    <mergeCell ref="D95:F95"/>
    <mergeCell ref="G95:H95"/>
    <mergeCell ref="H39:J39"/>
    <mergeCell ref="B97:V97"/>
    <mergeCell ref="B98:C98"/>
    <mergeCell ref="D98:F98"/>
    <mergeCell ref="G98:H98"/>
    <mergeCell ref="J98:K98"/>
    <mergeCell ref="L98:P98"/>
    <mergeCell ref="Q98:T98"/>
    <mergeCell ref="U98:V98"/>
    <mergeCell ref="D99:F99"/>
    <mergeCell ref="G99:H99"/>
    <mergeCell ref="J99:K99"/>
    <mergeCell ref="L99:P99"/>
    <mergeCell ref="Q99:T99"/>
    <mergeCell ref="U99:V99"/>
    <mergeCell ref="B103:C103"/>
    <mergeCell ref="D103:F103"/>
    <mergeCell ref="G103:H103"/>
    <mergeCell ref="J103:K103"/>
    <mergeCell ref="L103:P103"/>
    <mergeCell ref="Q103:T103"/>
    <mergeCell ref="U103:V103"/>
    <mergeCell ref="D102:F102"/>
    <mergeCell ref="Q100:T100"/>
    <mergeCell ref="U100:V100"/>
    <mergeCell ref="D101:F101"/>
    <mergeCell ref="G101:H101"/>
    <mergeCell ref="J101:K101"/>
    <mergeCell ref="L101:P101"/>
    <mergeCell ref="Q101:T101"/>
    <mergeCell ref="U101:V101"/>
    <mergeCell ref="G102:H102"/>
    <mergeCell ref="J102:K102"/>
    <mergeCell ref="L102:P102"/>
    <mergeCell ref="Q102:T102"/>
    <mergeCell ref="U102:V102"/>
    <mergeCell ref="D100:F100"/>
    <mergeCell ref="G100:H100"/>
    <mergeCell ref="J100:K100"/>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7570" r:id="rId3" name="Label1">
          <controlPr defaultSize="0" autoLine="0" r:id="rId4">
            <anchor moveWithCells="1">
              <from>
                <xdr:col>12</xdr:col>
                <xdr:colOff>0</xdr:colOff>
                <xdr:row>0</xdr:row>
                <xdr:rowOff>99060</xdr:rowOff>
              </from>
              <to>
                <xdr:col>21</xdr:col>
                <xdr:colOff>190500</xdr:colOff>
                <xdr:row>1</xdr:row>
                <xdr:rowOff>68580</xdr:rowOff>
              </to>
            </anchor>
          </controlPr>
        </control>
      </mc:Choice>
      <mc:Fallback>
        <control shapeId="237570" r:id="rId3" name="Label1"/>
      </mc:Fallback>
    </mc:AlternateContent>
    <mc:AlternateContent xmlns:mc="http://schemas.openxmlformats.org/markup-compatibility/2006">
      <mc:Choice Requires="x14">
        <control shapeId="237569" r:id="rId5" name="ComboBox13">
          <controlPr defaultSize="0" autoLine="0" r:id="rId6">
            <anchor moveWithCells="1">
              <from>
                <xdr:col>12</xdr:col>
                <xdr:colOff>0</xdr:colOff>
                <xdr:row>1</xdr:row>
                <xdr:rowOff>83820</xdr:rowOff>
              </from>
              <to>
                <xdr:col>21</xdr:col>
                <xdr:colOff>350520</xdr:colOff>
                <xdr:row>3</xdr:row>
                <xdr:rowOff>0</xdr:rowOff>
              </to>
            </anchor>
          </controlPr>
        </control>
      </mc:Choice>
      <mc:Fallback>
        <control shapeId="237569" r:id="rId5" name="ComboBox13"/>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CB387-36A3-4F4C-8F17-57D8E17CA4CC}">
  <sheetPr codeName="Planilha17">
    <tabColor theme="6" tint="0.39997558519241921"/>
  </sheetPr>
  <dimension ref="B6:V48"/>
  <sheetViews>
    <sheetView showGridLines="0" topLeftCell="A9" zoomScaleNormal="100" workbookViewId="0">
      <selection activeCell="M37" sqref="M37:O3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24" width="9.109375" style="58"/>
    <col min="25" max="25" width="13.109375" style="58" bestFit="1" customWidth="1"/>
    <col min="26" max="16384" width="9.109375" style="58"/>
  </cols>
  <sheetData>
    <row r="6" spans="2:22" ht="18.75" customHeight="1">
      <c r="B6" s="1044" t="s">
        <v>343</v>
      </c>
      <c r="C6" s="1044"/>
      <c r="D6" s="1044"/>
      <c r="E6" s="70" t="s">
        <v>308</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045" t="s">
        <v>303</v>
      </c>
      <c r="D8" s="1045"/>
      <c r="E8" s="1046"/>
      <c r="F8" s="71"/>
      <c r="G8" s="71"/>
      <c r="H8" s="1039" t="s">
        <v>344</v>
      </c>
      <c r="I8" s="1039"/>
      <c r="J8" s="1040">
        <f>U28</f>
        <v>21966.27</v>
      </c>
      <c r="K8" s="1040"/>
      <c r="L8" s="1040"/>
      <c r="M8" s="448"/>
      <c r="N8" s="447"/>
      <c r="O8" s="1047" t="s">
        <v>345</v>
      </c>
      <c r="P8" s="1047"/>
      <c r="Q8" s="1047"/>
      <c r="R8" s="1047"/>
      <c r="S8" s="1047"/>
      <c r="T8" s="1047"/>
      <c r="U8" s="1048" t="s">
        <v>346</v>
      </c>
      <c r="V8" s="1047"/>
    </row>
    <row r="9" spans="2:22" ht="12.75" customHeight="1">
      <c r="B9" s="71"/>
      <c r="C9" s="446"/>
      <c r="D9" s="446"/>
      <c r="E9" s="1038">
        <f>J8+J9+J10</f>
        <v>27723.603333333333</v>
      </c>
      <c r="F9" s="71"/>
      <c r="G9" s="71"/>
      <c r="H9" s="1039" t="s">
        <v>347</v>
      </c>
      <c r="I9" s="1039"/>
      <c r="J9" s="1040">
        <f>V38</f>
        <v>5757.3333333333339</v>
      </c>
      <c r="K9" s="1040"/>
      <c r="L9" s="1040"/>
      <c r="M9" s="449"/>
      <c r="N9" s="402"/>
      <c r="O9" s="1041">
        <f>ADM!O9</f>
        <v>5</v>
      </c>
      <c r="P9" s="1041"/>
      <c r="Q9" s="1041"/>
      <c r="R9" s="1041"/>
      <c r="S9" s="1041"/>
      <c r="T9" s="1041"/>
      <c r="U9" s="1042">
        <f>E9*O9</f>
        <v>138618.01666666666</v>
      </c>
      <c r="V9" s="1043"/>
    </row>
    <row r="10" spans="2:22" ht="12.75" customHeight="1">
      <c r="B10" s="73"/>
      <c r="C10" s="446"/>
      <c r="D10" s="446"/>
      <c r="E10" s="1038"/>
      <c r="F10" s="71"/>
      <c r="G10" s="71"/>
      <c r="H10" s="1039" t="s">
        <v>348</v>
      </c>
      <c r="I10" s="1039"/>
      <c r="J10" s="1040"/>
      <c r="K10" s="1040"/>
      <c r="L10" s="1040"/>
      <c r="M10" s="449"/>
      <c r="N10" s="402"/>
      <c r="O10" s="1041"/>
      <c r="P10" s="1041"/>
      <c r="Q10" s="1041"/>
      <c r="R10" s="1041"/>
      <c r="S10" s="1041"/>
      <c r="T10" s="1041"/>
      <c r="U10" s="1042"/>
      <c r="V10" s="1043"/>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2"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2"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2" ht="15" customHeight="1">
      <c r="B16" s="74" t="str">
        <f>F16</f>
        <v>P0057</v>
      </c>
      <c r="C16" s="199" t="s">
        <v>402</v>
      </c>
      <c r="D16" s="75"/>
      <c r="E16" s="198" t="s">
        <v>428</v>
      </c>
      <c r="F16" s="198" t="str">
        <f>VLOOKUP(E16,'MÃO DE OBRA'!$A:$B,2,FALSE)</f>
        <v>P0057</v>
      </c>
      <c r="G16" s="186">
        <v>1</v>
      </c>
      <c r="H16" s="1603">
        <f>IF(D16="h",VLOOKUP(B16,'MÃO DE OBRA'!$B$3:$D$97,3,0)*220,VLOOKUP(B16,'MÃO DE OBRA'!$B$3:$D$97,3,0))</f>
        <v>15000</v>
      </c>
      <c r="I16" s="1604"/>
      <c r="J16" s="76"/>
      <c r="K16" s="1605">
        <f>IF(J16="",0,IF(J16="D",H16*DADOS!$D$18,H16*DADOS!$D$19))</f>
        <v>0</v>
      </c>
      <c r="L16" s="1606"/>
      <c r="M16" s="1607"/>
      <c r="N16" s="186" t="s">
        <v>429</v>
      </c>
      <c r="O16" s="1051">
        <f>IF(N16="C",(DADOS!$E$9+DADOS!$E$10)*30,IF(N16="J",(DADOS!$E$9+DADOS!$E$10+DADOS!$E$11)*30,IF(C16="PJ",DADOS!$E$12,0)))</f>
        <v>300</v>
      </c>
      <c r="P16" s="1052"/>
      <c r="Q16" s="1052"/>
      <c r="R16" s="1053"/>
      <c r="S16" s="1608">
        <f>IF(G16="",0,IF(C16="3º",0,IF(C16="PJ",0,((H16+K16)*DADOS!$D$7)+((H16+K16)*DADOS!$D$6))))</f>
        <v>0</v>
      </c>
      <c r="T16" s="1609"/>
      <c r="U16" s="450">
        <f t="shared" ref="U16:U27" si="0">IF(G16="",0,SUM(H16,K16,,O16,V16,S16))</f>
        <v>15300</v>
      </c>
      <c r="V16" s="451"/>
    </row>
    <row r="17" spans="2:22" ht="13.8">
      <c r="B17" s="75" t="str">
        <f>F17</f>
        <v>P0010</v>
      </c>
      <c r="C17" s="199"/>
      <c r="D17" s="75"/>
      <c r="E17" s="77" t="s">
        <v>430</v>
      </c>
      <c r="F17" s="198" t="str">
        <f>VLOOKUP(E17,'MÃO DE OBRA'!$A:$B,2,FALSE)</f>
        <v>P0010</v>
      </c>
      <c r="G17" s="186">
        <v>1</v>
      </c>
      <c r="H17" s="1049">
        <f>IF(D17="h",VLOOKUP(B17,'MÃO DE OBRA'!$B$3:$D$97,3,0)*220,VLOOKUP(B17,'MÃO DE OBRA'!$B$3:$D$97,3,0))</f>
        <v>2805.6</v>
      </c>
      <c r="I17" s="1050"/>
      <c r="J17" s="76" t="s">
        <v>354</v>
      </c>
      <c r="K17" s="1051">
        <f>IF(J17="",0,IF(J17="D",H17*DADOS!$D$18,H17*DADOS!$D$19))</f>
        <v>701.4</v>
      </c>
      <c r="L17" s="1052"/>
      <c r="M17" s="1053"/>
      <c r="N17" s="186" t="s">
        <v>429</v>
      </c>
      <c r="O17" s="1051">
        <f>IF(N17="C",(DADOS!$E$9+DADOS!$E$10)*30,IF(N17="J",(DADOS!$E$9+DADOS!$E$10+DADOS!$E$11)*30,IF(C17="PJ",DADOS!$E$12,0)))+DADOS!$E$24+DADOS!$E$25+DADOS!$E$26</f>
        <v>1020</v>
      </c>
      <c r="P17" s="1052"/>
      <c r="Q17" s="1052"/>
      <c r="R17" s="1053"/>
      <c r="S17" s="1054">
        <f>IF(G17="",0,IF(C17="3º",0,IF(C17="PJ",0,((H17+K17)*DADOS!$D$7)+((H17+K17)*DADOS!$D$6))))</f>
        <v>2139.27</v>
      </c>
      <c r="T17" s="1054"/>
      <c r="U17" s="450">
        <f t="shared" si="0"/>
        <v>6666.27</v>
      </c>
      <c r="V17" s="451" t="s">
        <v>1434</v>
      </c>
    </row>
    <row r="18" spans="2:22" ht="12.75" hidden="1" customHeight="1">
      <c r="B18" s="75" t="str">
        <f>F18</f>
        <v>P0058</v>
      </c>
      <c r="C18" s="199" t="s">
        <v>402</v>
      </c>
      <c r="D18" s="75"/>
      <c r="E18" s="77" t="s">
        <v>431</v>
      </c>
      <c r="F18" s="198" t="str">
        <f>VLOOKUP(E18,'MÃO DE OBRA'!$A:$B,2,FALSE)</f>
        <v>P0058</v>
      </c>
      <c r="G18" s="186"/>
      <c r="H18" s="1049">
        <f>IF(D18="h",VLOOKUP(B18,'MÃO DE OBRA'!$B$3:$D$97,3,0)*220,VLOOKUP(B18,'MÃO DE OBRA'!$B$3:$D$97,3,0))</f>
        <v>5000</v>
      </c>
      <c r="I18" s="1050"/>
      <c r="J18" s="76"/>
      <c r="K18" s="1051">
        <f>IF(J18="",0,IF(J18="D",H18*DADOS!$D$18,H18*DADOS!$D$19))</f>
        <v>0</v>
      </c>
      <c r="L18" s="1052"/>
      <c r="M18" s="1053"/>
      <c r="N18" s="186" t="s">
        <v>429</v>
      </c>
      <c r="O18" s="1051">
        <f>IF(N18="C",(DADOS!$E$9+DADOS!$E$10)*30,IF(N18="J",(DADOS!$E$9+DADOS!$E$10+DADOS!$E$11)*30,IF(C18="PJ",DADOS!$E$12,0)))</f>
        <v>300</v>
      </c>
      <c r="P18" s="1052"/>
      <c r="Q18" s="1052"/>
      <c r="R18" s="1053"/>
      <c r="S18" s="1054">
        <f>IF(G18="",0,IF(C18="3º",0,IF(C18="PJ",0,((H18+K18)*DADOS!$D$7)+((H18+K18)*DADOS!$D$6))))</f>
        <v>0</v>
      </c>
      <c r="T18" s="1054"/>
      <c r="U18" s="450">
        <f t="shared" si="0"/>
        <v>0</v>
      </c>
      <c r="V18" s="451"/>
    </row>
    <row r="19" spans="2:22" ht="12.75" hidden="1" customHeight="1">
      <c r="B19" s="75">
        <f>F19</f>
        <v>0</v>
      </c>
      <c r="C19" s="199" t="s">
        <v>402</v>
      </c>
      <c r="D19" s="75"/>
      <c r="E19" s="198"/>
      <c r="F19" s="198"/>
      <c r="G19" s="186"/>
      <c r="H19" s="1049"/>
      <c r="I19" s="1050"/>
      <c r="J19" s="76" t="s">
        <v>354</v>
      </c>
      <c r="K19" s="1051">
        <f>IF(J19="",0,IF(J19="D",H19*DADOS!$D$18,H19*DADOS!$D$19))</f>
        <v>0</v>
      </c>
      <c r="L19" s="1052"/>
      <c r="M19" s="1053"/>
      <c r="N19" s="186" t="s">
        <v>404</v>
      </c>
      <c r="O19" s="1051">
        <f>IF(N19="C",(DADOS!$E$9+DADOS!$E$10)*30,IF(N19="J",(DADOS!$E$9+DADOS!$E$10+DADOS!$E$11)*30,IF(C19="PJ",DADOS!$E$12,0)))</f>
        <v>300</v>
      </c>
      <c r="P19" s="1052"/>
      <c r="Q19" s="1052"/>
      <c r="R19" s="1053"/>
      <c r="S19" s="1054">
        <f>IF(G19="",0,IF(C19="3º",0,IF(C19="PJ",0,((H19+K19)*DADOS!$D$7)+((H19+K19)*DADOS!$D$6))))</f>
        <v>0</v>
      </c>
      <c r="T19" s="1054"/>
      <c r="U19" s="450">
        <f t="shared" si="0"/>
        <v>0</v>
      </c>
      <c r="V19" s="451"/>
    </row>
    <row r="20" spans="2:22" ht="12.75" hidden="1" customHeight="1">
      <c r="B20" s="75"/>
      <c r="C20" s="199"/>
      <c r="D20" s="75"/>
      <c r="E20" s="198"/>
      <c r="F20" s="198"/>
      <c r="G20" s="186"/>
      <c r="H20" s="1049"/>
      <c r="I20" s="1050"/>
      <c r="J20" s="76"/>
      <c r="K20" s="1051">
        <f>IF(J20="",0,IF(J20="D",H20*DADOS!$D$18,H20*DADOS!$D$19))</f>
        <v>0</v>
      </c>
      <c r="L20" s="1052"/>
      <c r="M20" s="1053"/>
      <c r="N20" s="186"/>
      <c r="O20" s="1051">
        <f>IF(N20="C",(DADOS!$E$9+DADOS!$E$10)*30,IF(N20="J",(DADOS!$E$9+DADOS!$E$10+DADOS!$E$11)*30,IF(C20="PJ",DADOS!$E$12,0)))</f>
        <v>0</v>
      </c>
      <c r="P20" s="1052"/>
      <c r="Q20" s="1052"/>
      <c r="R20" s="1053"/>
      <c r="S20" s="1054">
        <f>IF(G20="",0,IF(C20="3º",0,IF(C20="PJ",0,((H20+K20)*DADOS!$D$7)+((H20+K20)*DADOS!$D$6))))</f>
        <v>0</v>
      </c>
      <c r="T20" s="1054"/>
      <c r="U20" s="450">
        <f t="shared" si="0"/>
        <v>0</v>
      </c>
      <c r="V20" s="451"/>
    </row>
    <row r="21" spans="2:22" ht="12.75" hidden="1" customHeight="1">
      <c r="B21" s="75"/>
      <c r="C21" s="199"/>
      <c r="D21" s="75"/>
      <c r="E21" s="198"/>
      <c r="F21" s="198"/>
      <c r="G21" s="186"/>
      <c r="H21" s="1049"/>
      <c r="I21" s="1050"/>
      <c r="J21" s="76"/>
      <c r="K21" s="1051">
        <f>IF(J21="",0,IF(J21="D",H21*DADOS!$D$18,H21*DADOS!$D$19))</f>
        <v>0</v>
      </c>
      <c r="L21" s="1052"/>
      <c r="M21" s="1053"/>
      <c r="N21" s="186"/>
      <c r="O21" s="1051">
        <f>IF(N21="C",(DADOS!$E$9+DADOS!$E$10)*30,IF(N21="J",(DADOS!$E$9+DADOS!$E$10+DADOS!$E$11)*30,IF(C21="PJ",DADOS!$E$12,0)))</f>
        <v>0</v>
      </c>
      <c r="P21" s="1052"/>
      <c r="Q21" s="1052"/>
      <c r="R21" s="1053"/>
      <c r="S21" s="1054">
        <f>IF(G21="",0,IF(C21="3º",0,IF(C21="PJ",0,((H21+K21)*DADOS!$D$7)+((H21+K21)*DADOS!$D$6))))</f>
        <v>0</v>
      </c>
      <c r="T21" s="1054"/>
      <c r="U21" s="450">
        <f t="shared" si="0"/>
        <v>0</v>
      </c>
      <c r="V21" s="451"/>
    </row>
    <row r="22" spans="2:22" ht="12.75" hidden="1" customHeight="1">
      <c r="B22" s="75"/>
      <c r="C22" s="199"/>
      <c r="D22" s="75"/>
      <c r="E22" s="198"/>
      <c r="F22" s="198"/>
      <c r="G22" s="186"/>
      <c r="H22" s="1049"/>
      <c r="I22" s="1050"/>
      <c r="J22" s="76"/>
      <c r="K22" s="1051">
        <f>IF(J22="",0,IF(J22="D",H22*DADOS!$D$18,H22*DADOS!$D$19))</f>
        <v>0</v>
      </c>
      <c r="L22" s="1052"/>
      <c r="M22" s="1053"/>
      <c r="N22" s="186"/>
      <c r="O22" s="1051">
        <f>IF(N22="C",(DADOS!$E$9+DADOS!$E$10)*30,IF(N22="J",(DADOS!$E$9+DADOS!$E$10+DADOS!$E$11)*30,IF(C22="PJ",DADOS!$E$12,0)))</f>
        <v>0</v>
      </c>
      <c r="P22" s="1052"/>
      <c r="Q22" s="1052"/>
      <c r="R22" s="1053"/>
      <c r="S22" s="1054">
        <f>IF(G22="",0,IF(C22="3º",0,IF(C22="PJ",0,((H22+K22)*DADOS!$D$7)+((H22+K22)*DADOS!$D$6))))</f>
        <v>0</v>
      </c>
      <c r="T22" s="1054"/>
      <c r="U22" s="450">
        <f t="shared" si="0"/>
        <v>0</v>
      </c>
      <c r="V22" s="451"/>
    </row>
    <row r="23" spans="2:22" ht="12.75" hidden="1" customHeight="1">
      <c r="B23" s="75"/>
      <c r="C23" s="199"/>
      <c r="D23" s="75"/>
      <c r="E23" s="198"/>
      <c r="F23" s="198"/>
      <c r="G23" s="186"/>
      <c r="H23" s="1049"/>
      <c r="I23" s="1050"/>
      <c r="J23" s="76"/>
      <c r="K23" s="1051">
        <f>IF(J23="",0,IF(J23="D",H23*DADOS!$D$18,H23*DADOS!$D$19))</f>
        <v>0</v>
      </c>
      <c r="L23" s="1052"/>
      <c r="M23" s="1053"/>
      <c r="N23" s="186"/>
      <c r="O23" s="1051">
        <f>IF(N23="C",(DADOS!$E$9+DADOS!$E$10)*30,IF(N23="J",(DADOS!$E$9+DADOS!$E$10+DADOS!$E$11)*30,IF(C23="PJ",DADOS!$E$12,0)))</f>
        <v>0</v>
      </c>
      <c r="P23" s="1052"/>
      <c r="Q23" s="1052"/>
      <c r="R23" s="1053"/>
      <c r="S23" s="1054">
        <f>IF(G23="",0,IF(C23="3º",0,IF(C23="PJ",0,((H23+K23)*DADOS!$D$7)+((H23+K23)*DADOS!$D$6))))</f>
        <v>0</v>
      </c>
      <c r="T23" s="1054"/>
      <c r="U23" s="450">
        <f t="shared" si="0"/>
        <v>0</v>
      </c>
      <c r="V23" s="451"/>
    </row>
    <row r="24" spans="2:22" ht="12.75" hidden="1" customHeight="1">
      <c r="B24" s="75"/>
      <c r="C24" s="199"/>
      <c r="D24" s="75"/>
      <c r="E24" s="198"/>
      <c r="F24" s="198"/>
      <c r="G24" s="186"/>
      <c r="H24" s="1049"/>
      <c r="I24" s="1050"/>
      <c r="J24" s="76"/>
      <c r="K24" s="1051">
        <f>IF(J24="",0,IF(J24="D",H24*DADOS!$D$18,H24*DADOS!$D$19))</f>
        <v>0</v>
      </c>
      <c r="L24" s="1052"/>
      <c r="M24" s="1053"/>
      <c r="N24" s="186"/>
      <c r="O24" s="1051">
        <f>IF(N24="C",(DADOS!$E$9+DADOS!$E$10)*30,IF(N24="J",(DADOS!$E$9+DADOS!$E$10+DADOS!$E$11)*30,IF(C24="PJ",DADOS!$E$12,0)))</f>
        <v>0</v>
      </c>
      <c r="P24" s="1052"/>
      <c r="Q24" s="1052"/>
      <c r="R24" s="1053"/>
      <c r="S24" s="1054">
        <f>IF(G24="",0,IF(C24="3º",0,IF(C24="PJ",0,((H24+K24)*DADOS!$D$7)+((H24+K24)*DADOS!$D$6))))</f>
        <v>0</v>
      </c>
      <c r="T24" s="1054"/>
      <c r="U24" s="450">
        <f t="shared" si="0"/>
        <v>0</v>
      </c>
      <c r="V24" s="451"/>
    </row>
    <row r="25" spans="2:22" ht="12.75" hidden="1" customHeight="1">
      <c r="B25" s="75"/>
      <c r="C25" s="199"/>
      <c r="D25" s="75"/>
      <c r="E25" s="198"/>
      <c r="F25" s="198"/>
      <c r="G25" s="186"/>
      <c r="H25" s="1049"/>
      <c r="I25" s="1050"/>
      <c r="J25" s="76"/>
      <c r="K25" s="1051">
        <f>IF(J25="",0,IF(J25="D",H25*DADOS!$D$18,H25*DADOS!$D$19))</f>
        <v>0</v>
      </c>
      <c r="L25" s="1052"/>
      <c r="M25" s="1053"/>
      <c r="N25" s="186"/>
      <c r="O25" s="1051">
        <f>IF(N25="C",(DADOS!$E$9+DADOS!$E$10)*30,IF(N25="J",(DADOS!$E$9+DADOS!$E$10+DADOS!$E$11)*30,IF(C25="PJ",DADOS!$E$12,0)))</f>
        <v>0</v>
      </c>
      <c r="P25" s="1052"/>
      <c r="Q25" s="1052"/>
      <c r="R25" s="1053"/>
      <c r="S25" s="1054">
        <f>IF(G25="",0,IF(C25="3º",0,IF(C25="PJ",0,((H25+K25)*DADOS!$D$7)+((H25+K25)*DADOS!$D$6))))</f>
        <v>0</v>
      </c>
      <c r="T25" s="1054"/>
      <c r="U25" s="450">
        <f t="shared" si="0"/>
        <v>0</v>
      </c>
      <c r="V25" s="451"/>
    </row>
    <row r="26" spans="2:22" ht="12.75" hidden="1" customHeight="1">
      <c r="B26" s="75"/>
      <c r="C26" s="199"/>
      <c r="D26" s="75"/>
      <c r="E26" s="198"/>
      <c r="F26" s="198"/>
      <c r="G26" s="186"/>
      <c r="H26" s="1049"/>
      <c r="I26" s="1050"/>
      <c r="J26" s="76"/>
      <c r="K26" s="1051">
        <f>IF(J26="",0,IF(J26="D",H26*DADOS!$D$18,H26*DADOS!$D$19))</f>
        <v>0</v>
      </c>
      <c r="L26" s="1052"/>
      <c r="M26" s="1053"/>
      <c r="N26" s="186"/>
      <c r="O26" s="1051">
        <f>IF(N26="C",(DADOS!$E$9+DADOS!$E$10)*30,IF(N26="J",(DADOS!$E$9+DADOS!$E$10+DADOS!$E$11)*30,IF(C26="PJ",DADOS!$E$12,0)))</f>
        <v>0</v>
      </c>
      <c r="P26" s="1052"/>
      <c r="Q26" s="1052"/>
      <c r="R26" s="1053"/>
      <c r="S26" s="1054">
        <f>IF(G26="",0,IF(C26="3º",0,IF(C26="PJ",0,((H26+K26)*DADOS!$D$7)+((H26+K26)*DADOS!$D$6))))</f>
        <v>0</v>
      </c>
      <c r="T26" s="1054"/>
      <c r="U26" s="450">
        <f t="shared" si="0"/>
        <v>0</v>
      </c>
      <c r="V26" s="451"/>
    </row>
    <row r="27" spans="2:22" ht="13.8">
      <c r="B27" s="445"/>
      <c r="C27" s="197"/>
      <c r="D27" s="78"/>
      <c r="E27" s="196"/>
      <c r="F27" s="198"/>
      <c r="G27" s="431"/>
      <c r="H27" s="1070"/>
      <c r="I27" s="1071"/>
      <c r="J27" s="79"/>
      <c r="K27" s="1072">
        <f>IF(J27="",0,IF(J27="D",H27*DADOS!$D$18,H27*DADOS!$D$19))</f>
        <v>0</v>
      </c>
      <c r="L27" s="1073"/>
      <c r="M27" s="1074"/>
      <c r="N27" s="186"/>
      <c r="O27" s="1051">
        <f>IF(N27="C",(DADOS!$E$9+DADOS!$E$10)*25,IF(N27="J",(DADOS!$E$9+DADOS!$E$10+DADOS!$E$11)*25,IF(C27="PJ",DADOS!$E$12,0)))</f>
        <v>0</v>
      </c>
      <c r="P27" s="1052"/>
      <c r="Q27" s="1052"/>
      <c r="R27" s="1053"/>
      <c r="S27" s="1054">
        <f>IF(G27="",0,IF(C27="3º",0,IF(C27="PJ",0,((H27+K27)*DADOS!$D$7)+((H27+K27)*DADOS!$D$6))))</f>
        <v>0</v>
      </c>
      <c r="T27" s="1054"/>
      <c r="U27" s="450">
        <f t="shared" si="0"/>
        <v>0</v>
      </c>
      <c r="V27" s="451"/>
    </row>
    <row r="28" spans="2:22" ht="13.8">
      <c r="B28" s="1064"/>
      <c r="C28" s="1065"/>
      <c r="D28" s="1066" t="s">
        <v>175</v>
      </c>
      <c r="E28" s="1066"/>
      <c r="F28" s="1066"/>
      <c r="G28" s="818">
        <f>SUM(G16:G27)</f>
        <v>2</v>
      </c>
      <c r="H28" s="1067">
        <f>SUMPRODUCT($G$16:$G$27,H16:H27)</f>
        <v>17805.599999999999</v>
      </c>
      <c r="I28" s="1068"/>
      <c r="J28" s="1067">
        <f>SUMPRODUCT($G$16:$G$27,K16:K27)</f>
        <v>701.4</v>
      </c>
      <c r="K28" s="1068"/>
      <c r="L28" s="1068"/>
      <c r="M28" s="1069"/>
      <c r="N28" s="1067">
        <f>SUMPRODUCT($G$16:$G$27,O16:O27)</f>
        <v>1320</v>
      </c>
      <c r="O28" s="1068"/>
      <c r="P28" s="1068"/>
      <c r="Q28" s="1068"/>
      <c r="R28" s="1069"/>
      <c r="S28" s="1067">
        <f>SUMPRODUCT($G$16:$G$27,S16:S27)</f>
        <v>2139.27</v>
      </c>
      <c r="T28" s="1069"/>
      <c r="U28" s="453">
        <f>SUMPRODUCT($G$16:$G$27,U16:U27)</f>
        <v>21966.27</v>
      </c>
      <c r="V28" s="452"/>
    </row>
    <row r="30" spans="2:22" ht="12.75" customHeight="1">
      <c r="B30" s="1055" t="s">
        <v>347</v>
      </c>
      <c r="C30" s="1055"/>
      <c r="D30" s="1055"/>
      <c r="E30" s="1055"/>
      <c r="F30" s="1055"/>
      <c r="G30" s="1055"/>
      <c r="H30" s="1055"/>
      <c r="I30" s="1055"/>
      <c r="J30" s="1055"/>
      <c r="K30" s="1055"/>
      <c r="L30" s="1055"/>
      <c r="M30" s="1055"/>
      <c r="N30" s="1055"/>
      <c r="O30" s="1055"/>
      <c r="P30" s="1055"/>
      <c r="Q30" s="1055"/>
      <c r="R30" s="1055"/>
      <c r="S30" s="1055"/>
      <c r="T30" s="1055"/>
      <c r="U30" s="1055"/>
      <c r="V30" s="1055"/>
    </row>
    <row r="31" spans="2:22" ht="12.75" customHeight="1">
      <c r="B31" s="1056" t="s">
        <v>357</v>
      </c>
      <c r="C31" s="1088"/>
      <c r="D31" s="1088"/>
      <c r="E31" s="1088" t="s">
        <v>358</v>
      </c>
      <c r="F31" s="1088"/>
      <c r="G31" s="1089" t="s">
        <v>350</v>
      </c>
      <c r="H31" s="1056" t="s">
        <v>359</v>
      </c>
      <c r="I31" s="1088"/>
      <c r="J31" s="1057"/>
      <c r="K31" s="1089" t="s">
        <v>360</v>
      </c>
      <c r="L31" s="1091"/>
      <c r="M31" s="1091"/>
      <c r="N31" s="1091"/>
      <c r="O31" s="1092"/>
      <c r="P31" s="1056" t="s">
        <v>361</v>
      </c>
      <c r="Q31" s="1088"/>
      <c r="R31" s="1088"/>
      <c r="S31" s="1088"/>
      <c r="T31" s="1095" t="s">
        <v>362</v>
      </c>
      <c r="U31" s="1092" t="s">
        <v>363</v>
      </c>
      <c r="V31" s="1062" t="s">
        <v>364</v>
      </c>
    </row>
    <row r="32" spans="2:22" ht="13.8">
      <c r="B32" s="1058"/>
      <c r="C32" s="1075"/>
      <c r="D32" s="1075"/>
      <c r="E32" s="1075"/>
      <c r="F32" s="1075"/>
      <c r="G32" s="1090"/>
      <c r="H32" s="1058"/>
      <c r="I32" s="1075"/>
      <c r="J32" s="1059"/>
      <c r="K32" s="1090"/>
      <c r="L32" s="1093"/>
      <c r="M32" s="1093"/>
      <c r="N32" s="1093"/>
      <c r="O32" s="1094"/>
      <c r="P32" s="1058" t="s">
        <v>365</v>
      </c>
      <c r="Q32" s="1075"/>
      <c r="R32" s="1075"/>
      <c r="S32" s="1075"/>
      <c r="T32" s="1096"/>
      <c r="U32" s="1094"/>
      <c r="V32" s="1063"/>
    </row>
    <row r="33" spans="2:22" ht="13.8">
      <c r="B33" s="1076" t="str">
        <f>F33</f>
        <v>E0037</v>
      </c>
      <c r="C33" s="1077"/>
      <c r="D33" s="1078"/>
      <c r="E33" s="200" t="s">
        <v>675</v>
      </c>
      <c r="F33" s="198" t="str">
        <f>VLOOKUP($E33,EQUIPAMENTOS!$A:$B,2,FALSE)</f>
        <v>E0037</v>
      </c>
      <c r="G33" s="433">
        <v>1</v>
      </c>
      <c r="H33" s="1079">
        <f>VLOOKUP($B33,EQUIPAMENTOS!$B$3:$N$99,9,0)*200</f>
        <v>4000</v>
      </c>
      <c r="I33" s="1080"/>
      <c r="J33" s="1081"/>
      <c r="K33" s="1082" t="s">
        <v>370</v>
      </c>
      <c r="L33" s="1083"/>
      <c r="M33" s="1084">
        <f>100*24</f>
        <v>2400</v>
      </c>
      <c r="N33" s="1084"/>
      <c r="O33" s="1084"/>
      <c r="P33" s="80" t="s">
        <v>376</v>
      </c>
      <c r="Q33" s="1085">
        <f>VLOOKUP($B33,EQUIPAMENTOS!$B$3:$N$99,13,0)</f>
        <v>9</v>
      </c>
      <c r="R33" s="1086"/>
      <c r="S33" s="1087"/>
      <c r="T33" s="436">
        <f>IF(Q33="","",IF(K33="km",M33/Q33,100*Q33)*INDEX(DADOS!$1:$1048576,MATCH(P33,DADOS!D:D,0),5))</f>
        <v>1757.3333333333335</v>
      </c>
      <c r="U33" s="202">
        <f>SUM(H33,T33)</f>
        <v>5757.3333333333339</v>
      </c>
      <c r="V33" s="203">
        <f>G33*U33</f>
        <v>5757.3333333333339</v>
      </c>
    </row>
    <row r="34" spans="2:22" ht="13.8" hidden="1">
      <c r="B34" s="1097">
        <f>F34</f>
        <v>0</v>
      </c>
      <c r="C34" s="1098"/>
      <c r="D34" s="1099"/>
      <c r="E34" s="200"/>
      <c r="F34" s="198"/>
      <c r="G34" s="434"/>
      <c r="H34" s="1100"/>
      <c r="I34" s="1101"/>
      <c r="J34" s="1101"/>
      <c r="K34" s="1082" t="s">
        <v>367</v>
      </c>
      <c r="L34" s="1083"/>
      <c r="M34" s="1084"/>
      <c r="N34" s="1084"/>
      <c r="O34" s="1084"/>
      <c r="P34" s="80"/>
      <c r="Q34" s="1085"/>
      <c r="R34" s="1086"/>
      <c r="S34" s="1087"/>
      <c r="T34" s="436" t="str">
        <f>IF(Q34="","",IF(K34="km",#REF!/Q34,100*Q34)*INDEX(DADOS!$1:$1048576,MATCH(P34,DADOS!D:D,0),5))</f>
        <v/>
      </c>
      <c r="U34" s="202">
        <f>SUM(H34,T34)</f>
        <v>0</v>
      </c>
      <c r="V34" s="436">
        <f>U34*G34</f>
        <v>0</v>
      </c>
    </row>
    <row r="35" spans="2:22" ht="13.8" hidden="1">
      <c r="B35" s="1097">
        <f>F35</f>
        <v>0</v>
      </c>
      <c r="C35" s="1098"/>
      <c r="D35" s="1099"/>
      <c r="E35" s="200"/>
      <c r="F35" s="198"/>
      <c r="G35" s="434"/>
      <c r="H35" s="1100"/>
      <c r="I35" s="1101"/>
      <c r="J35" s="1101"/>
      <c r="K35" s="1082" t="s">
        <v>367</v>
      </c>
      <c r="L35" s="1083"/>
      <c r="M35" s="1084"/>
      <c r="N35" s="1084"/>
      <c r="O35" s="1084"/>
      <c r="P35" s="80"/>
      <c r="Q35" s="1085"/>
      <c r="R35" s="1086"/>
      <c r="S35" s="1087"/>
      <c r="T35" s="436" t="str">
        <f>IF(Q35="","",IF(K35="km",#REF!/Q35,100*Q35)*INDEX(DADOS!$1:$1048576,MATCH(P35,DADOS!D:D,0),5))</f>
        <v/>
      </c>
      <c r="U35" s="202">
        <f>SUM(H35,T35)</f>
        <v>0</v>
      </c>
      <c r="V35" s="436">
        <f>U35*G35</f>
        <v>0</v>
      </c>
    </row>
    <row r="36" spans="2:22" ht="13.8" hidden="1">
      <c r="B36" s="1097"/>
      <c r="C36" s="1098"/>
      <c r="D36" s="1099"/>
      <c r="E36" s="1110"/>
      <c r="F36" s="1111"/>
      <c r="G36" s="434"/>
      <c r="H36" s="1101"/>
      <c r="I36" s="1101"/>
      <c r="J36" s="1101"/>
      <c r="K36" s="1082"/>
      <c r="L36" s="1083"/>
      <c r="M36" s="1084"/>
      <c r="N36" s="1084"/>
      <c r="O36" s="1084"/>
      <c r="P36" s="80"/>
      <c r="Q36" s="1085"/>
      <c r="R36" s="1086"/>
      <c r="S36" s="1087"/>
      <c r="T36" s="436" t="str">
        <f>IF(Q36="","",IF(K36="km",#REF!/Q36,100*Q36)*INDEX(DADOS!$1:$1048576,MATCH(P36,DADOS!D:D,0),5))</f>
        <v/>
      </c>
      <c r="U36" s="202">
        <f>SUM(H36,T36)</f>
        <v>0</v>
      </c>
      <c r="V36" s="436"/>
    </row>
    <row r="37" spans="2:22" ht="13.8">
      <c r="B37" s="1102"/>
      <c r="C37" s="1103"/>
      <c r="D37" s="1104"/>
      <c r="E37" s="1105"/>
      <c r="F37" s="1106"/>
      <c r="G37" s="432"/>
      <c r="H37" s="1107"/>
      <c r="I37" s="1107"/>
      <c r="J37" s="1107"/>
      <c r="K37" s="1108"/>
      <c r="L37" s="1107"/>
      <c r="M37" s="1109"/>
      <c r="N37" s="1109"/>
      <c r="O37" s="1109"/>
      <c r="P37" s="81"/>
      <c r="Q37" s="1085"/>
      <c r="R37" s="1086"/>
      <c r="S37" s="1087"/>
      <c r="T37" s="437" t="str">
        <f>IF(Q37="","",IF(K37="km",#REF!/Q37,#REF!*Q37)*INDEX(DADOS!$1:$1048576,MATCH(P37,DADOS!D:D,0),5))</f>
        <v/>
      </c>
      <c r="U37" s="202">
        <f>SUM(H37,T37)</f>
        <v>0</v>
      </c>
      <c r="V37" s="441"/>
    </row>
    <row r="38" spans="2:22" ht="12.75" customHeight="1">
      <c r="B38" s="1123"/>
      <c r="C38" s="1124"/>
      <c r="D38" s="1125"/>
      <c r="E38" s="1126" t="s">
        <v>175</v>
      </c>
      <c r="F38" s="1127"/>
      <c r="G38" s="435">
        <f>SUM(G33:G37)</f>
        <v>1</v>
      </c>
      <c r="H38" s="1128">
        <f>SUMPRODUCT(G33:$G$37,H33:H37)</f>
        <v>4000</v>
      </c>
      <c r="I38" s="1128"/>
      <c r="J38" s="1128"/>
      <c r="K38" s="1129"/>
      <c r="L38" s="1130"/>
      <c r="M38" s="1130"/>
      <c r="N38" s="1130"/>
      <c r="O38" s="1131"/>
      <c r="P38" s="699"/>
      <c r="Q38" s="819"/>
      <c r="R38" s="819"/>
      <c r="S38" s="819"/>
      <c r="T38" s="440">
        <f>SUMPRODUCT($G33:G$37,T33:T37)</f>
        <v>1757.3333333333335</v>
      </c>
      <c r="U38" s="440"/>
      <c r="V38" s="440">
        <f>SUM(V33:V37)</f>
        <v>5757.3333333333339</v>
      </c>
    </row>
    <row r="40" spans="2:22" ht="12.75" hidden="1" customHeight="1">
      <c r="B40" s="1055" t="s">
        <v>348</v>
      </c>
      <c r="C40" s="1055"/>
      <c r="D40" s="1055"/>
      <c r="E40" s="1055"/>
      <c r="F40" s="1055"/>
      <c r="G40" s="1055"/>
      <c r="H40" s="1055"/>
      <c r="I40" s="1055"/>
      <c r="J40" s="1055"/>
      <c r="K40" s="1055"/>
      <c r="L40" s="1055"/>
      <c r="M40" s="1055"/>
      <c r="N40" s="1055"/>
      <c r="O40" s="1055"/>
      <c r="P40" s="1055"/>
      <c r="Q40" s="1055"/>
      <c r="R40" s="1055"/>
      <c r="S40" s="1055"/>
      <c r="T40" s="1055"/>
      <c r="U40" s="1055"/>
      <c r="V40" s="1055"/>
    </row>
    <row r="41" spans="2:22" ht="13.8" hidden="1">
      <c r="B41" s="1112" t="s">
        <v>183</v>
      </c>
      <c r="C41" s="1114"/>
      <c r="D41" s="1112" t="s">
        <v>324</v>
      </c>
      <c r="E41" s="1113"/>
      <c r="F41" s="1113"/>
      <c r="G41" s="1112" t="s">
        <v>371</v>
      </c>
      <c r="H41" s="1114"/>
      <c r="I41" s="1115" t="s">
        <v>372</v>
      </c>
      <c r="J41" s="1132"/>
      <c r="K41" s="1116"/>
      <c r="L41" s="1115" t="s">
        <v>189</v>
      </c>
      <c r="M41" s="1132"/>
      <c r="N41" s="1132"/>
      <c r="O41" s="1132"/>
      <c r="P41" s="1116"/>
      <c r="Q41" s="1112" t="s">
        <v>373</v>
      </c>
      <c r="R41" s="1113"/>
      <c r="S41" s="1113"/>
      <c r="T41" s="1114"/>
      <c r="U41" s="1115"/>
      <c r="V41" s="1116"/>
    </row>
    <row r="42" spans="2:22" ht="13.8" hidden="1">
      <c r="B42" s="186" t="str">
        <f>IF(I42="","",COUNT($I$42:I42))</f>
        <v/>
      </c>
      <c r="C42" s="430"/>
      <c r="D42" s="1117"/>
      <c r="E42" s="1118"/>
      <c r="F42" s="1118"/>
      <c r="G42" s="1119"/>
      <c r="H42" s="1119"/>
      <c r="I42" s="1120"/>
      <c r="J42" s="1120"/>
      <c r="K42" s="1120"/>
      <c r="L42" s="1120"/>
      <c r="M42" s="1120"/>
      <c r="N42" s="1120"/>
      <c r="O42" s="1120"/>
      <c r="P42" s="1120"/>
      <c r="Q42" s="1054">
        <f>I42*L42</f>
        <v>0</v>
      </c>
      <c r="R42" s="1054"/>
      <c r="S42" s="1054"/>
      <c r="T42" s="1054"/>
      <c r="U42" s="1121"/>
      <c r="V42" s="1122"/>
    </row>
    <row r="43" spans="2:22" ht="13.8" hidden="1">
      <c r="B43" s="186"/>
      <c r="C43" s="430"/>
      <c r="D43" s="1117"/>
      <c r="E43" s="1118"/>
      <c r="F43" s="1118"/>
      <c r="G43" s="1119"/>
      <c r="H43" s="1119"/>
      <c r="I43" s="1120"/>
      <c r="J43" s="1120"/>
      <c r="K43" s="1120"/>
      <c r="L43" s="1120"/>
      <c r="M43" s="1120"/>
      <c r="N43" s="1120"/>
      <c r="O43" s="1120"/>
      <c r="P43" s="1120"/>
      <c r="Q43" s="1054"/>
      <c r="R43" s="1054"/>
      <c r="S43" s="1054"/>
      <c r="T43" s="1054"/>
      <c r="U43" s="1584"/>
      <c r="V43" s="1585"/>
    </row>
    <row r="44" spans="2:22" ht="12.75" hidden="1" customHeight="1">
      <c r="B44" s="186" t="str">
        <f>IF(I44="","",COUNT($I$42:I44))</f>
        <v/>
      </c>
      <c r="C44" s="430"/>
      <c r="D44" s="1117"/>
      <c r="E44" s="1118"/>
      <c r="F44" s="1118"/>
      <c r="G44" s="1138"/>
      <c r="H44" s="1138"/>
      <c r="I44" s="1139"/>
      <c r="J44" s="1139"/>
      <c r="K44" s="1139"/>
      <c r="L44" s="1139"/>
      <c r="M44" s="1139"/>
      <c r="N44" s="1139"/>
      <c r="O44" s="1139"/>
      <c r="P44" s="1139"/>
      <c r="Q44" s="1054">
        <f>I44*L44</f>
        <v>0</v>
      </c>
      <c r="R44" s="1054"/>
      <c r="S44" s="1054"/>
      <c r="T44" s="1054"/>
      <c r="U44" s="1140"/>
      <c r="V44" s="1141"/>
    </row>
    <row r="45" spans="2:22" ht="12.75" hidden="1" customHeight="1">
      <c r="B45" s="1123"/>
      <c r="C45" s="1125"/>
      <c r="D45" s="1123"/>
      <c r="E45" s="1124"/>
      <c r="F45" s="1124"/>
      <c r="G45" s="1123"/>
      <c r="H45" s="1125"/>
      <c r="I45" s="1123"/>
      <c r="J45" s="1124"/>
      <c r="K45" s="1125"/>
      <c r="L45" s="1123"/>
      <c r="M45" s="1124"/>
      <c r="N45" s="1124"/>
      <c r="O45" s="1124"/>
      <c r="P45" s="1125"/>
      <c r="Q45" s="1136">
        <f>SUM(Q42:T44)/O9</f>
        <v>0</v>
      </c>
      <c r="R45" s="1137"/>
      <c r="S45" s="1137"/>
      <c r="T45" s="1137"/>
      <c r="U45" s="1123"/>
      <c r="V45" s="1125"/>
    </row>
    <row r="48" spans="2:22" ht="12.75" customHeight="1">
      <c r="T48" s="116">
        <f>Q43*(1+BDI!O16)</f>
        <v>0</v>
      </c>
    </row>
  </sheetData>
  <mergeCells count="152">
    <mergeCell ref="U45:V45"/>
    <mergeCell ref="B45:C45"/>
    <mergeCell ref="D45:F45"/>
    <mergeCell ref="G45:H45"/>
    <mergeCell ref="I45:K45"/>
    <mergeCell ref="L45:P45"/>
    <mergeCell ref="Q45:T45"/>
    <mergeCell ref="D44:F44"/>
    <mergeCell ref="G44:H44"/>
    <mergeCell ref="I44:K44"/>
    <mergeCell ref="L44:P44"/>
    <mergeCell ref="Q44:T44"/>
    <mergeCell ref="U44:V44"/>
    <mergeCell ref="D43:F43"/>
    <mergeCell ref="G43:H43"/>
    <mergeCell ref="I43:K43"/>
    <mergeCell ref="L43:P43"/>
    <mergeCell ref="Q43:T43"/>
    <mergeCell ref="U43:V43"/>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B37:D37"/>
    <mergeCell ref="E37:F37"/>
    <mergeCell ref="H37:J37"/>
    <mergeCell ref="K37:L37"/>
    <mergeCell ref="M37:O37"/>
    <mergeCell ref="Q37:S37"/>
    <mergeCell ref="B36:D36"/>
    <mergeCell ref="E36:F36"/>
    <mergeCell ref="H36:J36"/>
    <mergeCell ref="K36:L36"/>
    <mergeCell ref="M36:O36"/>
    <mergeCell ref="Q36:S36"/>
    <mergeCell ref="B34:D34"/>
    <mergeCell ref="H34:J34"/>
    <mergeCell ref="K34:L34"/>
    <mergeCell ref="M34:O34"/>
    <mergeCell ref="Q34:S34"/>
    <mergeCell ref="B35:D35"/>
    <mergeCell ref="H35:J35"/>
    <mergeCell ref="K35:L35"/>
    <mergeCell ref="M35:O35"/>
    <mergeCell ref="Q35:S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8594"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38594" r:id="rId3" name="Label1"/>
      </mc:Fallback>
    </mc:AlternateContent>
    <mc:AlternateContent xmlns:mc="http://schemas.openxmlformats.org/markup-compatibility/2006">
      <mc:Choice Requires="x14">
        <control shapeId="238593"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38593" r:id="rId5" name="ComboBox13"/>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4EAA1-107D-4BE2-97F8-74E60B2045EE}">
  <sheetPr codeName="Planilha18">
    <tabColor theme="6" tint="0.39997558519241921"/>
  </sheetPr>
  <dimension ref="B6:W48"/>
  <sheetViews>
    <sheetView showGridLines="0" zoomScaleNormal="100" workbookViewId="0">
      <selection activeCell="A18" sqref="A18:XFD2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23.8867187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3" ht="18.75" customHeight="1">
      <c r="B6" s="1044" t="s">
        <v>343</v>
      </c>
      <c r="C6" s="1044"/>
      <c r="D6" s="1044"/>
      <c r="E6" s="70" t="s">
        <v>307</v>
      </c>
    </row>
    <row r="7" spans="2:23" ht="12.75" customHeight="1">
      <c r="B7" s="71"/>
      <c r="C7" s="71"/>
      <c r="D7" s="71"/>
      <c r="E7" s="71"/>
      <c r="F7" s="71"/>
      <c r="G7" s="71"/>
      <c r="H7" s="71"/>
      <c r="I7" s="71"/>
      <c r="J7" s="71"/>
      <c r="K7" s="71"/>
      <c r="L7" s="71"/>
      <c r="M7" s="71"/>
      <c r="N7" s="71"/>
      <c r="O7" s="71"/>
      <c r="P7" s="71"/>
      <c r="Q7" s="71"/>
      <c r="R7" s="71"/>
      <c r="S7" s="71"/>
      <c r="T7" s="71"/>
      <c r="U7" s="71"/>
      <c r="V7" s="71"/>
      <c r="W7" s="990" t="s">
        <v>1417</v>
      </c>
    </row>
    <row r="8" spans="2:23" ht="12.75" customHeight="1">
      <c r="B8" s="71"/>
      <c r="C8" s="1045" t="s">
        <v>303</v>
      </c>
      <c r="D8" s="1045"/>
      <c r="E8" s="1046"/>
      <c r="F8" s="71"/>
      <c r="G8" s="71"/>
      <c r="H8" s="1039" t="s">
        <v>344</v>
      </c>
      <c r="I8" s="1039"/>
      <c r="J8" s="1040">
        <f>U28</f>
        <v>0</v>
      </c>
      <c r="K8" s="1040"/>
      <c r="L8" s="1040"/>
      <c r="M8" s="448"/>
      <c r="N8" s="447"/>
      <c r="O8" s="1047" t="s">
        <v>345</v>
      </c>
      <c r="P8" s="1047"/>
      <c r="Q8" s="1047"/>
      <c r="R8" s="1047"/>
      <c r="S8" s="1047"/>
      <c r="T8" s="1047"/>
      <c r="U8" s="1048" t="s">
        <v>346</v>
      </c>
      <c r="V8" s="1047"/>
    </row>
    <row r="9" spans="2:23" ht="12.75" customHeight="1">
      <c r="B9" s="71"/>
      <c r="C9" s="446"/>
      <c r="D9" s="446"/>
      <c r="E9" s="1038">
        <f>J8+J9+J10</f>
        <v>0</v>
      </c>
      <c r="F9" s="71"/>
      <c r="G9" s="71"/>
      <c r="H9" s="1039" t="s">
        <v>347</v>
      </c>
      <c r="I9" s="1039"/>
      <c r="J9" s="1040">
        <f>V38</f>
        <v>0</v>
      </c>
      <c r="K9" s="1040"/>
      <c r="L9" s="1040"/>
      <c r="M9" s="449"/>
      <c r="N9" s="402"/>
      <c r="O9" s="1041"/>
      <c r="P9" s="1041"/>
      <c r="Q9" s="1041"/>
      <c r="R9" s="1041"/>
      <c r="S9" s="1041"/>
      <c r="T9" s="1041"/>
      <c r="U9" s="1042">
        <f>E9*O9</f>
        <v>0</v>
      </c>
      <c r="V9" s="1043"/>
    </row>
    <row r="10" spans="2:23" ht="12.75" customHeight="1">
      <c r="B10" s="73"/>
      <c r="C10" s="446"/>
      <c r="D10" s="446"/>
      <c r="E10" s="1038"/>
      <c r="F10" s="71"/>
      <c r="G10" s="71"/>
      <c r="H10" s="1039" t="s">
        <v>348</v>
      </c>
      <c r="I10" s="1039"/>
      <c r="J10" s="1040">
        <f>Q48</f>
        <v>0</v>
      </c>
      <c r="K10" s="1040"/>
      <c r="L10" s="1040"/>
      <c r="M10" s="449"/>
      <c r="N10" s="402"/>
      <c r="O10" s="1041"/>
      <c r="P10" s="1041"/>
      <c r="Q10" s="1041"/>
      <c r="R10" s="1041"/>
      <c r="S10" s="1041"/>
      <c r="T10" s="1041"/>
      <c r="U10" s="1042"/>
      <c r="V10" s="1043"/>
    </row>
    <row r="11" spans="2:23" ht="12.75" customHeight="1">
      <c r="B11" s="71"/>
      <c r="C11" s="71"/>
      <c r="D11" s="71"/>
      <c r="E11" s="71"/>
      <c r="F11" s="71"/>
      <c r="G11" s="71"/>
      <c r="H11" s="71"/>
      <c r="I11" s="71"/>
      <c r="J11" s="71"/>
      <c r="K11" s="71"/>
      <c r="L11" s="71"/>
      <c r="M11" s="71"/>
      <c r="N11" s="71"/>
      <c r="O11" s="71"/>
      <c r="P11" s="71"/>
      <c r="Q11" s="71"/>
      <c r="R11" s="71"/>
      <c r="S11" s="71"/>
      <c r="T11" s="71"/>
      <c r="U11" s="71"/>
      <c r="V11" s="71"/>
    </row>
    <row r="13" spans="2:23"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3"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3"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3" ht="15" customHeight="1">
      <c r="B16" s="74" t="str">
        <f>F16</f>
        <v>P0030</v>
      </c>
      <c r="C16" s="199" t="s">
        <v>402</v>
      </c>
      <c r="D16" s="75"/>
      <c r="E16" s="198" t="s">
        <v>432</v>
      </c>
      <c r="F16" s="198" t="str">
        <f>VLOOKUP(E16,'MÃO DE OBRA'!$A:$B,2,FALSE)</f>
        <v>P0030</v>
      </c>
      <c r="G16" s="186"/>
      <c r="H16" s="1049">
        <f>IF(D16="h",VLOOKUP(B16,'MÃO DE OBRA'!$B$3:$D$97,3,0)*220,VLOOKUP(B16,'MÃO DE OBRA'!$B$3:$D$97,3,0))</f>
        <v>12000</v>
      </c>
      <c r="I16" s="1050"/>
      <c r="J16" s="76"/>
      <c r="K16" s="1051">
        <f>IF(J16="",0,IF(J16="D",H16*DADOS!$D$18,H16*DADOS!$D$19))</f>
        <v>0</v>
      </c>
      <c r="L16" s="1052"/>
      <c r="M16" s="1053"/>
      <c r="N16" s="186" t="s">
        <v>404</v>
      </c>
      <c r="O16" s="1051">
        <f>IF(N16="C",(DADOS!$E$9+DADOS!$E$10)*30,IF(N16="J",(DADOS!$E$9+DADOS!$E$10+DADOS!$E$11)*30,IF(C16="PJ",DADOS!$E$12,0)))+DADOS!$E$24+DADOS!$E$25+DADOS!$E$26</f>
        <v>1020</v>
      </c>
      <c r="P16" s="1052"/>
      <c r="Q16" s="1052"/>
      <c r="R16" s="1053"/>
      <c r="S16" s="1054">
        <f>IF(G16="",0,IF(C16="3º",0,IF(C16="PJ",0,((H16+K16)*DADOS!$D$7)+((H16+K16)*DADOS!$D$6))))</f>
        <v>0</v>
      </c>
      <c r="T16" s="1054"/>
      <c r="U16" s="450">
        <f t="shared" ref="U16:U27" si="0">IF(G16="",0,SUM(H16,K16,,O16,V16,S16))</f>
        <v>0</v>
      </c>
      <c r="V16" s="451"/>
    </row>
    <row r="17" spans="2:22" ht="13.8">
      <c r="B17" s="75" t="str">
        <f>F17</f>
        <v>P0009</v>
      </c>
      <c r="C17" s="199"/>
      <c r="D17" s="75"/>
      <c r="E17" s="77" t="s">
        <v>433</v>
      </c>
      <c r="F17" s="198" t="str">
        <f>VLOOKUP(E17,'MÃO DE OBRA'!$A:$B,2,FALSE)</f>
        <v>P0009</v>
      </c>
      <c r="G17" s="186"/>
      <c r="H17" s="1049">
        <f>IF(D17="h",VLOOKUP(B17,'MÃO DE OBRA'!$B$3:$D$97,3,0)*220,VLOOKUP(B17,'MÃO DE OBRA'!$B$3:$D$97,3,0))</f>
        <v>1674.2</v>
      </c>
      <c r="I17" s="1050"/>
      <c r="J17" s="76" t="s">
        <v>354</v>
      </c>
      <c r="K17" s="1051">
        <f>IF(J17="",0,IF(J17="D",H17*DADOS!$D$18,H17*DADOS!$D$19))</f>
        <v>418.55</v>
      </c>
      <c r="L17" s="1052"/>
      <c r="M17" s="1053"/>
      <c r="N17" s="186" t="s">
        <v>404</v>
      </c>
      <c r="O17" s="1051">
        <f>IF(N17="C",(DADOS!$E$9+DADOS!$E$10)*30,IF(N17="J",(DADOS!$E$9+DADOS!$E$10+DADOS!$E$11)*30,IF(C17="PJ",DADOS!$E$12,0)))+DADOS!$E$24+DADOS!$E$25+DADOS!$E$26</f>
        <v>1020</v>
      </c>
      <c r="P17" s="1052"/>
      <c r="Q17" s="1052"/>
      <c r="R17" s="1053"/>
      <c r="S17" s="1054">
        <f>IF(G17="",0,IF(C17="3º",0,IF(C17="PJ",0,((H17+K17)*DADOS!$D$7)+((H17+K17)*DADOS!$D$6))))</f>
        <v>0</v>
      </c>
      <c r="T17" s="1054"/>
      <c r="U17" s="450">
        <f t="shared" si="0"/>
        <v>0</v>
      </c>
      <c r="V17" s="451"/>
    </row>
    <row r="18" spans="2:22" ht="12.75" hidden="1" customHeight="1">
      <c r="B18" s="75">
        <f>F18</f>
        <v>0</v>
      </c>
      <c r="C18" s="199" t="s">
        <v>402</v>
      </c>
      <c r="D18" s="75"/>
      <c r="E18" s="77"/>
      <c r="F18" s="198"/>
      <c r="G18" s="186"/>
      <c r="H18" s="1049"/>
      <c r="I18" s="1050"/>
      <c r="J18" s="76" t="s">
        <v>354</v>
      </c>
      <c r="K18" s="1051">
        <f>IF(J18="",0,IF(J18="D",H18*DADOS!$D$18,H18*DADOS!$D$19))</f>
        <v>0</v>
      </c>
      <c r="L18" s="1052"/>
      <c r="M18" s="1053"/>
      <c r="N18" s="186" t="s">
        <v>404</v>
      </c>
      <c r="O18" s="1051">
        <f>IF(N18="C",(DADOS!$E$9+DADOS!$E$10)*25,IF(N18="J",(DADOS!$E$9+DADOS!$E$10+DADOS!$E$11)*25,IF(C18="PJ",DADOS!$E$12,0)))</f>
        <v>250</v>
      </c>
      <c r="P18" s="1052"/>
      <c r="Q18" s="1052"/>
      <c r="R18" s="1053"/>
      <c r="S18" s="1054">
        <f>IF(G18="",0,IF(C18="3º",0,IF(C18="PJ",0,((H18+K18)*DADOS!$D$7)+((H18+K18)*DADOS!$D$6))))</f>
        <v>0</v>
      </c>
      <c r="T18" s="1054"/>
      <c r="U18" s="450">
        <f t="shared" si="0"/>
        <v>0</v>
      </c>
      <c r="V18" s="451"/>
    </row>
    <row r="19" spans="2:22" ht="12.75" hidden="1" customHeight="1">
      <c r="B19" s="75">
        <f>F19</f>
        <v>0</v>
      </c>
      <c r="C19" s="199" t="s">
        <v>402</v>
      </c>
      <c r="D19" s="75"/>
      <c r="E19" s="198"/>
      <c r="F19" s="198"/>
      <c r="G19" s="186"/>
      <c r="H19" s="1049"/>
      <c r="I19" s="1050"/>
      <c r="J19" s="76" t="s">
        <v>354</v>
      </c>
      <c r="K19" s="1051">
        <f>IF(J19="",0,IF(J19="D",H19*DADOS!$D$18,H19*DADOS!$D$19))</f>
        <v>0</v>
      </c>
      <c r="L19" s="1052"/>
      <c r="M19" s="1053"/>
      <c r="N19" s="186" t="s">
        <v>404</v>
      </c>
      <c r="O19" s="1051">
        <f>IF(N19="C",(DADOS!$E$9+DADOS!$E$10)*25,IF(N19="J",(DADOS!$E$9+DADOS!$E$10+DADOS!$E$11)*25,IF(C19="PJ",DADOS!$E$12,0)))</f>
        <v>250</v>
      </c>
      <c r="P19" s="1052"/>
      <c r="Q19" s="1052"/>
      <c r="R19" s="1053"/>
      <c r="S19" s="1054">
        <f>IF(G19="",0,IF(C19="3º",0,IF(C19="PJ",0,((H19+K19)*DADOS!$D$7)+((H19+K19)*DADOS!$D$6))))</f>
        <v>0</v>
      </c>
      <c r="T19" s="1054"/>
      <c r="U19" s="450">
        <f t="shared" si="0"/>
        <v>0</v>
      </c>
      <c r="V19" s="451"/>
    </row>
    <row r="20" spans="2:22" ht="13.8" hidden="1">
      <c r="B20" s="75"/>
      <c r="C20" s="199"/>
      <c r="D20" s="75"/>
      <c r="E20" s="198"/>
      <c r="F20" s="198"/>
      <c r="G20" s="186"/>
      <c r="H20" s="1049"/>
      <c r="I20" s="1050"/>
      <c r="J20" s="76"/>
      <c r="K20" s="1051">
        <f>IF(J20="",0,IF(J20="D",H20*DADOS!$D$18,H20*DADOS!$D$19))</f>
        <v>0</v>
      </c>
      <c r="L20" s="1052"/>
      <c r="M20" s="1053"/>
      <c r="N20" s="186"/>
      <c r="O20" s="1051">
        <f>IF(N20="C",(DADOS!$E$9+DADOS!$E$10)*25,IF(N20="J",(DADOS!$E$9+DADOS!$E$10+DADOS!$E$11)*25,IF(C20="PJ",DADOS!$E$12,0)))</f>
        <v>0</v>
      </c>
      <c r="P20" s="1052"/>
      <c r="Q20" s="1052"/>
      <c r="R20" s="1053"/>
      <c r="S20" s="1054">
        <f>IF(G20="",0,IF(C20="3º",0,IF(C20="PJ",0,((H20+K20)*DADOS!$D$7)+((H20+K20)*DADOS!$D$6))))</f>
        <v>0</v>
      </c>
      <c r="T20" s="1054"/>
      <c r="U20" s="450">
        <f t="shared" si="0"/>
        <v>0</v>
      </c>
      <c r="V20" s="451"/>
    </row>
    <row r="21" spans="2:22" ht="12.75" hidden="1" customHeight="1">
      <c r="B21" s="75"/>
      <c r="C21" s="199"/>
      <c r="D21" s="75"/>
      <c r="E21" s="198"/>
      <c r="F21" s="198"/>
      <c r="G21" s="186"/>
      <c r="H21" s="1049"/>
      <c r="I21" s="1050"/>
      <c r="J21" s="76"/>
      <c r="K21" s="1051">
        <f>IF(J21="",0,IF(J21="D",H21*DADOS!$D$18,H21*DADOS!$D$19))</f>
        <v>0</v>
      </c>
      <c r="L21" s="1052"/>
      <c r="M21" s="1053"/>
      <c r="N21" s="186"/>
      <c r="O21" s="1051">
        <f>IF(N21="C",(DADOS!$E$9+DADOS!$E$10)*25,IF(N21="J",(DADOS!$E$9+DADOS!$E$10+DADOS!$E$11)*25,IF(C21="PJ",DADOS!$E$12,0)))</f>
        <v>0</v>
      </c>
      <c r="P21" s="1052"/>
      <c r="Q21" s="1052"/>
      <c r="R21" s="1053"/>
      <c r="S21" s="1054">
        <f>IF(G21="",0,IF(C21="3º",0,IF(C21="PJ",0,((H21+K21)*DADOS!$D$7)+((H21+K21)*DADOS!$D$6))))</f>
        <v>0</v>
      </c>
      <c r="T21" s="1054"/>
      <c r="U21" s="450">
        <f t="shared" si="0"/>
        <v>0</v>
      </c>
      <c r="V21" s="451"/>
    </row>
    <row r="22" spans="2:22" ht="12.75" hidden="1" customHeight="1">
      <c r="B22" s="75"/>
      <c r="C22" s="199"/>
      <c r="D22" s="75"/>
      <c r="E22" s="198"/>
      <c r="F22" s="198"/>
      <c r="G22" s="186"/>
      <c r="H22" s="1049"/>
      <c r="I22" s="1050"/>
      <c r="J22" s="76"/>
      <c r="K22" s="1051">
        <f>IF(J22="",0,IF(J22="D",H22*DADOS!$D$18,H22*DADOS!$D$19))</f>
        <v>0</v>
      </c>
      <c r="L22" s="1052"/>
      <c r="M22" s="1053"/>
      <c r="N22" s="186"/>
      <c r="O22" s="1051">
        <f>IF(N22="C",(DADOS!$E$9+DADOS!$E$10)*25,IF(N22="J",(DADOS!$E$9+DADOS!$E$10+DADOS!$E$11)*25,IF(C22="PJ",DADOS!$E$12,0)))</f>
        <v>0</v>
      </c>
      <c r="P22" s="1052"/>
      <c r="Q22" s="1052"/>
      <c r="R22" s="1053"/>
      <c r="S22" s="1054">
        <f>IF(G22="",0,IF(C22="3º",0,IF(C22="PJ",0,((H22+K22)*DADOS!$D$7)+((H22+K22)*DADOS!$D$6))))</f>
        <v>0</v>
      </c>
      <c r="T22" s="1054"/>
      <c r="U22" s="450">
        <f t="shared" si="0"/>
        <v>0</v>
      </c>
      <c r="V22" s="451"/>
    </row>
    <row r="23" spans="2:22" ht="12.75" hidden="1" customHeight="1">
      <c r="B23" s="75"/>
      <c r="C23" s="199"/>
      <c r="D23" s="75"/>
      <c r="E23" s="198"/>
      <c r="F23" s="198"/>
      <c r="G23" s="186"/>
      <c r="H23" s="1049"/>
      <c r="I23" s="1050"/>
      <c r="J23" s="76"/>
      <c r="K23" s="1051">
        <f>IF(J23="",0,IF(J23="D",H23*DADOS!$D$18,H23*DADOS!$D$19))</f>
        <v>0</v>
      </c>
      <c r="L23" s="1052"/>
      <c r="M23" s="1053"/>
      <c r="N23" s="186"/>
      <c r="O23" s="1051">
        <f>IF(N23="C",(DADOS!$E$9+DADOS!$E$10)*25,IF(N23="J",(DADOS!$E$9+DADOS!$E$10+DADOS!$E$11)*25,IF(C23="PJ",DADOS!$E$12,0)))</f>
        <v>0</v>
      </c>
      <c r="P23" s="1052"/>
      <c r="Q23" s="1052"/>
      <c r="R23" s="1053"/>
      <c r="S23" s="1054">
        <f>IF(G23="",0,IF(C23="3º",0,IF(C23="PJ",0,((H23+K23)*DADOS!$D$7)+((H23+K23)*DADOS!$D$6))))</f>
        <v>0</v>
      </c>
      <c r="T23" s="1054"/>
      <c r="U23" s="450">
        <f t="shared" si="0"/>
        <v>0</v>
      </c>
      <c r="V23" s="451"/>
    </row>
    <row r="24" spans="2:22" ht="12.75" hidden="1" customHeight="1">
      <c r="B24" s="75"/>
      <c r="C24" s="199"/>
      <c r="D24" s="75"/>
      <c r="E24" s="198"/>
      <c r="F24" s="198"/>
      <c r="G24" s="186"/>
      <c r="H24" s="1049"/>
      <c r="I24" s="1050"/>
      <c r="J24" s="76"/>
      <c r="K24" s="1051">
        <f>IF(J24="",0,IF(J24="D",H24*DADOS!$D$18,H24*DADOS!$D$19))</f>
        <v>0</v>
      </c>
      <c r="L24" s="1052"/>
      <c r="M24" s="1053"/>
      <c r="N24" s="186"/>
      <c r="O24" s="1051">
        <f>IF(N24="C",(DADOS!$E$9+DADOS!$E$10)*25,IF(N24="J",(DADOS!$E$9+DADOS!$E$10+DADOS!$E$11)*25,IF(C24="PJ",DADOS!$E$12,0)))</f>
        <v>0</v>
      </c>
      <c r="P24" s="1052"/>
      <c r="Q24" s="1052"/>
      <c r="R24" s="1053"/>
      <c r="S24" s="1054">
        <f>IF(G24="",0,IF(C24="3º",0,IF(C24="PJ",0,((H24+K24)*DADOS!$D$7)+((H24+K24)*DADOS!$D$6))))</f>
        <v>0</v>
      </c>
      <c r="T24" s="1054"/>
      <c r="U24" s="450">
        <f t="shared" si="0"/>
        <v>0</v>
      </c>
      <c r="V24" s="451"/>
    </row>
    <row r="25" spans="2:22" ht="12.75" hidden="1" customHeight="1">
      <c r="B25" s="75"/>
      <c r="C25" s="199"/>
      <c r="D25" s="75"/>
      <c r="E25" s="198"/>
      <c r="F25" s="198"/>
      <c r="G25" s="186"/>
      <c r="H25" s="1049"/>
      <c r="I25" s="1050"/>
      <c r="J25" s="76"/>
      <c r="K25" s="1051">
        <f>IF(J25="",0,IF(J25="D",H25*DADOS!$D$18,H25*DADOS!$D$19))</f>
        <v>0</v>
      </c>
      <c r="L25" s="1052"/>
      <c r="M25" s="1053"/>
      <c r="N25" s="186"/>
      <c r="O25" s="1051">
        <f>IF(N25="C",(DADOS!$E$9+DADOS!$E$10)*25,IF(N25="J",(DADOS!$E$9+DADOS!$E$10+DADOS!$E$11)*25,IF(C25="PJ",DADOS!$E$12,0)))</f>
        <v>0</v>
      </c>
      <c r="P25" s="1052"/>
      <c r="Q25" s="1052"/>
      <c r="R25" s="1053"/>
      <c r="S25" s="1054">
        <f>IF(G25="",0,IF(C25="3º",0,IF(C25="PJ",0,((H25+K25)*DADOS!$D$7)+((H25+K25)*DADOS!$D$6))))</f>
        <v>0</v>
      </c>
      <c r="T25" s="1054"/>
      <c r="U25" s="450">
        <f t="shared" si="0"/>
        <v>0</v>
      </c>
      <c r="V25" s="451"/>
    </row>
    <row r="26" spans="2:22" ht="13.8" hidden="1">
      <c r="B26" s="75"/>
      <c r="C26" s="199"/>
      <c r="D26" s="75"/>
      <c r="E26" s="198"/>
      <c r="F26" s="198"/>
      <c r="G26" s="186"/>
      <c r="H26" s="1049"/>
      <c r="I26" s="1050"/>
      <c r="J26" s="76"/>
      <c r="K26" s="1051">
        <f>IF(J26="",0,IF(J26="D",H26*DADOS!$D$18,H26*DADOS!$D$19))</f>
        <v>0</v>
      </c>
      <c r="L26" s="1052"/>
      <c r="M26" s="1053"/>
      <c r="N26" s="186"/>
      <c r="O26" s="1051">
        <f>IF(N26="C",(DADOS!$E$9+DADOS!$E$10)*25,IF(N26="J",(DADOS!$E$9+DADOS!$E$10+DADOS!$E$11)*25,IF(C26="PJ",DADOS!$E$12,0)))</f>
        <v>0</v>
      </c>
      <c r="P26" s="1052"/>
      <c r="Q26" s="1052"/>
      <c r="R26" s="1053"/>
      <c r="S26" s="1054">
        <f>IF(G26="",0,IF(C26="3º",0,IF(C26="PJ",0,((H26+K26)*DADOS!$D$7)+((H26+K26)*DADOS!$D$6))))</f>
        <v>0</v>
      </c>
      <c r="T26" s="1054"/>
      <c r="U26" s="450">
        <f t="shared" si="0"/>
        <v>0</v>
      </c>
      <c r="V26" s="451"/>
    </row>
    <row r="27" spans="2:22" ht="13.8" hidden="1">
      <c r="B27" s="445"/>
      <c r="C27" s="197"/>
      <c r="D27" s="78"/>
      <c r="E27" s="196"/>
      <c r="F27" s="198"/>
      <c r="G27" s="431"/>
      <c r="H27" s="1070"/>
      <c r="I27" s="1071"/>
      <c r="J27" s="79"/>
      <c r="K27" s="1072">
        <f>IF(J27="",0,IF(J27="D",H27*DADOS!$D$18,H27*DADOS!$D$19))</f>
        <v>0</v>
      </c>
      <c r="L27" s="1073"/>
      <c r="M27" s="1074"/>
      <c r="N27" s="186"/>
      <c r="O27" s="1051">
        <f>IF(N27="C",(DADOS!$E$9+DADOS!$E$10)*25,IF(N27="J",(DADOS!$E$9+DADOS!$E$10+DADOS!$E$11)*25,IF(C27="PJ",DADOS!$E$12,0)))</f>
        <v>0</v>
      </c>
      <c r="P27" s="1052"/>
      <c r="Q27" s="1052"/>
      <c r="R27" s="1053"/>
      <c r="S27" s="1054">
        <f>IF(G27="",0,IF(C27="3º",0,IF(C27="PJ",0,((H27+K27)*DADOS!$D$7)+((H27+K27)*DADOS!$D$6))))</f>
        <v>0</v>
      </c>
      <c r="T27" s="1054"/>
      <c r="U27" s="450">
        <f t="shared" si="0"/>
        <v>0</v>
      </c>
      <c r="V27" s="451"/>
    </row>
    <row r="28" spans="2:22" ht="13.8">
      <c r="B28" s="1064"/>
      <c r="C28" s="1065"/>
      <c r="D28" s="1066" t="s">
        <v>175</v>
      </c>
      <c r="E28" s="1066"/>
      <c r="F28" s="1066"/>
      <c r="G28" s="818">
        <f>SUM(G16:G27)</f>
        <v>0</v>
      </c>
      <c r="H28" s="1067">
        <f>SUMPRODUCT($G$16:$G$27,H16:H27)</f>
        <v>0</v>
      </c>
      <c r="I28" s="1068"/>
      <c r="J28" s="1067">
        <f>SUMPRODUCT($G$16:$G$27,K16:K27)</f>
        <v>0</v>
      </c>
      <c r="K28" s="1068"/>
      <c r="L28" s="1068"/>
      <c r="M28" s="1069"/>
      <c r="N28" s="1067">
        <f>SUMPRODUCT($G$16:$G$27,O16:O27)</f>
        <v>0</v>
      </c>
      <c r="O28" s="1068"/>
      <c r="P28" s="1068"/>
      <c r="Q28" s="1068"/>
      <c r="R28" s="1069"/>
      <c r="S28" s="1067">
        <f>SUMPRODUCT($G$16:$G$27,S16:S27)</f>
        <v>0</v>
      </c>
      <c r="T28" s="1069"/>
      <c r="U28" s="453">
        <f>SUMPRODUCT($G$16:$G$27,U16:U27)</f>
        <v>0</v>
      </c>
      <c r="V28" s="452"/>
    </row>
    <row r="30" spans="2:22" ht="12.75" hidden="1" customHeight="1">
      <c r="B30" s="1055" t="s">
        <v>347</v>
      </c>
      <c r="C30" s="1055"/>
      <c r="D30" s="1055"/>
      <c r="E30" s="1055"/>
      <c r="F30" s="1055"/>
      <c r="G30" s="1055"/>
      <c r="H30" s="1055"/>
      <c r="I30" s="1055"/>
      <c r="J30" s="1055"/>
      <c r="K30" s="1055"/>
      <c r="L30" s="1055"/>
      <c r="M30" s="1055"/>
      <c r="N30" s="1055"/>
      <c r="O30" s="1055"/>
      <c r="P30" s="1055"/>
      <c r="Q30" s="1055"/>
      <c r="R30" s="1055"/>
      <c r="S30" s="1055"/>
      <c r="T30" s="1055"/>
      <c r="U30" s="1055"/>
      <c r="V30" s="1055"/>
    </row>
    <row r="31" spans="2:22" ht="12.75" hidden="1" customHeight="1">
      <c r="B31" s="1056" t="s">
        <v>357</v>
      </c>
      <c r="C31" s="1088"/>
      <c r="D31" s="1088"/>
      <c r="E31" s="1088" t="s">
        <v>358</v>
      </c>
      <c r="F31" s="1088"/>
      <c r="G31" s="1089" t="s">
        <v>350</v>
      </c>
      <c r="H31" s="1056" t="s">
        <v>359</v>
      </c>
      <c r="I31" s="1088"/>
      <c r="J31" s="1057"/>
      <c r="K31" s="1089" t="s">
        <v>360</v>
      </c>
      <c r="L31" s="1091"/>
      <c r="M31" s="1091"/>
      <c r="N31" s="1091"/>
      <c r="O31" s="1092"/>
      <c r="P31" s="1056" t="s">
        <v>361</v>
      </c>
      <c r="Q31" s="1088"/>
      <c r="R31" s="1088"/>
      <c r="S31" s="1088"/>
      <c r="T31" s="1095" t="s">
        <v>362</v>
      </c>
      <c r="U31" s="1092" t="s">
        <v>363</v>
      </c>
      <c r="V31" s="1062" t="s">
        <v>364</v>
      </c>
    </row>
    <row r="32" spans="2:22" ht="13.8" hidden="1">
      <c r="B32" s="1058"/>
      <c r="C32" s="1075"/>
      <c r="D32" s="1075"/>
      <c r="E32" s="1075"/>
      <c r="F32" s="1075"/>
      <c r="G32" s="1090"/>
      <c r="H32" s="1058"/>
      <c r="I32" s="1075"/>
      <c r="J32" s="1059"/>
      <c r="K32" s="1090"/>
      <c r="L32" s="1093"/>
      <c r="M32" s="1093"/>
      <c r="N32" s="1093"/>
      <c r="O32" s="1094"/>
      <c r="P32" s="1058" t="s">
        <v>365</v>
      </c>
      <c r="Q32" s="1075"/>
      <c r="R32" s="1075"/>
      <c r="S32" s="1075"/>
      <c r="T32" s="1096"/>
      <c r="U32" s="1094"/>
      <c r="V32" s="1063"/>
    </row>
    <row r="33" spans="2:22" ht="13.8" hidden="1">
      <c r="B33" s="1076" t="str">
        <f>F33</f>
        <v>E0038</v>
      </c>
      <c r="C33" s="1077"/>
      <c r="D33" s="1078"/>
      <c r="E33" s="200" t="s">
        <v>1335</v>
      </c>
      <c r="F33" s="198" t="str">
        <f>VLOOKUP($E33,EQUIPAMENTOS!$A:$B,2,FALSE)</f>
        <v>E0038</v>
      </c>
      <c r="G33" s="433"/>
      <c r="H33" s="1079">
        <f>VLOOKUP($B33,EQUIPAMENTOS!$B$3:$N$99,9,0)*200</f>
        <v>8000</v>
      </c>
      <c r="I33" s="1080"/>
      <c r="J33" s="1081"/>
      <c r="K33" s="1082" t="s">
        <v>370</v>
      </c>
      <c r="L33" s="1083"/>
      <c r="M33" s="1084">
        <f>100*25</f>
        <v>2500</v>
      </c>
      <c r="N33" s="1084"/>
      <c r="O33" s="1084"/>
      <c r="P33" s="80" t="s">
        <v>368</v>
      </c>
      <c r="Q33" s="1085">
        <f>VLOOKUP($B33,EQUIPAMENTOS!$B$3:$N$99,13,0)</f>
        <v>9</v>
      </c>
      <c r="R33" s="1086"/>
      <c r="S33" s="1087"/>
      <c r="T33" s="436">
        <f>IF(Q33="","",IF(K33="km",M33/Q33,100*Q33)*INDEX(DADOS!$1:$1048576,MATCH(P33,DADOS!D:D,0),5))</f>
        <v>0</v>
      </c>
      <c r="U33" s="202">
        <f>SUM(H33,T33)</f>
        <v>8000</v>
      </c>
      <c r="V33" s="203">
        <f>G33*U33</f>
        <v>0</v>
      </c>
    </row>
    <row r="34" spans="2:22" ht="13.8" hidden="1">
      <c r="B34" s="1097">
        <f>F34</f>
        <v>0</v>
      </c>
      <c r="C34" s="1098"/>
      <c r="D34" s="1099"/>
      <c r="E34" s="200"/>
      <c r="F34" s="198"/>
      <c r="G34" s="434"/>
      <c r="H34" s="1100"/>
      <c r="I34" s="1101"/>
      <c r="J34" s="1101"/>
      <c r="K34" s="1082" t="s">
        <v>367</v>
      </c>
      <c r="L34" s="1083"/>
      <c r="M34" s="1084"/>
      <c r="N34" s="1084"/>
      <c r="O34" s="1084"/>
      <c r="P34" s="80"/>
      <c r="Q34" s="1085"/>
      <c r="R34" s="1086"/>
      <c r="S34" s="1087"/>
      <c r="T34" s="436" t="str">
        <f>IF(Q34="","",IF(K34="km",#REF!/Q34,100*Q34)*INDEX(DADOS!$1:$1048576,MATCH(P34,DADOS!D:D,0),5))</f>
        <v/>
      </c>
      <c r="U34" s="202">
        <f>SUM(H34,T34)</f>
        <v>0</v>
      </c>
      <c r="V34" s="436">
        <f>U34*G34</f>
        <v>0</v>
      </c>
    </row>
    <row r="35" spans="2:22" ht="13.8" hidden="1">
      <c r="B35" s="1097">
        <f>F35</f>
        <v>0</v>
      </c>
      <c r="C35" s="1098"/>
      <c r="D35" s="1099"/>
      <c r="E35" s="200"/>
      <c r="F35" s="198"/>
      <c r="G35" s="434"/>
      <c r="H35" s="1100"/>
      <c r="I35" s="1101"/>
      <c r="J35" s="1101"/>
      <c r="K35" s="1082" t="s">
        <v>367</v>
      </c>
      <c r="L35" s="1083"/>
      <c r="M35" s="1084"/>
      <c r="N35" s="1084"/>
      <c r="O35" s="1084"/>
      <c r="P35" s="80"/>
      <c r="Q35" s="1085"/>
      <c r="R35" s="1086"/>
      <c r="S35" s="1087"/>
      <c r="T35" s="436" t="str">
        <f>IF(Q35="","",IF(K35="km",#REF!/Q35,100*Q35)*INDEX(DADOS!$1:$1048576,MATCH(P35,DADOS!D:D,0),5))</f>
        <v/>
      </c>
      <c r="U35" s="202">
        <f>SUM(H35,T35)</f>
        <v>0</v>
      </c>
      <c r="V35" s="436">
        <f>U35*G35</f>
        <v>0</v>
      </c>
    </row>
    <row r="36" spans="2:22" ht="13.8" hidden="1">
      <c r="B36" s="1097"/>
      <c r="C36" s="1098"/>
      <c r="D36" s="1099"/>
      <c r="E36" s="1110"/>
      <c r="F36" s="1111"/>
      <c r="G36" s="434"/>
      <c r="H36" s="1101"/>
      <c r="I36" s="1101"/>
      <c r="J36" s="1101"/>
      <c r="K36" s="1082"/>
      <c r="L36" s="1083"/>
      <c r="M36" s="1084"/>
      <c r="N36" s="1084"/>
      <c r="O36" s="1084"/>
      <c r="P36" s="80"/>
      <c r="Q36" s="1085"/>
      <c r="R36" s="1086"/>
      <c r="S36" s="1087"/>
      <c r="T36" s="436" t="str">
        <f>IF(Q36="","",IF(K36="km",#REF!/Q36,100*Q36)*INDEX(DADOS!$1:$1048576,MATCH(P36,DADOS!D:D,0),5))</f>
        <v/>
      </c>
      <c r="U36" s="202">
        <f>SUM(H36,T36)</f>
        <v>0</v>
      </c>
      <c r="V36" s="436"/>
    </row>
    <row r="37" spans="2:22" ht="13.8" hidden="1">
      <c r="B37" s="1102"/>
      <c r="C37" s="1103"/>
      <c r="D37" s="1104"/>
      <c r="E37" s="1105"/>
      <c r="F37" s="1106"/>
      <c r="G37" s="432"/>
      <c r="H37" s="1107"/>
      <c r="I37" s="1107"/>
      <c r="J37" s="1107"/>
      <c r="K37" s="1108"/>
      <c r="L37" s="1107"/>
      <c r="M37" s="1109"/>
      <c r="N37" s="1109"/>
      <c r="O37" s="1109"/>
      <c r="P37" s="81"/>
      <c r="Q37" s="1085"/>
      <c r="R37" s="1086"/>
      <c r="S37" s="1087"/>
      <c r="T37" s="437" t="str">
        <f>IF(Q37="","",IF(K37="km",#REF!/Q37,#REF!*Q37)*INDEX(DADOS!$1:$1048576,MATCH(P37,DADOS!D:D,0),5))</f>
        <v/>
      </c>
      <c r="U37" s="202">
        <f>SUM(H37,T37)</f>
        <v>0</v>
      </c>
      <c r="V37" s="441"/>
    </row>
    <row r="38" spans="2:22" ht="12.75" hidden="1" customHeight="1">
      <c r="B38" s="1123"/>
      <c r="C38" s="1124"/>
      <c r="D38" s="1125"/>
      <c r="E38" s="1126" t="s">
        <v>175</v>
      </c>
      <c r="F38" s="1127"/>
      <c r="G38" s="435">
        <f>SUM(G33:G37)</f>
        <v>0</v>
      </c>
      <c r="H38" s="1128">
        <f>SUMPRODUCT(G33:$G$37,H33:H37)</f>
        <v>0</v>
      </c>
      <c r="I38" s="1128"/>
      <c r="J38" s="1128"/>
      <c r="K38" s="1129"/>
      <c r="L38" s="1130"/>
      <c r="M38" s="1130"/>
      <c r="N38" s="1130"/>
      <c r="O38" s="1131"/>
      <c r="P38" s="699"/>
      <c r="Q38" s="819"/>
      <c r="R38" s="819"/>
      <c r="S38" s="819"/>
      <c r="T38" s="440">
        <f>SUMPRODUCT($G33:G$37,T33:T37)</f>
        <v>0</v>
      </c>
      <c r="U38" s="440"/>
      <c r="V38" s="440">
        <f>SUM(V33:V37)</f>
        <v>0</v>
      </c>
    </row>
    <row r="39" spans="2:22" ht="12.75" hidden="1" customHeight="1"/>
    <row r="40" spans="2:22" ht="12.75" hidden="1" customHeight="1">
      <c r="B40" s="1055" t="s">
        <v>348</v>
      </c>
      <c r="C40" s="1055"/>
      <c r="D40" s="1055"/>
      <c r="E40" s="1055"/>
      <c r="F40" s="1055"/>
      <c r="G40" s="1055"/>
      <c r="H40" s="1055"/>
      <c r="I40" s="1055"/>
      <c r="J40" s="1055"/>
      <c r="K40" s="1055"/>
      <c r="L40" s="1055"/>
      <c r="M40" s="1055"/>
      <c r="N40" s="1055"/>
      <c r="O40" s="1055"/>
      <c r="P40" s="1055"/>
      <c r="Q40" s="1055"/>
      <c r="R40" s="1055"/>
      <c r="S40" s="1055"/>
      <c r="T40" s="1055"/>
      <c r="U40" s="1055"/>
      <c r="V40" s="1055"/>
    </row>
    <row r="41" spans="2:22" ht="13.8" hidden="1">
      <c r="B41" s="1112" t="s">
        <v>183</v>
      </c>
      <c r="C41" s="1114"/>
      <c r="D41" s="1112" t="s">
        <v>324</v>
      </c>
      <c r="E41" s="1113"/>
      <c r="F41" s="1113"/>
      <c r="G41" s="1112" t="s">
        <v>371</v>
      </c>
      <c r="H41" s="1114"/>
      <c r="I41" s="1115" t="s">
        <v>372</v>
      </c>
      <c r="J41" s="1132"/>
      <c r="K41" s="1116"/>
      <c r="L41" s="1115" t="s">
        <v>189</v>
      </c>
      <c r="M41" s="1132"/>
      <c r="N41" s="1132"/>
      <c r="O41" s="1132"/>
      <c r="P41" s="1116"/>
      <c r="Q41" s="1112" t="s">
        <v>373</v>
      </c>
      <c r="R41" s="1113"/>
      <c r="S41" s="1113"/>
      <c r="T41" s="1114"/>
      <c r="U41" s="1115"/>
      <c r="V41" s="1116"/>
    </row>
    <row r="42" spans="2:22" ht="13.8" hidden="1">
      <c r="B42" s="186" t="str">
        <f>IF(I42="","",COUNT($I$42:I42))</f>
        <v/>
      </c>
      <c r="C42" s="430"/>
      <c r="D42" s="1117"/>
      <c r="E42" s="1118"/>
      <c r="F42" s="1118"/>
      <c r="G42" s="1119"/>
      <c r="H42" s="1119"/>
      <c r="I42" s="1120"/>
      <c r="J42" s="1120"/>
      <c r="K42" s="1120"/>
      <c r="L42" s="1120"/>
      <c r="M42" s="1120"/>
      <c r="N42" s="1120"/>
      <c r="O42" s="1120"/>
      <c r="P42" s="1120"/>
      <c r="Q42" s="1054">
        <f t="shared" ref="Q42:Q47" si="1">I42*L42</f>
        <v>0</v>
      </c>
      <c r="R42" s="1054"/>
      <c r="S42" s="1054"/>
      <c r="T42" s="1054"/>
      <c r="U42" s="1121"/>
      <c r="V42" s="1122"/>
    </row>
    <row r="43" spans="2:22" ht="12.75" hidden="1" customHeight="1">
      <c r="B43" s="186"/>
      <c r="C43" s="430"/>
      <c r="D43" s="1117"/>
      <c r="E43" s="1118"/>
      <c r="F43" s="1118"/>
      <c r="G43" s="1119"/>
      <c r="H43" s="1119"/>
      <c r="I43" s="1120"/>
      <c r="J43" s="1120"/>
      <c r="K43" s="1120"/>
      <c r="L43" s="1120"/>
      <c r="M43" s="1120"/>
      <c r="N43" s="1120"/>
      <c r="O43" s="1120"/>
      <c r="P43" s="1120"/>
      <c r="Q43" s="1054">
        <f t="shared" si="1"/>
        <v>0</v>
      </c>
      <c r="R43" s="1054"/>
      <c r="S43" s="1054"/>
      <c r="T43" s="1054"/>
      <c r="U43" s="1133"/>
      <c r="V43" s="1134"/>
    </row>
    <row r="44" spans="2:22" ht="12.75" hidden="1" customHeight="1">
      <c r="B44" s="186"/>
      <c r="C44" s="430"/>
      <c r="D44" s="1117"/>
      <c r="E44" s="1118"/>
      <c r="F44" s="1118"/>
      <c r="G44" s="1119"/>
      <c r="H44" s="1119"/>
      <c r="I44" s="1120"/>
      <c r="J44" s="1120"/>
      <c r="K44" s="1120"/>
      <c r="L44" s="1120"/>
      <c r="M44" s="1120"/>
      <c r="N44" s="1120"/>
      <c r="O44" s="1120"/>
      <c r="P44" s="1120"/>
      <c r="Q44" s="1054">
        <f t="shared" si="1"/>
        <v>0</v>
      </c>
      <c r="R44" s="1054"/>
      <c r="S44" s="1054"/>
      <c r="T44" s="1054"/>
      <c r="U44" s="1133"/>
      <c r="V44" s="1134"/>
    </row>
    <row r="45" spans="2:22" ht="12.75" hidden="1" customHeight="1">
      <c r="B45" s="186"/>
      <c r="C45" s="430"/>
      <c r="D45" s="1117"/>
      <c r="E45" s="1118"/>
      <c r="F45" s="1118"/>
      <c r="G45" s="1119"/>
      <c r="H45" s="1119"/>
      <c r="I45" s="1135"/>
      <c r="J45" s="1135"/>
      <c r="K45" s="1135"/>
      <c r="L45" s="1135"/>
      <c r="M45" s="1135"/>
      <c r="N45" s="1135"/>
      <c r="O45" s="1135"/>
      <c r="P45" s="1135"/>
      <c r="Q45" s="1054">
        <f t="shared" si="1"/>
        <v>0</v>
      </c>
      <c r="R45" s="1054"/>
      <c r="S45" s="1054"/>
      <c r="T45" s="1054"/>
      <c r="U45" s="1133"/>
      <c r="V45" s="1134"/>
    </row>
    <row r="46" spans="2:22" ht="12.75" hidden="1" customHeight="1">
      <c r="B46" s="186"/>
      <c r="C46" s="430"/>
      <c r="D46" s="1117"/>
      <c r="E46" s="1118"/>
      <c r="F46" s="1118"/>
      <c r="G46" s="1119"/>
      <c r="H46" s="1119"/>
      <c r="I46" s="1120"/>
      <c r="J46" s="1120"/>
      <c r="K46" s="1120"/>
      <c r="L46" s="1120"/>
      <c r="M46" s="1120"/>
      <c r="N46" s="1120"/>
      <c r="O46" s="1120"/>
      <c r="P46" s="1120"/>
      <c r="Q46" s="1054">
        <f t="shared" si="1"/>
        <v>0</v>
      </c>
      <c r="R46" s="1054"/>
      <c r="S46" s="1054"/>
      <c r="T46" s="1054"/>
      <c r="U46" s="1133"/>
      <c r="V46" s="1134"/>
    </row>
    <row r="47" spans="2:22" ht="12.75" hidden="1" customHeight="1">
      <c r="B47" s="186" t="str">
        <f>IF(I47="","",COUNT($I$42:I47))</f>
        <v/>
      </c>
      <c r="C47" s="430"/>
      <c r="D47" s="1117"/>
      <c r="E47" s="1118"/>
      <c r="F47" s="1118"/>
      <c r="G47" s="1138"/>
      <c r="H47" s="1138"/>
      <c r="I47" s="1139"/>
      <c r="J47" s="1139"/>
      <c r="K47" s="1139"/>
      <c r="L47" s="1139"/>
      <c r="M47" s="1139"/>
      <c r="N47" s="1139"/>
      <c r="O47" s="1139"/>
      <c r="P47" s="1139"/>
      <c r="Q47" s="1054">
        <f t="shared" si="1"/>
        <v>0</v>
      </c>
      <c r="R47" s="1054"/>
      <c r="S47" s="1054"/>
      <c r="T47" s="1054"/>
      <c r="U47" s="1140"/>
      <c r="V47" s="1141"/>
    </row>
    <row r="48" spans="2:22" ht="12.75" hidden="1" customHeight="1">
      <c r="B48" s="1123"/>
      <c r="C48" s="1125"/>
      <c r="D48" s="1123"/>
      <c r="E48" s="1124"/>
      <c r="F48" s="1124"/>
      <c r="G48" s="1123"/>
      <c r="H48" s="1125"/>
      <c r="I48" s="1123"/>
      <c r="J48" s="1124"/>
      <c r="K48" s="1125"/>
      <c r="L48" s="1123"/>
      <c r="M48" s="1124"/>
      <c r="N48" s="1124"/>
      <c r="O48" s="1124"/>
      <c r="P48" s="1125"/>
      <c r="Q48" s="1136">
        <f>SUM(Q42:T47)</f>
        <v>0</v>
      </c>
      <c r="R48" s="1137"/>
      <c r="S48" s="1137"/>
      <c r="T48" s="1137"/>
      <c r="U48" s="1123"/>
      <c r="V48" s="1125"/>
    </row>
  </sheetData>
  <mergeCells count="170">
    <mergeCell ref="U48:V48"/>
    <mergeCell ref="B48:C48"/>
    <mergeCell ref="D48:F48"/>
    <mergeCell ref="G48:H48"/>
    <mergeCell ref="I48:K48"/>
    <mergeCell ref="L48:P48"/>
    <mergeCell ref="Q48:T48"/>
    <mergeCell ref="D47:F47"/>
    <mergeCell ref="G47:H47"/>
    <mergeCell ref="I47:K47"/>
    <mergeCell ref="L47:P47"/>
    <mergeCell ref="Q47:T47"/>
    <mergeCell ref="U47:V47"/>
    <mergeCell ref="D46:F46"/>
    <mergeCell ref="G46:H46"/>
    <mergeCell ref="I46:K46"/>
    <mergeCell ref="L46:P46"/>
    <mergeCell ref="Q46:T46"/>
    <mergeCell ref="U46:V46"/>
    <mergeCell ref="D45:F45"/>
    <mergeCell ref="G45:H45"/>
    <mergeCell ref="I45:K45"/>
    <mergeCell ref="L45:P45"/>
    <mergeCell ref="Q45:T45"/>
    <mergeCell ref="U45:V45"/>
    <mergeCell ref="D43:F43"/>
    <mergeCell ref="G43:H43"/>
    <mergeCell ref="I43:K43"/>
    <mergeCell ref="L43:P43"/>
    <mergeCell ref="Q43:T43"/>
    <mergeCell ref="U43:V43"/>
    <mergeCell ref="D44:F44"/>
    <mergeCell ref="G44:H44"/>
    <mergeCell ref="I44:K44"/>
    <mergeCell ref="L44:P44"/>
    <mergeCell ref="Q44:T44"/>
    <mergeCell ref="U44:V44"/>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B37:D37"/>
    <mergeCell ref="E37:F37"/>
    <mergeCell ref="H37:J37"/>
    <mergeCell ref="K37:L37"/>
    <mergeCell ref="M37:O37"/>
    <mergeCell ref="Q37:S37"/>
    <mergeCell ref="B36:D36"/>
    <mergeCell ref="E36:F36"/>
    <mergeCell ref="H36:J36"/>
    <mergeCell ref="K36:L36"/>
    <mergeCell ref="M36:O36"/>
    <mergeCell ref="Q36:S36"/>
    <mergeCell ref="B34:D34"/>
    <mergeCell ref="H34:J34"/>
    <mergeCell ref="K34:L34"/>
    <mergeCell ref="M34:O34"/>
    <mergeCell ref="Q34:S34"/>
    <mergeCell ref="B35:D35"/>
    <mergeCell ref="H35:J35"/>
    <mergeCell ref="K35:L35"/>
    <mergeCell ref="M35:O35"/>
    <mergeCell ref="Q35:S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18"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39618" r:id="rId3" name="Label1"/>
      </mc:Fallback>
    </mc:AlternateContent>
    <mc:AlternateContent xmlns:mc="http://schemas.openxmlformats.org/markup-compatibility/2006">
      <mc:Choice Requires="x14">
        <control shapeId="239617"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39617" r:id="rId5" name="ComboBox13"/>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23296-EEE5-467C-AC57-8A9E9020BBF8}">
  <sheetPr codeName="Planilha20">
    <tabColor theme="6" tint="0.39997558519241921"/>
  </sheetPr>
  <dimension ref="B6:X43"/>
  <sheetViews>
    <sheetView showGridLines="0" topLeftCell="A6" zoomScaleNormal="100" workbookViewId="0">
      <selection activeCell="O9" sqref="O9:T10"/>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6"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22" style="58" customWidth="1"/>
    <col min="23" max="23" width="13" style="58" customWidth="1"/>
    <col min="24" max="24" width="13.44140625" style="58" customWidth="1"/>
    <col min="25" max="16384" width="9.109375" style="58"/>
  </cols>
  <sheetData>
    <row r="6" spans="2:24" ht="18.75" customHeight="1">
      <c r="B6" s="1044" t="s">
        <v>343</v>
      </c>
      <c r="C6" s="1044"/>
      <c r="D6" s="1044"/>
      <c r="E6" s="70" t="s">
        <v>246</v>
      </c>
    </row>
    <row r="7" spans="2:24" ht="12.75" customHeight="1">
      <c r="B7" s="71"/>
      <c r="C7" s="71"/>
      <c r="D7" s="71"/>
      <c r="E7" s="71"/>
      <c r="F7" s="71"/>
      <c r="G7" s="71"/>
      <c r="H7" s="71"/>
      <c r="I7" s="71"/>
      <c r="J7" s="71"/>
      <c r="K7" s="71"/>
      <c r="L7" s="71"/>
      <c r="M7" s="71"/>
      <c r="N7" s="71"/>
      <c r="O7" s="71"/>
      <c r="P7" s="71"/>
      <c r="Q7" s="71"/>
      <c r="R7" s="71"/>
      <c r="S7" s="71"/>
      <c r="T7" s="71"/>
      <c r="U7" s="71"/>
      <c r="V7" s="71"/>
      <c r="W7" s="1610"/>
      <c r="X7" s="1610"/>
    </row>
    <row r="8" spans="2:24" ht="12.75" customHeight="1">
      <c r="B8" s="71"/>
      <c r="C8" s="1045" t="s">
        <v>303</v>
      </c>
      <c r="D8" s="1045"/>
      <c r="E8" s="1046"/>
      <c r="F8" s="71"/>
      <c r="G8" s="71"/>
      <c r="H8" s="1039" t="s">
        <v>344</v>
      </c>
      <c r="I8" s="1039"/>
      <c r="J8" s="1040">
        <f>U25</f>
        <v>17600</v>
      </c>
      <c r="K8" s="1040"/>
      <c r="L8" s="1040"/>
      <c r="M8" s="448"/>
      <c r="N8" s="447"/>
      <c r="O8" s="1047" t="s">
        <v>345</v>
      </c>
      <c r="P8" s="1047"/>
      <c r="Q8" s="1047"/>
      <c r="R8" s="1047"/>
      <c r="S8" s="1047"/>
      <c r="T8" s="1047"/>
      <c r="U8" s="1048" t="s">
        <v>346</v>
      </c>
      <c r="V8" s="1047"/>
      <c r="W8" s="1610"/>
      <c r="X8" s="1610"/>
    </row>
    <row r="9" spans="2:24" ht="12.75" customHeight="1">
      <c r="B9" s="71"/>
      <c r="C9" s="446"/>
      <c r="D9" s="446"/>
      <c r="E9" s="1038">
        <f>J8+J9+J10</f>
        <v>33437.333333333336</v>
      </c>
      <c r="F9" s="71"/>
      <c r="G9" s="71"/>
      <c r="H9" s="1039" t="s">
        <v>347</v>
      </c>
      <c r="I9" s="1039"/>
      <c r="J9" s="1040">
        <f>V33</f>
        <v>5757.3333333333339</v>
      </c>
      <c r="K9" s="1040"/>
      <c r="L9" s="1040"/>
      <c r="M9" s="449"/>
      <c r="N9" s="402"/>
      <c r="O9" s="1041">
        <f>ADM!O9</f>
        <v>5</v>
      </c>
      <c r="P9" s="1041"/>
      <c r="Q9" s="1041"/>
      <c r="R9" s="1041"/>
      <c r="S9" s="1041"/>
      <c r="T9" s="1041"/>
      <c r="U9" s="1042">
        <f>E9*O9</f>
        <v>167186.66666666669</v>
      </c>
      <c r="V9" s="1043"/>
      <c r="W9" s="1610"/>
      <c r="X9" s="1610"/>
    </row>
    <row r="10" spans="2:24" ht="12.75" customHeight="1">
      <c r="B10" s="73"/>
      <c r="C10" s="446"/>
      <c r="D10" s="446"/>
      <c r="E10" s="1038"/>
      <c r="F10" s="71"/>
      <c r="G10" s="71"/>
      <c r="H10" s="1039" t="s">
        <v>348</v>
      </c>
      <c r="I10" s="1039"/>
      <c r="J10" s="1040">
        <f>Q40</f>
        <v>10080</v>
      </c>
      <c r="K10" s="1040"/>
      <c r="L10" s="1040"/>
      <c r="M10" s="449"/>
      <c r="N10" s="402"/>
      <c r="O10" s="1041"/>
      <c r="P10" s="1041"/>
      <c r="Q10" s="1041"/>
      <c r="R10" s="1041"/>
      <c r="S10" s="1041"/>
      <c r="T10" s="1041"/>
      <c r="U10" s="1042"/>
      <c r="V10" s="1043"/>
      <c r="W10" s="1610"/>
      <c r="X10" s="1610"/>
    </row>
    <row r="11" spans="2:24" ht="12.75" customHeight="1">
      <c r="B11" s="71"/>
      <c r="C11" s="71"/>
      <c r="D11" s="71"/>
      <c r="E11" s="71"/>
      <c r="F11" s="71"/>
      <c r="G11" s="71"/>
      <c r="H11" s="71"/>
      <c r="I11" s="71"/>
      <c r="J11" s="71"/>
      <c r="K11" s="71"/>
      <c r="L11" s="71"/>
      <c r="M11" s="71"/>
      <c r="N11" s="71"/>
      <c r="O11" s="71"/>
      <c r="P11" s="71"/>
      <c r="Q11" s="71"/>
      <c r="R11" s="71"/>
      <c r="S11" s="71"/>
      <c r="T11" s="71"/>
      <c r="U11" s="71"/>
      <c r="V11" s="71"/>
      <c r="W11" s="1610"/>
      <c r="X11" s="1610"/>
    </row>
    <row r="13" spans="2:24"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4"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4"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4" ht="15" customHeight="1">
      <c r="B16" s="74" t="str">
        <f>F16</f>
        <v>P0056</v>
      </c>
      <c r="C16" s="199" t="s">
        <v>402</v>
      </c>
      <c r="D16" s="75"/>
      <c r="E16" s="198" t="s">
        <v>434</v>
      </c>
      <c r="F16" s="198" t="str">
        <f>VLOOKUP(E16,'MÃO DE OBRA'!$A:$B,2,FALSE)</f>
        <v>P0056</v>
      </c>
      <c r="G16" s="861">
        <v>2</v>
      </c>
      <c r="H16" s="1049">
        <f>IF(D16="h",VLOOKUP(B16,'MÃO DE OBRA'!$B$3:$D$97,3,0)*220,VLOOKUP(B16,'MÃO DE OBRA'!$B$3:$D$97,3,0))</f>
        <v>8500</v>
      </c>
      <c r="I16" s="1050"/>
      <c r="J16" s="76"/>
      <c r="K16" s="1051">
        <f>IF(J16="",0,IF(J16="D",H16*DADOS!$D$18,H16*DADOS!$D$19))</f>
        <v>0</v>
      </c>
      <c r="L16" s="1052"/>
      <c r="M16" s="1053"/>
      <c r="N16" s="186" t="s">
        <v>404</v>
      </c>
      <c r="O16" s="1051">
        <f>IF(N16="C",(DADOS!$E$9+DADOS!$E$10)*30,IF(N16="J",(DADOS!$E$9+DADOS!$E$10+DADOS!$E$11)*30,IF(C16="PJ",DADOS!$E$12,0)))</f>
        <v>300</v>
      </c>
      <c r="P16" s="1052"/>
      <c r="Q16" s="1052"/>
      <c r="R16" s="1053"/>
      <c r="S16" s="1054">
        <f>IF(G16="",0,IF(C16="3º",0,IF(C16="PJ",0,((H16+K16)*DADOS!$D$7)+((H16+K16)*DADOS!$D$6))))</f>
        <v>0</v>
      </c>
      <c r="T16" s="1054"/>
      <c r="U16" s="450">
        <f>IF(G16="",0,SUM(H16,K16,,O16,V16,S16))</f>
        <v>8800</v>
      </c>
      <c r="V16" s="451" t="s">
        <v>1435</v>
      </c>
      <c r="W16" s="116">
        <f>U16*G16*O9</f>
        <v>88000</v>
      </c>
    </row>
    <row r="17" spans="2:23" ht="13.8">
      <c r="B17" s="75">
        <f>F17</f>
        <v>0</v>
      </c>
      <c r="C17" s="199" t="s">
        <v>402</v>
      </c>
      <c r="D17" s="75"/>
      <c r="E17" s="198" t="s">
        <v>1142</v>
      </c>
      <c r="F17" s="198"/>
      <c r="G17" s="186"/>
      <c r="H17" s="1049">
        <v>14000</v>
      </c>
      <c r="I17" s="1050"/>
      <c r="J17" s="76"/>
      <c r="K17" s="1051">
        <f>IF(J17="",0,IF(J17="D",H17*DADOS!$D$18,H17*DADOS!$D$19))</f>
        <v>0</v>
      </c>
      <c r="L17" s="1052"/>
      <c r="M17" s="1053"/>
      <c r="N17" s="186" t="s">
        <v>404</v>
      </c>
      <c r="O17" s="1051">
        <f>IF(N17="C",(DADOS!$E$9+DADOS!$E$10)*30,IF(N17="J",(DADOS!$E$9+DADOS!$E$10+DADOS!$E$11)*30,IF(C17="PJ",DADOS!$E$12,0)))</f>
        <v>300</v>
      </c>
      <c r="P17" s="1052"/>
      <c r="Q17" s="1052"/>
      <c r="R17" s="1053"/>
      <c r="S17" s="1054">
        <f>IF(G17="",0,IF(C17="3º",0,IF(C17="PJ",0,((H17+K17)*DADOS!$D$7)+((H17+K17)*DADOS!$D$6))))</f>
        <v>0</v>
      </c>
      <c r="T17" s="1054"/>
      <c r="U17" s="450">
        <f>IF(G17="",0,SUM(H17,K17,,O17,V17,S17))</f>
        <v>0</v>
      </c>
      <c r="V17" s="451"/>
    </row>
    <row r="18" spans="2:23" ht="13.8" hidden="1">
      <c r="B18" s="75" t="e">
        <f>F18</f>
        <v>#N/A</v>
      </c>
      <c r="C18" s="199" t="s">
        <v>402</v>
      </c>
      <c r="D18" s="75"/>
      <c r="E18" s="198" t="s">
        <v>1111</v>
      </c>
      <c r="F18" s="198" t="e">
        <f>VLOOKUP(E18,'MÃO DE OBRA'!$A:$B,2,FALSE)</f>
        <v>#N/A</v>
      </c>
      <c r="G18" s="186"/>
      <c r="H18" s="1049"/>
      <c r="I18" s="1050"/>
      <c r="J18" s="76"/>
      <c r="K18" s="1051">
        <f>IF(J18="",0,IF(J18="D",H18*DADOS!$D$18,H18*DADOS!$D$19))</f>
        <v>0</v>
      </c>
      <c r="L18" s="1052"/>
      <c r="M18" s="1053"/>
      <c r="N18" s="186" t="s">
        <v>404</v>
      </c>
      <c r="O18" s="1051">
        <f>IF(N18="C",(DADOS!$E$9+DADOS!$E$10)*30,IF(N18="J",(DADOS!$E$9+DADOS!$E$10+DADOS!$E$11)*30,IF(C18="PJ",DADOS!$E$12,0)))+DADOS!$E$24+DADOS!$E$25+DADOS!$E$26</f>
        <v>1020</v>
      </c>
      <c r="P18" s="1052"/>
      <c r="Q18" s="1052"/>
      <c r="R18" s="1053"/>
      <c r="S18" s="1054">
        <f>IF(G18="",0,IF(C18="3º",0,IF(C18="PJ",0,((H18+K18)*DADOS!$D$7)+((H18+K18)*DADOS!$D$6))))</f>
        <v>0</v>
      </c>
      <c r="T18" s="1054"/>
      <c r="U18" s="450">
        <f>IF(G18="",0,SUM(H18,K18,,O18,V18,S18))</f>
        <v>0</v>
      </c>
      <c r="V18" s="451"/>
    </row>
    <row r="19" spans="2:23" ht="13.8" hidden="1">
      <c r="B19" s="75">
        <f>F19</f>
        <v>0</v>
      </c>
      <c r="C19" s="199" t="s">
        <v>402</v>
      </c>
      <c r="D19" s="75"/>
      <c r="E19" s="198" t="s">
        <v>1113</v>
      </c>
      <c r="F19" s="198"/>
      <c r="G19" s="186"/>
      <c r="H19" s="1049">
        <f>H16</f>
        <v>8500</v>
      </c>
      <c r="I19" s="1050"/>
      <c r="J19" s="76"/>
      <c r="K19" s="1051">
        <f>IF(J19="",0,IF(J19="D",H19*DADOS!$D$18,H19*DADOS!$D$19))</f>
        <v>0</v>
      </c>
      <c r="L19" s="1052"/>
      <c r="M19" s="1053"/>
      <c r="N19" s="186" t="s">
        <v>404</v>
      </c>
      <c r="O19" s="1051">
        <f>IF(N19="C",(DADOS!$E$9+DADOS!$E$10)*30,IF(N19="J",(DADOS!$E$9+DADOS!$E$10+DADOS!$E$11)*30,IF(C19="PJ",DADOS!$E$12,0)))+DADOS!$E$24+DADOS!$E$25+DADOS!$E$26</f>
        <v>1020</v>
      </c>
      <c r="P19" s="1052"/>
      <c r="Q19" s="1052"/>
      <c r="R19" s="1053"/>
      <c r="S19" s="1054">
        <f>IF(G19="",0,IF(C19="3º",0,IF(C19="PJ",0,((H19+K19)*DADOS!$D$7)+((H19+K19)*DADOS!$D$6))))</f>
        <v>0</v>
      </c>
      <c r="T19" s="1054"/>
      <c r="U19" s="450">
        <f>IF(G19="",0,SUM(H19,K19,,O19,V19,S19))</f>
        <v>0</v>
      </c>
      <c r="V19" s="451"/>
    </row>
    <row r="20" spans="2:23" ht="13.8">
      <c r="B20" s="75" t="str">
        <f>F20</f>
        <v>P0078</v>
      </c>
      <c r="C20" s="199"/>
      <c r="D20" s="75"/>
      <c r="E20" s="198" t="s">
        <v>1403</v>
      </c>
      <c r="F20" s="198" t="str">
        <f>VLOOKUP(E20,'MÃO DE OBRA'!$A:$B,2,FALSE)</f>
        <v>P0078</v>
      </c>
      <c r="G20" s="186"/>
      <c r="H20" s="1049">
        <f>IF(D20="h",VLOOKUP(B20,'MÃO DE OBRA'!$B$3:$D$97,3,0)*220,VLOOKUP(B20,'MÃO DE OBRA'!$B$3:$D$97,3,0))</f>
        <v>3325</v>
      </c>
      <c r="I20" s="1050"/>
      <c r="J20" s="76" t="s">
        <v>354</v>
      </c>
      <c r="K20" s="1051">
        <f>IF(J20="",0,IF(J20="D",H20*DADOS!$D$18,H20*DADOS!$D$19))</f>
        <v>831.25</v>
      </c>
      <c r="L20" s="1052"/>
      <c r="M20" s="1053"/>
      <c r="N20" s="186" t="s">
        <v>404</v>
      </c>
      <c r="O20" s="1051">
        <f>IF(N20="C",(DADOS!$E$9+DADOS!$E$10)*30,IF(N20="J",(DADOS!$E$9+DADOS!$E$10+DADOS!$E$11)*30,IF(C20="PJ",DADOS!$E$12,0)))+DADOS!$E$24+DADOS!$E$25+DADOS!$E$26</f>
        <v>1020</v>
      </c>
      <c r="P20" s="1052"/>
      <c r="Q20" s="1052"/>
      <c r="R20" s="1053"/>
      <c r="S20" s="1054">
        <f>IF(G20="",0,IF(C20="3º",0,IF(C20="PJ",0,((H20+K20)*DADOS!$D$7)+((H20+K20)*DADOS!$D$6))))</f>
        <v>0</v>
      </c>
      <c r="T20" s="1054"/>
      <c r="U20" s="450">
        <f>IF(G20="",0,SUM(H20,K20,,O20,V20,S20))</f>
        <v>0</v>
      </c>
      <c r="V20" s="451" t="s">
        <v>1434</v>
      </c>
      <c r="W20" s="116">
        <f>U20*G20*O9</f>
        <v>0</v>
      </c>
    </row>
    <row r="21" spans="2:23" ht="13.8">
      <c r="B21" s="75"/>
      <c r="C21" s="199"/>
      <c r="D21" s="75"/>
      <c r="E21" s="198"/>
      <c r="F21" s="198"/>
      <c r="G21" s="186"/>
      <c r="H21" s="1049"/>
      <c r="I21" s="1050"/>
      <c r="J21" s="76"/>
      <c r="K21" s="1051"/>
      <c r="L21" s="1052"/>
      <c r="M21" s="1053"/>
      <c r="N21" s="186"/>
      <c r="O21" s="1051"/>
      <c r="P21" s="1052"/>
      <c r="Q21" s="1052"/>
      <c r="R21" s="1053"/>
      <c r="S21" s="1054"/>
      <c r="T21" s="1054"/>
      <c r="U21" s="450"/>
      <c r="V21" s="451"/>
    </row>
    <row r="22" spans="2:23" ht="13.8">
      <c r="B22" s="75"/>
      <c r="C22" s="199"/>
      <c r="D22" s="75"/>
      <c r="E22" s="198"/>
      <c r="F22" s="198"/>
      <c r="G22" s="186"/>
      <c r="H22" s="1049"/>
      <c r="I22" s="1050"/>
      <c r="J22" s="76"/>
      <c r="K22" s="1051"/>
      <c r="L22" s="1052"/>
      <c r="M22" s="1053"/>
      <c r="N22" s="186"/>
      <c r="O22" s="1051"/>
      <c r="P22" s="1052"/>
      <c r="Q22" s="1052"/>
      <c r="R22" s="1053"/>
      <c r="S22" s="1054"/>
      <c r="T22" s="1054"/>
      <c r="U22" s="450"/>
      <c r="V22" s="451"/>
    </row>
    <row r="23" spans="2:23" ht="13.8">
      <c r="B23" s="75"/>
      <c r="C23" s="199"/>
      <c r="D23" s="75"/>
      <c r="E23" s="198"/>
      <c r="F23" s="198"/>
      <c r="G23" s="186"/>
      <c r="H23" s="1049"/>
      <c r="I23" s="1050"/>
      <c r="J23" s="76"/>
      <c r="K23" s="1051"/>
      <c r="L23" s="1052"/>
      <c r="M23" s="1053"/>
      <c r="N23" s="186"/>
      <c r="O23" s="1051"/>
      <c r="P23" s="1052"/>
      <c r="Q23" s="1052"/>
      <c r="R23" s="1053"/>
      <c r="S23" s="1054"/>
      <c r="T23" s="1054"/>
      <c r="U23" s="450"/>
      <c r="V23" s="451"/>
    </row>
    <row r="24" spans="2:23" ht="13.8">
      <c r="B24" s="75"/>
      <c r="C24" s="199"/>
      <c r="D24" s="75"/>
      <c r="E24" s="198"/>
      <c r="F24" s="198"/>
      <c r="G24" s="186"/>
      <c r="H24" s="1049"/>
      <c r="I24" s="1050"/>
      <c r="J24" s="76"/>
      <c r="K24" s="1051"/>
      <c r="L24" s="1052"/>
      <c r="M24" s="1053"/>
      <c r="N24" s="186"/>
      <c r="O24" s="1051"/>
      <c r="P24" s="1052"/>
      <c r="Q24" s="1052"/>
      <c r="R24" s="1053"/>
      <c r="S24" s="1054"/>
      <c r="T24" s="1054"/>
      <c r="U24" s="450"/>
      <c r="V24" s="451"/>
    </row>
    <row r="25" spans="2:23" ht="13.8">
      <c r="B25" s="1064"/>
      <c r="C25" s="1065"/>
      <c r="D25" s="1066" t="s">
        <v>175</v>
      </c>
      <c r="E25" s="1066"/>
      <c r="F25" s="1066"/>
      <c r="G25" s="818">
        <f>SUM(G16:G20)</f>
        <v>2</v>
      </c>
      <c r="H25" s="1067">
        <f>SUMPRODUCT($G$16:$G$20,H16:H20)</f>
        <v>17000</v>
      </c>
      <c r="I25" s="1068"/>
      <c r="J25" s="1067">
        <f>SUMPRODUCT($G$16:$G$20,K16:K20)</f>
        <v>0</v>
      </c>
      <c r="K25" s="1068"/>
      <c r="L25" s="1068"/>
      <c r="M25" s="1069"/>
      <c r="N25" s="1067">
        <f>SUMPRODUCT($G$16:$G$20,O16:O20)</f>
        <v>600</v>
      </c>
      <c r="O25" s="1068"/>
      <c r="P25" s="1068"/>
      <c r="Q25" s="1068"/>
      <c r="R25" s="1069"/>
      <c r="S25" s="1067">
        <f>SUMPRODUCT($G$16:$G$20,S16:S20)</f>
        <v>0</v>
      </c>
      <c r="T25" s="1069"/>
      <c r="U25" s="453">
        <f>SUMPRODUCT($G$16:$G$20,U16:U20)</f>
        <v>17600</v>
      </c>
      <c r="V25" s="452"/>
    </row>
    <row r="27" spans="2:23" ht="12.75" customHeight="1">
      <c r="B27" s="1055" t="s">
        <v>347</v>
      </c>
      <c r="C27" s="1055"/>
      <c r="D27" s="1055"/>
      <c r="E27" s="1055"/>
      <c r="F27" s="1055"/>
      <c r="G27" s="1055"/>
      <c r="H27" s="1055"/>
      <c r="I27" s="1055"/>
      <c r="J27" s="1055"/>
      <c r="K27" s="1055"/>
      <c r="L27" s="1055"/>
      <c r="M27" s="1055"/>
      <c r="N27" s="1055"/>
      <c r="O27" s="1055"/>
      <c r="P27" s="1055"/>
      <c r="Q27" s="1055"/>
      <c r="R27" s="1055"/>
      <c r="S27" s="1055"/>
      <c r="T27" s="1055"/>
      <c r="U27" s="1055"/>
      <c r="V27" s="1055"/>
    </row>
    <row r="28" spans="2:23" ht="12.75" customHeight="1">
      <c r="B28" s="1056" t="s">
        <v>357</v>
      </c>
      <c r="C28" s="1088"/>
      <c r="D28" s="1088"/>
      <c r="E28" s="1088" t="s">
        <v>358</v>
      </c>
      <c r="F28" s="1088"/>
      <c r="G28" s="1089" t="s">
        <v>350</v>
      </c>
      <c r="H28" s="1056" t="s">
        <v>359</v>
      </c>
      <c r="I28" s="1088"/>
      <c r="J28" s="1057"/>
      <c r="K28" s="1089" t="s">
        <v>360</v>
      </c>
      <c r="L28" s="1091"/>
      <c r="M28" s="1091"/>
      <c r="N28" s="1091"/>
      <c r="O28" s="1092"/>
      <c r="P28" s="1056" t="s">
        <v>361</v>
      </c>
      <c r="Q28" s="1088"/>
      <c r="R28" s="1088"/>
      <c r="S28" s="1088"/>
      <c r="T28" s="1095" t="s">
        <v>362</v>
      </c>
      <c r="U28" s="1092" t="s">
        <v>363</v>
      </c>
      <c r="V28" s="1062" t="s">
        <v>364</v>
      </c>
    </row>
    <row r="29" spans="2:23" ht="13.8">
      <c r="B29" s="1058"/>
      <c r="C29" s="1075"/>
      <c r="D29" s="1075"/>
      <c r="E29" s="1075"/>
      <c r="F29" s="1075"/>
      <c r="G29" s="1090"/>
      <c r="H29" s="1058"/>
      <c r="I29" s="1075"/>
      <c r="J29" s="1059"/>
      <c r="K29" s="1090"/>
      <c r="L29" s="1093"/>
      <c r="M29" s="1093"/>
      <c r="N29" s="1093"/>
      <c r="O29" s="1094"/>
      <c r="P29" s="1058" t="s">
        <v>365</v>
      </c>
      <c r="Q29" s="1075"/>
      <c r="R29" s="1075"/>
      <c r="S29" s="1075"/>
      <c r="T29" s="1096"/>
      <c r="U29" s="1094"/>
      <c r="V29" s="1063"/>
    </row>
    <row r="30" spans="2:23" ht="13.8">
      <c r="B30" s="1076" t="str">
        <f>F30</f>
        <v>E0037</v>
      </c>
      <c r="C30" s="1077"/>
      <c r="D30" s="1078"/>
      <c r="E30" s="200" t="s">
        <v>675</v>
      </c>
      <c r="F30" s="198" t="str">
        <f>VLOOKUP($E30,EQUIPAMENTOS!$A:$B,2,FALSE)</f>
        <v>E0037</v>
      </c>
      <c r="G30" s="433">
        <v>1</v>
      </c>
      <c r="H30" s="1079">
        <f>VLOOKUP($B30,EQUIPAMENTOS!$B$3:$N$99,9,0)*200</f>
        <v>4000</v>
      </c>
      <c r="I30" s="1080"/>
      <c r="J30" s="1081"/>
      <c r="K30" s="1082" t="s">
        <v>381</v>
      </c>
      <c r="L30" s="1083"/>
      <c r="M30" s="1084">
        <f>100*24</f>
        <v>2400</v>
      </c>
      <c r="N30" s="1084"/>
      <c r="O30" s="1084"/>
      <c r="P30" s="80" t="s">
        <v>376</v>
      </c>
      <c r="Q30" s="1085">
        <f>VLOOKUP($B30,EQUIPAMENTOS!$B$3:$N$99,13,0)</f>
        <v>9</v>
      </c>
      <c r="R30" s="1086"/>
      <c r="S30" s="1087"/>
      <c r="T30" s="436">
        <f>IF(Q30="","",IF(K30="km",M30/Q30,100*Q30)*INDEX(DADOS!$1:$1048576,MATCH(P30,DADOS!D:D,0),5))</f>
        <v>1757.3333333333335</v>
      </c>
      <c r="U30" s="202">
        <f>SUM(H30,T30)</f>
        <v>5757.3333333333339</v>
      </c>
      <c r="V30" s="203">
        <f>G30*U30</f>
        <v>5757.3333333333339</v>
      </c>
    </row>
    <row r="31" spans="2:23" ht="15" customHeight="1">
      <c r="B31" s="1097"/>
      <c r="C31" s="1098"/>
      <c r="D31" s="1099"/>
      <c r="E31" s="200"/>
      <c r="F31" s="198"/>
      <c r="G31" s="434"/>
      <c r="H31" s="1100"/>
      <c r="I31" s="1101"/>
      <c r="J31" s="1101"/>
      <c r="K31" s="1082"/>
      <c r="L31" s="1083"/>
      <c r="M31" s="1084"/>
      <c r="N31" s="1084"/>
      <c r="O31" s="1084"/>
      <c r="P31" s="80"/>
      <c r="Q31" s="1085"/>
      <c r="R31" s="1086"/>
      <c r="S31" s="1087"/>
      <c r="T31" s="436" t="str">
        <f>IF(Q31="","",IF(K31="km",#REF!/Q31,100*Q31)*INDEX(DADOS!$1:$1048576,MATCH(P31,DADOS!D:D,0),5))</f>
        <v/>
      </c>
      <c r="U31" s="202">
        <f>SUM(H31,T31)</f>
        <v>0</v>
      </c>
      <c r="V31" s="436">
        <f>U31*G31</f>
        <v>0</v>
      </c>
    </row>
    <row r="32" spans="2:23" ht="13.8">
      <c r="B32" s="1102"/>
      <c r="C32" s="1103"/>
      <c r="D32" s="1104"/>
      <c r="E32" s="1105"/>
      <c r="F32" s="1106"/>
      <c r="G32" s="432"/>
      <c r="H32" s="1107"/>
      <c r="I32" s="1107"/>
      <c r="J32" s="1107"/>
      <c r="K32" s="1108"/>
      <c r="L32" s="1107"/>
      <c r="M32" s="1109"/>
      <c r="N32" s="1109"/>
      <c r="O32" s="1109"/>
      <c r="P32" s="81"/>
      <c r="Q32" s="1085"/>
      <c r="R32" s="1086"/>
      <c r="S32" s="1087"/>
      <c r="T32" s="437" t="str">
        <f>IF(Q32="","",IF(K32="km",#REF!/Q32,#REF!*Q32)*INDEX(DADOS!$1:$1048576,MATCH(P32,DADOS!D:D,0),5))</f>
        <v/>
      </c>
      <c r="U32" s="667">
        <f>SUM(H32,T32)</f>
        <v>0</v>
      </c>
      <c r="V32" s="441"/>
    </row>
    <row r="33" spans="2:22" ht="12.75" customHeight="1">
      <c r="B33" s="1123"/>
      <c r="C33" s="1124"/>
      <c r="D33" s="1125"/>
      <c r="E33" s="1126" t="s">
        <v>175</v>
      </c>
      <c r="F33" s="1127"/>
      <c r="G33" s="435">
        <f>SUM(G30:G32)</f>
        <v>1</v>
      </c>
      <c r="H33" s="1128">
        <f>SUMPRODUCT(G30:$G$32,H30:H32)</f>
        <v>4000</v>
      </c>
      <c r="I33" s="1128"/>
      <c r="J33" s="1128"/>
      <c r="K33" s="1129"/>
      <c r="L33" s="1130"/>
      <c r="M33" s="1130"/>
      <c r="N33" s="1130"/>
      <c r="O33" s="1131"/>
      <c r="P33" s="699"/>
      <c r="Q33" s="819"/>
      <c r="R33" s="819"/>
      <c r="S33" s="819"/>
      <c r="T33" s="440">
        <f>SUMPRODUCT($G30:G$32,T30:T32)</f>
        <v>1757.3333333333335</v>
      </c>
      <c r="U33" s="668"/>
      <c r="V33" s="668">
        <f>SUM(V30:V32)</f>
        <v>5757.3333333333339</v>
      </c>
    </row>
    <row r="34" spans="2:22" ht="18.75" customHeight="1"/>
    <row r="35" spans="2:22" ht="12.75" customHeight="1">
      <c r="B35" s="1055" t="s">
        <v>348</v>
      </c>
      <c r="C35" s="1055"/>
      <c r="D35" s="1055"/>
      <c r="E35" s="1055"/>
      <c r="F35" s="1055"/>
      <c r="G35" s="1055"/>
      <c r="H35" s="1055"/>
      <c r="I35" s="1055"/>
      <c r="J35" s="1055"/>
      <c r="K35" s="1055"/>
      <c r="L35" s="1055"/>
      <c r="M35" s="1055"/>
      <c r="N35" s="1055"/>
      <c r="O35" s="1055"/>
      <c r="P35" s="1055"/>
      <c r="Q35" s="1055"/>
      <c r="R35" s="1055"/>
      <c r="S35" s="1055"/>
      <c r="T35" s="1055"/>
      <c r="U35" s="1055"/>
      <c r="V35" s="1055"/>
    </row>
    <row r="36" spans="2:22" ht="13.8">
      <c r="B36" s="1112" t="s">
        <v>183</v>
      </c>
      <c r="C36" s="1114"/>
      <c r="D36" s="1112" t="s">
        <v>324</v>
      </c>
      <c r="E36" s="1113"/>
      <c r="F36" s="1113"/>
      <c r="G36" s="1112" t="s">
        <v>371</v>
      </c>
      <c r="H36" s="1114"/>
      <c r="I36" s="1115" t="s">
        <v>372</v>
      </c>
      <c r="J36" s="1132"/>
      <c r="K36" s="1116"/>
      <c r="L36" s="1115" t="s">
        <v>189</v>
      </c>
      <c r="M36" s="1132"/>
      <c r="N36" s="1132"/>
      <c r="O36" s="1132"/>
      <c r="P36" s="1116"/>
      <c r="Q36" s="1112" t="s">
        <v>373</v>
      </c>
      <c r="R36" s="1113"/>
      <c r="S36" s="1113"/>
      <c r="T36" s="1114"/>
      <c r="U36" s="1115"/>
      <c r="V36" s="1116"/>
    </row>
    <row r="37" spans="2:22" ht="63" customHeight="1">
      <c r="B37" s="186">
        <f>IF(I37="","",COUNT($I$37:I37))</f>
        <v>1</v>
      </c>
      <c r="C37" s="430"/>
      <c r="D37" s="1117" t="s">
        <v>1404</v>
      </c>
      <c r="E37" s="1118"/>
      <c r="F37" s="1118"/>
      <c r="G37" s="1119" t="s">
        <v>371</v>
      </c>
      <c r="H37" s="1119"/>
      <c r="I37" s="1120">
        <v>1</v>
      </c>
      <c r="J37" s="1120"/>
      <c r="K37" s="1120"/>
      <c r="L37" s="1120">
        <f>(2*1450+3*350+2900)*1.2</f>
        <v>8220</v>
      </c>
      <c r="M37" s="1120"/>
      <c r="N37" s="1120"/>
      <c r="O37" s="1120"/>
      <c r="P37" s="1120"/>
      <c r="Q37" s="1054">
        <f>I37*L37</f>
        <v>8220</v>
      </c>
      <c r="R37" s="1054"/>
      <c r="S37" s="1054"/>
      <c r="T37" s="1054"/>
      <c r="U37" s="1593" t="s">
        <v>1405</v>
      </c>
      <c r="V37" s="1602"/>
    </row>
    <row r="38" spans="2:22" ht="12.75" customHeight="1">
      <c r="B38" s="186">
        <f>IF(I38="","",COUNT($I$37:I38))</f>
        <v>2</v>
      </c>
      <c r="C38" s="430"/>
      <c r="D38" s="1117" t="s">
        <v>1407</v>
      </c>
      <c r="E38" s="1118"/>
      <c r="F38" s="1118"/>
      <c r="G38" s="1119" t="s">
        <v>371</v>
      </c>
      <c r="H38" s="1119"/>
      <c r="I38" s="1120">
        <v>2</v>
      </c>
      <c r="J38" s="1120"/>
      <c r="K38" s="1120"/>
      <c r="L38" s="1120">
        <f>10200+(1200*6)+1800</f>
        <v>19200</v>
      </c>
      <c r="M38" s="1120"/>
      <c r="N38" s="1120"/>
      <c r="O38" s="1120"/>
      <c r="P38" s="1120"/>
      <c r="Q38" s="1054">
        <f>I38*L38</f>
        <v>38400</v>
      </c>
      <c r="R38" s="1054"/>
      <c r="S38" s="1054"/>
      <c r="T38" s="1054"/>
      <c r="U38" s="1140" t="s">
        <v>1408</v>
      </c>
      <c r="V38" s="1141"/>
    </row>
    <row r="39" spans="2:22" ht="30.75" customHeight="1">
      <c r="B39" s="186">
        <f>IF(I39="","",COUNT($I$37:I39))</f>
        <v>3</v>
      </c>
      <c r="C39" s="430"/>
      <c r="D39" s="1593" t="s">
        <v>1409</v>
      </c>
      <c r="E39" s="1594"/>
      <c r="F39" s="1594"/>
      <c r="G39" s="1119" t="s">
        <v>371</v>
      </c>
      <c r="H39" s="1119"/>
      <c r="I39" s="1120">
        <v>1</v>
      </c>
      <c r="J39" s="1120"/>
      <c r="K39" s="1120"/>
      <c r="L39" s="1611">
        <v>3780</v>
      </c>
      <c r="M39" s="1073"/>
      <c r="N39" s="1073"/>
      <c r="O39" s="1073"/>
      <c r="P39" s="1074"/>
      <c r="Q39" s="1054">
        <f>I39*L39</f>
        <v>3780</v>
      </c>
      <c r="R39" s="1054"/>
      <c r="S39" s="1054"/>
      <c r="T39" s="1054"/>
      <c r="U39" s="1612" t="s">
        <v>1410</v>
      </c>
      <c r="V39" s="1613"/>
    </row>
    <row r="40" spans="2:22" ht="12.75" customHeight="1">
      <c r="B40" s="1123"/>
      <c r="C40" s="1125"/>
      <c r="D40" s="1123"/>
      <c r="E40" s="1124"/>
      <c r="F40" s="1124"/>
      <c r="G40" s="1123"/>
      <c r="H40" s="1125"/>
      <c r="I40" s="1123"/>
      <c r="J40" s="1124"/>
      <c r="K40" s="1125"/>
      <c r="L40" s="1123"/>
      <c r="M40" s="1124"/>
      <c r="N40" s="1124"/>
      <c r="O40" s="1124"/>
      <c r="P40" s="1125"/>
      <c r="Q40" s="1550">
        <f>SUM(Q37:T39)/O9</f>
        <v>10080</v>
      </c>
      <c r="R40" s="1550"/>
      <c r="S40" s="1550"/>
      <c r="T40" s="1550"/>
      <c r="U40" s="1123"/>
      <c r="V40" s="1125"/>
    </row>
    <row r="43" spans="2:22" ht="12.75" customHeight="1">
      <c r="T43" s="116"/>
    </row>
  </sheetData>
  <mergeCells count="130">
    <mergeCell ref="W7:X11"/>
    <mergeCell ref="D39:F39"/>
    <mergeCell ref="G39:H39"/>
    <mergeCell ref="I39:K39"/>
    <mergeCell ref="L39:P39"/>
    <mergeCell ref="Q39:T39"/>
    <mergeCell ref="U39:V39"/>
    <mergeCell ref="H17:I17"/>
    <mergeCell ref="K17:M17"/>
    <mergeCell ref="O17:R17"/>
    <mergeCell ref="H21:I21"/>
    <mergeCell ref="K21:M21"/>
    <mergeCell ref="O21:R21"/>
    <mergeCell ref="S21:T21"/>
    <mergeCell ref="H22:I22"/>
    <mergeCell ref="K22:M22"/>
    <mergeCell ref="O22:R22"/>
    <mergeCell ref="S22:T22"/>
    <mergeCell ref="Q37:T37"/>
    <mergeCell ref="U37:V37"/>
    <mergeCell ref="S17:T17"/>
    <mergeCell ref="D37:F37"/>
    <mergeCell ref="G37:H37"/>
    <mergeCell ref="I37:K37"/>
    <mergeCell ref="U40:V40"/>
    <mergeCell ref="B40:C40"/>
    <mergeCell ref="D40:F40"/>
    <mergeCell ref="G40:H40"/>
    <mergeCell ref="I40:K40"/>
    <mergeCell ref="L40:P40"/>
    <mergeCell ref="Q40:T40"/>
    <mergeCell ref="D38:F38"/>
    <mergeCell ref="G38:H38"/>
    <mergeCell ref="I38:K38"/>
    <mergeCell ref="L38:P38"/>
    <mergeCell ref="Q38:T38"/>
    <mergeCell ref="U38:V38"/>
    <mergeCell ref="L37:P37"/>
    <mergeCell ref="B33:D33"/>
    <mergeCell ref="E33:F33"/>
    <mergeCell ref="H33:J33"/>
    <mergeCell ref="K33:O33"/>
    <mergeCell ref="H24:I24"/>
    <mergeCell ref="K24:M24"/>
    <mergeCell ref="B35:V35"/>
    <mergeCell ref="B36:C36"/>
    <mergeCell ref="D36:F36"/>
    <mergeCell ref="G36:H36"/>
    <mergeCell ref="I36:K36"/>
    <mergeCell ref="L36:P36"/>
    <mergeCell ref="B31:D31"/>
    <mergeCell ref="H31:J31"/>
    <mergeCell ref="K31:L31"/>
    <mergeCell ref="M31:O31"/>
    <mergeCell ref="Q31:S31"/>
    <mergeCell ref="B32:D32"/>
    <mergeCell ref="E32:F32"/>
    <mergeCell ref="H32:J32"/>
    <mergeCell ref="K32:L32"/>
    <mergeCell ref="M32:O32"/>
    <mergeCell ref="Q32:S32"/>
    <mergeCell ref="Q36:T36"/>
    <mergeCell ref="U36:V36"/>
    <mergeCell ref="P29:S29"/>
    <mergeCell ref="B30:D30"/>
    <mergeCell ref="H30:J30"/>
    <mergeCell ref="K30:L30"/>
    <mergeCell ref="M30:O30"/>
    <mergeCell ref="Q30:S30"/>
    <mergeCell ref="B27:V27"/>
    <mergeCell ref="B28:D29"/>
    <mergeCell ref="E28:F29"/>
    <mergeCell ref="G28:G29"/>
    <mergeCell ref="H28:J29"/>
    <mergeCell ref="K28:O29"/>
    <mergeCell ref="P28:S28"/>
    <mergeCell ref="T28:T29"/>
    <mergeCell ref="U28:U29"/>
    <mergeCell ref="V28:V29"/>
    <mergeCell ref="H18:I18"/>
    <mergeCell ref="K18:M18"/>
    <mergeCell ref="O18:R18"/>
    <mergeCell ref="S18:T18"/>
    <mergeCell ref="B25:C25"/>
    <mergeCell ref="D25:F25"/>
    <mergeCell ref="H25:I25"/>
    <mergeCell ref="J25:M25"/>
    <mergeCell ref="N25:R25"/>
    <mergeCell ref="S25:T25"/>
    <mergeCell ref="H20:I20"/>
    <mergeCell ref="K20:M20"/>
    <mergeCell ref="O20:R20"/>
    <mergeCell ref="S20:T20"/>
    <mergeCell ref="O19:R19"/>
    <mergeCell ref="H19:I19"/>
    <mergeCell ref="K19:M19"/>
    <mergeCell ref="S19:T19"/>
    <mergeCell ref="H23:I23"/>
    <mergeCell ref="K23:M23"/>
    <mergeCell ref="O23:R23"/>
    <mergeCell ref="S23:T23"/>
    <mergeCell ref="O24:R24"/>
    <mergeCell ref="S24:T24"/>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1666"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41666" r:id="rId3" name="Label1"/>
      </mc:Fallback>
    </mc:AlternateContent>
    <mc:AlternateContent xmlns:mc="http://schemas.openxmlformats.org/markup-compatibility/2006">
      <mc:Choice Requires="x14">
        <control shapeId="241665"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41665" r:id="rId5" name="ComboBox13"/>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9DC4-2ED3-4DBF-831B-1FFEB1F5ED6F}">
  <sheetPr codeName="Planilha21">
    <tabColor theme="6" tint="0.39997558519241921"/>
  </sheetPr>
  <dimension ref="A1:BI57"/>
  <sheetViews>
    <sheetView showGridLines="0" topLeftCell="A4" zoomScale="90" zoomScaleNormal="90" workbookViewId="0">
      <selection activeCell="AJ38" sqref="AJ38:AO38"/>
    </sheetView>
  </sheetViews>
  <sheetFormatPr defaultColWidth="8.88671875" defaultRowHeight="14.4"/>
  <cols>
    <col min="1" max="1" width="3.44140625" customWidth="1"/>
    <col min="2" max="2" width="3.109375" customWidth="1"/>
    <col min="3" max="3" width="2.33203125" customWidth="1"/>
    <col min="4" max="4" width="3.33203125" customWidth="1"/>
    <col min="5" max="6" width="2.33203125" customWidth="1"/>
    <col min="7" max="7" width="15.88671875" customWidth="1"/>
    <col min="8" max="8" width="4.44140625" customWidth="1"/>
    <col min="9" max="9" width="6.44140625" customWidth="1"/>
    <col min="10" max="10" width="10.88671875" customWidth="1"/>
    <col min="11" max="12" width="2.109375" customWidth="1"/>
    <col min="13" max="13" width="3.109375" customWidth="1"/>
    <col min="14" max="15" width="1.109375" customWidth="1"/>
    <col min="16" max="16" width="4.6640625" customWidth="1"/>
    <col min="17" max="18" width="3.109375" customWidth="1"/>
    <col min="19" max="19" width="0.88671875" customWidth="1"/>
    <col min="20" max="20" width="5.88671875" customWidth="1"/>
    <col min="21" max="21" width="0.5546875" customWidth="1"/>
    <col min="22" max="22" width="1.6640625" customWidth="1"/>
    <col min="23" max="23" width="0.44140625" customWidth="1"/>
    <col min="24" max="24" width="3.109375" customWidth="1"/>
    <col min="25" max="25" width="2.109375" customWidth="1"/>
    <col min="26" max="26" width="4.6640625" customWidth="1"/>
    <col min="27" max="27" width="3.109375" customWidth="1"/>
    <col min="28" max="28" width="3.44140625" customWidth="1"/>
    <col min="29" max="29" width="4.5546875" customWidth="1"/>
    <col min="30" max="30" width="1.5546875" customWidth="1"/>
    <col min="31" max="31" width="2.109375" customWidth="1"/>
    <col min="32" max="32" width="3.5546875" customWidth="1"/>
    <col min="33" max="33" width="3.109375" customWidth="1"/>
    <col min="34" max="34" width="1.44140625" customWidth="1"/>
    <col min="35" max="35" width="3.33203125" customWidth="1"/>
    <col min="36" max="36" width="2.109375" customWidth="1"/>
    <col min="37" max="37" width="3.109375" customWidth="1"/>
    <col min="38" max="38" width="2.6640625" customWidth="1"/>
    <col min="39" max="39" width="2.33203125" customWidth="1"/>
    <col min="40" max="40" width="1.44140625" customWidth="1"/>
    <col min="41" max="41" width="2.6640625" customWidth="1"/>
    <col min="42" max="42" width="1.44140625" customWidth="1"/>
    <col min="43" max="44" width="3.109375" customWidth="1"/>
    <col min="45" max="45" width="1.6640625" customWidth="1"/>
    <col min="46" max="46" width="3.109375" customWidth="1"/>
    <col min="47" max="47" width="2.33203125" customWidth="1"/>
    <col min="48" max="48" width="1.6640625" customWidth="1"/>
    <col min="49" max="49" width="3.44140625" customWidth="1"/>
    <col min="50" max="54" width="3.109375" customWidth="1"/>
    <col min="55" max="55" width="1.5546875" customWidth="1"/>
    <col min="56" max="57" width="3.109375" customWidth="1"/>
    <col min="58" max="58" width="6.33203125" customWidth="1"/>
    <col min="59" max="59" width="15.44140625" bestFit="1" customWidth="1"/>
    <col min="60" max="60" width="13.88671875" bestFit="1" customWidth="1"/>
  </cols>
  <sheetData>
    <row r="1" spans="1:59">
      <c r="BG1" s="38">
        <f>AG10+ADM!Q63*36</f>
        <v>412339.76899999997</v>
      </c>
    </row>
    <row r="7" spans="1:59">
      <c r="A7" s="58"/>
      <c r="B7" s="1044" t="s">
        <v>300</v>
      </c>
      <c r="C7" s="1044"/>
      <c r="D7" s="1044"/>
      <c r="E7" s="70" t="s">
        <v>310</v>
      </c>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row>
    <row r="8" spans="1:59">
      <c r="A8" s="58"/>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row>
    <row r="9" spans="1:59">
      <c r="A9" s="58"/>
      <c r="B9" s="71"/>
      <c r="C9" s="1045"/>
      <c r="D9" s="1045"/>
      <c r="E9" s="1045"/>
      <c r="F9" s="1045"/>
      <c r="G9" s="1045"/>
      <c r="H9" s="1045"/>
      <c r="I9" s="1045"/>
      <c r="J9" s="1045"/>
      <c r="K9" s="1045"/>
      <c r="L9" s="71"/>
      <c r="M9" s="71"/>
      <c r="N9" s="71"/>
      <c r="O9" s="71"/>
      <c r="P9" s="71"/>
      <c r="Q9" s="1039" t="s">
        <v>347</v>
      </c>
      <c r="R9" s="1039"/>
      <c r="S9" s="1039"/>
      <c r="T9" s="1039"/>
      <c r="U9" s="1039"/>
      <c r="V9" s="1039"/>
      <c r="W9" s="1039"/>
      <c r="X9" s="1629">
        <f>AV27</f>
        <v>119280</v>
      </c>
      <c r="Y9" s="1629"/>
      <c r="Z9" s="1629"/>
      <c r="AA9" s="1629"/>
      <c r="AB9" s="1629"/>
      <c r="AC9" s="1629"/>
      <c r="AD9" s="1629"/>
      <c r="AE9" s="72"/>
      <c r="AF9" s="71"/>
      <c r="AG9" s="1045" t="s">
        <v>437</v>
      </c>
      <c r="AH9" s="1045"/>
      <c r="AI9" s="1045"/>
      <c r="AJ9" s="1045"/>
      <c r="AK9" s="1045"/>
      <c r="AL9" s="1045"/>
      <c r="AM9" s="1045"/>
      <c r="AN9" s="1045"/>
      <c r="AO9" s="1045"/>
      <c r="AP9" s="1045"/>
      <c r="AQ9" s="1045"/>
      <c r="AR9" s="1045"/>
      <c r="AS9" s="1045"/>
      <c r="AT9" s="1045"/>
      <c r="AU9" s="1045"/>
      <c r="AV9" s="1045"/>
      <c r="AW9" s="1045"/>
      <c r="AX9" s="1045"/>
      <c r="AY9" s="1045"/>
      <c r="AZ9" s="1045"/>
      <c r="BA9" s="1045"/>
      <c r="BB9" s="1045"/>
      <c r="BC9" s="71"/>
      <c r="BD9" s="71"/>
      <c r="BE9" s="71"/>
      <c r="BF9" s="71"/>
    </row>
    <row r="10" spans="1:59">
      <c r="A10" s="58"/>
      <c r="B10" s="71"/>
      <c r="C10" s="1631"/>
      <c r="D10" s="1631"/>
      <c r="E10" s="1631"/>
      <c r="F10" s="1631"/>
      <c r="G10" s="1631"/>
      <c r="H10" s="1631"/>
      <c r="I10" s="1631"/>
      <c r="J10" s="1631"/>
      <c r="K10" s="1631"/>
      <c r="L10" s="71"/>
      <c r="M10" s="71"/>
      <c r="N10" s="71"/>
      <c r="O10" s="71"/>
      <c r="P10" s="71"/>
      <c r="Q10" s="1039" t="s">
        <v>344</v>
      </c>
      <c r="R10" s="1039"/>
      <c r="S10" s="1039"/>
      <c r="T10" s="1039"/>
      <c r="U10" s="1039"/>
      <c r="V10" s="1039"/>
      <c r="W10" s="1039"/>
      <c r="X10" s="1629">
        <f>AH34</f>
        <v>57000</v>
      </c>
      <c r="Y10" s="1629"/>
      <c r="Z10" s="1629"/>
      <c r="AA10" s="1629"/>
      <c r="AB10" s="1629"/>
      <c r="AC10" s="1629"/>
      <c r="AD10" s="1629"/>
      <c r="AE10" s="72"/>
      <c r="AF10" s="71"/>
      <c r="AG10" s="1630">
        <f>X9+X10+X11</f>
        <v>340339.76899999997</v>
      </c>
      <c r="AH10" s="1630"/>
      <c r="AI10" s="1630"/>
      <c r="AJ10" s="1630"/>
      <c r="AK10" s="1630"/>
      <c r="AL10" s="1630"/>
      <c r="AM10" s="1630"/>
      <c r="AN10" s="1630"/>
      <c r="AO10" s="1630"/>
      <c r="AP10" s="1630"/>
      <c r="AQ10" s="1630"/>
      <c r="AR10" s="1630"/>
      <c r="AS10" s="1630"/>
      <c r="AT10" s="1630"/>
      <c r="AU10" s="1630"/>
      <c r="AV10" s="1630"/>
      <c r="AW10" s="1630"/>
      <c r="AX10" s="1630"/>
      <c r="AY10" s="1630"/>
      <c r="AZ10" s="1630"/>
      <c r="BA10" s="1630"/>
      <c r="BB10" s="1630"/>
      <c r="BC10" s="1630"/>
      <c r="BD10" s="1630"/>
      <c r="BE10" s="1630"/>
      <c r="BF10" s="1630"/>
    </row>
    <row r="11" spans="1:59">
      <c r="A11" s="58"/>
      <c r="B11" s="73"/>
      <c r="C11" s="1631"/>
      <c r="D11" s="1631"/>
      <c r="E11" s="1631"/>
      <c r="F11" s="1631"/>
      <c r="G11" s="1631"/>
      <c r="H11" s="1631"/>
      <c r="I11" s="1631"/>
      <c r="J11" s="1631"/>
      <c r="K11" s="1631"/>
      <c r="L11" s="71"/>
      <c r="M11" s="71"/>
      <c r="N11" s="71"/>
      <c r="O11" s="71"/>
      <c r="P11" s="71"/>
      <c r="Q11" s="1039" t="s">
        <v>348</v>
      </c>
      <c r="R11" s="1039"/>
      <c r="S11" s="1039"/>
      <c r="T11" s="1039"/>
      <c r="U11" s="1039"/>
      <c r="V11" s="1039"/>
      <c r="W11" s="1039"/>
      <c r="X11" s="1629">
        <f>AP40+B49+B57</f>
        <v>164059.769</v>
      </c>
      <c r="Y11" s="1629"/>
      <c r="Z11" s="1629"/>
      <c r="AA11" s="1629"/>
      <c r="AB11" s="1629"/>
      <c r="AC11" s="1629"/>
      <c r="AD11" s="1629"/>
      <c r="AE11" s="72"/>
      <c r="AF11" s="71"/>
      <c r="AG11" s="1630"/>
      <c r="AH11" s="1630"/>
      <c r="AI11" s="1630"/>
      <c r="AJ11" s="1630"/>
      <c r="AK11" s="1630"/>
      <c r="AL11" s="1630"/>
      <c r="AM11" s="1630"/>
      <c r="AN11" s="1630"/>
      <c r="AO11" s="1630"/>
      <c r="AP11" s="1630"/>
      <c r="AQ11" s="1630"/>
      <c r="AR11" s="1630"/>
      <c r="AS11" s="1630"/>
      <c r="AT11" s="1630"/>
      <c r="AU11" s="1630"/>
      <c r="AV11" s="1630"/>
      <c r="AW11" s="1630"/>
      <c r="AX11" s="1630"/>
      <c r="AY11" s="1630"/>
      <c r="AZ11" s="1630"/>
      <c r="BA11" s="1630"/>
      <c r="BB11" s="1630"/>
      <c r="BC11" s="1630"/>
      <c r="BD11" s="1630"/>
      <c r="BE11" s="1630"/>
      <c r="BF11" s="1630"/>
    </row>
    <row r="12" spans="1:59">
      <c r="A12" s="58"/>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row>
    <row r="13" spans="1:59">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c r="BA13" s="58"/>
      <c r="BB13" s="58"/>
      <c r="BC13" s="58"/>
      <c r="BD13" s="58"/>
      <c r="BE13" s="58"/>
      <c r="BF13" s="58"/>
    </row>
    <row r="14" spans="1:59">
      <c r="A14" s="58"/>
      <c r="B14" s="1055" t="s">
        <v>347</v>
      </c>
      <c r="C14" s="1055"/>
      <c r="D14" s="1055"/>
      <c r="E14" s="1055"/>
      <c r="F14" s="1055"/>
      <c r="G14" s="1055"/>
      <c r="H14" s="1055"/>
      <c r="I14" s="1055"/>
      <c r="J14" s="1055"/>
      <c r="K14" s="1055"/>
      <c r="L14" s="1055"/>
      <c r="M14" s="1055"/>
      <c r="N14" s="1055"/>
      <c r="O14" s="1055"/>
      <c r="P14" s="1055"/>
      <c r="Q14" s="1055"/>
      <c r="R14" s="1055"/>
      <c r="S14" s="1055"/>
      <c r="T14" s="1055"/>
      <c r="U14" s="1055"/>
      <c r="V14" s="1055"/>
      <c r="W14" s="1055"/>
      <c r="X14" s="1055"/>
      <c r="Y14" s="1055"/>
      <c r="Z14" s="1055"/>
      <c r="AA14" s="1055"/>
      <c r="AB14" s="1055"/>
      <c r="AC14" s="1055"/>
      <c r="AD14" s="1055"/>
      <c r="AE14" s="1055"/>
      <c r="AF14" s="1055"/>
      <c r="AG14" s="1055"/>
      <c r="AH14" s="1055"/>
      <c r="AI14" s="1055"/>
      <c r="AJ14" s="1055"/>
      <c r="AK14" s="1055"/>
      <c r="AL14" s="1055"/>
      <c r="AM14" s="1055"/>
      <c r="AN14" s="1055"/>
      <c r="AO14" s="1055"/>
      <c r="AP14" s="1055"/>
      <c r="AQ14" s="1055"/>
      <c r="AR14" s="1055"/>
      <c r="AS14" s="1055"/>
      <c r="AT14" s="1055"/>
      <c r="AU14" s="1055"/>
      <c r="AV14" s="1055"/>
      <c r="AW14" s="1055"/>
      <c r="AX14" s="1055"/>
      <c r="AY14" s="1055"/>
      <c r="AZ14" s="1055"/>
      <c r="BA14" s="1055"/>
      <c r="BB14" s="1055"/>
      <c r="BC14" s="1055"/>
      <c r="BD14" s="1055"/>
      <c r="BE14" s="1055"/>
      <c r="BF14" s="1055"/>
    </row>
    <row r="15" spans="1:59" ht="21" customHeight="1">
      <c r="A15" s="58"/>
      <c r="B15" s="1060" t="s">
        <v>183</v>
      </c>
      <c r="C15" s="1060"/>
      <c r="D15" s="1633" t="s">
        <v>438</v>
      </c>
      <c r="E15" s="1633"/>
      <c r="F15" s="1633"/>
      <c r="G15" s="1633"/>
      <c r="H15" s="1633"/>
      <c r="I15" s="1633"/>
      <c r="J15" s="1633"/>
      <c r="K15" s="1633"/>
      <c r="L15" s="1633"/>
      <c r="M15" s="1633"/>
      <c r="N15" s="1633"/>
      <c r="O15" s="1633"/>
      <c r="P15" s="1633"/>
      <c r="Q15" s="1060" t="s">
        <v>185</v>
      </c>
      <c r="R15" s="1060"/>
      <c r="S15" s="1056" t="s">
        <v>427</v>
      </c>
      <c r="T15" s="1057"/>
      <c r="U15" s="1056" t="s">
        <v>439</v>
      </c>
      <c r="V15" s="1088"/>
      <c r="W15" s="1088"/>
      <c r="X15" s="1088"/>
      <c r="Y15" s="1057"/>
      <c r="Z15" s="1089" t="s">
        <v>440</v>
      </c>
      <c r="AA15" s="1091"/>
      <c r="AB15" s="1091"/>
      <c r="AC15" s="1091"/>
      <c r="AD15" s="1092"/>
      <c r="AE15" s="1056" t="s">
        <v>441</v>
      </c>
      <c r="AF15" s="1088"/>
      <c r="AG15" s="1088"/>
      <c r="AH15" s="1088"/>
      <c r="AI15" s="1057"/>
      <c r="AJ15" s="1089" t="s">
        <v>442</v>
      </c>
      <c r="AK15" s="1091"/>
      <c r="AL15" s="1091"/>
      <c r="AM15" s="1091"/>
      <c r="AN15" s="1091"/>
      <c r="AO15" s="1092"/>
      <c r="AP15" s="1089" t="s">
        <v>443</v>
      </c>
      <c r="AQ15" s="1091"/>
      <c r="AR15" s="1091"/>
      <c r="AS15" s="1091"/>
      <c r="AT15" s="1091"/>
      <c r="AU15" s="1092"/>
      <c r="AV15" s="1089" t="s">
        <v>444</v>
      </c>
      <c r="AW15" s="1091"/>
      <c r="AX15" s="1091"/>
      <c r="AY15" s="1091"/>
      <c r="AZ15" s="1091"/>
      <c r="BA15" s="1092"/>
      <c r="BB15" s="1089" t="s">
        <v>445</v>
      </c>
      <c r="BC15" s="1091"/>
      <c r="BD15" s="1091"/>
      <c r="BE15" s="1091"/>
      <c r="BF15" s="1092"/>
    </row>
    <row r="16" spans="1:59" ht="24" customHeight="1">
      <c r="A16" s="58"/>
      <c r="B16" s="1060"/>
      <c r="C16" s="1060"/>
      <c r="D16" s="1633"/>
      <c r="E16" s="1633"/>
      <c r="F16" s="1633"/>
      <c r="G16" s="1633"/>
      <c r="H16" s="1633"/>
      <c r="I16" s="1633"/>
      <c r="J16" s="1633"/>
      <c r="K16" s="1633"/>
      <c r="L16" s="1633"/>
      <c r="M16" s="1633"/>
      <c r="N16" s="1633"/>
      <c r="O16" s="1633"/>
      <c r="P16" s="1633"/>
      <c r="Q16" s="1060"/>
      <c r="R16" s="1060"/>
      <c r="S16" s="1058"/>
      <c r="T16" s="1059"/>
      <c r="U16" s="1058"/>
      <c r="V16" s="1075"/>
      <c r="W16" s="1075"/>
      <c r="X16" s="1075"/>
      <c r="Y16" s="1059"/>
      <c r="Z16" s="1090"/>
      <c r="AA16" s="1093"/>
      <c r="AB16" s="1093"/>
      <c r="AC16" s="1093"/>
      <c r="AD16" s="1094"/>
      <c r="AE16" s="1058"/>
      <c r="AF16" s="1075"/>
      <c r="AG16" s="1075"/>
      <c r="AH16" s="1075"/>
      <c r="AI16" s="1059"/>
      <c r="AJ16" s="1090"/>
      <c r="AK16" s="1093"/>
      <c r="AL16" s="1093"/>
      <c r="AM16" s="1093"/>
      <c r="AN16" s="1093"/>
      <c r="AO16" s="1094"/>
      <c r="AP16" s="1090"/>
      <c r="AQ16" s="1093"/>
      <c r="AR16" s="1093"/>
      <c r="AS16" s="1093"/>
      <c r="AT16" s="1093"/>
      <c r="AU16" s="1094"/>
      <c r="AV16" s="1090"/>
      <c r="AW16" s="1093"/>
      <c r="AX16" s="1093"/>
      <c r="AY16" s="1093"/>
      <c r="AZ16" s="1093"/>
      <c r="BA16" s="1094"/>
      <c r="BB16" s="1090"/>
      <c r="BC16" s="1093"/>
      <c r="BD16" s="1093"/>
      <c r="BE16" s="1093"/>
      <c r="BF16" s="1094"/>
    </row>
    <row r="17" spans="1:58" ht="23.25" customHeight="1">
      <c r="A17" s="58"/>
      <c r="B17" s="1121">
        <f>IF(S17="","",COUNT($S$17:S17))</f>
        <v>1</v>
      </c>
      <c r="C17" s="1122"/>
      <c r="D17" s="1614" t="s">
        <v>446</v>
      </c>
      <c r="E17" s="1615"/>
      <c r="F17" s="1615"/>
      <c r="G17" s="1615"/>
      <c r="H17" s="1615"/>
      <c r="I17" s="1615"/>
      <c r="J17" s="1615"/>
      <c r="K17" s="1615"/>
      <c r="L17" s="1615"/>
      <c r="M17" s="1615"/>
      <c r="N17" s="1615"/>
      <c r="O17" s="1615"/>
      <c r="P17" s="1616"/>
      <c r="Q17" s="1121" t="s">
        <v>412</v>
      </c>
      <c r="R17" s="1122"/>
      <c r="S17" s="1622">
        <v>6</v>
      </c>
      <c r="T17" s="1607"/>
      <c r="U17" s="1622"/>
      <c r="V17" s="1606"/>
      <c r="W17" s="1606"/>
      <c r="X17" s="1606"/>
      <c r="Y17" s="1607"/>
      <c r="Z17" s="1608" t="s">
        <v>1286</v>
      </c>
      <c r="AA17" s="1626"/>
      <c r="AB17" s="1626"/>
      <c r="AC17" s="1626"/>
      <c r="AD17" s="1609"/>
      <c r="AE17" s="1622" t="s">
        <v>1368</v>
      </c>
      <c r="AF17" s="1606"/>
      <c r="AG17" s="1606"/>
      <c r="AH17" s="1606"/>
      <c r="AI17" s="1607"/>
      <c r="AJ17" s="1608">
        <f>360*2</f>
        <v>720</v>
      </c>
      <c r="AK17" s="1626"/>
      <c r="AL17" s="1626"/>
      <c r="AM17" s="1626"/>
      <c r="AN17" s="1626"/>
      <c r="AO17" s="1609"/>
      <c r="AP17" s="1623">
        <v>12</v>
      </c>
      <c r="AQ17" s="1624"/>
      <c r="AR17" s="1624"/>
      <c r="AS17" s="1624"/>
      <c r="AT17" s="1624"/>
      <c r="AU17" s="1625"/>
      <c r="AV17" s="1608">
        <f>AJ17*AP17*S17</f>
        <v>51840</v>
      </c>
      <c r="AW17" s="1626"/>
      <c r="AX17" s="1626"/>
      <c r="AY17" s="1626"/>
      <c r="AZ17" s="1626"/>
      <c r="BA17" s="1609"/>
      <c r="BB17" s="1608"/>
      <c r="BC17" s="1626"/>
      <c r="BD17" s="1626"/>
      <c r="BE17" s="1626"/>
      <c r="BF17" s="1609"/>
    </row>
    <row r="18" spans="1:58" ht="23.25" customHeight="1">
      <c r="A18" s="58"/>
      <c r="B18" s="1140">
        <f>IF(S18="","",COUNT($S$17:S18))</f>
        <v>2</v>
      </c>
      <c r="C18" s="1141"/>
      <c r="D18" s="1117" t="s">
        <v>447</v>
      </c>
      <c r="E18" s="1118"/>
      <c r="F18" s="1118"/>
      <c r="G18" s="1118"/>
      <c r="H18" s="1118"/>
      <c r="I18" s="1118"/>
      <c r="J18" s="1118"/>
      <c r="K18" s="1118"/>
      <c r="L18" s="1118"/>
      <c r="M18" s="1118"/>
      <c r="N18" s="1118"/>
      <c r="O18" s="1118"/>
      <c r="P18" s="1586"/>
      <c r="Q18" s="1133" t="s">
        <v>412</v>
      </c>
      <c r="R18" s="1134"/>
      <c r="S18" s="1543">
        <v>6</v>
      </c>
      <c r="T18" s="1053"/>
      <c r="U18" s="1543"/>
      <c r="V18" s="1052"/>
      <c r="W18" s="1052"/>
      <c r="X18" s="1052"/>
      <c r="Y18" s="1053"/>
      <c r="Z18" s="1611" t="str">
        <f>AE17</f>
        <v>MARA ROSA</v>
      </c>
      <c r="AA18" s="1073"/>
      <c r="AB18" s="1073"/>
      <c r="AC18" s="1073"/>
      <c r="AD18" s="1074"/>
      <c r="AE18" s="1627" t="str">
        <f>Z17</f>
        <v>GOIÂNIA</v>
      </c>
      <c r="AF18" s="1595"/>
      <c r="AG18" s="1595"/>
      <c r="AH18" s="1595"/>
      <c r="AI18" s="1596"/>
      <c r="AJ18" s="1543">
        <f>360*2</f>
        <v>720</v>
      </c>
      <c r="AK18" s="1052"/>
      <c r="AL18" s="1052"/>
      <c r="AM18" s="1052"/>
      <c r="AN18" s="1052"/>
      <c r="AO18" s="1053"/>
      <c r="AP18" s="1590">
        <f>AP17</f>
        <v>12</v>
      </c>
      <c r="AQ18" s="1591"/>
      <c r="AR18" s="1591"/>
      <c r="AS18" s="1591"/>
      <c r="AT18" s="1591"/>
      <c r="AU18" s="1592"/>
      <c r="AV18" s="1543">
        <f>AJ18*AP18*S18</f>
        <v>51840</v>
      </c>
      <c r="AW18" s="1052"/>
      <c r="AX18" s="1052"/>
      <c r="AY18" s="1052"/>
      <c r="AZ18" s="1052"/>
      <c r="BA18" s="1053"/>
      <c r="BB18" s="1627"/>
      <c r="BC18" s="1595"/>
      <c r="BD18" s="1595"/>
      <c r="BE18" s="1595"/>
      <c r="BF18" s="1596"/>
    </row>
    <row r="19" spans="1:58" ht="23.25" customHeight="1">
      <c r="A19" s="58"/>
      <c r="B19" s="1121">
        <f>IF(S19="","",COUNT($S$17:S19))</f>
        <v>3</v>
      </c>
      <c r="C19" s="1122"/>
      <c r="D19" s="1614" t="s">
        <v>1136</v>
      </c>
      <c r="E19" s="1615"/>
      <c r="F19" s="1615"/>
      <c r="G19" s="1615"/>
      <c r="H19" s="1615"/>
      <c r="I19" s="1615"/>
      <c r="J19" s="1615"/>
      <c r="K19" s="1615"/>
      <c r="L19" s="1615"/>
      <c r="M19" s="1615"/>
      <c r="N19" s="1615"/>
      <c r="O19" s="1615"/>
      <c r="P19" s="1616"/>
      <c r="Q19" s="1121" t="s">
        <v>412</v>
      </c>
      <c r="R19" s="1122"/>
      <c r="S19" s="1622">
        <f>ADM!I50+ADM!I51+ADM!I54</f>
        <v>5</v>
      </c>
      <c r="T19" s="1607"/>
      <c r="U19" s="1622"/>
      <c r="V19" s="1606"/>
      <c r="W19" s="1606"/>
      <c r="X19" s="1606"/>
      <c r="Y19" s="1607"/>
      <c r="Z19" s="1608"/>
      <c r="AA19" s="1626"/>
      <c r="AB19" s="1626"/>
      <c r="AC19" s="1626"/>
      <c r="AD19" s="1609"/>
      <c r="AE19" s="1622"/>
      <c r="AF19" s="1606"/>
      <c r="AG19" s="1606"/>
      <c r="AH19" s="1606"/>
      <c r="AI19" s="1607"/>
      <c r="AJ19" s="1608"/>
      <c r="AK19" s="1626"/>
      <c r="AL19" s="1626"/>
      <c r="AM19" s="1626"/>
      <c r="AN19" s="1626"/>
      <c r="AO19" s="1609"/>
      <c r="AP19" s="1623">
        <v>1200</v>
      </c>
      <c r="AQ19" s="1624"/>
      <c r="AR19" s="1624"/>
      <c r="AS19" s="1624"/>
      <c r="AT19" s="1624"/>
      <c r="AU19" s="1625"/>
      <c r="AV19" s="1608">
        <f>AP19*S19</f>
        <v>6000</v>
      </c>
      <c r="AW19" s="1626"/>
      <c r="AX19" s="1626"/>
      <c r="AY19" s="1626"/>
      <c r="AZ19" s="1626"/>
      <c r="BA19" s="1609"/>
      <c r="BB19" s="1608"/>
      <c r="BC19" s="1626"/>
      <c r="BD19" s="1626"/>
      <c r="BE19" s="1626"/>
      <c r="BF19" s="1609"/>
    </row>
    <row r="20" spans="1:58">
      <c r="A20" s="58"/>
      <c r="B20" s="1140">
        <f>IF(S20="","",COUNT($S$17:S20))</f>
        <v>4</v>
      </c>
      <c r="C20" s="1141"/>
      <c r="D20" s="1117" t="s">
        <v>1137</v>
      </c>
      <c r="E20" s="1118"/>
      <c r="F20" s="1118"/>
      <c r="G20" s="1118"/>
      <c r="H20" s="1118"/>
      <c r="I20" s="1118"/>
      <c r="J20" s="1118"/>
      <c r="K20" s="1118"/>
      <c r="L20" s="1118"/>
      <c r="M20" s="1118"/>
      <c r="N20" s="1118"/>
      <c r="O20" s="1118"/>
      <c r="P20" s="1586"/>
      <c r="Q20" s="1133" t="s">
        <v>412</v>
      </c>
      <c r="R20" s="1134"/>
      <c r="S20" s="1543">
        <f>S19</f>
        <v>5</v>
      </c>
      <c r="T20" s="1053"/>
      <c r="U20" s="1543"/>
      <c r="V20" s="1052"/>
      <c r="W20" s="1052"/>
      <c r="X20" s="1052"/>
      <c r="Y20" s="1053"/>
      <c r="Z20" s="1611"/>
      <c r="AA20" s="1073"/>
      <c r="AB20" s="1073"/>
      <c r="AC20" s="1073"/>
      <c r="AD20" s="1074"/>
      <c r="AE20" s="1627"/>
      <c r="AF20" s="1595"/>
      <c r="AG20" s="1595"/>
      <c r="AH20" s="1595"/>
      <c r="AI20" s="1596"/>
      <c r="AJ20" s="1543"/>
      <c r="AK20" s="1052"/>
      <c r="AL20" s="1052"/>
      <c r="AM20" s="1052"/>
      <c r="AN20" s="1052"/>
      <c r="AO20" s="1053"/>
      <c r="AP20" s="1590">
        <f>AP19</f>
        <v>1200</v>
      </c>
      <c r="AQ20" s="1591"/>
      <c r="AR20" s="1591"/>
      <c r="AS20" s="1591"/>
      <c r="AT20" s="1591"/>
      <c r="AU20" s="1592"/>
      <c r="AV20" s="1543">
        <f>AP20*S20</f>
        <v>6000</v>
      </c>
      <c r="AW20" s="1052"/>
      <c r="AX20" s="1052"/>
      <c r="AY20" s="1052"/>
      <c r="AZ20" s="1052"/>
      <c r="BA20" s="1053"/>
      <c r="BB20" s="1627"/>
      <c r="BC20" s="1595"/>
      <c r="BD20" s="1595"/>
      <c r="BE20" s="1595"/>
      <c r="BF20" s="1596"/>
    </row>
    <row r="21" spans="1:58">
      <c r="A21" s="58"/>
      <c r="B21" s="1121">
        <f>IF(S21="","",COUNT($S$17:S21))</f>
        <v>5</v>
      </c>
      <c r="C21" s="1122"/>
      <c r="D21" s="1614" t="s">
        <v>1122</v>
      </c>
      <c r="E21" s="1615"/>
      <c r="F21" s="1615"/>
      <c r="G21" s="1615"/>
      <c r="H21" s="1615"/>
      <c r="I21" s="1615"/>
      <c r="J21" s="1615"/>
      <c r="K21" s="1615"/>
      <c r="L21" s="1615"/>
      <c r="M21" s="1615"/>
      <c r="N21" s="1615"/>
      <c r="O21" s="1615"/>
      <c r="P21" s="1616"/>
      <c r="Q21" s="1121" t="s">
        <v>412</v>
      </c>
      <c r="R21" s="1122"/>
      <c r="S21" s="1622">
        <f>ADM!I52</f>
        <v>2</v>
      </c>
      <c r="T21" s="1607"/>
      <c r="U21" s="1622"/>
      <c r="V21" s="1606"/>
      <c r="W21" s="1606"/>
      <c r="X21" s="1606"/>
      <c r="Y21" s="1607"/>
      <c r="Z21" s="1608"/>
      <c r="AA21" s="1626"/>
      <c r="AB21" s="1626"/>
      <c r="AC21" s="1626"/>
      <c r="AD21" s="1609"/>
      <c r="AE21" s="1622"/>
      <c r="AF21" s="1606"/>
      <c r="AG21" s="1606"/>
      <c r="AH21" s="1606"/>
      <c r="AI21" s="1607"/>
      <c r="AJ21" s="1608"/>
      <c r="AK21" s="1626"/>
      <c r="AL21" s="1626"/>
      <c r="AM21" s="1626"/>
      <c r="AN21" s="1626"/>
      <c r="AO21" s="1609"/>
      <c r="AP21" s="1623">
        <v>900</v>
      </c>
      <c r="AQ21" s="1624"/>
      <c r="AR21" s="1624"/>
      <c r="AS21" s="1624"/>
      <c r="AT21" s="1624"/>
      <c r="AU21" s="1625"/>
      <c r="AV21" s="1608">
        <f>AP21*S21</f>
        <v>1800</v>
      </c>
      <c r="AW21" s="1626"/>
      <c r="AX21" s="1626"/>
      <c r="AY21" s="1626"/>
      <c r="AZ21" s="1626"/>
      <c r="BA21" s="1609"/>
      <c r="BB21" s="1608"/>
      <c r="BC21" s="1626"/>
      <c r="BD21" s="1626"/>
      <c r="BE21" s="1626"/>
      <c r="BF21" s="1609"/>
    </row>
    <row r="22" spans="1:58">
      <c r="A22" s="58"/>
      <c r="B22" s="1140">
        <f>IF(S22="","",COUNT($S$17:S22))</f>
        <v>6</v>
      </c>
      <c r="C22" s="1141"/>
      <c r="D22" s="1117" t="s">
        <v>1123</v>
      </c>
      <c r="E22" s="1118"/>
      <c r="F22" s="1118"/>
      <c r="G22" s="1118"/>
      <c r="H22" s="1118"/>
      <c r="I22" s="1118"/>
      <c r="J22" s="1118"/>
      <c r="K22" s="1118"/>
      <c r="L22" s="1118"/>
      <c r="M22" s="1118"/>
      <c r="N22" s="1118"/>
      <c r="O22" s="1118"/>
      <c r="P22" s="1586"/>
      <c r="Q22" s="1133" t="s">
        <v>412</v>
      </c>
      <c r="R22" s="1134"/>
      <c r="S22" s="1543">
        <f>S21</f>
        <v>2</v>
      </c>
      <c r="T22" s="1053"/>
      <c r="U22" s="1543"/>
      <c r="V22" s="1052"/>
      <c r="W22" s="1052"/>
      <c r="X22" s="1052"/>
      <c r="Y22" s="1053"/>
      <c r="Z22" s="1611"/>
      <c r="AA22" s="1073"/>
      <c r="AB22" s="1073"/>
      <c r="AC22" s="1073"/>
      <c r="AD22" s="1074"/>
      <c r="AE22" s="1627"/>
      <c r="AF22" s="1595"/>
      <c r="AG22" s="1595"/>
      <c r="AH22" s="1595"/>
      <c r="AI22" s="1596"/>
      <c r="AJ22" s="1543"/>
      <c r="AK22" s="1052"/>
      <c r="AL22" s="1052"/>
      <c r="AM22" s="1052"/>
      <c r="AN22" s="1052"/>
      <c r="AO22" s="1053"/>
      <c r="AP22" s="1590">
        <f>AP21</f>
        <v>900</v>
      </c>
      <c r="AQ22" s="1591"/>
      <c r="AR22" s="1591"/>
      <c r="AS22" s="1591"/>
      <c r="AT22" s="1591"/>
      <c r="AU22" s="1592"/>
      <c r="AV22" s="1543">
        <f>AP22*S22</f>
        <v>1800</v>
      </c>
      <c r="AW22" s="1052"/>
      <c r="AX22" s="1052"/>
      <c r="AY22" s="1052"/>
      <c r="AZ22" s="1052"/>
      <c r="BA22" s="1053"/>
      <c r="BB22" s="1627"/>
      <c r="BC22" s="1595"/>
      <c r="BD22" s="1595"/>
      <c r="BE22" s="1595"/>
      <c r="BF22" s="1596"/>
    </row>
    <row r="23" spans="1:58" hidden="1">
      <c r="A23" s="58"/>
      <c r="B23" s="1121">
        <f>IF(S23="","",COUNT($S$17:S23))</f>
        <v>7</v>
      </c>
      <c r="C23" s="1122"/>
      <c r="D23" s="1614" t="s">
        <v>1140</v>
      </c>
      <c r="E23" s="1615"/>
      <c r="F23" s="1615"/>
      <c r="G23" s="1615"/>
      <c r="H23" s="1615"/>
      <c r="I23" s="1615"/>
      <c r="J23" s="1615"/>
      <c r="K23" s="1615"/>
      <c r="L23" s="1615"/>
      <c r="M23" s="1615"/>
      <c r="N23" s="1615"/>
      <c r="O23" s="1615"/>
      <c r="P23" s="1616"/>
      <c r="Q23" s="1121" t="s">
        <v>412</v>
      </c>
      <c r="R23" s="1122"/>
      <c r="S23" s="1634">
        <f>ADM!I65</f>
        <v>0</v>
      </c>
      <c r="T23" s="1635"/>
      <c r="U23" s="1622"/>
      <c r="V23" s="1606"/>
      <c r="W23" s="1606"/>
      <c r="X23" s="1606"/>
      <c r="Y23" s="1607"/>
      <c r="Z23" s="1608" t="s">
        <v>1286</v>
      </c>
      <c r="AA23" s="1626"/>
      <c r="AB23" s="1626"/>
      <c r="AC23" s="1626"/>
      <c r="AD23" s="1609"/>
      <c r="AE23" s="1622" t="s">
        <v>1368</v>
      </c>
      <c r="AF23" s="1606"/>
      <c r="AG23" s="1606"/>
      <c r="AH23" s="1606"/>
      <c r="AI23" s="1607"/>
      <c r="AJ23" s="1608">
        <f>360*2</f>
        <v>720</v>
      </c>
      <c r="AK23" s="1626"/>
      <c r="AL23" s="1626"/>
      <c r="AM23" s="1626"/>
      <c r="AN23" s="1626"/>
      <c r="AO23" s="1609"/>
      <c r="AP23" s="1623">
        <v>11</v>
      </c>
      <c r="AQ23" s="1624"/>
      <c r="AR23" s="1624"/>
      <c r="AS23" s="1624"/>
      <c r="AT23" s="1624"/>
      <c r="AU23" s="1625"/>
      <c r="AV23" s="1608">
        <f>AJ23*AP23*S23</f>
        <v>0</v>
      </c>
      <c r="AW23" s="1626"/>
      <c r="AX23" s="1626"/>
      <c r="AY23" s="1626"/>
      <c r="AZ23" s="1626"/>
      <c r="BA23" s="1609"/>
      <c r="BB23" s="1608"/>
      <c r="BC23" s="1626"/>
      <c r="BD23" s="1626"/>
      <c r="BE23" s="1626"/>
      <c r="BF23" s="1609"/>
    </row>
    <row r="24" spans="1:58" hidden="1">
      <c r="A24" s="58"/>
      <c r="B24" s="1140">
        <f>IF(S24="","",COUNT($S$17:S24))</f>
        <v>8</v>
      </c>
      <c r="C24" s="1141"/>
      <c r="D24" s="1117" t="s">
        <v>1141</v>
      </c>
      <c r="E24" s="1118"/>
      <c r="F24" s="1118"/>
      <c r="G24" s="1118"/>
      <c r="H24" s="1118"/>
      <c r="I24" s="1118"/>
      <c r="J24" s="1118"/>
      <c r="K24" s="1118"/>
      <c r="L24" s="1118"/>
      <c r="M24" s="1118"/>
      <c r="N24" s="1118"/>
      <c r="O24" s="1118"/>
      <c r="P24" s="1586"/>
      <c r="Q24" s="1133" t="s">
        <v>412</v>
      </c>
      <c r="R24" s="1134"/>
      <c r="S24" s="1590">
        <f>S23</f>
        <v>0</v>
      </c>
      <c r="T24" s="1592"/>
      <c r="U24" s="1543"/>
      <c r="V24" s="1052"/>
      <c r="W24" s="1052"/>
      <c r="X24" s="1052"/>
      <c r="Y24" s="1053"/>
      <c r="Z24" s="1611" t="str">
        <f>AE23</f>
        <v>MARA ROSA</v>
      </c>
      <c r="AA24" s="1073"/>
      <c r="AB24" s="1073"/>
      <c r="AC24" s="1073"/>
      <c r="AD24" s="1074"/>
      <c r="AE24" s="1627" t="str">
        <f>Z23</f>
        <v>GOIÂNIA</v>
      </c>
      <c r="AF24" s="1595"/>
      <c r="AG24" s="1595"/>
      <c r="AH24" s="1595"/>
      <c r="AI24" s="1596"/>
      <c r="AJ24" s="1543">
        <f>AJ23</f>
        <v>720</v>
      </c>
      <c r="AK24" s="1052"/>
      <c r="AL24" s="1052"/>
      <c r="AM24" s="1052"/>
      <c r="AN24" s="1052"/>
      <c r="AO24" s="1053"/>
      <c r="AP24" s="1590">
        <v>11</v>
      </c>
      <c r="AQ24" s="1591"/>
      <c r="AR24" s="1591"/>
      <c r="AS24" s="1591"/>
      <c r="AT24" s="1591"/>
      <c r="AU24" s="1592"/>
      <c r="AV24" s="1543">
        <f>AJ24*AP24*S24</f>
        <v>0</v>
      </c>
      <c r="AW24" s="1052"/>
      <c r="AX24" s="1052"/>
      <c r="AY24" s="1052"/>
      <c r="AZ24" s="1052"/>
      <c r="BA24" s="1053"/>
      <c r="BB24" s="1627"/>
      <c r="BC24" s="1595"/>
      <c r="BD24" s="1595"/>
      <c r="BE24" s="1595"/>
      <c r="BF24" s="1596"/>
    </row>
    <row r="25" spans="1:58">
      <c r="A25" s="58"/>
      <c r="B25" s="1121"/>
      <c r="C25" s="1122"/>
      <c r="D25" s="1614"/>
      <c r="E25" s="1615"/>
      <c r="F25" s="1615"/>
      <c r="G25" s="1615"/>
      <c r="H25" s="1615"/>
      <c r="I25" s="1615"/>
      <c r="J25" s="1615"/>
      <c r="K25" s="1615"/>
      <c r="L25" s="1615"/>
      <c r="M25" s="1615"/>
      <c r="N25" s="1615"/>
      <c r="O25" s="1615"/>
      <c r="P25" s="1616"/>
      <c r="Q25" s="1121"/>
      <c r="R25" s="1122"/>
      <c r="S25" s="1622"/>
      <c r="T25" s="1607"/>
      <c r="U25" s="1622"/>
      <c r="V25" s="1606"/>
      <c r="W25" s="1606"/>
      <c r="X25" s="1606"/>
      <c r="Y25" s="1607"/>
      <c r="Z25" s="1608"/>
      <c r="AA25" s="1626"/>
      <c r="AB25" s="1626"/>
      <c r="AC25" s="1626"/>
      <c r="AD25" s="1609"/>
      <c r="AE25" s="1622"/>
      <c r="AF25" s="1606"/>
      <c r="AG25" s="1606"/>
      <c r="AH25" s="1606"/>
      <c r="AI25" s="1607"/>
      <c r="AJ25" s="1608"/>
      <c r="AK25" s="1626"/>
      <c r="AL25" s="1626"/>
      <c r="AM25" s="1626"/>
      <c r="AN25" s="1626"/>
      <c r="AO25" s="1609"/>
      <c r="AP25" s="1608"/>
      <c r="AQ25" s="1626"/>
      <c r="AR25" s="1626"/>
      <c r="AS25" s="1626"/>
      <c r="AT25" s="1626"/>
      <c r="AU25" s="1609"/>
      <c r="AV25" s="1608"/>
      <c r="AW25" s="1626"/>
      <c r="AX25" s="1626"/>
      <c r="AY25" s="1626"/>
      <c r="AZ25" s="1626"/>
      <c r="BA25" s="1609"/>
      <c r="BB25" s="1608"/>
      <c r="BC25" s="1626"/>
      <c r="BD25" s="1626"/>
      <c r="BE25" s="1626"/>
      <c r="BF25" s="1609"/>
    </row>
    <row r="26" spans="1:58">
      <c r="A26" s="58"/>
      <c r="B26" s="1140"/>
      <c r="C26" s="1141"/>
      <c r="D26" s="1117"/>
      <c r="E26" s="1118"/>
      <c r="F26" s="1118"/>
      <c r="G26" s="1118"/>
      <c r="H26" s="1118"/>
      <c r="I26" s="1118"/>
      <c r="J26" s="1118"/>
      <c r="K26" s="1118"/>
      <c r="L26" s="1118"/>
      <c r="M26" s="1118"/>
      <c r="N26" s="1118"/>
      <c r="O26" s="1118"/>
      <c r="P26" s="1586"/>
      <c r="Q26" s="1133"/>
      <c r="R26" s="1134"/>
      <c r="S26" s="1543"/>
      <c r="T26" s="1053"/>
      <c r="U26" s="1543"/>
      <c r="V26" s="1052"/>
      <c r="W26" s="1052"/>
      <c r="X26" s="1052"/>
      <c r="Y26" s="1053"/>
      <c r="Z26" s="1611"/>
      <c r="AA26" s="1073"/>
      <c r="AB26" s="1073"/>
      <c r="AC26" s="1073"/>
      <c r="AD26" s="1074"/>
      <c r="AE26" s="1627"/>
      <c r="AF26" s="1595"/>
      <c r="AG26" s="1595"/>
      <c r="AH26" s="1595"/>
      <c r="AI26" s="1596"/>
      <c r="AJ26" s="1543"/>
      <c r="AK26" s="1052"/>
      <c r="AL26" s="1052"/>
      <c r="AM26" s="1052"/>
      <c r="AN26" s="1052"/>
      <c r="AO26" s="1053"/>
      <c r="AP26" s="1543"/>
      <c r="AQ26" s="1052"/>
      <c r="AR26" s="1052"/>
      <c r="AS26" s="1052"/>
      <c r="AT26" s="1052"/>
      <c r="AU26" s="1053"/>
      <c r="AV26" s="1543"/>
      <c r="AW26" s="1052"/>
      <c r="AX26" s="1052"/>
      <c r="AY26" s="1052"/>
      <c r="AZ26" s="1052"/>
      <c r="BA26" s="1053"/>
      <c r="BB26" s="1627"/>
      <c r="BC26" s="1595"/>
      <c r="BD26" s="1595"/>
      <c r="BE26" s="1595"/>
      <c r="BF26" s="1596"/>
    </row>
    <row r="27" spans="1:58">
      <c r="A27" s="58"/>
      <c r="B27" s="1646"/>
      <c r="C27" s="1646"/>
      <c r="D27" s="1066"/>
      <c r="E27" s="1066"/>
      <c r="F27" s="1066"/>
      <c r="G27" s="1066"/>
      <c r="H27" s="1066"/>
      <c r="I27" s="1066"/>
      <c r="J27" s="1066"/>
      <c r="K27" s="1066"/>
      <c r="L27" s="1066"/>
      <c r="M27" s="1066"/>
      <c r="N27" s="1066"/>
      <c r="O27" s="1066"/>
      <c r="P27" s="1066"/>
      <c r="Q27" s="1647"/>
      <c r="R27" s="1648"/>
      <c r="S27" s="1067"/>
      <c r="T27" s="1068"/>
      <c r="U27" s="1068"/>
      <c r="V27" s="1068"/>
      <c r="W27" s="1068"/>
      <c r="X27" s="1068"/>
      <c r="Y27" s="1069"/>
      <c r="Z27" s="1067"/>
      <c r="AA27" s="1068"/>
      <c r="AB27" s="1068"/>
      <c r="AC27" s="1068"/>
      <c r="AD27" s="1069"/>
      <c r="AE27" s="1067"/>
      <c r="AF27" s="1068"/>
      <c r="AG27" s="1068"/>
      <c r="AH27" s="1068"/>
      <c r="AI27" s="1069"/>
      <c r="AJ27" s="1067"/>
      <c r="AK27" s="1068"/>
      <c r="AL27" s="1068"/>
      <c r="AM27" s="1068"/>
      <c r="AN27" s="1068"/>
      <c r="AO27" s="1069"/>
      <c r="AP27" s="1067"/>
      <c r="AQ27" s="1068"/>
      <c r="AR27" s="1068"/>
      <c r="AS27" s="1068"/>
      <c r="AT27" s="1068"/>
      <c r="AU27" s="1069"/>
      <c r="AV27" s="1067">
        <f>SUM(AV17:BA26)</f>
        <v>119280</v>
      </c>
      <c r="AW27" s="1068"/>
      <c r="AX27" s="1068"/>
      <c r="AY27" s="1068"/>
      <c r="AZ27" s="1068"/>
      <c r="BA27" s="1069"/>
      <c r="BB27" s="1067"/>
      <c r="BC27" s="1068"/>
      <c r="BD27" s="1068"/>
      <c r="BE27" s="1068"/>
      <c r="BF27" s="1069"/>
    </row>
    <row r="28" spans="1:58">
      <c r="A28" s="58"/>
      <c r="B28" s="58"/>
      <c r="C28" s="58"/>
      <c r="D28" s="58"/>
      <c r="E28" s="58"/>
      <c r="F28" s="58"/>
      <c r="G28" s="58"/>
      <c r="H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row>
    <row r="29" spans="1:58">
      <c r="A29" s="58"/>
      <c r="B29" s="1055" t="s">
        <v>344</v>
      </c>
      <c r="C29" s="1055"/>
      <c r="D29" s="1055"/>
      <c r="E29" s="1055"/>
      <c r="F29" s="1055"/>
      <c r="G29" s="1055"/>
      <c r="H29" s="1055"/>
      <c r="I29" s="1055"/>
      <c r="J29" s="1055"/>
      <c r="K29" s="1055"/>
      <c r="L29" s="1055"/>
      <c r="M29" s="1055"/>
      <c r="N29" s="1055"/>
      <c r="O29" s="1055"/>
      <c r="P29" s="1055"/>
      <c r="Q29" s="1055"/>
      <c r="R29" s="1055"/>
      <c r="S29" s="1055"/>
      <c r="T29" s="1055"/>
      <c r="U29" s="1055"/>
      <c r="V29" s="1055"/>
      <c r="W29" s="1055"/>
      <c r="X29" s="1055"/>
      <c r="Y29" s="1055"/>
      <c r="Z29" s="1055"/>
      <c r="AA29" s="1055"/>
      <c r="AB29" s="1055"/>
      <c r="AC29" s="1055"/>
      <c r="AD29" s="1055"/>
      <c r="AE29" s="1055"/>
      <c r="AF29" s="1055"/>
      <c r="AG29" s="1055"/>
      <c r="AH29" s="1055"/>
      <c r="AI29" s="1055"/>
      <c r="AJ29" s="1055"/>
      <c r="AK29" s="1055"/>
      <c r="AL29" s="1055"/>
      <c r="AM29" s="1055"/>
      <c r="AN29" s="1055"/>
      <c r="AO29" s="1055"/>
      <c r="AP29" s="1055"/>
      <c r="AQ29" s="1055"/>
      <c r="AR29" s="1055"/>
      <c r="AS29" s="1055"/>
      <c r="AT29" s="1055"/>
      <c r="AU29" s="1055"/>
      <c r="AV29" s="1055"/>
      <c r="AW29" s="1055"/>
      <c r="AX29" s="1055"/>
      <c r="AY29" s="1055"/>
      <c r="AZ29" s="1055"/>
      <c r="BA29" s="1055"/>
      <c r="BB29" s="1055"/>
      <c r="BC29" s="1055"/>
      <c r="BD29" s="1055"/>
      <c r="BE29" s="1055"/>
      <c r="BF29" s="1055"/>
    </row>
    <row r="30" spans="1:58" ht="15" customHeight="1">
      <c r="A30" s="58"/>
      <c r="B30" s="1056" t="s">
        <v>439</v>
      </c>
      <c r="C30" s="1088"/>
      <c r="D30" s="1088"/>
      <c r="E30" s="1088"/>
      <c r="F30" s="1088"/>
      <c r="G30" s="1088"/>
      <c r="H30" s="1088"/>
      <c r="I30" s="1088"/>
      <c r="J30" s="1088"/>
      <c r="K30" s="1088"/>
      <c r="L30" s="1057"/>
      <c r="M30" s="1056" t="s">
        <v>185</v>
      </c>
      <c r="N30" s="1088"/>
      <c r="O30" s="1057"/>
      <c r="P30" s="1056" t="s">
        <v>440</v>
      </c>
      <c r="Q30" s="1088"/>
      <c r="R30" s="1088"/>
      <c r="S30" s="1088"/>
      <c r="T30" s="1088"/>
      <c r="U30" s="1088"/>
      <c r="V30" s="1056" t="s">
        <v>441</v>
      </c>
      <c r="W30" s="1088"/>
      <c r="X30" s="1088"/>
      <c r="Y30" s="1088"/>
      <c r="Z30" s="1088"/>
      <c r="AA30" s="1057"/>
      <c r="AB30" s="1089" t="s">
        <v>443</v>
      </c>
      <c r="AC30" s="1091"/>
      <c r="AD30" s="1091"/>
      <c r="AE30" s="1091"/>
      <c r="AF30" s="1091"/>
      <c r="AG30" s="1092"/>
      <c r="AH30" s="1089" t="s">
        <v>444</v>
      </c>
      <c r="AI30" s="1088"/>
      <c r="AJ30" s="1088"/>
      <c r="AK30" s="1088"/>
      <c r="AL30" s="1088"/>
      <c r="AM30" s="1057"/>
      <c r="AN30" s="1056" t="s">
        <v>445</v>
      </c>
      <c r="AO30" s="1088"/>
      <c r="AP30" s="1088"/>
      <c r="AQ30" s="1088"/>
      <c r="AR30" s="1088"/>
      <c r="AS30" s="1088"/>
      <c r="AT30" s="1088"/>
      <c r="AU30" s="1088"/>
      <c r="AV30" s="1088"/>
      <c r="AW30" s="1088"/>
      <c r="AX30" s="1088"/>
      <c r="AY30" s="1088"/>
      <c r="AZ30" s="1088"/>
      <c r="BA30" s="1088"/>
      <c r="BB30" s="1088"/>
      <c r="BC30" s="1088"/>
      <c r="BD30" s="1088"/>
      <c r="BE30" s="1088"/>
      <c r="BF30" s="1057"/>
    </row>
    <row r="31" spans="1:58">
      <c r="A31" s="58"/>
      <c r="B31" s="1058"/>
      <c r="C31" s="1075"/>
      <c r="D31" s="1075"/>
      <c r="E31" s="1075"/>
      <c r="F31" s="1075"/>
      <c r="G31" s="1075"/>
      <c r="H31" s="1075"/>
      <c r="I31" s="1075"/>
      <c r="J31" s="1075"/>
      <c r="K31" s="1075"/>
      <c r="L31" s="1059"/>
      <c r="M31" s="1058"/>
      <c r="N31" s="1075"/>
      <c r="O31" s="1059"/>
      <c r="P31" s="1058"/>
      <c r="Q31" s="1075"/>
      <c r="R31" s="1075"/>
      <c r="S31" s="1075"/>
      <c r="T31" s="1075"/>
      <c r="U31" s="1075"/>
      <c r="V31" s="1058"/>
      <c r="W31" s="1075"/>
      <c r="X31" s="1075"/>
      <c r="Y31" s="1075"/>
      <c r="Z31" s="1075"/>
      <c r="AA31" s="1059"/>
      <c r="AB31" s="1090"/>
      <c r="AC31" s="1093"/>
      <c r="AD31" s="1093"/>
      <c r="AE31" s="1093"/>
      <c r="AF31" s="1093"/>
      <c r="AG31" s="1094"/>
      <c r="AH31" s="1058"/>
      <c r="AI31" s="1075"/>
      <c r="AJ31" s="1075"/>
      <c r="AK31" s="1075"/>
      <c r="AL31" s="1075"/>
      <c r="AM31" s="1059"/>
      <c r="AN31" s="1058"/>
      <c r="AO31" s="1075"/>
      <c r="AP31" s="1075"/>
      <c r="AQ31" s="1075"/>
      <c r="AR31" s="1075"/>
      <c r="AS31" s="1075"/>
      <c r="AT31" s="1075"/>
      <c r="AU31" s="1075"/>
      <c r="AV31" s="1075"/>
      <c r="AW31" s="1075"/>
      <c r="AX31" s="1075"/>
      <c r="AY31" s="1075"/>
      <c r="AZ31" s="1075"/>
      <c r="BA31" s="1075"/>
      <c r="BB31" s="1075"/>
      <c r="BC31" s="1075"/>
      <c r="BD31" s="1075"/>
      <c r="BE31" s="1075"/>
      <c r="BF31" s="1059"/>
    </row>
    <row r="32" spans="1:58">
      <c r="A32" s="58"/>
      <c r="B32" s="1614" t="s">
        <v>448</v>
      </c>
      <c r="C32" s="1615"/>
      <c r="D32" s="1615"/>
      <c r="E32" s="1615"/>
      <c r="F32" s="1615"/>
      <c r="G32" s="1615"/>
      <c r="H32" s="1615"/>
      <c r="I32" s="1615"/>
      <c r="J32" s="1615"/>
      <c r="K32" s="1615"/>
      <c r="L32" s="1616"/>
      <c r="M32" s="1618">
        <f>(C_FIXO!C14+C_FIXO!C15)</f>
        <v>38</v>
      </c>
      <c r="N32" s="1619"/>
      <c r="O32" s="1620"/>
      <c r="P32" s="1621" t="s">
        <v>1287</v>
      </c>
      <c r="Q32" s="1077"/>
      <c r="R32" s="1077"/>
      <c r="S32" s="1077"/>
      <c r="T32" s="1077"/>
      <c r="U32" s="1077"/>
      <c r="V32" s="1621" t="s">
        <v>1368</v>
      </c>
      <c r="W32" s="1077"/>
      <c r="X32" s="1077"/>
      <c r="Y32" s="1077"/>
      <c r="Z32" s="1077"/>
      <c r="AA32" s="1078"/>
      <c r="AB32" s="1644">
        <v>750</v>
      </c>
      <c r="AC32" s="1644"/>
      <c r="AD32" s="1644"/>
      <c r="AE32" s="1644"/>
      <c r="AF32" s="1644"/>
      <c r="AG32" s="1645"/>
      <c r="AH32" s="1655">
        <f>AB32*M32</f>
        <v>28500</v>
      </c>
      <c r="AI32" s="1655"/>
      <c r="AJ32" s="1655"/>
      <c r="AK32" s="1655"/>
      <c r="AL32" s="1655"/>
      <c r="AM32" s="1656"/>
      <c r="AN32" s="1559"/>
      <c r="AO32" s="1560"/>
      <c r="AP32" s="1560"/>
      <c r="AQ32" s="1560"/>
      <c r="AR32" s="1560"/>
      <c r="AS32" s="1560"/>
      <c r="AT32" s="1560"/>
      <c r="AU32" s="1560"/>
      <c r="AV32" s="1560"/>
      <c r="AW32" s="1560"/>
      <c r="AX32" s="1560"/>
      <c r="AY32" s="1560"/>
      <c r="AZ32" s="1560"/>
      <c r="BA32" s="1560"/>
      <c r="BB32" s="1560"/>
      <c r="BC32" s="1560"/>
      <c r="BD32" s="1560"/>
      <c r="BE32" s="1560"/>
      <c r="BF32" s="1561"/>
    </row>
    <row r="33" spans="1:61">
      <c r="A33" s="58"/>
      <c r="B33" s="1637" t="s">
        <v>448</v>
      </c>
      <c r="C33" s="1638"/>
      <c r="D33" s="1638"/>
      <c r="E33" s="1638"/>
      <c r="F33" s="1638"/>
      <c r="G33" s="1638"/>
      <c r="H33" s="1638"/>
      <c r="I33" s="1638"/>
      <c r="J33" s="1638"/>
      <c r="K33" s="1638"/>
      <c r="L33" s="1639"/>
      <c r="M33" s="1640">
        <f>M32</f>
        <v>38</v>
      </c>
      <c r="N33" s="1103"/>
      <c r="O33" s="1104"/>
      <c r="P33" s="1641" t="str">
        <f>V32</f>
        <v>MARA ROSA</v>
      </c>
      <c r="Q33" s="1103"/>
      <c r="R33" s="1103"/>
      <c r="S33" s="1103"/>
      <c r="T33" s="1103"/>
      <c r="U33" s="1104"/>
      <c r="V33" s="1642" t="str">
        <f>P32</f>
        <v>GOIANIA</v>
      </c>
      <c r="W33" s="1643"/>
      <c r="X33" s="1643"/>
      <c r="Y33" s="1643"/>
      <c r="Z33" s="1643"/>
      <c r="AA33" s="1141"/>
      <c r="AB33" s="1652">
        <f>AB32</f>
        <v>750</v>
      </c>
      <c r="AC33" s="1653"/>
      <c r="AD33" s="1653"/>
      <c r="AE33" s="1653"/>
      <c r="AF33" s="1653"/>
      <c r="AG33" s="1654"/>
      <c r="AH33" s="1649">
        <f>AB33*M33</f>
        <v>28500</v>
      </c>
      <c r="AI33" s="1650"/>
      <c r="AJ33" s="1650"/>
      <c r="AK33" s="1650"/>
      <c r="AL33" s="1650"/>
      <c r="AM33" s="1651"/>
      <c r="AN33" s="1571" t="str">
        <f>IF(AT33="","",IF(AM33="km",AO33/AT33,AO33*AT33)*INDEX(DADOS!$1:$1048576,MATCH(AS33,DADOS!D:D,0),5))</f>
        <v/>
      </c>
      <c r="AO33" s="1572"/>
      <c r="AP33" s="1572"/>
      <c r="AQ33" s="1572"/>
      <c r="AR33" s="1572"/>
      <c r="AS33" s="1572"/>
      <c r="AT33" s="1572"/>
      <c r="AU33" s="1572"/>
      <c r="AV33" s="1572"/>
      <c r="AW33" s="1572"/>
      <c r="AX33" s="1572"/>
      <c r="AY33" s="1572"/>
      <c r="AZ33" s="1572"/>
      <c r="BA33" s="1572"/>
      <c r="BB33" s="1572"/>
      <c r="BC33" s="1572"/>
      <c r="BD33" s="1572"/>
      <c r="BE33" s="1572"/>
      <c r="BF33" s="1573"/>
    </row>
    <row r="34" spans="1:61">
      <c r="A34" s="58"/>
      <c r="B34" s="1064"/>
      <c r="C34" s="1636"/>
      <c r="D34" s="1636"/>
      <c r="E34" s="1636"/>
      <c r="F34" s="1636"/>
      <c r="G34" s="1636"/>
      <c r="H34" s="1636"/>
      <c r="I34" s="1636"/>
      <c r="J34" s="1636"/>
      <c r="K34" s="1636"/>
      <c r="L34" s="1065"/>
      <c r="M34" s="1126"/>
      <c r="N34" s="1127"/>
      <c r="O34" s="1535"/>
      <c r="P34" s="1126"/>
      <c r="Q34" s="1127"/>
      <c r="R34" s="1127"/>
      <c r="S34" s="1127"/>
      <c r="T34" s="1127"/>
      <c r="U34" s="1535"/>
      <c r="V34" s="1126"/>
      <c r="W34" s="1127"/>
      <c r="X34" s="1127"/>
      <c r="Y34" s="1127"/>
      <c r="Z34" s="1127"/>
      <c r="AA34" s="1535"/>
      <c r="AB34" s="1126"/>
      <c r="AC34" s="1127"/>
      <c r="AD34" s="1127"/>
      <c r="AE34" s="1127"/>
      <c r="AF34" s="1127"/>
      <c r="AG34" s="1535"/>
      <c r="AH34" s="1532">
        <f>SUM(AH32:AM33)</f>
        <v>57000</v>
      </c>
      <c r="AI34" s="1533"/>
      <c r="AJ34" s="1533"/>
      <c r="AK34" s="1533"/>
      <c r="AL34" s="1533"/>
      <c r="AM34" s="1534"/>
      <c r="AN34" s="1532"/>
      <c r="AO34" s="1533"/>
      <c r="AP34" s="1533"/>
      <c r="AQ34" s="1533"/>
      <c r="AR34" s="1533"/>
      <c r="AS34" s="1533"/>
      <c r="AT34" s="1533"/>
      <c r="AU34" s="1533"/>
      <c r="AV34" s="1533"/>
      <c r="AW34" s="1533"/>
      <c r="AX34" s="1533"/>
      <c r="AY34" s="1533"/>
      <c r="AZ34" s="1533"/>
      <c r="BA34" s="1533"/>
      <c r="BB34" s="1533"/>
      <c r="BC34" s="1533"/>
      <c r="BD34" s="1533"/>
      <c r="BE34" s="1533"/>
      <c r="BF34" s="1533"/>
    </row>
    <row r="35" spans="1:61">
      <c r="A35" s="58"/>
      <c r="B35" s="58"/>
      <c r="C35" s="58"/>
      <c r="D35" s="58"/>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row>
    <row r="36" spans="1:61">
      <c r="A36" s="58"/>
      <c r="B36" s="1055" t="s">
        <v>348</v>
      </c>
      <c r="C36" s="1055"/>
      <c r="D36" s="1055"/>
      <c r="E36" s="1055"/>
      <c r="F36" s="1055"/>
      <c r="G36" s="1055"/>
      <c r="H36" s="1055"/>
      <c r="I36" s="1055"/>
      <c r="J36" s="1055"/>
      <c r="K36" s="1055"/>
      <c r="L36" s="1055"/>
      <c r="M36" s="1055"/>
      <c r="N36" s="1055"/>
      <c r="O36" s="1055"/>
      <c r="P36" s="1055"/>
      <c r="Q36" s="1055"/>
      <c r="R36" s="1055"/>
      <c r="S36" s="1055"/>
      <c r="T36" s="1055"/>
      <c r="U36" s="1055"/>
      <c r="V36" s="1055"/>
      <c r="W36" s="1055"/>
      <c r="X36" s="1055"/>
      <c r="Y36" s="1055"/>
      <c r="Z36" s="1055"/>
      <c r="AA36" s="1055"/>
      <c r="AB36" s="1055"/>
      <c r="AC36" s="1055"/>
      <c r="AD36" s="1055"/>
      <c r="AE36" s="1055"/>
      <c r="AF36" s="1055"/>
      <c r="AG36" s="1055"/>
      <c r="AH36" s="1055"/>
      <c r="AI36" s="1055"/>
      <c r="AJ36" s="1055"/>
      <c r="AK36" s="1055"/>
      <c r="AL36" s="1055"/>
      <c r="AM36" s="1055"/>
      <c r="AN36" s="1055"/>
      <c r="AO36" s="1055"/>
      <c r="AP36" s="1055"/>
      <c r="AQ36" s="1055"/>
      <c r="AR36" s="1055"/>
      <c r="AS36" s="1055"/>
      <c r="AT36" s="1055"/>
      <c r="AU36" s="1055"/>
      <c r="AV36" s="1055"/>
      <c r="AW36" s="1055"/>
      <c r="AX36" s="1055"/>
      <c r="AY36" s="1055"/>
      <c r="AZ36" s="1055"/>
      <c r="BA36" s="1055"/>
      <c r="BB36" s="1055"/>
      <c r="BC36" s="1055"/>
      <c r="BD36" s="1055"/>
      <c r="BE36" s="1055"/>
      <c r="BF36" s="1055"/>
    </row>
    <row r="37" spans="1:61" ht="24.75" customHeight="1">
      <c r="A37" s="58"/>
      <c r="B37" s="1112" t="s">
        <v>183</v>
      </c>
      <c r="C37" s="1114"/>
      <c r="D37" s="1112" t="s">
        <v>324</v>
      </c>
      <c r="E37" s="1113"/>
      <c r="F37" s="1113"/>
      <c r="G37" s="1113"/>
      <c r="H37" s="1113"/>
      <c r="I37" s="1113"/>
      <c r="J37" s="1113"/>
      <c r="K37" s="1113"/>
      <c r="L37" s="1113"/>
      <c r="M37" s="1113"/>
      <c r="N37" s="1113"/>
      <c r="O37" s="1113"/>
      <c r="P37" s="1113"/>
      <c r="Q37" s="1113"/>
      <c r="R37" s="1113"/>
      <c r="S37" s="1113"/>
      <c r="T37" s="1113"/>
      <c r="U37" s="1113"/>
      <c r="V37" s="1113"/>
      <c r="W37" s="1113"/>
      <c r="X37" s="1113"/>
      <c r="Y37" s="1113"/>
      <c r="Z37" s="1114"/>
      <c r="AA37" s="1112" t="s">
        <v>371</v>
      </c>
      <c r="AB37" s="1113"/>
      <c r="AC37" s="1114"/>
      <c r="AD37" s="1115" t="s">
        <v>372</v>
      </c>
      <c r="AE37" s="1132"/>
      <c r="AF37" s="1132"/>
      <c r="AG37" s="1132"/>
      <c r="AH37" s="1132"/>
      <c r="AI37" s="1116"/>
      <c r="AJ37" s="1115" t="s">
        <v>189</v>
      </c>
      <c r="AK37" s="1132"/>
      <c r="AL37" s="1132"/>
      <c r="AM37" s="1132"/>
      <c r="AN37" s="1132"/>
      <c r="AO37" s="1116"/>
      <c r="AP37" s="1112" t="s">
        <v>373</v>
      </c>
      <c r="AQ37" s="1113"/>
      <c r="AR37" s="1113"/>
      <c r="AS37" s="1113"/>
      <c r="AT37" s="1113"/>
      <c r="AU37" s="1114"/>
      <c r="AV37" s="1115" t="s">
        <v>445</v>
      </c>
      <c r="AW37" s="1132"/>
      <c r="AX37" s="1132"/>
      <c r="AY37" s="1132"/>
      <c r="AZ37" s="1132"/>
      <c r="BA37" s="1132"/>
      <c r="BB37" s="1132"/>
      <c r="BC37" s="1132"/>
      <c r="BD37" s="1132"/>
      <c r="BE37" s="1132"/>
      <c r="BF37" s="1116"/>
    </row>
    <row r="38" spans="1:61" ht="15.75" customHeight="1">
      <c r="A38" s="58"/>
      <c r="B38" s="1133">
        <f>IF(AD38="","",COUNT($AD$38:AD38))</f>
        <v>1</v>
      </c>
      <c r="C38" s="1134"/>
      <c r="D38" s="1632" t="s">
        <v>1197</v>
      </c>
      <c r="E38" s="1632"/>
      <c r="F38" s="1632"/>
      <c r="G38" s="1632"/>
      <c r="H38" s="1632"/>
      <c r="I38" s="1632"/>
      <c r="J38" s="1632"/>
      <c r="K38" s="1632"/>
      <c r="L38" s="1632"/>
      <c r="M38" s="1632"/>
      <c r="N38" s="1632"/>
      <c r="O38" s="1632"/>
      <c r="P38" s="1632"/>
      <c r="Q38" s="1632"/>
      <c r="R38" s="1632"/>
      <c r="S38" s="1632"/>
      <c r="T38" s="1632"/>
      <c r="U38" s="1632"/>
      <c r="V38" s="1632"/>
      <c r="W38" s="1632"/>
      <c r="X38" s="1632"/>
      <c r="Y38" s="1632"/>
      <c r="Z38" s="1632"/>
      <c r="AA38" s="1119" t="s">
        <v>412</v>
      </c>
      <c r="AB38" s="1119"/>
      <c r="AC38" s="1119"/>
      <c r="AD38" s="1589">
        <f>3/30</f>
        <v>0.1</v>
      </c>
      <c r="AE38" s="1589"/>
      <c r="AF38" s="1589"/>
      <c r="AG38" s="1589"/>
      <c r="AH38" s="1589"/>
      <c r="AI38" s="1589"/>
      <c r="AJ38" s="1622">
        <f>EQUIPE!U21+EQUIPE!U57+EQUIPE!U86</f>
        <v>145099.61499999999</v>
      </c>
      <c r="AK38" s="1606"/>
      <c r="AL38" s="1606"/>
      <c r="AM38" s="1606"/>
      <c r="AN38" s="1606"/>
      <c r="AO38" s="1607"/>
      <c r="AP38" s="1054">
        <f>AD38*AJ38</f>
        <v>14509.961499999999</v>
      </c>
      <c r="AQ38" s="1054"/>
      <c r="AR38" s="1054"/>
      <c r="AS38" s="1054"/>
      <c r="AT38" s="1054"/>
      <c r="AU38" s="1054"/>
      <c r="AV38" s="1119" t="s">
        <v>1515</v>
      </c>
      <c r="AW38" s="1119"/>
      <c r="AX38" s="1119"/>
      <c r="AY38" s="1119"/>
      <c r="AZ38" s="1119"/>
      <c r="BA38" s="1119"/>
      <c r="BB38" s="1119"/>
      <c r="BC38" s="1119"/>
      <c r="BD38" s="1119"/>
      <c r="BE38" s="1119"/>
      <c r="BF38" s="1119"/>
    </row>
    <row r="39" spans="1:61">
      <c r="A39" s="58"/>
      <c r="B39" s="1133">
        <f>IF(AD39="","",COUNT($AD$38:AD39))</f>
        <v>2</v>
      </c>
      <c r="C39" s="1134"/>
      <c r="D39" s="1632" t="s">
        <v>438</v>
      </c>
      <c r="E39" s="1632"/>
      <c r="F39" s="1632"/>
      <c r="G39" s="1632"/>
      <c r="H39" s="1632"/>
      <c r="I39" s="1632"/>
      <c r="J39" s="1632"/>
      <c r="K39" s="1632"/>
      <c r="L39" s="1632"/>
      <c r="M39" s="1632"/>
      <c r="N39" s="1632"/>
      <c r="O39" s="1632"/>
      <c r="P39" s="1632"/>
      <c r="Q39" s="1632"/>
      <c r="R39" s="1632"/>
      <c r="S39" s="1632"/>
      <c r="T39" s="1632"/>
      <c r="U39" s="1632"/>
      <c r="V39" s="1632"/>
      <c r="W39" s="1632"/>
      <c r="X39" s="1632"/>
      <c r="Y39" s="1632"/>
      <c r="Z39" s="1632"/>
      <c r="AA39" s="1119" t="s">
        <v>412</v>
      </c>
      <c r="AB39" s="1119"/>
      <c r="AC39" s="1119"/>
      <c r="AD39" s="1589">
        <f>15/30</f>
        <v>0.5</v>
      </c>
      <c r="AE39" s="1589"/>
      <c r="AF39" s="1589"/>
      <c r="AG39" s="1589"/>
      <c r="AH39" s="1589"/>
      <c r="AI39" s="1589"/>
      <c r="AJ39" s="1120">
        <f>AJ38</f>
        <v>145099.61499999999</v>
      </c>
      <c r="AK39" s="1120"/>
      <c r="AL39" s="1120"/>
      <c r="AM39" s="1120"/>
      <c r="AN39" s="1120"/>
      <c r="AO39" s="1120"/>
      <c r="AP39" s="1054">
        <f>AD39*AJ39</f>
        <v>72549.807499999995</v>
      </c>
      <c r="AQ39" s="1054"/>
      <c r="AR39" s="1054"/>
      <c r="AS39" s="1054"/>
      <c r="AT39" s="1054"/>
      <c r="AU39" s="1054"/>
      <c r="AV39" s="1119" t="s">
        <v>1516</v>
      </c>
      <c r="AW39" s="1119"/>
      <c r="AX39" s="1119"/>
      <c r="AY39" s="1119"/>
      <c r="AZ39" s="1119"/>
      <c r="BA39" s="1119"/>
      <c r="BB39" s="1119"/>
      <c r="BC39" s="1119"/>
      <c r="BD39" s="1119"/>
      <c r="BE39" s="1119"/>
      <c r="BF39" s="1119"/>
    </row>
    <row r="40" spans="1:61">
      <c r="A40" s="58"/>
      <c r="B40" s="1659"/>
      <c r="C40" s="1659"/>
      <c r="D40" s="1659"/>
      <c r="E40" s="1659"/>
      <c r="F40" s="1659"/>
      <c r="G40" s="1659"/>
      <c r="H40" s="1659"/>
      <c r="I40" s="1659"/>
      <c r="J40" s="1659"/>
      <c r="K40" s="1659"/>
      <c r="L40" s="1659"/>
      <c r="M40" s="1659"/>
      <c r="N40" s="1659"/>
      <c r="O40" s="1659"/>
      <c r="P40" s="1659"/>
      <c r="Q40" s="1659"/>
      <c r="R40" s="1659"/>
      <c r="S40" s="1659"/>
      <c r="T40" s="1659"/>
      <c r="U40" s="1659"/>
      <c r="V40" s="1659"/>
      <c r="W40" s="1659"/>
      <c r="X40" s="1659"/>
      <c r="Y40" s="1659"/>
      <c r="Z40" s="1659"/>
      <c r="AA40" s="1659"/>
      <c r="AB40" s="1659"/>
      <c r="AC40" s="1659"/>
      <c r="AD40" s="1659"/>
      <c r="AE40" s="1659"/>
      <c r="AF40" s="1659"/>
      <c r="AG40" s="1659"/>
      <c r="AH40" s="1659"/>
      <c r="AI40" s="1659"/>
      <c r="AJ40" s="1659"/>
      <c r="AK40" s="1659"/>
      <c r="AL40" s="1659"/>
      <c r="AM40" s="1659"/>
      <c r="AN40" s="1659"/>
      <c r="AO40" s="1659"/>
      <c r="AP40" s="1136">
        <f>SUM(AP38:AU39)</f>
        <v>87059.769</v>
      </c>
      <c r="AQ40" s="1137"/>
      <c r="AR40" s="1137"/>
      <c r="AS40" s="1137"/>
      <c r="AT40" s="1137"/>
      <c r="AU40" s="1137"/>
      <c r="AV40" s="1659"/>
      <c r="AW40" s="1659"/>
      <c r="AX40" s="1659"/>
      <c r="AY40" s="1659"/>
      <c r="AZ40" s="1659"/>
      <c r="BA40" s="1659"/>
      <c r="BB40" s="1659"/>
      <c r="BC40" s="1659"/>
      <c r="BD40" s="1659"/>
      <c r="BE40" s="1659"/>
      <c r="BF40" s="1659"/>
    </row>
    <row r="41" spans="1:61">
      <c r="A41" s="58"/>
      <c r="B41" s="58"/>
      <c r="C41" s="58"/>
      <c r="D41" s="58"/>
      <c r="E41" s="58"/>
      <c r="F41" s="58"/>
      <c r="G41" s="58"/>
      <c r="H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c r="BA41" s="58"/>
      <c r="BB41" s="58"/>
      <c r="BC41" s="58"/>
      <c r="BD41" s="58"/>
      <c r="BE41" s="58"/>
      <c r="BF41" s="58"/>
      <c r="BI41" s="187"/>
    </row>
    <row r="42" spans="1:61">
      <c r="A42" s="58"/>
      <c r="B42" s="1055" t="s">
        <v>449</v>
      </c>
      <c r="C42" s="1055"/>
      <c r="D42" s="1055"/>
      <c r="E42" s="1055"/>
      <c r="F42" s="1055"/>
      <c r="G42" s="1055"/>
      <c r="H42" s="1055"/>
      <c r="I42" s="1055"/>
      <c r="J42" s="1055"/>
      <c r="K42" s="1055"/>
      <c r="L42" s="1055"/>
      <c r="M42" s="1055"/>
      <c r="N42" s="1055"/>
      <c r="O42" s="1055"/>
      <c r="P42" s="1055"/>
      <c r="Q42" s="1055"/>
      <c r="R42" s="1055"/>
      <c r="S42" s="1055"/>
      <c r="T42" s="1055"/>
      <c r="U42" s="1055"/>
      <c r="V42" s="1055"/>
      <c r="W42" s="1055"/>
      <c r="X42" s="1055"/>
      <c r="Y42" s="1055"/>
      <c r="Z42" s="1055"/>
      <c r="AA42" s="1055"/>
      <c r="AB42" s="1055"/>
      <c r="AC42" s="1055"/>
      <c r="AD42" s="1055"/>
      <c r="AE42" s="1055"/>
      <c r="AF42" s="1055"/>
      <c r="AG42" s="1055"/>
      <c r="AH42" s="1055"/>
      <c r="AI42" s="1055"/>
      <c r="AJ42" s="1055"/>
      <c r="AK42" s="1055"/>
      <c r="AL42" s="1055"/>
      <c r="AM42" s="1055"/>
      <c r="AN42" s="1055"/>
      <c r="AO42" s="1055"/>
      <c r="AP42" s="1055"/>
      <c r="AQ42" s="1055"/>
      <c r="AR42" s="1055"/>
      <c r="AS42" s="1055"/>
      <c r="AT42" s="1055"/>
      <c r="AU42" s="1055"/>
      <c r="AV42" s="1055"/>
      <c r="AW42" s="1055"/>
      <c r="AX42" s="1055"/>
      <c r="AY42" s="1055"/>
      <c r="AZ42" s="1055"/>
      <c r="BA42" s="1055"/>
      <c r="BB42" s="1055"/>
      <c r="BC42" s="1055"/>
      <c r="BD42" s="1055"/>
      <c r="BE42" s="1055"/>
      <c r="BF42" s="1055"/>
    </row>
    <row r="43" spans="1:61">
      <c r="A43" s="58"/>
      <c r="B43" s="1663"/>
      <c r="C43" s="1664"/>
      <c r="D43" s="1664"/>
      <c r="E43" s="1664"/>
      <c r="F43" s="1664"/>
      <c r="G43" s="1664"/>
      <c r="H43" s="722"/>
      <c r="I43" s="1661" t="s">
        <v>363</v>
      </c>
      <c r="J43" s="1661"/>
      <c r="K43" s="1657" t="s">
        <v>1215</v>
      </c>
      <c r="L43" s="1657"/>
      <c r="M43" s="1657"/>
      <c r="N43" s="1657" t="s">
        <v>1246</v>
      </c>
      <c r="O43" s="1657"/>
      <c r="P43" s="1657"/>
      <c r="Q43" s="1657" t="s">
        <v>1247</v>
      </c>
      <c r="R43" s="1657"/>
      <c r="S43" s="1657"/>
      <c r="T43" s="1657" t="s">
        <v>1248</v>
      </c>
      <c r="U43" s="1657"/>
      <c r="V43" s="1657"/>
      <c r="W43" s="1657" t="s">
        <v>1249</v>
      </c>
      <c r="X43" s="1657"/>
      <c r="Y43" s="1657"/>
      <c r="Z43" s="1657" t="s">
        <v>1250</v>
      </c>
      <c r="AA43" s="1657"/>
      <c r="AB43" s="1657"/>
      <c r="AC43" s="1657" t="s">
        <v>1251</v>
      </c>
      <c r="AD43" s="1657"/>
      <c r="AE43" s="1657"/>
      <c r="AF43" s="1657" t="s">
        <v>1252</v>
      </c>
      <c r="AG43" s="1657"/>
      <c r="AH43" s="1657"/>
      <c r="AI43" s="1657" t="s">
        <v>1253</v>
      </c>
      <c r="AJ43" s="1657"/>
      <c r="AK43" s="1657"/>
      <c r="AL43" s="1657" t="s">
        <v>1254</v>
      </c>
      <c r="AM43" s="1657"/>
      <c r="AN43" s="1657"/>
      <c r="AO43" s="1657" t="s">
        <v>1339</v>
      </c>
      <c r="AP43" s="1657"/>
      <c r="AQ43" s="1657"/>
      <c r="AR43" s="1657" t="s">
        <v>1340</v>
      </c>
      <c r="AS43" s="1657"/>
      <c r="AT43" s="1657"/>
      <c r="AU43" s="1657" t="s">
        <v>1341</v>
      </c>
      <c r="AV43" s="1657"/>
      <c r="AW43" s="1657"/>
      <c r="AX43" s="1658"/>
      <c r="AY43" s="1658"/>
      <c r="AZ43" s="1658"/>
      <c r="BA43" s="1658"/>
      <c r="BB43" s="1658"/>
      <c r="BC43" s="1658"/>
      <c r="BD43" s="1661" t="s">
        <v>346</v>
      </c>
      <c r="BE43" s="1661"/>
      <c r="BF43" s="1662"/>
    </row>
    <row r="44" spans="1:61">
      <c r="A44" s="58"/>
      <c r="B44" s="1667" t="s">
        <v>450</v>
      </c>
      <c r="C44" s="1668"/>
      <c r="D44" s="1668"/>
      <c r="E44" s="1668"/>
      <c r="F44" s="1668"/>
      <c r="G44" s="1668"/>
      <c r="H44" s="723">
        <f>ADM!G16</f>
        <v>1</v>
      </c>
      <c r="I44" s="1617">
        <v>1500</v>
      </c>
      <c r="J44" s="1617"/>
      <c r="K44" s="1660"/>
      <c r="L44" s="1660"/>
      <c r="M44" s="1660"/>
      <c r="N44" s="1660"/>
      <c r="O44" s="1660"/>
      <c r="P44" s="1660"/>
      <c r="Q44" s="1660"/>
      <c r="R44" s="1660"/>
      <c r="S44" s="1660"/>
      <c r="T44" s="1660" t="s">
        <v>868</v>
      </c>
      <c r="U44" s="1660"/>
      <c r="V44" s="1660"/>
      <c r="W44" s="1660"/>
      <c r="X44" s="1660"/>
      <c r="Y44" s="1660"/>
      <c r="Z44" s="1660"/>
      <c r="AA44" s="1660"/>
      <c r="AB44" s="1660"/>
      <c r="AC44" s="1660" t="s">
        <v>868</v>
      </c>
      <c r="AD44" s="1660"/>
      <c r="AE44" s="1660"/>
      <c r="AF44" s="1660"/>
      <c r="AG44" s="1660"/>
      <c r="AH44" s="1660"/>
      <c r="AI44" s="1660"/>
      <c r="AJ44" s="1660"/>
      <c r="AK44" s="1660"/>
      <c r="AL44" s="1660"/>
      <c r="AM44" s="1660"/>
      <c r="AN44" s="1660"/>
      <c r="AO44" s="1660"/>
      <c r="AP44" s="1660"/>
      <c r="AQ44" s="1660"/>
      <c r="AR44" s="1660"/>
      <c r="AS44" s="1660"/>
      <c r="AT44" s="1660"/>
      <c r="AU44" s="1660"/>
      <c r="AV44" s="1660"/>
      <c r="AW44" s="1660"/>
      <c r="AX44" s="1660"/>
      <c r="AY44" s="1660"/>
      <c r="AZ44" s="1660"/>
      <c r="BA44" s="1660"/>
      <c r="BB44" s="1660"/>
      <c r="BC44" s="1660"/>
      <c r="BD44" s="1617">
        <f>COUNTIF(K44:BC44,"X")*I44*H44</f>
        <v>3000</v>
      </c>
      <c r="BE44" s="1617"/>
      <c r="BF44" s="1665"/>
    </row>
    <row r="45" spans="1:61">
      <c r="A45" s="58"/>
      <c r="B45" s="1667" t="s">
        <v>451</v>
      </c>
      <c r="C45" s="1668"/>
      <c r="D45" s="1668"/>
      <c r="E45" s="1668"/>
      <c r="F45" s="1668"/>
      <c r="G45" s="1668"/>
      <c r="H45" s="723">
        <f>EQUIPE!G17</f>
        <v>1</v>
      </c>
      <c r="I45" s="1617">
        <v>1000</v>
      </c>
      <c r="J45" s="1617"/>
      <c r="K45" s="1660"/>
      <c r="L45" s="1660"/>
      <c r="M45" s="1660"/>
      <c r="N45" s="1660"/>
      <c r="O45" s="1660"/>
      <c r="P45" s="1660"/>
      <c r="Q45" s="1660"/>
      <c r="R45" s="1660"/>
      <c r="S45" s="1660"/>
      <c r="T45" s="1660" t="s">
        <v>868</v>
      </c>
      <c r="U45" s="1660"/>
      <c r="V45" s="1660"/>
      <c r="W45" s="1660"/>
      <c r="X45" s="1660"/>
      <c r="Y45" s="1660"/>
      <c r="Z45" s="1660"/>
      <c r="AA45" s="1660"/>
      <c r="AB45" s="1660"/>
      <c r="AC45" s="1660" t="s">
        <v>868</v>
      </c>
      <c r="AD45" s="1660"/>
      <c r="AE45" s="1660"/>
      <c r="AF45" s="1660"/>
      <c r="AG45" s="1660"/>
      <c r="AH45" s="1660"/>
      <c r="AI45" s="1660"/>
      <c r="AJ45" s="1660"/>
      <c r="AK45" s="1660"/>
      <c r="AL45" s="1660"/>
      <c r="AM45" s="1660"/>
      <c r="AN45" s="1660"/>
      <c r="AO45" s="1660"/>
      <c r="AP45" s="1660"/>
      <c r="AQ45" s="1660"/>
      <c r="AR45" s="1660"/>
      <c r="AS45" s="1660"/>
      <c r="AT45" s="1660"/>
      <c r="AU45" s="1660"/>
      <c r="AV45" s="1660"/>
      <c r="AW45" s="1660"/>
      <c r="AX45" s="1660"/>
      <c r="AY45" s="1660"/>
      <c r="AZ45" s="1660"/>
      <c r="BA45" s="1660"/>
      <c r="BB45" s="1660"/>
      <c r="BC45" s="1660"/>
      <c r="BD45" s="1617">
        <f>COUNTIF(K45:BC45,"X")*I45*H45</f>
        <v>2000</v>
      </c>
      <c r="BE45" s="1617"/>
      <c r="BF45" s="1665"/>
    </row>
    <row r="46" spans="1:61">
      <c r="A46" s="58"/>
      <c r="B46" s="1669" t="s">
        <v>1348</v>
      </c>
      <c r="C46" s="1670"/>
      <c r="D46" s="1670"/>
      <c r="E46" s="1670"/>
      <c r="F46" s="1670"/>
      <c r="G46" s="1670"/>
      <c r="H46" s="723">
        <f>ADM!G23</f>
        <v>0</v>
      </c>
      <c r="I46" s="1617">
        <v>1500</v>
      </c>
      <c r="J46" s="1617"/>
      <c r="K46" s="1660"/>
      <c r="L46" s="1660"/>
      <c r="M46" s="1660"/>
      <c r="N46" s="1660"/>
      <c r="O46" s="1660"/>
      <c r="P46" s="1660"/>
      <c r="Q46" s="1660" t="s">
        <v>868</v>
      </c>
      <c r="R46" s="1660"/>
      <c r="S46" s="1660"/>
      <c r="T46" s="1660"/>
      <c r="U46" s="1660"/>
      <c r="V46" s="1660"/>
      <c r="W46" s="1660" t="s">
        <v>1338</v>
      </c>
      <c r="X46" s="1660"/>
      <c r="Y46" s="1660"/>
      <c r="Z46" s="1660"/>
      <c r="AA46" s="1660"/>
      <c r="AB46" s="1660"/>
      <c r="AC46" s="1660" t="s">
        <v>868</v>
      </c>
      <c r="AD46" s="1660"/>
      <c r="AE46" s="1660"/>
      <c r="AF46" s="1660"/>
      <c r="AG46" s="1660"/>
      <c r="AH46" s="1660"/>
      <c r="AI46" s="1660"/>
      <c r="AJ46" s="1660"/>
      <c r="AK46" s="1660"/>
      <c r="AL46" s="1660"/>
      <c r="AM46" s="1660"/>
      <c r="AN46" s="1660"/>
      <c r="AO46" s="1660"/>
      <c r="AP46" s="1660"/>
      <c r="AQ46" s="1660"/>
      <c r="AR46" s="1660"/>
      <c r="AS46" s="1660"/>
      <c r="AT46" s="1660"/>
      <c r="AU46" s="1660"/>
      <c r="AV46" s="1660"/>
      <c r="AW46" s="1660"/>
      <c r="AX46" s="1660"/>
      <c r="AY46" s="1660"/>
      <c r="AZ46" s="1660"/>
      <c r="BA46" s="1660"/>
      <c r="BB46" s="1660"/>
      <c r="BC46" s="1660"/>
      <c r="BD46" s="1617">
        <f>COUNTIF(K46:BC46,"X")*I46*H46</f>
        <v>0</v>
      </c>
      <c r="BE46" s="1617"/>
      <c r="BF46" s="1665"/>
    </row>
    <row r="47" spans="1:61">
      <c r="A47" s="58"/>
      <c r="B47" s="1667" t="s">
        <v>452</v>
      </c>
      <c r="C47" s="1668"/>
      <c r="D47" s="1668"/>
      <c r="E47" s="1668"/>
      <c r="F47" s="1668"/>
      <c r="G47" s="1668"/>
      <c r="H47" s="723">
        <f>C_FIXO!C14</f>
        <v>20</v>
      </c>
      <c r="I47" s="1617">
        <v>1500</v>
      </c>
      <c r="J47" s="1617"/>
      <c r="K47" s="1660"/>
      <c r="L47" s="1660"/>
      <c r="M47" s="1660"/>
      <c r="N47" s="1660"/>
      <c r="O47" s="1660"/>
      <c r="P47" s="1660"/>
      <c r="Q47" s="1660"/>
      <c r="R47" s="1660"/>
      <c r="S47" s="1660"/>
      <c r="T47" s="1660"/>
      <c r="U47" s="1660"/>
      <c r="V47" s="1660"/>
      <c r="W47" s="1660" t="s">
        <v>868</v>
      </c>
      <c r="X47" s="1660"/>
      <c r="Y47" s="1660"/>
      <c r="Z47" s="1660"/>
      <c r="AA47" s="1660"/>
      <c r="AB47" s="1660"/>
      <c r="AC47" s="1660"/>
      <c r="AD47" s="1660"/>
      <c r="AE47" s="1660"/>
      <c r="AF47" s="1660"/>
      <c r="AG47" s="1660"/>
      <c r="AH47" s="1660"/>
      <c r="AI47" s="1660"/>
      <c r="AJ47" s="1660"/>
      <c r="AK47" s="1660"/>
      <c r="AL47" s="1660"/>
      <c r="AM47" s="1660"/>
      <c r="AN47" s="1660"/>
      <c r="AO47" s="1660"/>
      <c r="AP47" s="1660"/>
      <c r="AQ47" s="1660"/>
      <c r="AR47" s="1660"/>
      <c r="AS47" s="1660"/>
      <c r="AT47" s="1660"/>
      <c r="AU47" s="1660"/>
      <c r="AV47" s="1660"/>
      <c r="AW47" s="1660"/>
      <c r="AX47" s="1660"/>
      <c r="AY47" s="1660"/>
      <c r="AZ47" s="1660"/>
      <c r="BA47" s="1660"/>
      <c r="BB47" s="1660"/>
      <c r="BC47" s="1660"/>
      <c r="BD47" s="1617">
        <f>COUNTIF(K47:BC47,"X")*I47*H47</f>
        <v>30000</v>
      </c>
      <c r="BE47" s="1617"/>
      <c r="BF47" s="1665"/>
      <c r="BG47" s="6"/>
    </row>
    <row r="48" spans="1:61">
      <c r="A48" s="58"/>
      <c r="B48" s="1671" t="s">
        <v>453</v>
      </c>
      <c r="C48" s="1672"/>
      <c r="D48" s="1672"/>
      <c r="E48" s="1672"/>
      <c r="F48" s="1672"/>
      <c r="G48" s="1672"/>
      <c r="H48" s="724">
        <f>(C_FIXO!C15-H44-H46-ADM!G24-H45)</f>
        <v>14</v>
      </c>
      <c r="I48" s="1628">
        <v>1500</v>
      </c>
      <c r="J48" s="1628"/>
      <c r="K48" s="1666"/>
      <c r="L48" s="1666"/>
      <c r="M48" s="1666"/>
      <c r="N48" s="1666"/>
      <c r="O48" s="1666"/>
      <c r="P48" s="1666"/>
      <c r="Q48" s="1666"/>
      <c r="R48" s="1666"/>
      <c r="S48" s="1666"/>
      <c r="T48" s="1666" t="s">
        <v>868</v>
      </c>
      <c r="U48" s="1666"/>
      <c r="V48" s="1666"/>
      <c r="W48" s="1666"/>
      <c r="X48" s="1666"/>
      <c r="Y48" s="1666"/>
      <c r="Z48" s="1666"/>
      <c r="AA48" s="1666"/>
      <c r="AB48" s="1666"/>
      <c r="AC48" s="1666" t="s">
        <v>868</v>
      </c>
      <c r="AD48" s="1666"/>
      <c r="AE48" s="1666"/>
      <c r="AF48" s="1666"/>
      <c r="AG48" s="1666"/>
      <c r="AH48" s="1666"/>
      <c r="AI48" s="1666"/>
      <c r="AJ48" s="1666"/>
      <c r="AK48" s="1666"/>
      <c r="AL48" s="1666"/>
      <c r="AM48" s="1666"/>
      <c r="AN48" s="1666"/>
      <c r="AO48" s="1666"/>
      <c r="AP48" s="1666"/>
      <c r="AQ48" s="1666"/>
      <c r="AR48" s="1666"/>
      <c r="AS48" s="1666"/>
      <c r="AT48" s="1666"/>
      <c r="AU48" s="1666"/>
      <c r="AV48" s="1666"/>
      <c r="AW48" s="1666"/>
      <c r="AX48" s="1666"/>
      <c r="AY48" s="1666"/>
      <c r="AZ48" s="1666"/>
      <c r="BA48" s="1666"/>
      <c r="BB48" s="1666"/>
      <c r="BC48" s="1666"/>
      <c r="BD48" s="1617">
        <f>COUNTIF(K48:BC48,"X")*I48*H48</f>
        <v>42000</v>
      </c>
      <c r="BE48" s="1617"/>
      <c r="BF48" s="1665"/>
      <c r="BG48" s="6"/>
      <c r="BH48" s="6"/>
    </row>
    <row r="49" spans="1:60">
      <c r="A49" s="58"/>
      <c r="B49" s="1673">
        <f>SUM(BD44:BF48)</f>
        <v>77000</v>
      </c>
      <c r="C49" s="1124"/>
      <c r="D49" s="1124"/>
      <c r="E49" s="1124"/>
      <c r="F49" s="1124"/>
      <c r="G49" s="1124"/>
      <c r="H49" s="1124"/>
      <c r="I49" s="1124"/>
      <c r="J49" s="1124"/>
      <c r="K49" s="1124"/>
      <c r="L49" s="1124"/>
      <c r="M49" s="1124"/>
      <c r="N49" s="1124"/>
      <c r="O49" s="1124"/>
      <c r="P49" s="1124"/>
      <c r="Q49" s="1124"/>
      <c r="R49" s="1124"/>
      <c r="S49" s="1124"/>
      <c r="T49" s="1124"/>
      <c r="U49" s="1124"/>
      <c r="V49" s="1124"/>
      <c r="W49" s="1124"/>
      <c r="X49" s="1124"/>
      <c r="Y49" s="1124"/>
      <c r="Z49" s="1124"/>
      <c r="AA49" s="1124"/>
      <c r="AB49" s="1124"/>
      <c r="AC49" s="1124"/>
      <c r="AD49" s="1124"/>
      <c r="AE49" s="1124"/>
      <c r="AF49" s="1124"/>
      <c r="AG49" s="1124"/>
      <c r="AH49" s="1124"/>
      <c r="AI49" s="1124"/>
      <c r="AJ49" s="1124"/>
      <c r="AK49" s="1124"/>
      <c r="AL49" s="1124"/>
      <c r="AM49" s="1124"/>
      <c r="AN49" s="1124"/>
      <c r="AO49" s="1124"/>
      <c r="AP49" s="1124"/>
      <c r="AQ49" s="1124"/>
      <c r="AR49" s="1124"/>
      <c r="AS49" s="1124"/>
      <c r="AT49" s="1124"/>
      <c r="AU49" s="1124"/>
      <c r="AV49" s="1124"/>
      <c r="AW49" s="1124"/>
      <c r="AX49" s="1124"/>
      <c r="AY49" s="1124"/>
      <c r="AZ49" s="1124"/>
      <c r="BA49" s="1124"/>
      <c r="BB49" s="1124"/>
      <c r="BC49" s="1124"/>
      <c r="BD49" s="1124"/>
      <c r="BE49" s="1124"/>
      <c r="BF49" s="1125"/>
      <c r="BG49" s="6">
        <f>B49/36</f>
        <v>2138.8888888888887</v>
      </c>
      <c r="BH49" s="6"/>
    </row>
    <row r="50" spans="1:60">
      <c r="BH50" s="6"/>
    </row>
    <row r="51" spans="1:60">
      <c r="B51" s="1055"/>
      <c r="C51" s="1055"/>
      <c r="D51" s="1055"/>
      <c r="E51" s="1055"/>
      <c r="F51" s="1055"/>
      <c r="G51" s="1055"/>
      <c r="H51" s="1055"/>
      <c r="I51" s="1055"/>
      <c r="J51" s="1055"/>
      <c r="K51" s="1055"/>
      <c r="L51" s="1055"/>
      <c r="M51" s="1055"/>
      <c r="N51" s="1055"/>
      <c r="O51" s="1055"/>
      <c r="P51" s="1055"/>
      <c r="Q51" s="1055"/>
      <c r="R51" s="1055"/>
      <c r="S51" s="1055"/>
      <c r="T51" s="1055"/>
      <c r="U51" s="1055"/>
      <c r="V51" s="1055"/>
      <c r="W51" s="1055"/>
      <c r="X51" s="1055"/>
      <c r="Y51" s="1055"/>
      <c r="Z51" s="1055"/>
      <c r="AA51" s="1055"/>
      <c r="AB51" s="1055"/>
      <c r="AC51" s="1055"/>
      <c r="AD51" s="1055"/>
      <c r="AE51" s="1055"/>
      <c r="AF51" s="1055"/>
      <c r="AG51" s="1055"/>
      <c r="AH51" s="1055"/>
      <c r="AI51" s="1055"/>
      <c r="AJ51" s="1055"/>
      <c r="AK51" s="1055"/>
      <c r="AL51" s="1055"/>
      <c r="AM51" s="1055"/>
      <c r="AN51" s="1055"/>
      <c r="AO51" s="1055"/>
      <c r="AP51" s="1055"/>
      <c r="AQ51" s="1055"/>
      <c r="AR51" s="1055"/>
      <c r="AS51" s="1055"/>
      <c r="AT51" s="1055"/>
      <c r="AU51" s="1055"/>
      <c r="AV51" s="1055"/>
      <c r="AW51" s="1055"/>
      <c r="AX51" s="1055"/>
      <c r="AY51" s="1055"/>
      <c r="AZ51" s="1055"/>
      <c r="BA51" s="1055"/>
      <c r="BB51" s="1055"/>
      <c r="BC51" s="1055"/>
      <c r="BD51" s="1055"/>
      <c r="BE51" s="1055"/>
      <c r="BF51" s="1055"/>
    </row>
    <row r="52" spans="1:60">
      <c r="B52" s="1674"/>
      <c r="C52" s="1675"/>
      <c r="D52" s="1675"/>
      <c r="E52" s="1675"/>
      <c r="F52" s="1675"/>
      <c r="G52" s="1676"/>
      <c r="H52" s="1677" t="s">
        <v>372</v>
      </c>
      <c r="I52" s="1661"/>
      <c r="J52" s="1661"/>
      <c r="K52" s="1678" t="s">
        <v>363</v>
      </c>
      <c r="L52" s="1556"/>
      <c r="M52" s="1556"/>
      <c r="N52" s="1556"/>
      <c r="O52" s="1556"/>
      <c r="P52" s="1556"/>
      <c r="Q52" s="1556"/>
      <c r="R52" s="1556"/>
      <c r="S52" s="1679"/>
      <c r="T52" s="1680" t="s">
        <v>1255</v>
      </c>
      <c r="U52" s="1077"/>
      <c r="V52" s="1077"/>
      <c r="W52" s="1077"/>
      <c r="X52" s="1077"/>
      <c r="Y52" s="1681"/>
      <c r="Z52" s="1680" t="s">
        <v>346</v>
      </c>
      <c r="AA52" s="1077"/>
      <c r="AB52" s="1077"/>
      <c r="AC52" s="1077"/>
      <c r="AD52" s="1682"/>
      <c r="AE52" s="1675"/>
      <c r="AF52" s="1675"/>
      <c r="AG52" s="1675"/>
      <c r="AH52" s="1675"/>
      <c r="AI52" s="1675"/>
      <c r="AJ52" s="1675"/>
      <c r="AK52" s="1675"/>
      <c r="AL52" s="1675"/>
      <c r="AM52" s="1675"/>
      <c r="AN52" s="1675"/>
      <c r="AO52" s="1675"/>
      <c r="AP52" s="1675"/>
      <c r="AQ52" s="1675"/>
      <c r="AR52" s="1675"/>
      <c r="AS52" s="1675"/>
      <c r="AT52" s="1675"/>
      <c r="AU52" s="1675"/>
      <c r="AV52" s="1675"/>
      <c r="AW52" s="1675"/>
      <c r="AX52" s="1675"/>
      <c r="AY52" s="1675"/>
      <c r="AZ52" s="1675"/>
      <c r="BA52" s="1675"/>
      <c r="BB52" s="1675"/>
      <c r="BC52" s="1675"/>
      <c r="BD52" s="1675"/>
      <c r="BE52" s="1675"/>
      <c r="BF52" s="1676"/>
    </row>
    <row r="53" spans="1:60">
      <c r="B53" s="1683"/>
      <c r="C53" s="1684"/>
      <c r="D53" s="1684"/>
      <c r="E53" s="1684"/>
      <c r="F53" s="1684"/>
      <c r="G53" s="1685"/>
      <c r="H53" s="1686"/>
      <c r="I53" s="1617"/>
      <c r="J53" s="1617"/>
      <c r="K53" s="1085"/>
      <c r="L53" s="1086"/>
      <c r="M53" s="1086"/>
      <c r="N53" s="1086"/>
      <c r="O53" s="1086"/>
      <c r="P53" s="1086"/>
      <c r="Q53" s="1086"/>
      <c r="R53" s="1086"/>
      <c r="S53" s="1687"/>
      <c r="T53" s="1688"/>
      <c r="U53" s="1689"/>
      <c r="V53" s="1689"/>
      <c r="W53" s="1689"/>
      <c r="X53" s="1689"/>
      <c r="Y53" s="1690"/>
      <c r="Z53" s="1691"/>
      <c r="AA53" s="1086"/>
      <c r="AB53" s="1086"/>
      <c r="AC53" s="1687"/>
      <c r="AD53" s="1692"/>
      <c r="AE53" s="1693"/>
      <c r="AF53" s="1693"/>
      <c r="AG53" s="1693"/>
      <c r="AH53" s="1693"/>
      <c r="AI53" s="1693"/>
      <c r="AJ53" s="1693"/>
      <c r="AK53" s="1693"/>
      <c r="AL53" s="1693"/>
      <c r="AM53" s="1693"/>
      <c r="AN53" s="1693"/>
      <c r="AO53" s="1693"/>
      <c r="AP53" s="1693"/>
      <c r="AQ53" s="1693"/>
      <c r="AR53" s="1693"/>
      <c r="AS53" s="1693"/>
      <c r="AT53" s="1693"/>
      <c r="AU53" s="1693"/>
      <c r="AV53" s="1693"/>
      <c r="AW53" s="1693"/>
      <c r="AX53" s="1693"/>
      <c r="AY53" s="1693"/>
      <c r="AZ53" s="1693"/>
      <c r="BA53" s="1693"/>
      <c r="BB53" s="1693"/>
      <c r="BC53" s="1693"/>
      <c r="BD53" s="1693"/>
      <c r="BE53" s="1693"/>
      <c r="BF53" s="1694"/>
    </row>
    <row r="54" spans="1:60">
      <c r="B54" s="1683"/>
      <c r="C54" s="1684"/>
      <c r="D54" s="1684"/>
      <c r="E54" s="1684"/>
      <c r="F54" s="1684"/>
      <c r="G54" s="1685"/>
      <c r="H54" s="1686"/>
      <c r="I54" s="1617"/>
      <c r="J54" s="1617"/>
      <c r="K54" s="1085"/>
      <c r="L54" s="1086"/>
      <c r="M54" s="1086"/>
      <c r="N54" s="1086"/>
      <c r="O54" s="1086"/>
      <c r="P54" s="1086"/>
      <c r="Q54" s="1086"/>
      <c r="R54" s="1086"/>
      <c r="S54" s="1687"/>
      <c r="T54" s="1688"/>
      <c r="U54" s="1689"/>
      <c r="V54" s="1689"/>
      <c r="W54" s="1689"/>
      <c r="X54" s="1689"/>
      <c r="Y54" s="1690"/>
      <c r="Z54" s="1691"/>
      <c r="AA54" s="1086"/>
      <c r="AB54" s="1086"/>
      <c r="AC54" s="1687"/>
      <c r="AD54" s="1692"/>
      <c r="AE54" s="1693"/>
      <c r="AF54" s="1693"/>
      <c r="AG54" s="1693"/>
      <c r="AH54" s="1693"/>
      <c r="AI54" s="1693"/>
      <c r="AJ54" s="1693"/>
      <c r="AK54" s="1693"/>
      <c r="AL54" s="1693"/>
      <c r="AM54" s="1693"/>
      <c r="AN54" s="1693"/>
      <c r="AO54" s="1693"/>
      <c r="AP54" s="1693"/>
      <c r="AQ54" s="1693"/>
      <c r="AR54" s="1693"/>
      <c r="AS54" s="1693"/>
      <c r="AT54" s="1693"/>
      <c r="AU54" s="1693"/>
      <c r="AV54" s="1693"/>
      <c r="AW54" s="1693"/>
      <c r="AX54" s="1693"/>
      <c r="AY54" s="1693"/>
      <c r="AZ54" s="1693"/>
      <c r="BA54" s="1693"/>
      <c r="BB54" s="1693"/>
      <c r="BC54" s="1693"/>
      <c r="BD54" s="1693"/>
      <c r="BE54" s="1693"/>
      <c r="BF54" s="1694"/>
    </row>
    <row r="55" spans="1:60">
      <c r="B55" s="1683"/>
      <c r="C55" s="1684"/>
      <c r="D55" s="1684"/>
      <c r="E55" s="1684"/>
      <c r="F55" s="1684"/>
      <c r="G55" s="1685"/>
      <c r="H55" s="1686"/>
      <c r="I55" s="1617"/>
      <c r="J55" s="1617"/>
      <c r="K55" s="1085"/>
      <c r="L55" s="1086"/>
      <c r="M55" s="1086"/>
      <c r="N55" s="1086"/>
      <c r="O55" s="1086"/>
      <c r="P55" s="1086"/>
      <c r="Q55" s="1086"/>
      <c r="R55" s="1086"/>
      <c r="S55" s="1687"/>
      <c r="T55" s="1688"/>
      <c r="U55" s="1689"/>
      <c r="V55" s="1689"/>
      <c r="W55" s="1689"/>
      <c r="X55" s="1689"/>
      <c r="Y55" s="1690"/>
      <c r="Z55" s="1691"/>
      <c r="AA55" s="1086"/>
      <c r="AB55" s="1086"/>
      <c r="AC55" s="1687"/>
      <c r="AD55" s="1692"/>
      <c r="AE55" s="1693"/>
      <c r="AF55" s="1693"/>
      <c r="AG55" s="1693"/>
      <c r="AH55" s="1693"/>
      <c r="AI55" s="1693"/>
      <c r="AJ55" s="1693"/>
      <c r="AK55" s="1693"/>
      <c r="AL55" s="1693"/>
      <c r="AM55" s="1693"/>
      <c r="AN55" s="1693"/>
      <c r="AO55" s="1693"/>
      <c r="AP55" s="1693"/>
      <c r="AQ55" s="1693"/>
      <c r="AR55" s="1693"/>
      <c r="AS55" s="1693"/>
      <c r="AT55" s="1693"/>
      <c r="AU55" s="1693"/>
      <c r="AV55" s="1693"/>
      <c r="AW55" s="1693"/>
      <c r="AX55" s="1693"/>
      <c r="AY55" s="1693"/>
      <c r="AZ55" s="1693"/>
      <c r="BA55" s="1693"/>
      <c r="BB55" s="1693"/>
      <c r="BC55" s="1693"/>
      <c r="BD55" s="1693"/>
      <c r="BE55" s="1693"/>
      <c r="BF55" s="1694"/>
    </row>
    <row r="56" spans="1:60">
      <c r="B56" s="1683"/>
      <c r="C56" s="1684"/>
      <c r="D56" s="1684"/>
      <c r="E56" s="1684"/>
      <c r="F56" s="1684"/>
      <c r="G56" s="1685"/>
      <c r="H56" s="1686"/>
      <c r="I56" s="1617"/>
      <c r="J56" s="1617"/>
      <c r="K56" s="1571"/>
      <c r="L56" s="1572"/>
      <c r="M56" s="1572"/>
      <c r="N56" s="1572"/>
      <c r="O56" s="1572"/>
      <c r="P56" s="1572"/>
      <c r="Q56" s="1572"/>
      <c r="R56" s="1572"/>
      <c r="S56" s="1695"/>
      <c r="T56" s="1688"/>
      <c r="U56" s="1689"/>
      <c r="V56" s="1689"/>
      <c r="W56" s="1689"/>
      <c r="X56" s="1689"/>
      <c r="Y56" s="1690"/>
      <c r="Z56" s="1691"/>
      <c r="AA56" s="1086"/>
      <c r="AB56" s="1086"/>
      <c r="AC56" s="1687"/>
      <c r="AD56" s="1696"/>
      <c r="AE56" s="1697"/>
      <c r="AF56" s="1697"/>
      <c r="AG56" s="1697"/>
      <c r="AH56" s="1697"/>
      <c r="AI56" s="1697"/>
      <c r="AJ56" s="1697"/>
      <c r="AK56" s="1697"/>
      <c r="AL56" s="1697"/>
      <c r="AM56" s="1697"/>
      <c r="AN56" s="1697"/>
      <c r="AO56" s="1697"/>
      <c r="AP56" s="1697"/>
      <c r="AQ56" s="1697"/>
      <c r="AR56" s="1697"/>
      <c r="AS56" s="1697"/>
      <c r="AT56" s="1697"/>
      <c r="AU56" s="1697"/>
      <c r="AV56" s="1697"/>
      <c r="AW56" s="1697"/>
      <c r="AX56" s="1697"/>
      <c r="AY56" s="1697"/>
      <c r="AZ56" s="1697"/>
      <c r="BA56" s="1697"/>
      <c r="BB56" s="1697"/>
      <c r="BC56" s="1697"/>
      <c r="BD56" s="1697"/>
      <c r="BE56" s="1697"/>
      <c r="BF56" s="1698"/>
    </row>
    <row r="57" spans="1:60">
      <c r="B57" s="1673">
        <f>SUM(Z53:AC56)</f>
        <v>0</v>
      </c>
      <c r="C57" s="1124"/>
      <c r="D57" s="1124"/>
      <c r="E57" s="1124"/>
      <c r="F57" s="1124"/>
      <c r="G57" s="1124"/>
      <c r="H57" s="1124"/>
      <c r="I57" s="1124"/>
      <c r="J57" s="1124"/>
      <c r="K57" s="1124"/>
      <c r="L57" s="1124"/>
      <c r="M57" s="1124"/>
      <c r="N57" s="1124"/>
      <c r="O57" s="1124"/>
      <c r="P57" s="1124"/>
      <c r="Q57" s="1124"/>
      <c r="R57" s="1124"/>
      <c r="S57" s="1124"/>
      <c r="T57" s="1124"/>
      <c r="U57" s="1124"/>
      <c r="V57" s="1124"/>
      <c r="W57" s="1124"/>
      <c r="X57" s="1124"/>
      <c r="Y57" s="1124"/>
      <c r="Z57" s="1124"/>
      <c r="AA57" s="1124"/>
      <c r="AB57" s="1124"/>
      <c r="AC57" s="1124"/>
      <c r="AD57" s="1124"/>
      <c r="AE57" s="1124"/>
      <c r="AF57" s="1124"/>
      <c r="AG57" s="1124"/>
      <c r="AH57" s="1124"/>
      <c r="AI57" s="1124"/>
      <c r="AJ57" s="1124"/>
      <c r="AK57" s="1124"/>
      <c r="AL57" s="1124"/>
      <c r="AM57" s="1124"/>
      <c r="AN57" s="1124"/>
      <c r="AO57" s="1124"/>
      <c r="AP57" s="1124"/>
      <c r="AQ57" s="1124"/>
      <c r="AR57" s="1124"/>
      <c r="AS57" s="1124"/>
      <c r="AT57" s="1124"/>
      <c r="AU57" s="1124"/>
      <c r="AV57" s="1124"/>
      <c r="AW57" s="1124"/>
      <c r="AX57" s="1124"/>
      <c r="AY57" s="1124"/>
      <c r="AZ57" s="1124"/>
      <c r="BA57" s="1124"/>
      <c r="BB57" s="1124"/>
      <c r="BC57" s="1124"/>
      <c r="BD57" s="1124"/>
      <c r="BE57" s="1124"/>
      <c r="BF57" s="1125"/>
    </row>
  </sheetData>
  <mergeCells count="344">
    <mergeCell ref="B56:G56"/>
    <mergeCell ref="H56:J56"/>
    <mergeCell ref="K56:S56"/>
    <mergeCell ref="T56:Y56"/>
    <mergeCell ref="Z56:AC56"/>
    <mergeCell ref="AD56:BF56"/>
    <mergeCell ref="B57:BF57"/>
    <mergeCell ref="B54:G54"/>
    <mergeCell ref="H54:J54"/>
    <mergeCell ref="K54:S54"/>
    <mergeCell ref="T54:Y54"/>
    <mergeCell ref="Z54:AC54"/>
    <mergeCell ref="AD54:BF54"/>
    <mergeCell ref="B55:G55"/>
    <mergeCell ref="H55:J55"/>
    <mergeCell ref="K55:S55"/>
    <mergeCell ref="T55:Y55"/>
    <mergeCell ref="Z55:AC55"/>
    <mergeCell ref="AD55:BF55"/>
    <mergeCell ref="B51:BF51"/>
    <mergeCell ref="B52:G52"/>
    <mergeCell ref="H52:J52"/>
    <mergeCell ref="K52:S52"/>
    <mergeCell ref="T52:Y52"/>
    <mergeCell ref="Z52:AC52"/>
    <mergeCell ref="AD52:BF52"/>
    <mergeCell ref="B53:G53"/>
    <mergeCell ref="H53:J53"/>
    <mergeCell ref="K53:S53"/>
    <mergeCell ref="T53:Y53"/>
    <mergeCell ref="Z53:AC53"/>
    <mergeCell ref="AD53:BF53"/>
    <mergeCell ref="D22:P22"/>
    <mergeCell ref="Q22:R22"/>
    <mergeCell ref="S22:T22"/>
    <mergeCell ref="U22:Y22"/>
    <mergeCell ref="Z22:AD22"/>
    <mergeCell ref="AE22:AI22"/>
    <mergeCell ref="AJ22:AO22"/>
    <mergeCell ref="AP22:AU22"/>
    <mergeCell ref="B21:C21"/>
    <mergeCell ref="D21:P21"/>
    <mergeCell ref="Q21:R21"/>
    <mergeCell ref="S21:T21"/>
    <mergeCell ref="U21:Y21"/>
    <mergeCell ref="Z21:AD21"/>
    <mergeCell ref="AE21:AI21"/>
    <mergeCell ref="AJ21:AO21"/>
    <mergeCell ref="AP21:AU21"/>
    <mergeCell ref="B22:C22"/>
    <mergeCell ref="BD46:BF46"/>
    <mergeCell ref="K47:M47"/>
    <mergeCell ref="N47:P47"/>
    <mergeCell ref="Q47:S47"/>
    <mergeCell ref="T47:V47"/>
    <mergeCell ref="W47:Y47"/>
    <mergeCell ref="AV19:BA19"/>
    <mergeCell ref="BB19:BF19"/>
    <mergeCell ref="B20:C20"/>
    <mergeCell ref="D20:P20"/>
    <mergeCell ref="Q20:R20"/>
    <mergeCell ref="S20:T20"/>
    <mergeCell ref="U20:Y20"/>
    <mergeCell ref="Z20:AD20"/>
    <mergeCell ref="AE20:AI20"/>
    <mergeCell ref="AJ20:AO20"/>
    <mergeCell ref="AP20:AU20"/>
    <mergeCell ref="AV20:BA20"/>
    <mergeCell ref="BB20:BF20"/>
    <mergeCell ref="B19:C19"/>
    <mergeCell ref="D19:P19"/>
    <mergeCell ref="Q19:R19"/>
    <mergeCell ref="S19:T19"/>
    <mergeCell ref="U19:Y19"/>
    <mergeCell ref="B48:G48"/>
    <mergeCell ref="B49:BF49"/>
    <mergeCell ref="AI48:AK48"/>
    <mergeCell ref="AL48:AN48"/>
    <mergeCell ref="AO48:AQ48"/>
    <mergeCell ref="AR48:AT48"/>
    <mergeCell ref="AU48:AW48"/>
    <mergeCell ref="AX48:AZ48"/>
    <mergeCell ref="BA48:BC48"/>
    <mergeCell ref="BD48:BF48"/>
    <mergeCell ref="K48:M48"/>
    <mergeCell ref="N48:P48"/>
    <mergeCell ref="Q48:S48"/>
    <mergeCell ref="AI47:AK47"/>
    <mergeCell ref="AL47:AN47"/>
    <mergeCell ref="AO47:AQ47"/>
    <mergeCell ref="AR47:AT47"/>
    <mergeCell ref="AU47:AW47"/>
    <mergeCell ref="AX47:AZ47"/>
    <mergeCell ref="B44:G44"/>
    <mergeCell ref="B45:G45"/>
    <mergeCell ref="B46:G46"/>
    <mergeCell ref="B47:G47"/>
    <mergeCell ref="AU45:AW45"/>
    <mergeCell ref="K46:M46"/>
    <mergeCell ref="N46:P46"/>
    <mergeCell ref="Q46:S46"/>
    <mergeCell ref="T46:V46"/>
    <mergeCell ref="W46:Y46"/>
    <mergeCell ref="Z46:AB46"/>
    <mergeCell ref="AC46:AE46"/>
    <mergeCell ref="AF46:AH46"/>
    <mergeCell ref="K45:M45"/>
    <mergeCell ref="N45:P45"/>
    <mergeCell ref="Q45:S45"/>
    <mergeCell ref="T45:V45"/>
    <mergeCell ref="W45:Y45"/>
    <mergeCell ref="BA47:BC47"/>
    <mergeCell ref="BD47:BF47"/>
    <mergeCell ref="T48:V48"/>
    <mergeCell ref="W48:Y48"/>
    <mergeCell ref="Z48:AB48"/>
    <mergeCell ref="AC48:AE48"/>
    <mergeCell ref="AF48:AH48"/>
    <mergeCell ref="AI45:AK45"/>
    <mergeCell ref="AL45:AN45"/>
    <mergeCell ref="AO45:AQ45"/>
    <mergeCell ref="AR45:AT45"/>
    <mergeCell ref="AI46:AK46"/>
    <mergeCell ref="AL46:AN46"/>
    <mergeCell ref="AO46:AQ46"/>
    <mergeCell ref="AR46:AT46"/>
    <mergeCell ref="AX46:AZ46"/>
    <mergeCell ref="BA46:BC46"/>
    <mergeCell ref="AX45:AZ45"/>
    <mergeCell ref="BA45:BC45"/>
    <mergeCell ref="BD45:BF45"/>
    <mergeCell ref="AU46:AW46"/>
    <mergeCell ref="Z47:AB47"/>
    <mergeCell ref="AC47:AE47"/>
    <mergeCell ref="AF47:AH47"/>
    <mergeCell ref="Z45:AB45"/>
    <mergeCell ref="AC45:AE45"/>
    <mergeCell ref="AF45:AH45"/>
    <mergeCell ref="AX44:AZ44"/>
    <mergeCell ref="BA44:BC44"/>
    <mergeCell ref="BD44:BF44"/>
    <mergeCell ref="K44:M44"/>
    <mergeCell ref="N44:P44"/>
    <mergeCell ref="Q44:S44"/>
    <mergeCell ref="T44:V44"/>
    <mergeCell ref="W44:Y44"/>
    <mergeCell ref="Z44:AB44"/>
    <mergeCell ref="AC44:AE44"/>
    <mergeCell ref="AF44:AH44"/>
    <mergeCell ref="B40:C40"/>
    <mergeCell ref="D40:Z40"/>
    <mergeCell ref="AA40:AC40"/>
    <mergeCell ref="I45:J45"/>
    <mergeCell ref="AI44:AK44"/>
    <mergeCell ref="AL44:AN44"/>
    <mergeCell ref="AO44:AQ44"/>
    <mergeCell ref="AR44:AT44"/>
    <mergeCell ref="AU44:AW44"/>
    <mergeCell ref="I44:J44"/>
    <mergeCell ref="B42:BF42"/>
    <mergeCell ref="K43:M43"/>
    <mergeCell ref="N43:P43"/>
    <mergeCell ref="Q43:S43"/>
    <mergeCell ref="T43:V43"/>
    <mergeCell ref="W43:Y43"/>
    <mergeCell ref="BA43:BC43"/>
    <mergeCell ref="BD43:BF43"/>
    <mergeCell ref="I43:J43"/>
    <mergeCell ref="B43:G43"/>
    <mergeCell ref="Z43:AB43"/>
    <mergeCell ref="AC43:AE43"/>
    <mergeCell ref="AF43:AH43"/>
    <mergeCell ref="AI43:AK43"/>
    <mergeCell ref="AL43:AN43"/>
    <mergeCell ref="AO43:AQ43"/>
    <mergeCell ref="AR43:AT43"/>
    <mergeCell ref="AU43:AW43"/>
    <mergeCell ref="AX43:AZ43"/>
    <mergeCell ref="AD40:AI40"/>
    <mergeCell ref="AJ40:AO40"/>
    <mergeCell ref="AP40:AU40"/>
    <mergeCell ref="AV40:BF40"/>
    <mergeCell ref="AV25:BA25"/>
    <mergeCell ref="BB25:BF25"/>
    <mergeCell ref="AV26:BA26"/>
    <mergeCell ref="BB26:BF26"/>
    <mergeCell ref="Z25:AD25"/>
    <mergeCell ref="AE25:AI25"/>
    <mergeCell ref="AJ25:AO25"/>
    <mergeCell ref="AP25:AU25"/>
    <mergeCell ref="Z26:AD26"/>
    <mergeCell ref="AE26:AI26"/>
    <mergeCell ref="AJ26:AO26"/>
    <mergeCell ref="AP26:AU26"/>
    <mergeCell ref="AJ27:AO27"/>
    <mergeCell ref="AP27:AU27"/>
    <mergeCell ref="B27:C27"/>
    <mergeCell ref="D27:P27"/>
    <mergeCell ref="Q27:R27"/>
    <mergeCell ref="AV38:BF38"/>
    <mergeCell ref="AN34:BF34"/>
    <mergeCell ref="AV37:BF37"/>
    <mergeCell ref="AN33:BF33"/>
    <mergeCell ref="AH33:AM33"/>
    <mergeCell ref="AB33:AG33"/>
    <mergeCell ref="AH32:AM32"/>
    <mergeCell ref="AN32:BF32"/>
    <mergeCell ref="B38:C38"/>
    <mergeCell ref="D38:Z38"/>
    <mergeCell ref="AA38:AC38"/>
    <mergeCell ref="AD38:AI38"/>
    <mergeCell ref="B36:BF36"/>
    <mergeCell ref="B37:C37"/>
    <mergeCell ref="D37:Z37"/>
    <mergeCell ref="AA37:AC37"/>
    <mergeCell ref="AD37:AI37"/>
    <mergeCell ref="AJ37:AO37"/>
    <mergeCell ref="AP37:AU37"/>
    <mergeCell ref="S26:T26"/>
    <mergeCell ref="U26:Y26"/>
    <mergeCell ref="B33:L33"/>
    <mergeCell ref="M33:O33"/>
    <mergeCell ref="P33:U33"/>
    <mergeCell ref="V33:AA33"/>
    <mergeCell ref="AB32:AG32"/>
    <mergeCell ref="Z27:AD27"/>
    <mergeCell ref="AE27:AI27"/>
    <mergeCell ref="D26:P26"/>
    <mergeCell ref="Q26:R26"/>
    <mergeCell ref="AJ38:AO38"/>
    <mergeCell ref="AP38:AU38"/>
    <mergeCell ref="AV15:BA16"/>
    <mergeCell ref="S18:T18"/>
    <mergeCell ref="AP15:AU16"/>
    <mergeCell ref="AV39:BF39"/>
    <mergeCell ref="D23:P23"/>
    <mergeCell ref="Q23:R23"/>
    <mergeCell ref="S23:T23"/>
    <mergeCell ref="U23:Y23"/>
    <mergeCell ref="Z23:AD23"/>
    <mergeCell ref="B34:L34"/>
    <mergeCell ref="M34:O34"/>
    <mergeCell ref="P34:U34"/>
    <mergeCell ref="V34:AA34"/>
    <mergeCell ref="AB34:AG34"/>
    <mergeCell ref="AH34:AM34"/>
    <mergeCell ref="B23:C23"/>
    <mergeCell ref="B25:C25"/>
    <mergeCell ref="D25:P25"/>
    <mergeCell ref="Q25:R25"/>
    <mergeCell ref="S25:T25"/>
    <mergeCell ref="U25:Y25"/>
    <mergeCell ref="B26:C26"/>
    <mergeCell ref="AD39:AI39"/>
    <mergeCell ref="AJ39:AO39"/>
    <mergeCell ref="U17:Y17"/>
    <mergeCell ref="AP39:AU39"/>
    <mergeCell ref="B7:D7"/>
    <mergeCell ref="C9:K9"/>
    <mergeCell ref="Q9:W9"/>
    <mergeCell ref="X9:AD9"/>
    <mergeCell ref="AG9:BB9"/>
    <mergeCell ref="D17:P17"/>
    <mergeCell ref="D18:P18"/>
    <mergeCell ref="AJ15:AO16"/>
    <mergeCell ref="AJ17:AO17"/>
    <mergeCell ref="AJ18:AO18"/>
    <mergeCell ref="B18:C18"/>
    <mergeCell ref="Q18:R18"/>
    <mergeCell ref="B17:C17"/>
    <mergeCell ref="Q17:R17"/>
    <mergeCell ref="B14:BF14"/>
    <mergeCell ref="B15:C16"/>
    <mergeCell ref="D15:P16"/>
    <mergeCell ref="Q15:R16"/>
    <mergeCell ref="BB17:BF17"/>
    <mergeCell ref="BB18:BF18"/>
    <mergeCell ref="Z15:AD16"/>
    <mergeCell ref="AP18:AU18"/>
    <mergeCell ref="Z18:AD18"/>
    <mergeCell ref="I47:J47"/>
    <mergeCell ref="I48:J48"/>
    <mergeCell ref="Q11:W11"/>
    <mergeCell ref="X11:AD11"/>
    <mergeCell ref="AG10:BF11"/>
    <mergeCell ref="C10:K11"/>
    <mergeCell ref="Q10:W10"/>
    <mergeCell ref="X10:AD10"/>
    <mergeCell ref="AJ24:AO24"/>
    <mergeCell ref="U24:Y24"/>
    <mergeCell ref="Z24:AD24"/>
    <mergeCell ref="AE24:AI24"/>
    <mergeCell ref="D24:P24"/>
    <mergeCell ref="AE23:AI23"/>
    <mergeCell ref="AJ23:AO23"/>
    <mergeCell ref="AE17:AI17"/>
    <mergeCell ref="AE18:AI18"/>
    <mergeCell ref="U15:Y16"/>
    <mergeCell ref="B39:C39"/>
    <mergeCell ref="D39:Z39"/>
    <mergeCell ref="AA39:AC39"/>
    <mergeCell ref="AP17:AU17"/>
    <mergeCell ref="AV17:BA17"/>
    <mergeCell ref="AV18:BA18"/>
    <mergeCell ref="S24:T24"/>
    <mergeCell ref="AV24:BA24"/>
    <mergeCell ref="BB24:BF24"/>
    <mergeCell ref="BB23:BF23"/>
    <mergeCell ref="AP23:AU23"/>
    <mergeCell ref="AV23:BA23"/>
    <mergeCell ref="AP19:AU19"/>
    <mergeCell ref="AV21:BA21"/>
    <mergeCell ref="BB21:BF21"/>
    <mergeCell ref="AV22:BA22"/>
    <mergeCell ref="BB22:BF22"/>
    <mergeCell ref="Z17:AD17"/>
    <mergeCell ref="Z19:AD19"/>
    <mergeCell ref="AE19:AI19"/>
    <mergeCell ref="AP24:AU24"/>
    <mergeCell ref="AJ19:AO19"/>
    <mergeCell ref="AV27:BA27"/>
    <mergeCell ref="BB27:BF27"/>
    <mergeCell ref="S27:T27"/>
    <mergeCell ref="U27:Y27"/>
    <mergeCell ref="B24:C24"/>
    <mergeCell ref="Q24:R24"/>
    <mergeCell ref="B32:L32"/>
    <mergeCell ref="AE15:AI16"/>
    <mergeCell ref="I46:J46"/>
    <mergeCell ref="M32:O32"/>
    <mergeCell ref="P32:U32"/>
    <mergeCell ref="V32:AA32"/>
    <mergeCell ref="AN30:BF31"/>
    <mergeCell ref="B29:BF29"/>
    <mergeCell ref="AH30:AM31"/>
    <mergeCell ref="B30:L31"/>
    <mergeCell ref="M30:O31"/>
    <mergeCell ref="P30:U31"/>
    <mergeCell ref="V30:AA31"/>
    <mergeCell ref="AB30:AG31"/>
    <mergeCell ref="U18:Y18"/>
    <mergeCell ref="S15:T16"/>
    <mergeCell ref="S17:T17"/>
    <mergeCell ref="BB15:BF16"/>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3363" r:id="rId3" name="Label1">
          <controlPr defaultSize="0" autoLine="0" r:id="rId4">
            <anchor moveWithCells="1">
              <from>
                <xdr:col>18</xdr:col>
                <xdr:colOff>22860</xdr:colOff>
                <xdr:row>0</xdr:row>
                <xdr:rowOff>114300</xdr:rowOff>
              </from>
              <to>
                <xdr:col>38</xdr:col>
                <xdr:colOff>45720</xdr:colOff>
                <xdr:row>1</xdr:row>
                <xdr:rowOff>68580</xdr:rowOff>
              </to>
            </anchor>
          </controlPr>
        </control>
      </mc:Choice>
      <mc:Fallback>
        <control shapeId="143363" r:id="rId3" name="Label1"/>
      </mc:Fallback>
    </mc:AlternateContent>
    <mc:AlternateContent xmlns:mc="http://schemas.openxmlformats.org/markup-compatibility/2006">
      <mc:Choice Requires="x14">
        <control shapeId="143362" r:id="rId5" name="ComboBox22">
          <controlPr defaultSize="0" autoLine="0" r:id="rId6">
            <anchor moveWithCells="1">
              <from>
                <xdr:col>17</xdr:col>
                <xdr:colOff>182880</xdr:colOff>
                <xdr:row>1</xdr:row>
                <xdr:rowOff>76200</xdr:rowOff>
              </from>
              <to>
                <xdr:col>39</xdr:col>
                <xdr:colOff>7620</xdr:colOff>
                <xdr:row>2</xdr:row>
                <xdr:rowOff>137160</xdr:rowOff>
              </to>
            </anchor>
          </controlPr>
        </control>
      </mc:Choice>
      <mc:Fallback>
        <control shapeId="143362" r:id="rId5" name="ComboBox2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BDBBB-4F3C-4635-8BEB-57DB7299BC8E}">
  <sheetPr codeName="Planilha19">
    <tabColor theme="6" tint="0.39997558519241921"/>
  </sheetPr>
  <dimension ref="B6:V63"/>
  <sheetViews>
    <sheetView showGridLines="0" zoomScaleNormal="100" workbookViewId="0">
      <selection activeCell="G16" sqref="G16:G26"/>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2" ht="18.75" customHeight="1">
      <c r="B6" s="1044" t="s">
        <v>343</v>
      </c>
      <c r="C6" s="1044"/>
      <c r="D6" s="1044"/>
      <c r="E6" s="70" t="s">
        <v>455</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045" t="s">
        <v>303</v>
      </c>
      <c r="D8" s="1045"/>
      <c r="E8" s="1046"/>
      <c r="F8" s="71"/>
      <c r="G8" s="71"/>
      <c r="H8" s="1039" t="s">
        <v>344</v>
      </c>
      <c r="I8" s="1039"/>
      <c r="J8" s="1040">
        <f>U28</f>
        <v>0</v>
      </c>
      <c r="K8" s="1040"/>
      <c r="L8" s="1040"/>
      <c r="M8" s="448"/>
      <c r="N8" s="447"/>
      <c r="O8" s="1047" t="s">
        <v>345</v>
      </c>
      <c r="P8" s="1047"/>
      <c r="Q8" s="1047"/>
      <c r="R8" s="1047"/>
      <c r="S8" s="1047"/>
      <c r="T8" s="1047"/>
      <c r="U8" s="1048" t="s">
        <v>346</v>
      </c>
      <c r="V8" s="1047"/>
    </row>
    <row r="9" spans="2:22" ht="12.75" customHeight="1">
      <c r="B9" s="71"/>
      <c r="C9" s="446"/>
      <c r="D9" s="446"/>
      <c r="E9" s="1038">
        <f>J8+J9+J10</f>
        <v>0</v>
      </c>
      <c r="F9" s="71"/>
      <c r="G9" s="71"/>
      <c r="H9" s="1039" t="s">
        <v>347</v>
      </c>
      <c r="I9" s="1039"/>
      <c r="J9" s="1040">
        <f>V38</f>
        <v>0</v>
      </c>
      <c r="K9" s="1040"/>
      <c r="L9" s="1040"/>
      <c r="M9" s="449"/>
      <c r="N9" s="402"/>
      <c r="O9" s="1041"/>
      <c r="P9" s="1041"/>
      <c r="Q9" s="1041"/>
      <c r="R9" s="1041"/>
      <c r="S9" s="1041"/>
      <c r="T9" s="1041"/>
      <c r="U9" s="1042">
        <f>E9*O9</f>
        <v>0</v>
      </c>
      <c r="V9" s="1043"/>
    </row>
    <row r="10" spans="2:22" ht="12.75" customHeight="1">
      <c r="B10" s="73"/>
      <c r="C10" s="446"/>
      <c r="D10" s="446"/>
      <c r="E10" s="1038"/>
      <c r="F10" s="71"/>
      <c r="G10" s="71"/>
      <c r="H10" s="1039" t="s">
        <v>348</v>
      </c>
      <c r="I10" s="1039"/>
      <c r="J10" s="1040">
        <f>Q61</f>
        <v>0</v>
      </c>
      <c r="K10" s="1040"/>
      <c r="L10" s="1040"/>
      <c r="M10" s="449"/>
      <c r="N10" s="402"/>
      <c r="O10" s="1041"/>
      <c r="P10" s="1041"/>
      <c r="Q10" s="1041"/>
      <c r="R10" s="1041"/>
      <c r="S10" s="1041"/>
      <c r="T10" s="1041"/>
      <c r="U10" s="1042"/>
      <c r="V10" s="1043"/>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055" t="s">
        <v>344</v>
      </c>
      <c r="C13" s="1055"/>
      <c r="D13" s="1055"/>
      <c r="E13" s="1055"/>
      <c r="F13" s="1055"/>
      <c r="G13" s="1055"/>
      <c r="H13" s="1055"/>
      <c r="I13" s="1055"/>
      <c r="J13" s="1055"/>
      <c r="K13" s="1055"/>
      <c r="L13" s="1055"/>
      <c r="M13" s="1055"/>
      <c r="N13" s="1055"/>
      <c r="O13" s="1055"/>
      <c r="P13" s="1055"/>
      <c r="Q13" s="1055"/>
      <c r="R13" s="1055"/>
      <c r="S13" s="1055"/>
      <c r="T13" s="1055"/>
      <c r="U13" s="1055"/>
      <c r="V13" s="1055"/>
    </row>
    <row r="14" spans="2:22" ht="12.75" customHeight="1">
      <c r="B14" s="1056" t="s">
        <v>183</v>
      </c>
      <c r="C14" s="1057"/>
      <c r="D14" s="1060" t="s">
        <v>349</v>
      </c>
      <c r="E14" s="1060"/>
      <c r="F14" s="1060"/>
      <c r="G14" s="1060" t="s">
        <v>350</v>
      </c>
      <c r="H14" s="1060" t="s">
        <v>351</v>
      </c>
      <c r="I14" s="1060"/>
      <c r="J14" s="1060" t="s">
        <v>352</v>
      </c>
      <c r="K14" s="1060"/>
      <c r="L14" s="1060"/>
      <c r="M14" s="1060"/>
      <c r="N14" s="1060" t="s">
        <v>401</v>
      </c>
      <c r="O14" s="1060"/>
      <c r="P14" s="1060"/>
      <c r="Q14" s="1060"/>
      <c r="R14" s="1060"/>
      <c r="S14" s="1061" t="s">
        <v>353</v>
      </c>
      <c r="T14" s="1061"/>
      <c r="U14" s="1062" t="s">
        <v>346</v>
      </c>
      <c r="V14" s="1060"/>
    </row>
    <row r="15" spans="2:22" ht="13.8">
      <c r="B15" s="1058"/>
      <c r="C15" s="1059"/>
      <c r="D15" s="1060"/>
      <c r="E15" s="1060"/>
      <c r="F15" s="1060"/>
      <c r="G15" s="1060"/>
      <c r="H15" s="1060"/>
      <c r="I15" s="1060"/>
      <c r="J15" s="1060"/>
      <c r="K15" s="1060"/>
      <c r="L15" s="1060"/>
      <c r="M15" s="1060"/>
      <c r="N15" s="1060"/>
      <c r="O15" s="1060"/>
      <c r="P15" s="1060"/>
      <c r="Q15" s="1060"/>
      <c r="R15" s="1060"/>
      <c r="S15" s="1061"/>
      <c r="T15" s="1061"/>
      <c r="U15" s="1063"/>
      <c r="V15" s="1060"/>
    </row>
    <row r="16" spans="2:22" ht="15" customHeight="1">
      <c r="B16" s="74">
        <f>F16</f>
        <v>0</v>
      </c>
      <c r="C16" s="199" t="s">
        <v>402</v>
      </c>
      <c r="D16" s="75"/>
      <c r="E16" s="198" t="s">
        <v>456</v>
      </c>
      <c r="F16" s="198"/>
      <c r="G16" s="186"/>
      <c r="H16" s="1049">
        <v>14000</v>
      </c>
      <c r="I16" s="1050"/>
      <c r="J16" s="76"/>
      <c r="K16" s="1051">
        <f>IF(J16="",0,IF(J16="D",H16*DADOS!$D$18,H16*DADOS!$D$19))</f>
        <v>0</v>
      </c>
      <c r="L16" s="1052"/>
      <c r="M16" s="1053"/>
      <c r="N16" s="186"/>
      <c r="O16" s="1051">
        <f>IF(N16="C",(DADOS!$E$9+DADOS!$E$10)*25,IF(N16="J",(DADOS!$E$9+DADOS!$E$10+DADOS!$E$11)*25,IF(C16="PJ",DADOS!$E$12,0)))</f>
        <v>300</v>
      </c>
      <c r="P16" s="1052"/>
      <c r="Q16" s="1052"/>
      <c r="R16" s="1053"/>
      <c r="S16" s="1054">
        <f>IF(G16="",0,IF(C16="3º",0,IF(C16="PJ",0,((H16+K16)*DADOS!$D$7)+((H16+K16)*DADOS!$D$6))))</f>
        <v>0</v>
      </c>
      <c r="T16" s="1054"/>
      <c r="U16" s="450">
        <f t="shared" ref="U16:U27" si="0">IF(G16="",0,SUM(H16,K16,,O16,V16,S16))</f>
        <v>0</v>
      </c>
      <c r="V16" s="451"/>
    </row>
    <row r="17" spans="2:22" ht="12.75" hidden="1" customHeight="1">
      <c r="B17" s="75"/>
      <c r="C17" s="199"/>
      <c r="D17" s="75"/>
      <c r="E17" s="77"/>
      <c r="F17" s="198"/>
      <c r="G17" s="186"/>
      <c r="H17" s="1049"/>
      <c r="I17" s="1050"/>
      <c r="J17" s="76" t="s">
        <v>354</v>
      </c>
      <c r="K17" s="1051">
        <f>IF(J17="",0,IF(J17="D",H17*DADOS!$D$18,H17*DADOS!$D$19))</f>
        <v>0</v>
      </c>
      <c r="L17" s="1052"/>
      <c r="M17" s="1053"/>
      <c r="N17" s="186"/>
      <c r="O17" s="1051">
        <f>IF(N17="C",(DADOS!$E$9+DADOS!$E$10)*25,IF(N17="J",(DADOS!$E$9+DADOS!$E$10+DADOS!$E$11)*25,IF(C17="PJ",DADOS!$E$12,0)))</f>
        <v>0</v>
      </c>
      <c r="P17" s="1052"/>
      <c r="Q17" s="1052"/>
      <c r="R17" s="1053"/>
      <c r="S17" s="1054">
        <f>IF(G17="",0,IF(C17="3º",0,IF(C17="PJ",0,((H17+K17)*DADOS!$D$7)+((H17+K17)*DADOS!$D$6))))</f>
        <v>0</v>
      </c>
      <c r="T17" s="1054"/>
      <c r="U17" s="450">
        <f t="shared" si="0"/>
        <v>0</v>
      </c>
      <c r="V17" s="451"/>
    </row>
    <row r="18" spans="2:22" ht="12.75" hidden="1" customHeight="1">
      <c r="B18" s="75">
        <f>F18</f>
        <v>0</v>
      </c>
      <c r="C18" s="199" t="s">
        <v>402</v>
      </c>
      <c r="D18" s="75"/>
      <c r="E18" s="77"/>
      <c r="F18" s="198"/>
      <c r="G18" s="186"/>
      <c r="H18" s="1049"/>
      <c r="I18" s="1050"/>
      <c r="J18" s="76" t="s">
        <v>354</v>
      </c>
      <c r="K18" s="1051">
        <f>IF(J18="",0,IF(J18="D",H18*DADOS!$D$18,H18*DADOS!$D$19))</f>
        <v>0</v>
      </c>
      <c r="L18" s="1052"/>
      <c r="M18" s="1053"/>
      <c r="N18" s="186" t="s">
        <v>404</v>
      </c>
      <c r="O18" s="1051">
        <f>IF(N18="C",(DADOS!$E$9+DADOS!$E$10)*25,IF(N18="J",(DADOS!$E$9+DADOS!$E$10+DADOS!$E$11)*25,IF(C18="PJ",DADOS!$E$12,0)))</f>
        <v>250</v>
      </c>
      <c r="P18" s="1052"/>
      <c r="Q18" s="1052"/>
      <c r="R18" s="1053"/>
      <c r="S18" s="1054">
        <f>IF(G18="",0,IF(C18="3º",0,IF(C18="PJ",0,((H18+K18)*DADOS!$D$7)+((H18+K18)*DADOS!$D$6))))</f>
        <v>0</v>
      </c>
      <c r="T18" s="1054"/>
      <c r="U18" s="450">
        <f t="shared" si="0"/>
        <v>0</v>
      </c>
      <c r="V18" s="451"/>
    </row>
    <row r="19" spans="2:22" ht="12.75" hidden="1" customHeight="1">
      <c r="B19" s="75">
        <f>F19</f>
        <v>0</v>
      </c>
      <c r="C19" s="199" t="s">
        <v>402</v>
      </c>
      <c r="D19" s="75"/>
      <c r="E19" s="198"/>
      <c r="F19" s="198"/>
      <c r="G19" s="186"/>
      <c r="H19" s="1049"/>
      <c r="I19" s="1050"/>
      <c r="J19" s="76" t="s">
        <v>354</v>
      </c>
      <c r="K19" s="1051">
        <f>IF(J19="",0,IF(J19="D",H19*DADOS!$D$18,H19*DADOS!$D$19))</f>
        <v>0</v>
      </c>
      <c r="L19" s="1052"/>
      <c r="M19" s="1053"/>
      <c r="N19" s="186" t="s">
        <v>404</v>
      </c>
      <c r="O19" s="1051">
        <f>IF(N19="C",(DADOS!$E$9+DADOS!$E$10)*25,IF(N19="J",(DADOS!$E$9+DADOS!$E$10+DADOS!$E$11)*25,IF(C19="PJ",DADOS!$E$12,0)))</f>
        <v>250</v>
      </c>
      <c r="P19" s="1052"/>
      <c r="Q19" s="1052"/>
      <c r="R19" s="1053"/>
      <c r="S19" s="1054">
        <f>IF(G19="",0,IF(C19="3º",0,IF(C19="PJ",0,((H19+K19)*DADOS!$D$7)+((H19+K19)*DADOS!$D$6))))</f>
        <v>0</v>
      </c>
      <c r="T19" s="1054"/>
      <c r="U19" s="450">
        <f t="shared" si="0"/>
        <v>0</v>
      </c>
      <c r="V19" s="451"/>
    </row>
    <row r="20" spans="2:22" ht="12.75" hidden="1" customHeight="1">
      <c r="B20" s="75"/>
      <c r="C20" s="199"/>
      <c r="D20" s="75"/>
      <c r="E20" s="198"/>
      <c r="F20" s="198"/>
      <c r="G20" s="186"/>
      <c r="H20" s="1049"/>
      <c r="I20" s="1050"/>
      <c r="J20" s="76"/>
      <c r="K20" s="1051">
        <f>IF(J20="",0,IF(J20="D",H20*DADOS!$D$18,H20*DADOS!$D$19))</f>
        <v>0</v>
      </c>
      <c r="L20" s="1052"/>
      <c r="M20" s="1053"/>
      <c r="N20" s="186"/>
      <c r="O20" s="1051">
        <f>IF(N20="C",(DADOS!$E$9+DADOS!$E$10)*25,IF(N20="J",(DADOS!$E$9+DADOS!$E$10+DADOS!$E$11)*25,IF(C20="PJ",DADOS!$E$12,0)))</f>
        <v>0</v>
      </c>
      <c r="P20" s="1052"/>
      <c r="Q20" s="1052"/>
      <c r="R20" s="1053"/>
      <c r="S20" s="1054">
        <f>IF(G20="",0,IF(C20="3º",0,IF(C20="PJ",0,((H20+K20)*DADOS!$D$7)+((H20+K20)*DADOS!$D$6))))</f>
        <v>0</v>
      </c>
      <c r="T20" s="1054"/>
      <c r="U20" s="450">
        <f t="shared" si="0"/>
        <v>0</v>
      </c>
      <c r="V20" s="451"/>
    </row>
    <row r="21" spans="2:22" ht="12.75" hidden="1" customHeight="1">
      <c r="B21" s="75"/>
      <c r="C21" s="199"/>
      <c r="D21" s="75"/>
      <c r="E21" s="198"/>
      <c r="F21" s="198"/>
      <c r="G21" s="186"/>
      <c r="H21" s="1049"/>
      <c r="I21" s="1050"/>
      <c r="J21" s="76"/>
      <c r="K21" s="1051">
        <f>IF(J21="",0,IF(J21="D",H21*DADOS!$D$18,H21*DADOS!$D$19))</f>
        <v>0</v>
      </c>
      <c r="L21" s="1052"/>
      <c r="M21" s="1053"/>
      <c r="N21" s="186"/>
      <c r="O21" s="1051">
        <f>IF(N21="C",(DADOS!$E$9+DADOS!$E$10)*25,IF(N21="J",(DADOS!$E$9+DADOS!$E$10+DADOS!$E$11)*25,IF(C21="PJ",DADOS!$E$12,0)))</f>
        <v>0</v>
      </c>
      <c r="P21" s="1052"/>
      <c r="Q21" s="1052"/>
      <c r="R21" s="1053"/>
      <c r="S21" s="1054">
        <f>IF(G21="",0,IF(C21="3º",0,IF(C21="PJ",0,((H21+K21)*DADOS!$D$7)+((H21+K21)*DADOS!$D$6))))</f>
        <v>0</v>
      </c>
      <c r="T21" s="1054"/>
      <c r="U21" s="450">
        <f t="shared" si="0"/>
        <v>0</v>
      </c>
      <c r="V21" s="451"/>
    </row>
    <row r="22" spans="2:22" ht="12.75" hidden="1" customHeight="1">
      <c r="B22" s="75"/>
      <c r="C22" s="199"/>
      <c r="D22" s="75"/>
      <c r="E22" s="198"/>
      <c r="F22" s="198"/>
      <c r="G22" s="186"/>
      <c r="H22" s="1049"/>
      <c r="I22" s="1050"/>
      <c r="J22" s="76"/>
      <c r="K22" s="1051">
        <f>IF(J22="",0,IF(J22="D",H22*DADOS!$D$18,H22*DADOS!$D$19))</f>
        <v>0</v>
      </c>
      <c r="L22" s="1052"/>
      <c r="M22" s="1053"/>
      <c r="N22" s="186"/>
      <c r="O22" s="1051">
        <f>IF(N22="C",(DADOS!$E$9+DADOS!$E$10)*25,IF(N22="J",(DADOS!$E$9+DADOS!$E$10+DADOS!$E$11)*25,IF(C22="PJ",DADOS!$E$12,0)))</f>
        <v>0</v>
      </c>
      <c r="P22" s="1052"/>
      <c r="Q22" s="1052"/>
      <c r="R22" s="1053"/>
      <c r="S22" s="1054">
        <f>IF(G22="",0,IF(C22="3º",0,IF(C22="PJ",0,((H22+K22)*DADOS!$D$7)+((H22+K22)*DADOS!$D$6))))</f>
        <v>0</v>
      </c>
      <c r="T22" s="1054"/>
      <c r="U22" s="450">
        <f t="shared" si="0"/>
        <v>0</v>
      </c>
      <c r="V22" s="451"/>
    </row>
    <row r="23" spans="2:22" ht="12.75" hidden="1" customHeight="1">
      <c r="B23" s="75"/>
      <c r="C23" s="199"/>
      <c r="D23" s="75"/>
      <c r="E23" s="198"/>
      <c r="F23" s="198"/>
      <c r="G23" s="186"/>
      <c r="H23" s="1049"/>
      <c r="I23" s="1050"/>
      <c r="J23" s="76"/>
      <c r="K23" s="1051">
        <f>IF(J23="",0,IF(J23="D",H23*DADOS!$D$18,H23*DADOS!$D$19))</f>
        <v>0</v>
      </c>
      <c r="L23" s="1052"/>
      <c r="M23" s="1053"/>
      <c r="N23" s="186"/>
      <c r="O23" s="1051">
        <f>IF(N23="C",(DADOS!$E$9+DADOS!$E$10)*25,IF(N23="J",(DADOS!$E$9+DADOS!$E$10+DADOS!$E$11)*25,IF(C23="PJ",DADOS!$E$12,0)))</f>
        <v>0</v>
      </c>
      <c r="P23" s="1052"/>
      <c r="Q23" s="1052"/>
      <c r="R23" s="1053"/>
      <c r="S23" s="1054">
        <f>IF(G23="",0,IF(C23="3º",0,IF(C23="PJ",0,((H23+K23)*DADOS!$D$7)+((H23+K23)*DADOS!$D$6))))</f>
        <v>0</v>
      </c>
      <c r="T23" s="1054"/>
      <c r="U23" s="450">
        <f t="shared" si="0"/>
        <v>0</v>
      </c>
      <c r="V23" s="451"/>
    </row>
    <row r="24" spans="2:22" ht="12.75" hidden="1" customHeight="1">
      <c r="B24" s="75"/>
      <c r="C24" s="199"/>
      <c r="D24" s="75"/>
      <c r="E24" s="198"/>
      <c r="F24" s="198"/>
      <c r="G24" s="186"/>
      <c r="H24" s="1049"/>
      <c r="I24" s="1050"/>
      <c r="J24" s="76"/>
      <c r="K24" s="1051">
        <f>IF(J24="",0,IF(J24="D",H24*DADOS!$D$18,H24*DADOS!$D$19))</f>
        <v>0</v>
      </c>
      <c r="L24" s="1052"/>
      <c r="M24" s="1053"/>
      <c r="N24" s="186"/>
      <c r="O24" s="1051">
        <f>IF(N24="C",(DADOS!$E$9+DADOS!$E$10)*25,IF(N24="J",(DADOS!$E$9+DADOS!$E$10+DADOS!$E$11)*25,IF(C24="PJ",DADOS!$E$12,0)))</f>
        <v>0</v>
      </c>
      <c r="P24" s="1052"/>
      <c r="Q24" s="1052"/>
      <c r="R24" s="1053"/>
      <c r="S24" s="1054">
        <f>IF(G24="",0,IF(C24="3º",0,IF(C24="PJ",0,((H24+K24)*DADOS!$D$7)+((H24+K24)*DADOS!$D$6))))</f>
        <v>0</v>
      </c>
      <c r="T24" s="1054"/>
      <c r="U24" s="450">
        <f t="shared" si="0"/>
        <v>0</v>
      </c>
      <c r="V24" s="451"/>
    </row>
    <row r="25" spans="2:22" ht="12.75" hidden="1" customHeight="1">
      <c r="B25" s="75"/>
      <c r="C25" s="199"/>
      <c r="D25" s="75"/>
      <c r="E25" s="198"/>
      <c r="F25" s="198"/>
      <c r="G25" s="186"/>
      <c r="H25" s="1049"/>
      <c r="I25" s="1050"/>
      <c r="J25" s="76"/>
      <c r="K25" s="1051">
        <f>IF(J25="",0,IF(J25="D",H25*DADOS!$D$18,H25*DADOS!$D$19))</f>
        <v>0</v>
      </c>
      <c r="L25" s="1052"/>
      <c r="M25" s="1053"/>
      <c r="N25" s="186"/>
      <c r="O25" s="1051">
        <f>IF(N25="C",(DADOS!$E$9+DADOS!$E$10)*25,IF(N25="J",(DADOS!$E$9+DADOS!$E$10+DADOS!$E$11)*25,IF(C25="PJ",DADOS!$E$12,0)))</f>
        <v>0</v>
      </c>
      <c r="P25" s="1052"/>
      <c r="Q25" s="1052"/>
      <c r="R25" s="1053"/>
      <c r="S25" s="1054">
        <f>IF(G25="",0,IF(C25="3º",0,IF(C25="PJ",0,((H25+K25)*DADOS!$D$7)+((H25+K25)*DADOS!$D$6))))</f>
        <v>0</v>
      </c>
      <c r="T25" s="1054"/>
      <c r="U25" s="450">
        <f t="shared" si="0"/>
        <v>0</v>
      </c>
      <c r="V25" s="451"/>
    </row>
    <row r="26" spans="2:22" ht="13.8">
      <c r="B26" s="75"/>
      <c r="C26" s="199"/>
      <c r="D26" s="75"/>
      <c r="E26" s="198" t="s">
        <v>457</v>
      </c>
      <c r="F26" s="198"/>
      <c r="G26" s="186"/>
      <c r="H26" s="1049">
        <v>3000</v>
      </c>
      <c r="I26" s="1050"/>
      <c r="J26" s="76" t="s">
        <v>354</v>
      </c>
      <c r="K26" s="1051">
        <f>IF(J26="",0,IF(J26="D",H26*DADOS!$D$18,H26*DADOS!$D$19))</f>
        <v>750</v>
      </c>
      <c r="L26" s="1052"/>
      <c r="M26" s="1053"/>
      <c r="N26" s="186" t="s">
        <v>404</v>
      </c>
      <c r="O26" s="1051">
        <f>IF(N26="C",(DADOS!$E$9+DADOS!$E$10)*25,IF(N26="J",(DADOS!$E$9+DADOS!$E$10+DADOS!$E$11)*25,IF(C26="PJ",DADOS!$E$12,0)))</f>
        <v>250</v>
      </c>
      <c r="P26" s="1052"/>
      <c r="Q26" s="1052"/>
      <c r="R26" s="1053"/>
      <c r="S26" s="1054">
        <f>IF(G26="",0,IF(C26="3º",0,IF(C26="PJ",0,((H26+K26)*DADOS!$D$7)+((H26+K26)*DADOS!$D$6))))</f>
        <v>0</v>
      </c>
      <c r="T26" s="1054"/>
      <c r="U26" s="450">
        <f t="shared" si="0"/>
        <v>0</v>
      </c>
      <c r="V26" s="451"/>
    </row>
    <row r="27" spans="2:22" ht="13.8">
      <c r="B27" s="445"/>
      <c r="C27" s="197"/>
      <c r="D27" s="78"/>
      <c r="E27" s="196"/>
      <c r="F27" s="198"/>
      <c r="G27" s="431"/>
      <c r="H27" s="1070"/>
      <c r="I27" s="1071"/>
      <c r="J27" s="79"/>
      <c r="K27" s="1072">
        <f>IF(J27="",0,IF(J27="D",H27*DADOS!$D$18,H27*DADOS!$D$19))</f>
        <v>0</v>
      </c>
      <c r="L27" s="1073"/>
      <c r="M27" s="1074"/>
      <c r="N27" s="186"/>
      <c r="O27" s="1051">
        <f>IF(N27="C",(DADOS!$E$9+DADOS!$E$10)*25,IF(N27="J",(DADOS!$E$9+DADOS!$E$10+DADOS!$E$11)*25,IF(C27="PJ",DADOS!$E$12,0)))</f>
        <v>0</v>
      </c>
      <c r="P27" s="1052"/>
      <c r="Q27" s="1052"/>
      <c r="R27" s="1053"/>
      <c r="S27" s="1054">
        <f>IF(G27="",0,IF(C27="3º",0,IF(C27="PJ",0,((H27+K27)*DADOS!$D$7)+((H27+K27)*DADOS!$D$6))))</f>
        <v>0</v>
      </c>
      <c r="T27" s="1054"/>
      <c r="U27" s="450">
        <f t="shared" si="0"/>
        <v>0</v>
      </c>
      <c r="V27" s="451"/>
    </row>
    <row r="28" spans="2:22" ht="13.8">
      <c r="B28" s="1064"/>
      <c r="C28" s="1065"/>
      <c r="D28" s="1066" t="s">
        <v>175</v>
      </c>
      <c r="E28" s="1066"/>
      <c r="F28" s="1066"/>
      <c r="G28" s="818">
        <f>SUM(G16:G27)</f>
        <v>0</v>
      </c>
      <c r="H28" s="1067">
        <f>SUMPRODUCT($G$16:$G$27,H16:H27)</f>
        <v>0</v>
      </c>
      <c r="I28" s="1068"/>
      <c r="J28" s="1067">
        <f>SUMPRODUCT($G$16:$G$27,K16:K27)</f>
        <v>0</v>
      </c>
      <c r="K28" s="1068"/>
      <c r="L28" s="1068"/>
      <c r="M28" s="1069"/>
      <c r="N28" s="1067">
        <f>SUMPRODUCT($G$16:$G$27,O16:O27)</f>
        <v>0</v>
      </c>
      <c r="O28" s="1068"/>
      <c r="P28" s="1068"/>
      <c r="Q28" s="1068"/>
      <c r="R28" s="1069"/>
      <c r="S28" s="1067">
        <f>SUMPRODUCT($G$16:$G$27,S16:S27)</f>
        <v>0</v>
      </c>
      <c r="T28" s="1069"/>
      <c r="U28" s="453">
        <f>SUMPRODUCT($G$16:$G$27,U16:U27)</f>
        <v>0</v>
      </c>
      <c r="V28" s="452"/>
    </row>
    <row r="30" spans="2:22" ht="12.75" customHeight="1">
      <c r="B30" s="1055" t="s">
        <v>347</v>
      </c>
      <c r="C30" s="1055"/>
      <c r="D30" s="1055"/>
      <c r="E30" s="1055"/>
      <c r="F30" s="1055"/>
      <c r="G30" s="1055"/>
      <c r="H30" s="1055"/>
      <c r="I30" s="1055"/>
      <c r="J30" s="1055"/>
      <c r="K30" s="1055"/>
      <c r="L30" s="1055"/>
      <c r="M30" s="1055"/>
      <c r="N30" s="1055"/>
      <c r="O30" s="1055"/>
      <c r="P30" s="1055"/>
      <c r="Q30" s="1055"/>
      <c r="R30" s="1055"/>
      <c r="S30" s="1055"/>
      <c r="T30" s="1055"/>
      <c r="U30" s="1055"/>
      <c r="V30" s="1055"/>
    </row>
    <row r="31" spans="2:22" ht="12.75" customHeight="1">
      <c r="B31" s="1056" t="s">
        <v>357</v>
      </c>
      <c r="C31" s="1088"/>
      <c r="D31" s="1088"/>
      <c r="E31" s="1088" t="s">
        <v>358</v>
      </c>
      <c r="F31" s="1088"/>
      <c r="G31" s="1089" t="s">
        <v>350</v>
      </c>
      <c r="H31" s="1056" t="s">
        <v>359</v>
      </c>
      <c r="I31" s="1088"/>
      <c r="J31" s="1057"/>
      <c r="K31" s="1089" t="s">
        <v>360</v>
      </c>
      <c r="L31" s="1091"/>
      <c r="M31" s="1091"/>
      <c r="N31" s="1091"/>
      <c r="O31" s="1092"/>
      <c r="P31" s="1056" t="s">
        <v>361</v>
      </c>
      <c r="Q31" s="1088"/>
      <c r="R31" s="1088"/>
      <c r="S31" s="1088"/>
      <c r="T31" s="1095" t="s">
        <v>362</v>
      </c>
      <c r="U31" s="1092" t="s">
        <v>363</v>
      </c>
      <c r="V31" s="1062" t="s">
        <v>364</v>
      </c>
    </row>
    <row r="32" spans="2:22" ht="13.8">
      <c r="B32" s="1058"/>
      <c r="C32" s="1075"/>
      <c r="D32" s="1075"/>
      <c r="E32" s="1075"/>
      <c r="F32" s="1075"/>
      <c r="G32" s="1090"/>
      <c r="H32" s="1058"/>
      <c r="I32" s="1075"/>
      <c r="J32" s="1059"/>
      <c r="K32" s="1090"/>
      <c r="L32" s="1093"/>
      <c r="M32" s="1093"/>
      <c r="N32" s="1093"/>
      <c r="O32" s="1094"/>
      <c r="P32" s="1058" t="s">
        <v>365</v>
      </c>
      <c r="Q32" s="1075"/>
      <c r="R32" s="1075"/>
      <c r="S32" s="1075"/>
      <c r="T32" s="1096"/>
      <c r="U32" s="1094"/>
      <c r="V32" s="1063"/>
    </row>
    <row r="33" spans="2:22" ht="13.8" hidden="1">
      <c r="B33" s="1076">
        <f>F33</f>
        <v>0</v>
      </c>
      <c r="C33" s="1077"/>
      <c r="D33" s="1078"/>
      <c r="E33" s="201"/>
      <c r="F33" s="198"/>
      <c r="G33" s="433"/>
      <c r="H33" s="1100"/>
      <c r="I33" s="1101"/>
      <c r="J33" s="1101"/>
      <c r="K33" s="1082" t="s">
        <v>367</v>
      </c>
      <c r="L33" s="1083"/>
      <c r="M33" s="1084"/>
      <c r="N33" s="1084"/>
      <c r="O33" s="1084"/>
      <c r="P33" s="80"/>
      <c r="Q33" s="1559"/>
      <c r="R33" s="1560"/>
      <c r="S33" s="1561"/>
      <c r="T33" s="436" t="str">
        <f>IF(Q33="","",IF(K33="km",#REF!/Q33,100*Q33)*INDEX(DADOS!$1:$1048576,MATCH(P33,DADOS!D:D,0),5))</f>
        <v/>
      </c>
      <c r="U33" s="202">
        <f>SUM(H33,T33)</f>
        <v>0</v>
      </c>
      <c r="V33" s="203">
        <f>G33*U33</f>
        <v>0</v>
      </c>
    </row>
    <row r="34" spans="2:22" ht="13.8" hidden="1">
      <c r="B34" s="1097">
        <f>F34</f>
        <v>0</v>
      </c>
      <c r="C34" s="1098"/>
      <c r="D34" s="1099"/>
      <c r="E34" s="200"/>
      <c r="F34" s="198"/>
      <c r="G34" s="434"/>
      <c r="H34" s="1100"/>
      <c r="I34" s="1101"/>
      <c r="J34" s="1101"/>
      <c r="K34" s="1082" t="s">
        <v>367</v>
      </c>
      <c r="L34" s="1083"/>
      <c r="M34" s="1084"/>
      <c r="N34" s="1084"/>
      <c r="O34" s="1084"/>
      <c r="P34" s="80"/>
      <c r="Q34" s="1085"/>
      <c r="R34" s="1086"/>
      <c r="S34" s="1087"/>
      <c r="T34" s="436" t="str">
        <f>IF(Q34="","",IF(K34="km",#REF!/Q34,100*Q34)*INDEX(DADOS!$1:$1048576,MATCH(P34,DADOS!D:D,0),5))</f>
        <v/>
      </c>
      <c r="U34" s="202">
        <f>SUM(H34,T34)</f>
        <v>0</v>
      </c>
      <c r="V34" s="436">
        <f>U34*G34</f>
        <v>0</v>
      </c>
    </row>
    <row r="35" spans="2:22" ht="13.8" hidden="1">
      <c r="B35" s="1097">
        <f>F35</f>
        <v>0</v>
      </c>
      <c r="C35" s="1098"/>
      <c r="D35" s="1099"/>
      <c r="E35" s="200"/>
      <c r="F35" s="198"/>
      <c r="G35" s="434"/>
      <c r="H35" s="1100"/>
      <c r="I35" s="1101"/>
      <c r="J35" s="1101"/>
      <c r="K35" s="1082" t="s">
        <v>367</v>
      </c>
      <c r="L35" s="1083"/>
      <c r="M35" s="1084"/>
      <c r="N35" s="1084"/>
      <c r="O35" s="1084"/>
      <c r="P35" s="80"/>
      <c r="Q35" s="1085"/>
      <c r="R35" s="1086"/>
      <c r="S35" s="1087"/>
      <c r="T35" s="436" t="str">
        <f>IF(Q35="","",IF(K35="km",#REF!/Q35,100*Q35)*INDEX(DADOS!$1:$1048576,MATCH(P35,DADOS!D:D,0),5))</f>
        <v/>
      </c>
      <c r="U35" s="202">
        <f>SUM(H35,T35)</f>
        <v>0</v>
      </c>
      <c r="V35" s="436">
        <f>U35*G35</f>
        <v>0</v>
      </c>
    </row>
    <row r="36" spans="2:22" ht="13.8">
      <c r="B36" s="1097"/>
      <c r="C36" s="1098"/>
      <c r="D36" s="1099"/>
      <c r="E36" s="1110"/>
      <c r="F36" s="1111"/>
      <c r="G36" s="434"/>
      <c r="H36" s="1101"/>
      <c r="I36" s="1101"/>
      <c r="J36" s="1101"/>
      <c r="K36" s="1082"/>
      <c r="L36" s="1083"/>
      <c r="M36" s="1084"/>
      <c r="N36" s="1084"/>
      <c r="O36" s="1084"/>
      <c r="P36" s="80"/>
      <c r="Q36" s="1085"/>
      <c r="R36" s="1086"/>
      <c r="S36" s="1087"/>
      <c r="T36" s="436" t="str">
        <f>IF(Q36="","",IF(K36="km",#REF!/Q36,100*Q36)*INDEX(DADOS!$1:$1048576,MATCH(P36,DADOS!D:D,0),5))</f>
        <v/>
      </c>
      <c r="U36" s="202">
        <f>SUM(H36,T36)</f>
        <v>0</v>
      </c>
      <c r="V36" s="436"/>
    </row>
    <row r="37" spans="2:22" ht="13.8">
      <c r="B37" s="1102"/>
      <c r="C37" s="1103"/>
      <c r="D37" s="1104"/>
      <c r="E37" s="1105"/>
      <c r="F37" s="1106"/>
      <c r="G37" s="432"/>
      <c r="H37" s="1107"/>
      <c r="I37" s="1107"/>
      <c r="J37" s="1107"/>
      <c r="K37" s="1108"/>
      <c r="L37" s="1107"/>
      <c r="M37" s="1109"/>
      <c r="N37" s="1109"/>
      <c r="O37" s="1109"/>
      <c r="P37" s="81"/>
      <c r="Q37" s="1085"/>
      <c r="R37" s="1086"/>
      <c r="S37" s="1087"/>
      <c r="T37" s="437" t="str">
        <f>IF(Q37="","",IF(K37="km",#REF!/Q37,#REF!*Q37)*INDEX(DADOS!$1:$1048576,MATCH(P37,DADOS!D:D,0),5))</f>
        <v/>
      </c>
      <c r="U37" s="202">
        <f>SUM(H37,T37)</f>
        <v>0</v>
      </c>
      <c r="V37" s="441"/>
    </row>
    <row r="38" spans="2:22" ht="12.75" customHeight="1">
      <c r="B38" s="1123"/>
      <c r="C38" s="1124"/>
      <c r="D38" s="1125"/>
      <c r="E38" s="1126" t="s">
        <v>175</v>
      </c>
      <c r="F38" s="1127"/>
      <c r="G38" s="435">
        <f>SUM(G33:G37)</f>
        <v>0</v>
      </c>
      <c r="H38" s="1128">
        <f>SUMPRODUCT(G33:$G$37,H33:H37)</f>
        <v>0</v>
      </c>
      <c r="I38" s="1128"/>
      <c r="J38" s="1128"/>
      <c r="K38" s="1129"/>
      <c r="L38" s="1130"/>
      <c r="M38" s="1130"/>
      <c r="N38" s="1130"/>
      <c r="O38" s="1131"/>
      <c r="P38" s="699"/>
      <c r="Q38" s="819"/>
      <c r="R38" s="819"/>
      <c r="S38" s="819"/>
      <c r="T38" s="440">
        <f>SUMPRODUCT($G33:G$37,T33:T37)</f>
        <v>0</v>
      </c>
      <c r="U38" s="440"/>
      <c r="V38" s="440">
        <f>SUM(V33:V37)</f>
        <v>0</v>
      </c>
    </row>
    <row r="40" spans="2:22" ht="12.75" hidden="1" customHeight="1">
      <c r="B40" s="1055" t="s">
        <v>348</v>
      </c>
      <c r="C40" s="1055"/>
      <c r="D40" s="1055"/>
      <c r="E40" s="1055"/>
      <c r="F40" s="1055"/>
      <c r="G40" s="1055"/>
      <c r="H40" s="1055"/>
      <c r="I40" s="1055"/>
      <c r="J40" s="1055"/>
      <c r="K40" s="1055"/>
      <c r="L40" s="1055"/>
      <c r="M40" s="1055"/>
      <c r="N40" s="1055"/>
      <c r="O40" s="1055"/>
      <c r="P40" s="1055"/>
      <c r="Q40" s="1055"/>
      <c r="R40" s="1055"/>
      <c r="S40" s="1055"/>
      <c r="T40" s="1055"/>
      <c r="U40" s="1055"/>
      <c r="V40" s="1055"/>
    </row>
    <row r="41" spans="2:22" ht="13.8" hidden="1">
      <c r="B41" s="1112" t="s">
        <v>183</v>
      </c>
      <c r="C41" s="1114"/>
      <c r="D41" s="1112" t="s">
        <v>324</v>
      </c>
      <c r="E41" s="1113"/>
      <c r="F41" s="1113"/>
      <c r="G41" s="1112" t="s">
        <v>371</v>
      </c>
      <c r="H41" s="1114"/>
      <c r="I41" s="1115" t="s">
        <v>372</v>
      </c>
      <c r="J41" s="1132"/>
      <c r="K41" s="1116"/>
      <c r="L41" s="1115" t="s">
        <v>189</v>
      </c>
      <c r="M41" s="1132"/>
      <c r="N41" s="1132"/>
      <c r="O41" s="1132"/>
      <c r="P41" s="1116"/>
      <c r="Q41" s="1112" t="s">
        <v>373</v>
      </c>
      <c r="R41" s="1113"/>
      <c r="S41" s="1113"/>
      <c r="T41" s="1114"/>
      <c r="U41" s="1115"/>
      <c r="V41" s="1116"/>
    </row>
    <row r="42" spans="2:22" ht="15" hidden="1" customHeight="1">
      <c r="B42" s="186" t="str">
        <f>IF(I42="","",COUNT($I$42:I42))</f>
        <v/>
      </c>
      <c r="C42" s="430"/>
      <c r="D42" s="1117" t="s">
        <v>458</v>
      </c>
      <c r="E42" s="1118"/>
      <c r="F42" s="1118"/>
      <c r="G42" s="1056" t="s">
        <v>412</v>
      </c>
      <c r="H42" s="1057"/>
      <c r="I42" s="1699"/>
      <c r="J42" s="1700"/>
      <c r="K42" s="1701"/>
      <c r="L42" s="1699"/>
      <c r="M42" s="1700"/>
      <c r="N42" s="1700"/>
      <c r="O42" s="1700"/>
      <c r="P42" s="1701"/>
      <c r="Q42" s="1708">
        <f>I42*L42</f>
        <v>0</v>
      </c>
      <c r="R42" s="1709"/>
      <c r="S42" s="1709"/>
      <c r="T42" s="1710"/>
      <c r="U42" s="1121"/>
      <c r="V42" s="1122"/>
    </row>
    <row r="43" spans="2:22" ht="15" hidden="1" customHeight="1">
      <c r="B43" s="186" t="str">
        <f>IF(I43="","",COUNT($I$42:I43))</f>
        <v/>
      </c>
      <c r="C43" s="430"/>
      <c r="D43" s="1117" t="s">
        <v>459</v>
      </c>
      <c r="E43" s="1118"/>
      <c r="F43" s="1118"/>
      <c r="G43" s="1717"/>
      <c r="H43" s="1718"/>
      <c r="I43" s="1702"/>
      <c r="J43" s="1703"/>
      <c r="K43" s="1704"/>
      <c r="L43" s="1702"/>
      <c r="M43" s="1703"/>
      <c r="N43" s="1703"/>
      <c r="O43" s="1703"/>
      <c r="P43" s="1704"/>
      <c r="Q43" s="1711"/>
      <c r="R43" s="1712"/>
      <c r="S43" s="1712"/>
      <c r="T43" s="1713"/>
      <c r="U43" s="1133"/>
      <c r="V43" s="1134"/>
    </row>
    <row r="44" spans="2:22" ht="15" hidden="1" customHeight="1">
      <c r="B44" s="186" t="str">
        <f>IF(I44="","",COUNT($I$42:I44))</f>
        <v/>
      </c>
      <c r="C44" s="430"/>
      <c r="D44" s="1117" t="s">
        <v>460</v>
      </c>
      <c r="E44" s="1118"/>
      <c r="F44" s="1118"/>
      <c r="G44" s="1719"/>
      <c r="H44" s="1720"/>
      <c r="I44" s="1705"/>
      <c r="J44" s="1706"/>
      <c r="K44" s="1707"/>
      <c r="L44" s="1705"/>
      <c r="M44" s="1706"/>
      <c r="N44" s="1706"/>
      <c r="O44" s="1706"/>
      <c r="P44" s="1707"/>
      <c r="Q44" s="1714"/>
      <c r="R44" s="1715"/>
      <c r="S44" s="1715"/>
      <c r="T44" s="1716"/>
      <c r="U44" s="1133"/>
      <c r="V44" s="1134"/>
    </row>
    <row r="45" spans="2:22" ht="13.8" hidden="1">
      <c r="B45" s="186"/>
      <c r="C45" s="430"/>
      <c r="D45" s="1117" t="s">
        <v>461</v>
      </c>
      <c r="E45" s="1118"/>
      <c r="F45" s="1118"/>
      <c r="G45" s="1119" t="s">
        <v>412</v>
      </c>
      <c r="H45" s="1119"/>
      <c r="I45" s="1120">
        <f>G26</f>
        <v>0</v>
      </c>
      <c r="J45" s="1120"/>
      <c r="K45" s="1120"/>
      <c r="L45" s="1120"/>
      <c r="M45" s="1120"/>
      <c r="N45" s="1120"/>
      <c r="O45" s="1120"/>
      <c r="P45" s="1120"/>
      <c r="Q45" s="1054">
        <f>I45*L45</f>
        <v>0</v>
      </c>
      <c r="R45" s="1054"/>
      <c r="S45" s="1054"/>
      <c r="T45" s="1054"/>
      <c r="U45" s="186"/>
      <c r="V45" s="430"/>
    </row>
    <row r="46" spans="2:22" ht="13.8" hidden="1">
      <c r="B46" s="186"/>
      <c r="C46" s="430"/>
      <c r="D46" s="1117"/>
      <c r="E46" s="1118"/>
      <c r="F46" s="1118"/>
      <c r="G46" s="1119"/>
      <c r="H46" s="1119"/>
      <c r="I46" s="1120"/>
      <c r="J46" s="1120"/>
      <c r="K46" s="1120"/>
      <c r="L46" s="1120"/>
      <c r="M46" s="1120"/>
      <c r="N46" s="1120"/>
      <c r="O46" s="1120"/>
      <c r="P46" s="1120"/>
      <c r="Q46" s="1054"/>
      <c r="R46" s="1054"/>
      <c r="S46" s="1054"/>
      <c r="T46" s="1054"/>
      <c r="U46" s="186"/>
      <c r="V46" s="430"/>
    </row>
    <row r="47" spans="2:22" ht="13.8" hidden="1">
      <c r="B47" s="186"/>
      <c r="C47" s="430"/>
      <c r="D47" s="1117"/>
      <c r="E47" s="1118"/>
      <c r="F47" s="1118"/>
      <c r="G47" s="1119"/>
      <c r="H47" s="1119"/>
      <c r="I47" s="1120"/>
      <c r="J47" s="1120"/>
      <c r="K47" s="1120"/>
      <c r="L47" s="1120"/>
      <c r="M47" s="1120"/>
      <c r="N47" s="1120"/>
      <c r="O47" s="1120"/>
      <c r="P47" s="1120"/>
      <c r="Q47" s="1054"/>
      <c r="R47" s="1054"/>
      <c r="S47" s="1054"/>
      <c r="T47" s="1054"/>
      <c r="U47" s="186"/>
      <c r="V47" s="430"/>
    </row>
    <row r="48" spans="2:22" ht="13.8" hidden="1">
      <c r="B48" s="186"/>
      <c r="C48" s="430"/>
      <c r="D48" s="1117"/>
      <c r="E48" s="1118"/>
      <c r="F48" s="1118"/>
      <c r="G48" s="1119"/>
      <c r="H48" s="1119"/>
      <c r="I48" s="1120"/>
      <c r="J48" s="1120"/>
      <c r="K48" s="1120"/>
      <c r="L48" s="1120"/>
      <c r="M48" s="1120"/>
      <c r="N48" s="1120"/>
      <c r="O48" s="1120"/>
      <c r="P48" s="1120"/>
      <c r="Q48" s="1054"/>
      <c r="R48" s="1054"/>
      <c r="S48" s="1054"/>
      <c r="T48" s="1054"/>
      <c r="U48" s="186"/>
      <c r="V48" s="430"/>
    </row>
    <row r="49" spans="2:22" ht="13.8" hidden="1">
      <c r="B49" s="186"/>
      <c r="C49" s="430"/>
      <c r="D49" s="1117"/>
      <c r="E49" s="1118"/>
      <c r="F49" s="1118"/>
      <c r="G49" s="1119"/>
      <c r="H49" s="1119"/>
      <c r="I49" s="1120"/>
      <c r="J49" s="1120"/>
      <c r="K49" s="1120"/>
      <c r="L49" s="1120"/>
      <c r="M49" s="1120"/>
      <c r="N49" s="1120"/>
      <c r="O49" s="1120"/>
      <c r="P49" s="1120"/>
      <c r="Q49" s="1054"/>
      <c r="R49" s="1054"/>
      <c r="S49" s="1054"/>
      <c r="T49" s="1054"/>
      <c r="U49" s="186"/>
      <c r="V49" s="430"/>
    </row>
    <row r="50" spans="2:22" ht="13.8" hidden="1">
      <c r="B50" s="186"/>
      <c r="C50" s="430"/>
      <c r="D50" s="1117"/>
      <c r="E50" s="1118"/>
      <c r="F50" s="1118"/>
      <c r="G50" s="1119"/>
      <c r="H50" s="1119"/>
      <c r="I50" s="1120"/>
      <c r="J50" s="1120"/>
      <c r="K50" s="1120"/>
      <c r="L50" s="1120"/>
      <c r="M50" s="1120"/>
      <c r="N50" s="1120"/>
      <c r="O50" s="1120"/>
      <c r="P50" s="1120"/>
      <c r="Q50" s="1054"/>
      <c r="R50" s="1054"/>
      <c r="S50" s="1054"/>
      <c r="T50" s="1054"/>
      <c r="U50" s="186"/>
      <c r="V50" s="430"/>
    </row>
    <row r="51" spans="2:22" ht="13.8" hidden="1">
      <c r="B51" s="186"/>
      <c r="C51" s="430"/>
      <c r="D51" s="1117"/>
      <c r="E51" s="1118"/>
      <c r="F51" s="1118"/>
      <c r="G51" s="1119"/>
      <c r="H51" s="1119"/>
      <c r="I51" s="1120"/>
      <c r="J51" s="1120"/>
      <c r="K51" s="1120"/>
      <c r="L51" s="1120"/>
      <c r="M51" s="1120"/>
      <c r="N51" s="1120"/>
      <c r="O51" s="1120"/>
      <c r="P51" s="1120"/>
      <c r="Q51" s="1054"/>
      <c r="R51" s="1054"/>
      <c r="S51" s="1054"/>
      <c r="T51" s="1054"/>
      <c r="U51" s="186"/>
      <c r="V51" s="430"/>
    </row>
    <row r="52" spans="2:22" ht="13.8" hidden="1">
      <c r="B52" s="186"/>
      <c r="C52" s="430"/>
      <c r="D52" s="1117"/>
      <c r="E52" s="1118"/>
      <c r="F52" s="1118"/>
      <c r="G52" s="1119"/>
      <c r="H52" s="1119"/>
      <c r="I52" s="1120"/>
      <c r="J52" s="1120"/>
      <c r="K52" s="1120"/>
      <c r="L52" s="1120"/>
      <c r="M52" s="1120"/>
      <c r="N52" s="1120"/>
      <c r="O52" s="1120"/>
      <c r="P52" s="1120"/>
      <c r="Q52" s="1054"/>
      <c r="R52" s="1054"/>
      <c r="S52" s="1054"/>
      <c r="T52" s="1054"/>
      <c r="U52" s="186"/>
      <c r="V52" s="430"/>
    </row>
    <row r="53" spans="2:22" ht="13.8" hidden="1">
      <c r="B53" s="186"/>
      <c r="C53" s="430"/>
      <c r="D53" s="1117"/>
      <c r="E53" s="1118"/>
      <c r="F53" s="1118"/>
      <c r="G53" s="1119"/>
      <c r="H53" s="1119"/>
      <c r="I53" s="1120"/>
      <c r="J53" s="1120"/>
      <c r="K53" s="1120"/>
      <c r="L53" s="1120"/>
      <c r="M53" s="1120"/>
      <c r="N53" s="1120"/>
      <c r="O53" s="1120"/>
      <c r="P53" s="1120"/>
      <c r="Q53" s="1054"/>
      <c r="R53" s="1054"/>
      <c r="S53" s="1054"/>
      <c r="T53" s="1054"/>
      <c r="U53" s="186"/>
      <c r="V53" s="430"/>
    </row>
    <row r="54" spans="2:22" ht="13.8" hidden="1">
      <c r="B54" s="186"/>
      <c r="C54" s="430"/>
      <c r="D54" s="1117"/>
      <c r="E54" s="1118"/>
      <c r="F54" s="1118"/>
      <c r="G54" s="1119"/>
      <c r="H54" s="1119"/>
      <c r="I54" s="1120"/>
      <c r="J54" s="1120"/>
      <c r="K54" s="1120"/>
      <c r="L54" s="1120"/>
      <c r="M54" s="1120"/>
      <c r="N54" s="1120"/>
      <c r="O54" s="1120"/>
      <c r="P54" s="1120"/>
      <c r="Q54" s="1054"/>
      <c r="R54" s="1054"/>
      <c r="S54" s="1054"/>
      <c r="T54" s="1054"/>
      <c r="U54" s="186"/>
      <c r="V54" s="430"/>
    </row>
    <row r="55" spans="2:22" ht="13.8" hidden="1">
      <c r="B55" s="186"/>
      <c r="C55" s="430"/>
      <c r="D55" s="1117"/>
      <c r="E55" s="1118"/>
      <c r="F55" s="1118"/>
      <c r="G55" s="1119"/>
      <c r="H55" s="1119"/>
      <c r="I55" s="1120"/>
      <c r="J55" s="1120"/>
      <c r="K55" s="1120"/>
      <c r="L55" s="1120"/>
      <c r="M55" s="1120"/>
      <c r="N55" s="1120"/>
      <c r="O55" s="1120"/>
      <c r="P55" s="1120"/>
      <c r="Q55" s="1054"/>
      <c r="R55" s="1054"/>
      <c r="S55" s="1054"/>
      <c r="T55" s="1054"/>
      <c r="U55" s="186"/>
      <c r="V55" s="430"/>
    </row>
    <row r="56" spans="2:22" ht="13.8" hidden="1">
      <c r="B56" s="186"/>
      <c r="C56" s="430"/>
      <c r="D56" s="438"/>
      <c r="E56" s="439"/>
      <c r="F56" s="439"/>
      <c r="G56" s="1119"/>
      <c r="H56" s="1119"/>
      <c r="I56" s="1120"/>
      <c r="J56" s="1120"/>
      <c r="K56" s="1120"/>
      <c r="L56" s="1120"/>
      <c r="M56" s="1120"/>
      <c r="N56" s="1120"/>
      <c r="O56" s="1120"/>
      <c r="P56" s="1120"/>
      <c r="Q56" s="1054"/>
      <c r="R56" s="1054"/>
      <c r="S56" s="1054"/>
      <c r="T56" s="1054"/>
      <c r="U56" s="186"/>
      <c r="V56" s="430"/>
    </row>
    <row r="57" spans="2:22" ht="12.75" hidden="1" customHeight="1">
      <c r="B57" s="186"/>
      <c r="C57" s="430"/>
      <c r="D57" s="1117"/>
      <c r="E57" s="1118"/>
      <c r="F57" s="1118"/>
      <c r="G57" s="1119"/>
      <c r="H57" s="1119"/>
      <c r="I57" s="1120"/>
      <c r="J57" s="1120"/>
      <c r="K57" s="1120"/>
      <c r="L57" s="1120"/>
      <c r="M57" s="1120"/>
      <c r="N57" s="1120"/>
      <c r="O57" s="1120"/>
      <c r="P57" s="1120"/>
      <c r="Q57" s="1054">
        <f>I57*L57</f>
        <v>0</v>
      </c>
      <c r="R57" s="1054"/>
      <c r="S57" s="1054"/>
      <c r="T57" s="1054"/>
      <c r="U57" s="1133"/>
      <c r="V57" s="1134"/>
    </row>
    <row r="58" spans="2:22" ht="12.75" hidden="1" customHeight="1">
      <c r="B58" s="186"/>
      <c r="C58" s="430"/>
      <c r="D58" s="1117"/>
      <c r="E58" s="1118"/>
      <c r="F58" s="1118"/>
      <c r="G58" s="1119"/>
      <c r="H58" s="1119"/>
      <c r="I58" s="1135"/>
      <c r="J58" s="1135"/>
      <c r="K58" s="1135"/>
      <c r="L58" s="1135"/>
      <c r="M58" s="1135"/>
      <c r="N58" s="1135"/>
      <c r="O58" s="1135"/>
      <c r="P58" s="1135"/>
      <c r="Q58" s="1054">
        <f>I58*L58</f>
        <v>0</v>
      </c>
      <c r="R58" s="1054"/>
      <c r="S58" s="1054"/>
      <c r="T58" s="1054"/>
      <c r="U58" s="1133"/>
      <c r="V58" s="1134"/>
    </row>
    <row r="59" spans="2:22" ht="12.75" hidden="1" customHeight="1">
      <c r="B59" s="186"/>
      <c r="C59" s="430"/>
      <c r="D59" s="1117"/>
      <c r="E59" s="1118"/>
      <c r="F59" s="1118"/>
      <c r="G59" s="1119"/>
      <c r="H59" s="1119"/>
      <c r="I59" s="1120"/>
      <c r="J59" s="1120"/>
      <c r="K59" s="1120"/>
      <c r="L59" s="1120"/>
      <c r="M59" s="1120"/>
      <c r="N59" s="1120"/>
      <c r="O59" s="1120"/>
      <c r="P59" s="1120"/>
      <c r="Q59" s="1054">
        <f>I59*L59</f>
        <v>0</v>
      </c>
      <c r="R59" s="1054"/>
      <c r="S59" s="1054"/>
      <c r="T59" s="1054"/>
      <c r="U59" s="1133"/>
      <c r="V59" s="1134"/>
    </row>
    <row r="60" spans="2:22" ht="12.75" hidden="1" customHeight="1">
      <c r="B60" s="186" t="str">
        <f>IF(I60="","",COUNT($I$42:I60))</f>
        <v/>
      </c>
      <c r="C60" s="430"/>
      <c r="D60" s="1117"/>
      <c r="E60" s="1118"/>
      <c r="F60" s="1118"/>
      <c r="G60" s="1138"/>
      <c r="H60" s="1138"/>
      <c r="I60" s="1139"/>
      <c r="J60" s="1139"/>
      <c r="K60" s="1139"/>
      <c r="L60" s="1139"/>
      <c r="M60" s="1139"/>
      <c r="N60" s="1139"/>
      <c r="O60" s="1139"/>
      <c r="P60" s="1139"/>
      <c r="Q60" s="1054">
        <f>I60*L60</f>
        <v>0</v>
      </c>
      <c r="R60" s="1054"/>
      <c r="S60" s="1054"/>
      <c r="T60" s="1054"/>
      <c r="U60" s="1140"/>
      <c r="V60" s="1141"/>
    </row>
    <row r="61" spans="2:22" ht="12.75" hidden="1" customHeight="1">
      <c r="B61" s="1123"/>
      <c r="C61" s="1125"/>
      <c r="D61" s="1123"/>
      <c r="E61" s="1124"/>
      <c r="F61" s="1124"/>
      <c r="G61" s="1123"/>
      <c r="H61" s="1125"/>
      <c r="I61" s="1123"/>
      <c r="J61" s="1124"/>
      <c r="K61" s="1125"/>
      <c r="L61" s="1123"/>
      <c r="M61" s="1124"/>
      <c r="N61" s="1124"/>
      <c r="O61" s="1124"/>
      <c r="P61" s="1125"/>
      <c r="Q61" s="1136"/>
      <c r="R61" s="1137"/>
      <c r="S61" s="1137"/>
      <c r="T61" s="1137"/>
      <c r="U61" s="1123"/>
      <c r="V61" s="1125"/>
    </row>
    <row r="62" spans="2:22" ht="12.75" hidden="1" customHeight="1"/>
    <row r="63" spans="2:22" ht="12.75" hidden="1" customHeight="1"/>
  </sheetData>
  <mergeCells count="227">
    <mergeCell ref="U61:V61"/>
    <mergeCell ref="B61:C61"/>
    <mergeCell ref="D61:F61"/>
    <mergeCell ref="G61:H61"/>
    <mergeCell ref="I61:K61"/>
    <mergeCell ref="L61:P61"/>
    <mergeCell ref="Q61:T61"/>
    <mergeCell ref="D60:F60"/>
    <mergeCell ref="G60:H60"/>
    <mergeCell ref="I60:K60"/>
    <mergeCell ref="L60:P60"/>
    <mergeCell ref="Q60:T60"/>
    <mergeCell ref="U60:V60"/>
    <mergeCell ref="D59:F59"/>
    <mergeCell ref="G59:H59"/>
    <mergeCell ref="I59:K59"/>
    <mergeCell ref="L59:P59"/>
    <mergeCell ref="Q59:T59"/>
    <mergeCell ref="U59:V59"/>
    <mergeCell ref="D58:F58"/>
    <mergeCell ref="G58:H58"/>
    <mergeCell ref="I58:K58"/>
    <mergeCell ref="L58:P58"/>
    <mergeCell ref="Q58:T58"/>
    <mergeCell ref="U58:V58"/>
    <mergeCell ref="D57:F57"/>
    <mergeCell ref="G57:H57"/>
    <mergeCell ref="I57:K57"/>
    <mergeCell ref="L57:P57"/>
    <mergeCell ref="Q57:T57"/>
    <mergeCell ref="U57:V57"/>
    <mergeCell ref="D55:F55"/>
    <mergeCell ref="G55:H55"/>
    <mergeCell ref="I55:K55"/>
    <mergeCell ref="L55:P55"/>
    <mergeCell ref="Q55:T55"/>
    <mergeCell ref="G56:H56"/>
    <mergeCell ref="I56:K56"/>
    <mergeCell ref="L56:P56"/>
    <mergeCell ref="Q56:T56"/>
    <mergeCell ref="D53:F53"/>
    <mergeCell ref="G53:H53"/>
    <mergeCell ref="I53:K53"/>
    <mergeCell ref="L53:P53"/>
    <mergeCell ref="Q53:T53"/>
    <mergeCell ref="D54:F54"/>
    <mergeCell ref="G54:H54"/>
    <mergeCell ref="I54:K54"/>
    <mergeCell ref="L54:P54"/>
    <mergeCell ref="Q54:T54"/>
    <mergeCell ref="D51:F51"/>
    <mergeCell ref="G51:H51"/>
    <mergeCell ref="I51:K51"/>
    <mergeCell ref="L51:P51"/>
    <mergeCell ref="Q51:T51"/>
    <mergeCell ref="D52:F52"/>
    <mergeCell ref="G52:H52"/>
    <mergeCell ref="I52:K52"/>
    <mergeCell ref="L52:P52"/>
    <mergeCell ref="Q52:T52"/>
    <mergeCell ref="D49:F49"/>
    <mergeCell ref="G49:H49"/>
    <mergeCell ref="I49:K49"/>
    <mergeCell ref="L49:P49"/>
    <mergeCell ref="Q49:T49"/>
    <mergeCell ref="D50:F50"/>
    <mergeCell ref="G50:H50"/>
    <mergeCell ref="I50:K50"/>
    <mergeCell ref="L50:P50"/>
    <mergeCell ref="Q50:T50"/>
    <mergeCell ref="D47:F47"/>
    <mergeCell ref="G47:H47"/>
    <mergeCell ref="I47:K47"/>
    <mergeCell ref="L47:P47"/>
    <mergeCell ref="Q47:T47"/>
    <mergeCell ref="D48:F48"/>
    <mergeCell ref="G48:H48"/>
    <mergeCell ref="I48:K48"/>
    <mergeCell ref="L48:P48"/>
    <mergeCell ref="Q48:T48"/>
    <mergeCell ref="D45:F45"/>
    <mergeCell ref="G45:H45"/>
    <mergeCell ref="I45:K45"/>
    <mergeCell ref="L45:P45"/>
    <mergeCell ref="Q45:T45"/>
    <mergeCell ref="D46:F46"/>
    <mergeCell ref="G46:H46"/>
    <mergeCell ref="I46:K46"/>
    <mergeCell ref="L46:P46"/>
    <mergeCell ref="Q46:T46"/>
    <mergeCell ref="Q41:T41"/>
    <mergeCell ref="U41:V41"/>
    <mergeCell ref="D42:F42"/>
    <mergeCell ref="U42:V42"/>
    <mergeCell ref="B38:D38"/>
    <mergeCell ref="E38:F38"/>
    <mergeCell ref="H38:J38"/>
    <mergeCell ref="K38:O38"/>
    <mergeCell ref="B40:V40"/>
    <mergeCell ref="B41:C41"/>
    <mergeCell ref="D41:F41"/>
    <mergeCell ref="G41:H41"/>
    <mergeCell ref="I41:K41"/>
    <mergeCell ref="L41:P41"/>
    <mergeCell ref="L42:P44"/>
    <mergeCell ref="Q42:T44"/>
    <mergeCell ref="I42:K44"/>
    <mergeCell ref="G42:H44"/>
    <mergeCell ref="D44:F44"/>
    <mergeCell ref="U44:V44"/>
    <mergeCell ref="D43:F43"/>
    <mergeCell ref="U43:V43"/>
    <mergeCell ref="B37:D37"/>
    <mergeCell ref="E37:F37"/>
    <mergeCell ref="H37:J37"/>
    <mergeCell ref="K37:L37"/>
    <mergeCell ref="M37:O37"/>
    <mergeCell ref="Q37:S37"/>
    <mergeCell ref="B36:D36"/>
    <mergeCell ref="E36:F36"/>
    <mergeCell ref="H36:J36"/>
    <mergeCell ref="K36:L36"/>
    <mergeCell ref="M36:O36"/>
    <mergeCell ref="Q36:S36"/>
    <mergeCell ref="B34:D34"/>
    <mergeCell ref="H34:J34"/>
    <mergeCell ref="K34:L34"/>
    <mergeCell ref="M34:O34"/>
    <mergeCell ref="Q34:S34"/>
    <mergeCell ref="B35:D35"/>
    <mergeCell ref="H35:J35"/>
    <mergeCell ref="K35:L35"/>
    <mergeCell ref="M35:O35"/>
    <mergeCell ref="Q35:S35"/>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0642" r:id="rId3" name="Label1">
          <controlPr defaultSize="0" autoLine="0" r:id="rId4">
            <anchor moveWithCells="1">
              <from>
                <xdr:col>12</xdr:col>
                <xdr:colOff>0</xdr:colOff>
                <xdr:row>0</xdr:row>
                <xdr:rowOff>99060</xdr:rowOff>
              </from>
              <to>
                <xdr:col>21</xdr:col>
                <xdr:colOff>350520</xdr:colOff>
                <xdr:row>1</xdr:row>
                <xdr:rowOff>68580</xdr:rowOff>
              </to>
            </anchor>
          </controlPr>
        </control>
      </mc:Choice>
      <mc:Fallback>
        <control shapeId="240642" r:id="rId3" name="Label1"/>
      </mc:Fallback>
    </mc:AlternateContent>
    <mc:AlternateContent xmlns:mc="http://schemas.openxmlformats.org/markup-compatibility/2006">
      <mc:Choice Requires="x14">
        <control shapeId="240641" r:id="rId5" name="ComboBox13">
          <controlPr defaultSize="0" autoLine="0" r:id="rId6">
            <anchor moveWithCells="1">
              <from>
                <xdr:col>12</xdr:col>
                <xdr:colOff>0</xdr:colOff>
                <xdr:row>1</xdr:row>
                <xdr:rowOff>83820</xdr:rowOff>
              </from>
              <to>
                <xdr:col>21</xdr:col>
                <xdr:colOff>518160</xdr:colOff>
                <xdr:row>3</xdr:row>
                <xdr:rowOff>0</xdr:rowOff>
              </to>
            </anchor>
          </controlPr>
        </control>
      </mc:Choice>
      <mc:Fallback>
        <control shapeId="240641" r:id="rId5" name="ComboBox13"/>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B2E6E-B177-455F-A5F5-A79424209F60}">
  <sheetPr codeName="Planilha54">
    <tabColor rgb="FFFFFF66"/>
  </sheetPr>
  <dimension ref="A1:S2246"/>
  <sheetViews>
    <sheetView view="pageBreakPreview" topLeftCell="A2225" zoomScaleNormal="100" zoomScaleSheetLayoutView="100" workbookViewId="0">
      <selection activeCell="L2231" sqref="L2231"/>
    </sheetView>
  </sheetViews>
  <sheetFormatPr defaultRowHeight="14.4"/>
  <cols>
    <col min="1" max="1" width="2.109375" customWidth="1"/>
    <col min="3" max="3" width="27.33203125" customWidth="1"/>
    <col min="4" max="4" width="11.88671875" customWidth="1"/>
    <col min="6" max="7" width="10.88671875" customWidth="1"/>
    <col min="8" max="8" width="8.6640625" customWidth="1"/>
    <col min="9" max="9" width="12.5546875" customWidth="1"/>
    <col min="10" max="10" width="10.88671875" customWidth="1"/>
    <col min="11" max="11" width="2.109375" customWidth="1"/>
    <col min="12" max="14" width="11.5546875" bestFit="1" customWidth="1"/>
  </cols>
  <sheetData>
    <row r="1" spans="1:12">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497" t="s">
        <v>250</v>
      </c>
      <c r="E4" s="1498"/>
      <c r="F4" s="1498"/>
      <c r="G4" s="1498"/>
      <c r="H4" s="1498"/>
      <c r="I4" s="1499"/>
      <c r="J4" s="475" t="s">
        <v>267</v>
      </c>
      <c r="K4" s="471"/>
    </row>
    <row r="5" spans="1:12">
      <c r="A5" s="463"/>
      <c r="B5" s="476" t="s">
        <v>3</v>
      </c>
      <c r="C5" s="477">
        <f ca="1">TODAY()</f>
        <v>46140</v>
      </c>
      <c r="D5" s="681" t="s">
        <v>1469</v>
      </c>
      <c r="E5" s="479"/>
      <c r="F5" s="479"/>
      <c r="G5" s="479"/>
      <c r="H5" s="479"/>
      <c r="I5" s="480"/>
      <c r="J5" s="481" t="str">
        <f>F22</f>
        <v>UN</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1" t="s">
        <v>637</v>
      </c>
      <c r="C9" s="492"/>
      <c r="D9" s="493"/>
      <c r="E9" s="494">
        <v>1</v>
      </c>
      <c r="F9" s="494">
        <v>1</v>
      </c>
      <c r="G9" s="495">
        <f>1-F9</f>
        <v>0</v>
      </c>
      <c r="H9" s="496">
        <f>VLOOKUP(B9,EQUIPAMENTOS!$A:$J,10,FALSE)</f>
        <v>25</v>
      </c>
      <c r="I9" s="497">
        <f>H9</f>
        <v>25</v>
      </c>
      <c r="J9" s="498">
        <f>H9*F9*E9+I9*G9*E9</f>
        <v>25</v>
      </c>
      <c r="K9" s="471"/>
    </row>
    <row r="10" spans="1:12">
      <c r="A10" s="463"/>
      <c r="B10" s="499"/>
      <c r="C10" s="500"/>
      <c r="D10" s="501"/>
      <c r="E10" s="875"/>
      <c r="F10" s="502"/>
      <c r="G10" s="502"/>
      <c r="H10" s="503"/>
      <c r="I10" s="504"/>
      <c r="J10" s="505"/>
      <c r="K10" s="471"/>
    </row>
    <row r="11" spans="1:12">
      <c r="A11" s="463"/>
      <c r="B11" s="499"/>
      <c r="C11" s="500"/>
      <c r="D11" s="501"/>
      <c r="E11" s="502"/>
      <c r="F11" s="502"/>
      <c r="G11" s="502"/>
      <c r="H11" s="503"/>
      <c r="I11" s="504"/>
      <c r="J11" s="505"/>
      <c r="K11" s="471"/>
    </row>
    <row r="12" spans="1:12">
      <c r="A12" s="463"/>
      <c r="B12" s="499"/>
      <c r="C12" s="500"/>
      <c r="D12" s="501"/>
      <c r="E12" s="502"/>
      <c r="F12" s="502"/>
      <c r="G12" s="502"/>
      <c r="H12" s="503"/>
      <c r="I12" s="504"/>
      <c r="J12" s="505"/>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25</v>
      </c>
      <c r="K14" s="471"/>
      <c r="L14" s="6">
        <f>J14/E22</f>
        <v>211.22060387465146</v>
      </c>
    </row>
    <row r="15" spans="1:12">
      <c r="A15" s="463"/>
      <c r="B15" s="515"/>
      <c r="C15" s="515"/>
      <c r="D15" s="515"/>
      <c r="E15" s="515"/>
      <c r="F15" s="515"/>
      <c r="G15" s="515"/>
      <c r="H15" s="515"/>
      <c r="I15" s="516"/>
      <c r="J15" s="517"/>
      <c r="K15" s="471"/>
    </row>
    <row r="16" spans="1:12" ht="20.399999999999999">
      <c r="A16" s="463"/>
      <c r="B16" s="1490" t="s">
        <v>947</v>
      </c>
      <c r="C16" s="1491"/>
      <c r="D16" s="1491"/>
      <c r="E16" s="1492"/>
      <c r="F16" s="725" t="s">
        <v>688</v>
      </c>
      <c r="G16" s="853"/>
      <c r="H16" s="520" t="s">
        <v>427</v>
      </c>
      <c r="I16" s="521" t="s">
        <v>948</v>
      </c>
      <c r="J16" s="522" t="s">
        <v>949</v>
      </c>
      <c r="K16" s="471"/>
    </row>
    <row r="17" spans="1:12">
      <c r="A17" s="463"/>
      <c r="B17" s="530" t="s">
        <v>1166</v>
      </c>
      <c r="C17" s="531"/>
      <c r="D17" s="472"/>
      <c r="E17" s="500"/>
      <c r="F17" s="501"/>
      <c r="G17" s="532"/>
      <c r="H17" s="533">
        <f>E9</f>
        <v>1</v>
      </c>
      <c r="I17" s="534">
        <f>(VLOOKUP(B17,'MÃO DE OBRA'!$A:$E,5,FALSE)/220)</f>
        <v>27.68050090909091</v>
      </c>
      <c r="J17" s="505">
        <f>H17*I17</f>
        <v>27.68050090909091</v>
      </c>
      <c r="K17" s="471"/>
    </row>
    <row r="18" spans="1:12">
      <c r="A18" s="463"/>
      <c r="B18" s="530" t="s">
        <v>472</v>
      </c>
      <c r="C18" s="531"/>
      <c r="D18" s="472"/>
      <c r="E18" s="500"/>
      <c r="F18" s="501"/>
      <c r="G18" s="532"/>
      <c r="H18" s="533">
        <v>2</v>
      </c>
      <c r="I18" s="534">
        <f>(VLOOKUP(B18,'MÃO DE OBRA'!$A:$E,5,FALSE)/220)</f>
        <v>18.377072727272729</v>
      </c>
      <c r="J18" s="505">
        <f>H18*I18</f>
        <v>36.754145454545458</v>
      </c>
      <c r="K18" s="471"/>
    </row>
    <row r="19" spans="1:12">
      <c r="A19" s="463"/>
      <c r="B19" s="530"/>
      <c r="C19" s="531"/>
      <c r="D19" s="472"/>
      <c r="E19" s="500"/>
      <c r="F19" s="501"/>
      <c r="G19" s="532"/>
      <c r="H19" s="533"/>
      <c r="I19" s="534"/>
      <c r="J19" s="505"/>
      <c r="K19" s="471"/>
    </row>
    <row r="20" spans="1:12">
      <c r="A20" s="463"/>
      <c r="B20" s="512" t="s">
        <v>946</v>
      </c>
      <c r="C20" s="515"/>
      <c r="D20" s="515"/>
      <c r="E20" s="515"/>
      <c r="F20" s="515"/>
      <c r="G20" s="515"/>
      <c r="H20" s="515"/>
      <c r="I20" s="535" t="s">
        <v>175</v>
      </c>
      <c r="J20" s="514">
        <f>SUM(J17:J19)</f>
        <v>64.434646363636375</v>
      </c>
      <c r="K20" s="471"/>
    </row>
    <row r="21" spans="1:12">
      <c r="A21" s="463"/>
      <c r="B21" s="536"/>
      <c r="C21" s="536"/>
      <c r="D21" s="536"/>
      <c r="E21" s="536"/>
      <c r="F21" s="536"/>
      <c r="G21" s="536"/>
      <c r="H21" s="536"/>
      <c r="I21" s="537"/>
      <c r="J21" s="536"/>
      <c r="K21" s="471"/>
    </row>
    <row r="22" spans="1:12">
      <c r="A22" s="463"/>
      <c r="B22" s="538" t="s">
        <v>952</v>
      </c>
      <c r="C22" s="539"/>
      <c r="D22" s="536"/>
      <c r="E22" s="540">
        <v>0.11835966539910193</v>
      </c>
      <c r="F22" s="541" t="s">
        <v>1470</v>
      </c>
      <c r="G22" s="519"/>
      <c r="H22" s="519"/>
      <c r="I22" s="542" t="s">
        <v>953</v>
      </c>
      <c r="J22" s="514">
        <f>J14+J20</f>
        <v>89.434646363636375</v>
      </c>
      <c r="K22" s="471"/>
    </row>
    <row r="23" spans="1:12">
      <c r="A23" s="463"/>
      <c r="B23" s="543"/>
      <c r="C23" s="536"/>
      <c r="D23" s="536"/>
      <c r="E23" s="544"/>
      <c r="F23" s="545"/>
      <c r="G23" s="545"/>
      <c r="H23" s="545"/>
      <c r="I23" s="537"/>
      <c r="J23" s="536"/>
      <c r="K23" s="471"/>
    </row>
    <row r="24" spans="1:12" ht="20.399999999999999">
      <c r="A24" s="463"/>
      <c r="B24" s="1493" t="s">
        <v>362</v>
      </c>
      <c r="C24" s="1494"/>
      <c r="D24" s="1494"/>
      <c r="E24" s="1495"/>
      <c r="F24" s="546" t="s">
        <v>688</v>
      </c>
      <c r="G24" s="547" t="s">
        <v>371</v>
      </c>
      <c r="H24" s="520" t="s">
        <v>942</v>
      </c>
      <c r="I24" s="548" t="s">
        <v>361</v>
      </c>
      <c r="J24" s="549" t="s">
        <v>363</v>
      </c>
      <c r="K24" s="471"/>
    </row>
    <row r="25" spans="1:12">
      <c r="A25" s="463"/>
      <c r="B25" s="550" t="str">
        <f>B9</f>
        <v>Motosserra a gasolina</v>
      </c>
      <c r="C25" s="551"/>
      <c r="D25" s="551"/>
      <c r="E25" s="552"/>
      <c r="F25" s="553" t="str">
        <f>VLOOKUP(B25,EQUIPAMENTOS!$A:$N,12,FALSE)</f>
        <v>Gasolina</v>
      </c>
      <c r="G25" s="554" t="s">
        <v>415</v>
      </c>
      <c r="H25" s="560">
        <f>VLOOKUP(B25,EQUIPAMENTOS!$A:$N,13,FALSE)</f>
        <v>6.59</v>
      </c>
      <c r="I25" s="556">
        <f>VLOOKUP(B25,EQUIPAMENTOS!$A:$N,14,FALSE)</f>
        <v>1.2</v>
      </c>
      <c r="J25" s="498">
        <f>H25*I25*E9*F9</f>
        <v>7.9079999999999995</v>
      </c>
      <c r="K25" s="471"/>
    </row>
    <row r="26" spans="1:12">
      <c r="A26" s="463"/>
      <c r="B26" s="557"/>
      <c r="C26" s="531"/>
      <c r="D26" s="531"/>
      <c r="E26" s="500"/>
      <c r="F26" s="553"/>
      <c r="G26" s="554"/>
      <c r="H26" s="560"/>
      <c r="I26" s="556"/>
      <c r="J26" s="505"/>
      <c r="K26" s="471"/>
    </row>
    <row r="27" spans="1:12">
      <c r="A27" s="463"/>
      <c r="B27" s="557"/>
      <c r="C27" s="531"/>
      <c r="D27" s="531"/>
      <c r="E27" s="500"/>
      <c r="F27" s="553"/>
      <c r="G27" s="554"/>
      <c r="H27" s="560"/>
      <c r="I27" s="556"/>
      <c r="J27" s="505"/>
      <c r="K27" s="471"/>
    </row>
    <row r="28" spans="1:12">
      <c r="A28" s="463"/>
      <c r="B28" s="908"/>
      <c r="C28" s="539"/>
      <c r="D28" s="539"/>
      <c r="E28" s="507"/>
      <c r="F28" s="909"/>
      <c r="G28" s="870"/>
      <c r="H28" s="642"/>
      <c r="I28" s="871"/>
      <c r="J28" s="562"/>
      <c r="K28" s="471"/>
    </row>
    <row r="29" spans="1:12">
      <c r="A29" s="463"/>
      <c r="B29" s="866" t="s">
        <v>946</v>
      </c>
      <c r="C29" s="539"/>
      <c r="D29" s="539"/>
      <c r="E29" s="539"/>
      <c r="F29" s="539"/>
      <c r="G29" s="539"/>
      <c r="H29" s="867"/>
      <c r="I29" s="868" t="s">
        <v>175</v>
      </c>
      <c r="J29" s="562">
        <f>SUM(J25:J28)</f>
        <v>7.9079999999999995</v>
      </c>
      <c r="K29" s="471"/>
      <c r="L29" s="6"/>
    </row>
    <row r="30" spans="1:12">
      <c r="A30" s="463"/>
      <c r="B30" s="566"/>
      <c r="C30" s="539"/>
      <c r="D30" s="539"/>
      <c r="E30" s="567"/>
      <c r="F30" s="568"/>
      <c r="G30" s="519"/>
      <c r="H30" s="519"/>
      <c r="I30" s="542"/>
      <c r="J30" s="567"/>
      <c r="K30" s="471"/>
    </row>
    <row r="31" spans="1:12" ht="20.399999999999999">
      <c r="A31" s="463"/>
      <c r="B31" s="1493" t="s">
        <v>955</v>
      </c>
      <c r="C31" s="1494"/>
      <c r="D31" s="1494"/>
      <c r="E31" s="1494"/>
      <c r="F31" s="1495"/>
      <c r="G31" s="569" t="s">
        <v>372</v>
      </c>
      <c r="H31" s="519" t="s">
        <v>956</v>
      </c>
      <c r="I31" s="570" t="s">
        <v>942</v>
      </c>
      <c r="J31" s="522" t="s">
        <v>363</v>
      </c>
      <c r="K31" s="471"/>
    </row>
    <row r="32" spans="1:12">
      <c r="A32" s="463"/>
      <c r="B32" s="571"/>
      <c r="C32" s="572"/>
      <c r="D32" s="573"/>
      <c r="E32" s="573"/>
      <c r="F32" s="574"/>
      <c r="G32" s="502"/>
      <c r="H32" s="502"/>
      <c r="I32" s="575"/>
      <c r="J32" s="505"/>
      <c r="K32" s="471"/>
    </row>
    <row r="33" spans="1:11">
      <c r="A33" s="463"/>
      <c r="B33" s="576"/>
      <c r="C33" s="577"/>
      <c r="D33" s="578"/>
      <c r="E33" s="578"/>
      <c r="F33" s="579"/>
      <c r="G33" s="502"/>
      <c r="H33" s="502"/>
      <c r="I33" s="575"/>
      <c r="J33" s="505"/>
      <c r="K33" s="471"/>
    </row>
    <row r="34" spans="1:11">
      <c r="A34" s="463"/>
      <c r="B34" s="1496" t="s">
        <v>175</v>
      </c>
      <c r="C34" s="1496"/>
      <c r="D34" s="1496"/>
      <c r="E34" s="1496"/>
      <c r="F34" s="1496"/>
      <c r="G34" s="1496"/>
      <c r="H34" s="1496"/>
      <c r="I34" s="1496"/>
      <c r="J34" s="514">
        <f>SUM(J32:J33)</f>
        <v>0</v>
      </c>
      <c r="K34" s="471"/>
    </row>
    <row r="35" spans="1:11">
      <c r="A35" s="463"/>
      <c r="B35" s="580"/>
      <c r="C35" s="524"/>
      <c r="D35" s="524"/>
      <c r="E35" s="581"/>
      <c r="F35" s="582"/>
      <c r="G35" s="583"/>
      <c r="H35" s="583"/>
      <c r="I35" s="584"/>
      <c r="J35" s="585"/>
      <c r="K35" s="471"/>
    </row>
    <row r="36" spans="1:11">
      <c r="A36" s="463"/>
      <c r="B36" s="586" t="s">
        <v>957</v>
      </c>
      <c r="C36" s="586"/>
      <c r="D36" s="563"/>
      <c r="E36" s="536"/>
      <c r="F36" s="536"/>
      <c r="G36" s="536"/>
      <c r="H36" s="587"/>
      <c r="I36" s="588"/>
      <c r="J36" s="514">
        <f>(J22+J29+J34)/E22</f>
        <v>822.43090190735677</v>
      </c>
      <c r="K36" s="471"/>
    </row>
    <row r="37" spans="1:11">
      <c r="A37" s="463"/>
      <c r="B37" s="566"/>
      <c r="C37" s="539"/>
      <c r="D37" s="539"/>
      <c r="E37" s="567"/>
      <c r="F37" s="568"/>
      <c r="G37" s="519"/>
      <c r="H37" s="519"/>
      <c r="I37" s="542"/>
      <c r="J37" s="589"/>
      <c r="K37" s="471"/>
    </row>
    <row r="38" spans="1:11" ht="20.399999999999999">
      <c r="A38" s="463"/>
      <c r="B38" s="1493" t="s">
        <v>958</v>
      </c>
      <c r="C38" s="1494"/>
      <c r="D38" s="1494"/>
      <c r="E38" s="1494"/>
      <c r="F38" s="1495"/>
      <c r="G38" s="569" t="s">
        <v>372</v>
      </c>
      <c r="H38" s="519" t="s">
        <v>956</v>
      </c>
      <c r="I38" s="570" t="s">
        <v>942</v>
      </c>
      <c r="J38" s="522" t="s">
        <v>363</v>
      </c>
      <c r="K38" s="471"/>
    </row>
    <row r="39" spans="1:11">
      <c r="A39" s="463"/>
      <c r="B39" s="571"/>
      <c r="C39" s="572"/>
      <c r="D39" s="573"/>
      <c r="E39" s="573"/>
      <c r="F39" s="574"/>
      <c r="G39" s="502"/>
      <c r="H39" s="502"/>
      <c r="I39" s="575"/>
      <c r="J39" s="505">
        <f>G39*I39</f>
        <v>0</v>
      </c>
      <c r="K39" s="471"/>
    </row>
    <row r="40" spans="1:11">
      <c r="A40" s="463"/>
      <c r="B40" s="576"/>
      <c r="C40" s="577"/>
      <c r="D40" s="578"/>
      <c r="E40" s="578"/>
      <c r="F40" s="579"/>
      <c r="G40" s="502"/>
      <c r="H40" s="502"/>
      <c r="I40" s="575"/>
      <c r="J40" s="505">
        <f>G40*I40</f>
        <v>0</v>
      </c>
      <c r="K40" s="471"/>
    </row>
    <row r="41" spans="1:11">
      <c r="A41" s="463"/>
      <c r="B41" s="576"/>
      <c r="C41" s="577"/>
      <c r="D41" s="578"/>
      <c r="E41" s="578"/>
      <c r="F41" s="579"/>
      <c r="G41" s="502"/>
      <c r="H41" s="502"/>
      <c r="I41" s="575"/>
      <c r="J41" s="505">
        <f>G41*I41</f>
        <v>0</v>
      </c>
      <c r="K41" s="471"/>
    </row>
    <row r="42" spans="1:11">
      <c r="A42" s="463"/>
      <c r="B42" s="590"/>
      <c r="C42" s="591"/>
      <c r="D42" s="592"/>
      <c r="E42" s="592"/>
      <c r="F42" s="593"/>
      <c r="G42" s="502"/>
      <c r="H42" s="502"/>
      <c r="I42" s="575"/>
      <c r="J42" s="505">
        <f>G42*I42</f>
        <v>0</v>
      </c>
      <c r="K42" s="471"/>
    </row>
    <row r="43" spans="1:11">
      <c r="A43" s="463"/>
      <c r="B43" s="594"/>
      <c r="C43" s="536"/>
      <c r="D43" s="536"/>
      <c r="E43" s="595"/>
      <c r="F43" s="596"/>
      <c r="G43" s="545"/>
      <c r="H43" s="545"/>
      <c r="I43" s="537" t="s">
        <v>175</v>
      </c>
      <c r="J43" s="514">
        <f>SUM(J39:J42)</f>
        <v>0</v>
      </c>
      <c r="K43" s="471"/>
    </row>
    <row r="44" spans="1:11">
      <c r="A44" s="463"/>
      <c r="B44" s="597"/>
      <c r="C44" s="536"/>
      <c r="D44" s="536"/>
      <c r="E44" s="595"/>
      <c r="F44" s="596"/>
      <c r="G44" s="545"/>
      <c r="H44" s="545"/>
      <c r="I44" s="537"/>
      <c r="J44" s="595"/>
      <c r="K44" s="471"/>
    </row>
    <row r="45" spans="1:11" ht="20.399999999999999">
      <c r="A45" s="463"/>
      <c r="B45" s="598" t="s">
        <v>959</v>
      </c>
      <c r="C45" s="598"/>
      <c r="D45" s="598"/>
      <c r="E45" s="599"/>
      <c r="F45" s="600" t="s">
        <v>372</v>
      </c>
      <c r="G45" s="569" t="s">
        <v>960</v>
      </c>
      <c r="H45" s="519" t="s">
        <v>942</v>
      </c>
      <c r="I45" s="570" t="s">
        <v>361</v>
      </c>
      <c r="J45" s="522" t="s">
        <v>363</v>
      </c>
      <c r="K45" s="471"/>
    </row>
    <row r="46" spans="1:11">
      <c r="A46" s="463"/>
      <c r="B46" s="571"/>
      <c r="C46" s="572"/>
      <c r="D46" s="573"/>
      <c r="E46" s="574"/>
      <c r="F46" s="502"/>
      <c r="G46" s="502"/>
      <c r="H46" s="624"/>
      <c r="I46" s="575"/>
      <c r="J46" s="505"/>
      <c r="K46" s="471"/>
    </row>
    <row r="47" spans="1:11">
      <c r="A47" s="463"/>
      <c r="B47" s="590" t="s">
        <v>946</v>
      </c>
      <c r="C47" s="591"/>
      <c r="D47" s="592"/>
      <c r="E47" s="593" t="s">
        <v>946</v>
      </c>
      <c r="F47" s="509">
        <v>0</v>
      </c>
      <c r="G47" s="509">
        <v>0</v>
      </c>
      <c r="H47" s="509">
        <v>0</v>
      </c>
      <c r="I47" s="601">
        <v>0</v>
      </c>
      <c r="J47" s="505">
        <f>I47*H47*G47*F47</f>
        <v>0</v>
      </c>
      <c r="K47" s="471"/>
    </row>
    <row r="48" spans="1:11">
      <c r="A48" s="463"/>
      <c r="B48" s="594"/>
      <c r="C48" s="536"/>
      <c r="D48" s="536"/>
      <c r="E48" s="595"/>
      <c r="F48" s="596"/>
      <c r="G48" s="545"/>
      <c r="H48" s="545"/>
      <c r="I48" s="537" t="s">
        <v>175</v>
      </c>
      <c r="J48" s="514">
        <f>SUM(J46:J47)</f>
        <v>0</v>
      </c>
      <c r="K48" s="471"/>
    </row>
    <row r="49" spans="1:11">
      <c r="A49" s="463"/>
      <c r="B49" s="536"/>
      <c r="C49" s="536"/>
      <c r="D49" s="536"/>
      <c r="E49" s="536"/>
      <c r="F49" s="536"/>
      <c r="G49" s="536"/>
      <c r="H49" s="536"/>
      <c r="I49" s="537"/>
      <c r="J49" s="536"/>
      <c r="K49" s="471"/>
    </row>
    <row r="50" spans="1:11">
      <c r="A50" s="463"/>
      <c r="B50" s="1481" t="s">
        <v>963</v>
      </c>
      <c r="C50" s="1482"/>
      <c r="D50" s="1482"/>
      <c r="E50" s="1482"/>
      <c r="F50" s="1482"/>
      <c r="G50" s="1482"/>
      <c r="H50" s="1482"/>
      <c r="I50" s="1483"/>
      <c r="J50" s="586">
        <v>822.43090190735677</v>
      </c>
      <c r="K50" s="471"/>
    </row>
    <row r="51" spans="1:11">
      <c r="A51" s="463"/>
      <c r="B51" s="524"/>
      <c r="C51" s="524"/>
      <c r="D51" s="524"/>
      <c r="E51" s="524"/>
      <c r="F51" s="524"/>
      <c r="G51" s="524"/>
      <c r="H51" s="524"/>
      <c r="I51" s="584"/>
      <c r="J51" s="524"/>
      <c r="K51" s="471"/>
    </row>
    <row r="52" spans="1:11">
      <c r="A52" s="463"/>
      <c r="B52" s="602"/>
      <c r="C52" s="572"/>
      <c r="D52" s="572"/>
      <c r="E52" s="572"/>
      <c r="F52" s="572"/>
      <c r="G52" s="572"/>
      <c r="H52" s="572"/>
      <c r="I52" s="572"/>
      <c r="J52" s="603"/>
      <c r="K52" s="471"/>
    </row>
    <row r="53" spans="1:11">
      <c r="A53" s="463"/>
      <c r="B53" s="604"/>
      <c r="C53" s="605"/>
      <c r="D53" s="606"/>
      <c r="E53" s="606"/>
      <c r="F53" s="607" t="s">
        <v>946</v>
      </c>
      <c r="G53" s="608" t="s">
        <v>946</v>
      </c>
      <c r="H53" s="605"/>
      <c r="I53" s="605"/>
      <c r="J53" s="609"/>
      <c r="K53" s="471"/>
    </row>
    <row r="54" spans="1:11">
      <c r="A54" s="463"/>
      <c r="B54" s="472"/>
      <c r="C54" s="472"/>
      <c r="D54" s="472"/>
      <c r="E54" s="472"/>
      <c r="F54" s="472"/>
      <c r="G54" s="472"/>
      <c r="H54" s="472"/>
      <c r="I54" s="472"/>
      <c r="J54" s="472"/>
      <c r="K54" s="471"/>
    </row>
    <row r="55" spans="1:11">
      <c r="A55" s="463"/>
      <c r="B55" s="610" t="str">
        <f>PLANEJAMENTO!F2</f>
        <v>OPERAÇÃO DE SUPRESSÃO E SUMP</v>
      </c>
      <c r="C55" s="611"/>
      <c r="D55" s="611"/>
      <c r="E55" s="611"/>
      <c r="F55" s="612"/>
      <c r="G55" s="613" t="s">
        <v>363</v>
      </c>
      <c r="H55" s="515"/>
      <c r="I55" s="515"/>
      <c r="J55" s="518"/>
      <c r="K55" s="471"/>
    </row>
    <row r="56" spans="1:11">
      <c r="A56" s="463"/>
      <c r="B56" s="614" t="str">
        <f>PLANEJAMENTO!F3</f>
        <v>MARA ROSA</v>
      </c>
      <c r="C56" s="615"/>
      <c r="D56" s="615"/>
      <c r="E56" s="615"/>
      <c r="F56" s="616"/>
      <c r="G56" s="1484" t="s">
        <v>964</v>
      </c>
      <c r="H56" s="1485"/>
      <c r="I56" s="1485"/>
      <c r="J56" s="1486"/>
      <c r="K56" s="471"/>
    </row>
    <row r="57" spans="1:11">
      <c r="A57" s="463"/>
      <c r="B57" s="617"/>
      <c r="C57" s="618"/>
      <c r="D57" s="618"/>
      <c r="E57" s="618"/>
      <c r="F57" s="619"/>
      <c r="G57" s="620"/>
      <c r="H57" s="1487"/>
      <c r="I57" s="1488"/>
      <c r="J57" s="1489"/>
      <c r="K57" s="471"/>
    </row>
    <row r="58" spans="1:11" ht="15" thickBot="1">
      <c r="A58" s="621"/>
      <c r="B58" s="622"/>
      <c r="C58" s="622"/>
      <c r="D58" s="622"/>
      <c r="E58" s="622"/>
      <c r="F58" s="622"/>
      <c r="G58" s="622"/>
      <c r="H58" s="622"/>
      <c r="I58" s="622"/>
      <c r="J58" s="622"/>
      <c r="K58" s="623"/>
    </row>
    <row r="59" spans="1:11">
      <c r="A59" s="460"/>
      <c r="B59" s="461"/>
      <c r="C59" s="461"/>
      <c r="D59" s="461"/>
      <c r="E59" s="461"/>
      <c r="F59" s="461"/>
      <c r="G59" s="461"/>
      <c r="H59" s="461"/>
      <c r="I59" s="461"/>
      <c r="J59" s="461"/>
      <c r="K59" s="462"/>
    </row>
    <row r="60" spans="1:11">
      <c r="A60" s="463"/>
      <c r="B60" s="464" t="s">
        <v>178</v>
      </c>
      <c r="C60" s="465"/>
      <c r="D60" s="466" t="s">
        <v>936</v>
      </c>
      <c r="E60" s="467"/>
      <c r="F60" s="468"/>
      <c r="G60" s="468"/>
      <c r="H60" s="469"/>
      <c r="I60" s="469"/>
      <c r="J60" s="470"/>
      <c r="K60" s="471"/>
    </row>
    <row r="61" spans="1:11">
      <c r="A61" s="463"/>
      <c r="B61" s="472"/>
      <c r="C61" s="472"/>
      <c r="D61" s="472"/>
      <c r="E61" s="472"/>
      <c r="F61" s="472"/>
      <c r="G61" s="472"/>
      <c r="H61" s="472"/>
      <c r="I61" s="472"/>
      <c r="J61" s="472"/>
      <c r="K61" s="471"/>
    </row>
    <row r="62" spans="1:11">
      <c r="A62" s="463"/>
      <c r="B62" s="473" t="s">
        <v>688</v>
      </c>
      <c r="C62" s="474" t="s">
        <v>937</v>
      </c>
      <c r="D62" s="1497" t="s">
        <v>250</v>
      </c>
      <c r="E62" s="1498"/>
      <c r="F62" s="1498"/>
      <c r="G62" s="1498"/>
      <c r="H62" s="1498"/>
      <c r="I62" s="1499"/>
      <c r="J62" s="475" t="s">
        <v>267</v>
      </c>
      <c r="K62" s="471"/>
    </row>
    <row r="63" spans="1:11" ht="20.399999999999999" customHeight="1">
      <c r="A63" s="463"/>
      <c r="B63" s="476" t="s">
        <v>3</v>
      </c>
      <c r="C63" s="477">
        <f ca="1">TODAY()</f>
        <v>46140</v>
      </c>
      <c r="D63" s="681" t="s">
        <v>1471</v>
      </c>
      <c r="E63" s="479"/>
      <c r="F63" s="479"/>
      <c r="G63" s="479"/>
      <c r="H63" s="479"/>
      <c r="I63" s="480"/>
      <c r="J63" s="481" t="str">
        <f>F80</f>
        <v>UN</v>
      </c>
      <c r="K63" s="471"/>
    </row>
    <row r="64" spans="1:11">
      <c r="A64" s="463"/>
      <c r="B64" s="482"/>
      <c r="C64" s="482"/>
      <c r="D64" s="482"/>
      <c r="E64" s="482"/>
      <c r="F64" s="482"/>
      <c r="G64" s="482"/>
      <c r="H64" s="482"/>
      <c r="I64" s="483"/>
      <c r="J64" s="484"/>
      <c r="K64" s="471"/>
    </row>
    <row r="65" spans="1:12">
      <c r="A65" s="463"/>
      <c r="B65" s="1484" t="s">
        <v>938</v>
      </c>
      <c r="C65" s="1486"/>
      <c r="D65" s="1502" t="s">
        <v>688</v>
      </c>
      <c r="E65" s="1504" t="s">
        <v>939</v>
      </c>
      <c r="F65" s="485" t="s">
        <v>940</v>
      </c>
      <c r="G65" s="486"/>
      <c r="H65" s="485" t="s">
        <v>941</v>
      </c>
      <c r="I65" s="486"/>
      <c r="J65" s="487" t="s">
        <v>942</v>
      </c>
      <c r="K65" s="471"/>
    </row>
    <row r="66" spans="1:12">
      <c r="A66" s="463"/>
      <c r="B66" s="1500"/>
      <c r="C66" s="1501"/>
      <c r="D66" s="1503"/>
      <c r="E66" s="1505"/>
      <c r="F66" s="488" t="s">
        <v>943</v>
      </c>
      <c r="G66" s="488" t="s">
        <v>944</v>
      </c>
      <c r="H66" s="488" t="s">
        <v>943</v>
      </c>
      <c r="I66" s="489" t="s">
        <v>944</v>
      </c>
      <c r="J66" s="490" t="s">
        <v>945</v>
      </c>
      <c r="K66" s="471"/>
    </row>
    <row r="67" spans="1:12">
      <c r="A67" s="463"/>
      <c r="B67" s="491" t="s">
        <v>637</v>
      </c>
      <c r="C67" s="492"/>
      <c r="D67" s="493"/>
      <c r="E67" s="494">
        <v>1</v>
      </c>
      <c r="F67" s="494">
        <v>1</v>
      </c>
      <c r="G67" s="495">
        <f>1-F67</f>
        <v>0</v>
      </c>
      <c r="H67" s="496">
        <f>VLOOKUP(B67,EQUIPAMENTOS!$A:$J,10,FALSE)</f>
        <v>25</v>
      </c>
      <c r="I67" s="497">
        <f>H67</f>
        <v>25</v>
      </c>
      <c r="J67" s="498">
        <f>H67*F67*E67+I67*G67*E67</f>
        <v>25</v>
      </c>
      <c r="K67" s="471"/>
    </row>
    <row r="68" spans="1:12">
      <c r="A68" s="463"/>
      <c r="B68" s="499"/>
      <c r="C68" s="500"/>
      <c r="D68" s="501"/>
      <c r="E68" s="875"/>
      <c r="F68" s="502"/>
      <c r="G68" s="502"/>
      <c r="H68" s="503"/>
      <c r="I68" s="504"/>
      <c r="J68" s="505"/>
      <c r="K68" s="471"/>
    </row>
    <row r="69" spans="1:12">
      <c r="A69" s="463"/>
      <c r="B69" s="499"/>
      <c r="C69" s="500"/>
      <c r="D69" s="501"/>
      <c r="E69" s="502"/>
      <c r="F69" s="502"/>
      <c r="G69" s="502"/>
      <c r="H69" s="503"/>
      <c r="I69" s="504"/>
      <c r="J69" s="505"/>
      <c r="K69" s="471"/>
    </row>
    <row r="70" spans="1:12">
      <c r="A70" s="463"/>
      <c r="B70" s="499"/>
      <c r="C70" s="500"/>
      <c r="D70" s="501"/>
      <c r="E70" s="502"/>
      <c r="F70" s="502"/>
      <c r="G70" s="502"/>
      <c r="H70" s="503"/>
      <c r="I70" s="504"/>
      <c r="J70" s="505"/>
      <c r="K70" s="471"/>
    </row>
    <row r="71" spans="1:12">
      <c r="A71" s="463"/>
      <c r="B71" s="506"/>
      <c r="C71" s="507"/>
      <c r="D71" s="508"/>
      <c r="E71" s="509"/>
      <c r="F71" s="509"/>
      <c r="G71" s="509"/>
      <c r="H71" s="510"/>
      <c r="I71" s="511"/>
      <c r="J71" s="505">
        <f>H71*F71*E71+I71*G71*E71</f>
        <v>0</v>
      </c>
      <c r="K71" s="471"/>
    </row>
    <row r="72" spans="1:12">
      <c r="A72" s="463"/>
      <c r="B72" s="512" t="s">
        <v>946</v>
      </c>
      <c r="C72" s="482"/>
      <c r="D72" s="482"/>
      <c r="E72" s="482"/>
      <c r="F72" s="482"/>
      <c r="G72" s="482"/>
      <c r="H72" s="482"/>
      <c r="I72" s="513" t="s">
        <v>175</v>
      </c>
      <c r="J72" s="514">
        <f>SUM(J67:J71)</f>
        <v>25</v>
      </c>
      <c r="K72" s="471"/>
      <c r="L72" s="6">
        <f>J72/E80</f>
        <v>102.96726806150643</v>
      </c>
    </row>
    <row r="73" spans="1:12">
      <c r="A73" s="463"/>
      <c r="B73" s="515"/>
      <c r="C73" s="515"/>
      <c r="D73" s="515"/>
      <c r="E73" s="515"/>
      <c r="F73" s="515"/>
      <c r="G73" s="515"/>
      <c r="H73" s="515"/>
      <c r="I73" s="516"/>
      <c r="J73" s="517"/>
      <c r="K73" s="471"/>
    </row>
    <row r="74" spans="1:12" ht="20.399999999999999" customHeight="1">
      <c r="A74" s="463"/>
      <c r="B74" s="1490" t="s">
        <v>947</v>
      </c>
      <c r="C74" s="1491"/>
      <c r="D74" s="1491"/>
      <c r="E74" s="1492"/>
      <c r="F74" s="725" t="s">
        <v>688</v>
      </c>
      <c r="G74" s="853"/>
      <c r="H74" s="520" t="s">
        <v>427</v>
      </c>
      <c r="I74" s="521" t="s">
        <v>948</v>
      </c>
      <c r="J74" s="522" t="s">
        <v>949</v>
      </c>
      <c r="K74" s="471"/>
    </row>
    <row r="75" spans="1:12">
      <c r="A75" s="463"/>
      <c r="B75" s="530" t="s">
        <v>1166</v>
      </c>
      <c r="C75" s="531"/>
      <c r="D75" s="472"/>
      <c r="E75" s="500"/>
      <c r="F75" s="501"/>
      <c r="G75" s="532"/>
      <c r="H75" s="533">
        <f>E67</f>
        <v>1</v>
      </c>
      <c r="I75" s="534">
        <f>(VLOOKUP(B75,'MÃO DE OBRA'!$A:$E,5,FALSE)/220)</f>
        <v>27.68050090909091</v>
      </c>
      <c r="J75" s="505">
        <f>H75*I75</f>
        <v>27.68050090909091</v>
      </c>
      <c r="K75" s="471"/>
    </row>
    <row r="76" spans="1:12">
      <c r="A76" s="463"/>
      <c r="B76" s="530" t="s">
        <v>472</v>
      </c>
      <c r="C76" s="531"/>
      <c r="D76" s="472"/>
      <c r="E76" s="500"/>
      <c r="F76" s="501"/>
      <c r="G76" s="532"/>
      <c r="H76" s="533">
        <v>1</v>
      </c>
      <c r="I76" s="534">
        <f>(VLOOKUP(B76,'MÃO DE OBRA'!$A:$E,5,FALSE)/220)</f>
        <v>18.377072727272729</v>
      </c>
      <c r="J76" s="505">
        <f>H76*I76</f>
        <v>18.377072727272729</v>
      </c>
      <c r="K76" s="471"/>
    </row>
    <row r="77" spans="1:12">
      <c r="A77" s="463"/>
      <c r="B77" s="530"/>
      <c r="C77" s="531"/>
      <c r="D77" s="472"/>
      <c r="E77" s="500"/>
      <c r="F77" s="501"/>
      <c r="G77" s="532"/>
      <c r="H77" s="533"/>
      <c r="I77" s="534"/>
      <c r="J77" s="505"/>
      <c r="K77" s="471"/>
    </row>
    <row r="78" spans="1:12">
      <c r="A78" s="463"/>
      <c r="B78" s="512" t="s">
        <v>946</v>
      </c>
      <c r="C78" s="515"/>
      <c r="D78" s="515"/>
      <c r="E78" s="515"/>
      <c r="F78" s="515"/>
      <c r="G78" s="515"/>
      <c r="H78" s="515"/>
      <c r="I78" s="535" t="s">
        <v>175</v>
      </c>
      <c r="J78" s="514">
        <f>SUM(J75:J77)</f>
        <v>46.057573636363642</v>
      </c>
      <c r="K78" s="471"/>
    </row>
    <row r="79" spans="1:12">
      <c r="A79" s="463"/>
      <c r="B79" s="536"/>
      <c r="C79" s="536"/>
      <c r="D79" s="536"/>
      <c r="E79" s="536"/>
      <c r="F79" s="536"/>
      <c r="G79" s="536"/>
      <c r="H79" s="536"/>
      <c r="I79" s="537"/>
      <c r="J79" s="536"/>
      <c r="K79" s="471"/>
    </row>
    <row r="80" spans="1:12">
      <c r="A80" s="463"/>
      <c r="B80" s="538" t="s">
        <v>952</v>
      </c>
      <c r="C80" s="539"/>
      <c r="D80" s="536"/>
      <c r="E80" s="540">
        <v>0.24279560359964594</v>
      </c>
      <c r="F80" s="541" t="s">
        <v>1470</v>
      </c>
      <c r="G80" s="519"/>
      <c r="H80" s="519"/>
      <c r="I80" s="542" t="s">
        <v>953</v>
      </c>
      <c r="J80" s="514">
        <f>J72+J78</f>
        <v>71.057573636363642</v>
      </c>
      <c r="K80" s="471"/>
    </row>
    <row r="81" spans="1:12">
      <c r="A81" s="463"/>
      <c r="B81" s="543"/>
      <c r="C81" s="536"/>
      <c r="D81" s="536"/>
      <c r="E81" s="544"/>
      <c r="F81" s="545"/>
      <c r="G81" s="545"/>
      <c r="H81" s="545"/>
      <c r="I81" s="537"/>
      <c r="J81" s="536"/>
      <c r="K81" s="471"/>
    </row>
    <row r="82" spans="1:12" ht="20.399999999999999">
      <c r="A82" s="463"/>
      <c r="B82" s="1493" t="s">
        <v>362</v>
      </c>
      <c r="C82" s="1494"/>
      <c r="D82" s="1494"/>
      <c r="E82" s="1495"/>
      <c r="F82" s="546" t="s">
        <v>688</v>
      </c>
      <c r="G82" s="547" t="s">
        <v>371</v>
      </c>
      <c r="H82" s="520" t="s">
        <v>942</v>
      </c>
      <c r="I82" s="548" t="s">
        <v>361</v>
      </c>
      <c r="J82" s="549" t="s">
        <v>363</v>
      </c>
      <c r="K82" s="471"/>
    </row>
    <row r="83" spans="1:12">
      <c r="A83" s="463"/>
      <c r="B83" s="550" t="str">
        <f>B67</f>
        <v>Motosserra a gasolina</v>
      </c>
      <c r="C83" s="551"/>
      <c r="D83" s="551"/>
      <c r="E83" s="552"/>
      <c r="F83" s="553" t="str">
        <f>VLOOKUP(B83,EQUIPAMENTOS!$A:$N,12,FALSE)</f>
        <v>Gasolina</v>
      </c>
      <c r="G83" s="554" t="s">
        <v>415</v>
      </c>
      <c r="H83" s="560">
        <f>VLOOKUP(B83,EQUIPAMENTOS!$A:$N,13,FALSE)</f>
        <v>6.59</v>
      </c>
      <c r="I83" s="556">
        <f>VLOOKUP(B83,EQUIPAMENTOS!$A:$N,14,FALSE)</f>
        <v>1.2</v>
      </c>
      <c r="J83" s="498">
        <f>H83*I83*E67*F67</f>
        <v>7.9079999999999995</v>
      </c>
      <c r="K83" s="471"/>
    </row>
    <row r="84" spans="1:12">
      <c r="A84" s="463"/>
      <c r="B84" s="557"/>
      <c r="C84" s="531"/>
      <c r="D84" s="531"/>
      <c r="E84" s="500"/>
      <c r="F84" s="553"/>
      <c r="G84" s="554"/>
      <c r="H84" s="560"/>
      <c r="I84" s="556"/>
      <c r="J84" s="505"/>
      <c r="K84" s="471"/>
    </row>
    <row r="85" spans="1:12">
      <c r="A85" s="463"/>
      <c r="B85" s="557"/>
      <c r="C85" s="531"/>
      <c r="D85" s="531"/>
      <c r="E85" s="500"/>
      <c r="F85" s="553"/>
      <c r="G85" s="554"/>
      <c r="H85" s="560"/>
      <c r="I85" s="556"/>
      <c r="J85" s="505"/>
      <c r="K85" s="471"/>
    </row>
    <row r="86" spans="1:12">
      <c r="A86" s="463"/>
      <c r="B86" s="908"/>
      <c r="C86" s="539"/>
      <c r="D86" s="539"/>
      <c r="E86" s="507"/>
      <c r="F86" s="909"/>
      <c r="G86" s="870"/>
      <c r="H86" s="642"/>
      <c r="I86" s="871"/>
      <c r="J86" s="562"/>
      <c r="K86" s="471"/>
    </row>
    <row r="87" spans="1:12">
      <c r="A87" s="463"/>
      <c r="B87" s="866" t="s">
        <v>946</v>
      </c>
      <c r="C87" s="539"/>
      <c r="D87" s="539"/>
      <c r="E87" s="539"/>
      <c r="F87" s="539"/>
      <c r="G87" s="539"/>
      <c r="H87" s="867"/>
      <c r="I87" s="868" t="s">
        <v>175</v>
      </c>
      <c r="J87" s="562">
        <f>SUM(J83:J86)</f>
        <v>7.9079999999999995</v>
      </c>
      <c r="K87" s="471"/>
      <c r="L87" s="6">
        <f>J87/E80</f>
        <v>32.570606233215713</v>
      </c>
    </row>
    <row r="88" spans="1:12">
      <c r="A88" s="463"/>
      <c r="B88" s="566"/>
      <c r="C88" s="539"/>
      <c r="D88" s="539"/>
      <c r="E88" s="567"/>
      <c r="F88" s="568"/>
      <c r="G88" s="519"/>
      <c r="H88" s="519"/>
      <c r="I88" s="542"/>
      <c r="J88" s="567"/>
      <c r="K88" s="471"/>
    </row>
    <row r="89" spans="1:12" ht="20.399999999999999">
      <c r="A89" s="463"/>
      <c r="B89" s="1493" t="s">
        <v>955</v>
      </c>
      <c r="C89" s="1494"/>
      <c r="D89" s="1494"/>
      <c r="E89" s="1494"/>
      <c r="F89" s="1495"/>
      <c r="G89" s="569" t="s">
        <v>372</v>
      </c>
      <c r="H89" s="519" t="s">
        <v>956</v>
      </c>
      <c r="I89" s="570" t="s">
        <v>942</v>
      </c>
      <c r="J89" s="522" t="s">
        <v>363</v>
      </c>
      <c r="K89" s="471"/>
    </row>
    <row r="90" spans="1:12">
      <c r="A90" s="463"/>
      <c r="B90" s="571"/>
      <c r="C90" s="572"/>
      <c r="D90" s="573"/>
      <c r="E90" s="573"/>
      <c r="F90" s="574"/>
      <c r="G90" s="502"/>
      <c r="H90" s="502"/>
      <c r="I90" s="575"/>
      <c r="J90" s="505"/>
      <c r="K90" s="471"/>
    </row>
    <row r="91" spans="1:12">
      <c r="A91" s="463"/>
      <c r="B91" s="576"/>
      <c r="C91" s="577"/>
      <c r="D91" s="578"/>
      <c r="E91" s="578"/>
      <c r="F91" s="579"/>
      <c r="G91" s="502"/>
      <c r="H91" s="502"/>
      <c r="I91" s="575"/>
      <c r="J91" s="505"/>
      <c r="K91" s="471"/>
    </row>
    <row r="92" spans="1:12">
      <c r="A92" s="463"/>
      <c r="B92" s="1496" t="s">
        <v>175</v>
      </c>
      <c r="C92" s="1496"/>
      <c r="D92" s="1496"/>
      <c r="E92" s="1496"/>
      <c r="F92" s="1496"/>
      <c r="G92" s="1496"/>
      <c r="H92" s="1496"/>
      <c r="I92" s="1496"/>
      <c r="J92" s="514">
        <f>SUM(J90:J91)</f>
        <v>0</v>
      </c>
      <c r="K92" s="471"/>
    </row>
    <row r="93" spans="1:12">
      <c r="A93" s="463"/>
      <c r="B93" s="580"/>
      <c r="C93" s="524"/>
      <c r="D93" s="524"/>
      <c r="E93" s="581"/>
      <c r="F93" s="582"/>
      <c r="G93" s="583"/>
      <c r="H93" s="583"/>
      <c r="I93" s="584"/>
      <c r="J93" s="585"/>
      <c r="K93" s="471"/>
    </row>
    <row r="94" spans="1:12">
      <c r="A94" s="463"/>
      <c r="B94" s="586" t="s">
        <v>957</v>
      </c>
      <c r="C94" s="586"/>
      <c r="D94" s="563"/>
      <c r="E94" s="536"/>
      <c r="F94" s="536"/>
      <c r="G94" s="536"/>
      <c r="H94" s="587"/>
      <c r="I94" s="588"/>
      <c r="J94" s="514">
        <f>(J80+J87+J92)/E80</f>
        <v>325.2347755298432</v>
      </c>
      <c r="K94" s="471"/>
      <c r="L94">
        <v>325.23478143368692</v>
      </c>
    </row>
    <row r="95" spans="1:12">
      <c r="A95" s="463"/>
      <c r="B95" s="566"/>
      <c r="C95" s="539"/>
      <c r="D95" s="539"/>
      <c r="E95" s="567"/>
      <c r="F95" s="568"/>
      <c r="G95" s="519"/>
      <c r="H95" s="519"/>
      <c r="I95" s="542"/>
      <c r="J95" s="589"/>
      <c r="K95" s="471"/>
    </row>
    <row r="96" spans="1:12" ht="20.399999999999999">
      <c r="A96" s="463"/>
      <c r="B96" s="1493" t="s">
        <v>958</v>
      </c>
      <c r="C96" s="1494"/>
      <c r="D96" s="1494"/>
      <c r="E96" s="1494"/>
      <c r="F96" s="1495"/>
      <c r="G96" s="569" t="s">
        <v>372</v>
      </c>
      <c r="H96" s="519" t="s">
        <v>956</v>
      </c>
      <c r="I96" s="570" t="s">
        <v>942</v>
      </c>
      <c r="J96" s="522" t="s">
        <v>363</v>
      </c>
      <c r="K96" s="471"/>
    </row>
    <row r="97" spans="1:11">
      <c r="A97" s="463"/>
      <c r="B97" s="571"/>
      <c r="C97" s="572"/>
      <c r="D97" s="573"/>
      <c r="E97" s="573"/>
      <c r="F97" s="574"/>
      <c r="G97" s="502"/>
      <c r="H97" s="502"/>
      <c r="I97" s="575"/>
      <c r="J97" s="505">
        <f>G97*I97</f>
        <v>0</v>
      </c>
      <c r="K97" s="471"/>
    </row>
    <row r="98" spans="1:11">
      <c r="A98" s="463"/>
      <c r="B98" s="576"/>
      <c r="C98" s="577"/>
      <c r="D98" s="578"/>
      <c r="E98" s="578"/>
      <c r="F98" s="579"/>
      <c r="G98" s="502"/>
      <c r="H98" s="502"/>
      <c r="I98" s="575"/>
      <c r="J98" s="505">
        <f>G98*I98</f>
        <v>0</v>
      </c>
      <c r="K98" s="471"/>
    </row>
    <row r="99" spans="1:11">
      <c r="A99" s="463"/>
      <c r="B99" s="576"/>
      <c r="C99" s="577"/>
      <c r="D99" s="578"/>
      <c r="E99" s="578"/>
      <c r="F99" s="579"/>
      <c r="G99" s="502"/>
      <c r="H99" s="502"/>
      <c r="I99" s="575"/>
      <c r="J99" s="505">
        <f>G99*I99</f>
        <v>0</v>
      </c>
      <c r="K99" s="471"/>
    </row>
    <row r="100" spans="1:11">
      <c r="A100" s="463"/>
      <c r="B100" s="590"/>
      <c r="C100" s="591"/>
      <c r="D100" s="592"/>
      <c r="E100" s="592"/>
      <c r="F100" s="593"/>
      <c r="G100" s="502"/>
      <c r="H100" s="502"/>
      <c r="I100" s="575"/>
      <c r="J100" s="505">
        <f>G100*I100</f>
        <v>0</v>
      </c>
      <c r="K100" s="471"/>
    </row>
    <row r="101" spans="1:11">
      <c r="A101" s="463"/>
      <c r="B101" s="594"/>
      <c r="C101" s="536"/>
      <c r="D101" s="536"/>
      <c r="E101" s="595"/>
      <c r="F101" s="596"/>
      <c r="G101" s="545"/>
      <c r="H101" s="545"/>
      <c r="I101" s="537" t="s">
        <v>175</v>
      </c>
      <c r="J101" s="514">
        <f>SUM(J97:J100)</f>
        <v>0</v>
      </c>
      <c r="K101" s="471"/>
    </row>
    <row r="102" spans="1:11">
      <c r="A102" s="463"/>
      <c r="B102" s="597"/>
      <c r="C102" s="536"/>
      <c r="D102" s="536"/>
      <c r="E102" s="595"/>
      <c r="F102" s="596"/>
      <c r="G102" s="545"/>
      <c r="H102" s="545"/>
      <c r="I102" s="537"/>
      <c r="J102" s="595"/>
      <c r="K102" s="471"/>
    </row>
    <row r="103" spans="1:11" ht="20.399999999999999">
      <c r="A103" s="463"/>
      <c r="B103" s="598" t="s">
        <v>959</v>
      </c>
      <c r="C103" s="598"/>
      <c r="D103" s="598"/>
      <c r="E103" s="599"/>
      <c r="F103" s="600" t="s">
        <v>372</v>
      </c>
      <c r="G103" s="569" t="s">
        <v>960</v>
      </c>
      <c r="H103" s="519" t="s">
        <v>942</v>
      </c>
      <c r="I103" s="570" t="s">
        <v>361</v>
      </c>
      <c r="J103" s="522" t="s">
        <v>363</v>
      </c>
      <c r="K103" s="471"/>
    </row>
    <row r="104" spans="1:11">
      <c r="A104" s="463"/>
      <c r="B104" s="571"/>
      <c r="C104" s="572"/>
      <c r="D104" s="573"/>
      <c r="E104" s="574"/>
      <c r="F104" s="502"/>
      <c r="G104" s="502"/>
      <c r="H104" s="624"/>
      <c r="I104" s="575"/>
      <c r="J104" s="505"/>
      <c r="K104" s="471"/>
    </row>
    <row r="105" spans="1:11">
      <c r="A105" s="463"/>
      <c r="B105" s="590" t="s">
        <v>946</v>
      </c>
      <c r="C105" s="591"/>
      <c r="D105" s="592"/>
      <c r="E105" s="593" t="s">
        <v>946</v>
      </c>
      <c r="F105" s="509">
        <v>0</v>
      </c>
      <c r="G105" s="509">
        <v>0</v>
      </c>
      <c r="H105" s="509">
        <v>0</v>
      </c>
      <c r="I105" s="601">
        <v>0</v>
      </c>
      <c r="J105" s="505">
        <f>I105*H105*G105*F105</f>
        <v>0</v>
      </c>
      <c r="K105" s="471"/>
    </row>
    <row r="106" spans="1:11">
      <c r="A106" s="463"/>
      <c r="B106" s="594"/>
      <c r="C106" s="536"/>
      <c r="D106" s="536"/>
      <c r="E106" s="595"/>
      <c r="F106" s="596"/>
      <c r="G106" s="545"/>
      <c r="H106" s="545"/>
      <c r="I106" s="537" t="s">
        <v>175</v>
      </c>
      <c r="J106" s="514">
        <f>SUM(J104:J105)</f>
        <v>0</v>
      </c>
      <c r="K106" s="471"/>
    </row>
    <row r="107" spans="1:11">
      <c r="A107" s="463"/>
      <c r="B107" s="536"/>
      <c r="C107" s="536"/>
      <c r="D107" s="536"/>
      <c r="E107" s="536"/>
      <c r="F107" s="536"/>
      <c r="G107" s="536"/>
      <c r="H107" s="536"/>
      <c r="I107" s="537"/>
      <c r="J107" s="536"/>
      <c r="K107" s="471"/>
    </row>
    <row r="108" spans="1:11">
      <c r="A108" s="463"/>
      <c r="B108" s="1481" t="s">
        <v>963</v>
      </c>
      <c r="C108" s="1482"/>
      <c r="D108" s="1482"/>
      <c r="E108" s="1482"/>
      <c r="F108" s="1482"/>
      <c r="G108" s="1482"/>
      <c r="H108" s="1482"/>
      <c r="I108" s="1483"/>
      <c r="J108" s="586">
        <v>325.2347755298432</v>
      </c>
      <c r="K108" s="471"/>
    </row>
    <row r="109" spans="1:11">
      <c r="A109" s="463"/>
      <c r="B109" s="524"/>
      <c r="C109" s="524"/>
      <c r="D109" s="524"/>
      <c r="E109" s="524"/>
      <c r="F109" s="524"/>
      <c r="G109" s="524"/>
      <c r="H109" s="524"/>
      <c r="I109" s="584"/>
      <c r="J109" s="524"/>
      <c r="K109" s="471"/>
    </row>
    <row r="110" spans="1:11">
      <c r="A110" s="463"/>
      <c r="B110" s="602"/>
      <c r="C110" s="572"/>
      <c r="D110" s="572"/>
      <c r="E110" s="572"/>
      <c r="F110" s="572"/>
      <c r="G110" s="572"/>
      <c r="H110" s="572"/>
      <c r="I110" s="572"/>
      <c r="J110" s="603"/>
      <c r="K110" s="471"/>
    </row>
    <row r="111" spans="1:11">
      <c r="A111" s="463"/>
      <c r="B111" s="604"/>
      <c r="C111" s="605"/>
      <c r="D111" s="606"/>
      <c r="E111" s="606"/>
      <c r="F111" s="607" t="s">
        <v>946</v>
      </c>
      <c r="G111" s="608" t="s">
        <v>946</v>
      </c>
      <c r="H111" s="605"/>
      <c r="I111" s="605"/>
      <c r="J111" s="609"/>
      <c r="K111" s="471"/>
    </row>
    <row r="112" spans="1:11">
      <c r="A112" s="463"/>
      <c r="B112" s="472"/>
      <c r="C112" s="472"/>
      <c r="D112" s="472"/>
      <c r="E112" s="472"/>
      <c r="F112" s="472"/>
      <c r="G112" s="472"/>
      <c r="H112" s="472"/>
      <c r="I112" s="472"/>
      <c r="J112" s="472"/>
      <c r="K112" s="471"/>
    </row>
    <row r="113" spans="1:12">
      <c r="A113" s="463"/>
      <c r="B113" s="610" t="str">
        <f>PLANEJAMENTO!F2</f>
        <v>OPERAÇÃO DE SUPRESSÃO E SUMP</v>
      </c>
      <c r="C113" s="611"/>
      <c r="D113" s="611"/>
      <c r="E113" s="611"/>
      <c r="F113" s="612"/>
      <c r="G113" s="613" t="s">
        <v>363</v>
      </c>
      <c r="H113" s="515"/>
      <c r="I113" s="515"/>
      <c r="J113" s="518"/>
      <c r="K113" s="471"/>
    </row>
    <row r="114" spans="1:12">
      <c r="A114" s="463"/>
      <c r="B114" s="614" t="str">
        <f>PLANEJAMENTO!F3</f>
        <v>MARA ROSA</v>
      </c>
      <c r="C114" s="615"/>
      <c r="D114" s="615"/>
      <c r="E114" s="615"/>
      <c r="F114" s="616"/>
      <c r="G114" s="1484" t="s">
        <v>964</v>
      </c>
      <c r="H114" s="1485"/>
      <c r="I114" s="1485"/>
      <c r="J114" s="1486"/>
      <c r="K114" s="471"/>
    </row>
    <row r="115" spans="1:12">
      <c r="A115" s="463"/>
      <c r="B115" s="617"/>
      <c r="C115" s="618"/>
      <c r="D115" s="618"/>
      <c r="E115" s="618"/>
      <c r="F115" s="619"/>
      <c r="G115" s="620"/>
      <c r="H115" s="1487"/>
      <c r="I115" s="1488"/>
      <c r="J115" s="1489"/>
      <c r="K115" s="471"/>
    </row>
    <row r="116" spans="1:12" ht="15" thickBot="1">
      <c r="A116" s="621"/>
      <c r="B116" s="622"/>
      <c r="C116" s="622"/>
      <c r="D116" s="622"/>
      <c r="E116" s="622"/>
      <c r="F116" s="622"/>
      <c r="G116" s="622"/>
      <c r="H116" s="622"/>
      <c r="I116" s="622"/>
      <c r="J116" s="622"/>
      <c r="K116" s="623"/>
    </row>
    <row r="117" spans="1:12" ht="13.5" customHeight="1">
      <c r="A117" s="460"/>
      <c r="B117" s="461"/>
      <c r="C117" s="461"/>
      <c r="D117" s="461"/>
      <c r="E117" s="461"/>
      <c r="F117" s="461"/>
      <c r="G117" s="461"/>
      <c r="H117" s="461"/>
      <c r="I117" s="461"/>
      <c r="J117" s="461"/>
      <c r="K117" s="462"/>
    </row>
    <row r="118" spans="1:12">
      <c r="A118" s="463"/>
      <c r="B118" s="464" t="s">
        <v>178</v>
      </c>
      <c r="C118" s="465"/>
      <c r="D118" s="466" t="s">
        <v>936</v>
      </c>
      <c r="E118" s="467"/>
      <c r="F118" s="468"/>
      <c r="G118" s="468"/>
      <c r="H118" s="469"/>
      <c r="I118" s="469"/>
      <c r="J118" s="470"/>
      <c r="K118" s="471"/>
    </row>
    <row r="119" spans="1:12">
      <c r="A119" s="463"/>
      <c r="B119" s="472"/>
      <c r="C119" s="472"/>
      <c r="D119" s="472"/>
      <c r="E119" s="472"/>
      <c r="F119" s="472"/>
      <c r="G119" s="472"/>
      <c r="H119" s="472"/>
      <c r="I119" s="472"/>
      <c r="J119" s="472"/>
      <c r="K119" s="471"/>
    </row>
    <row r="120" spans="1:12">
      <c r="A120" s="463"/>
      <c r="B120" s="473" t="s">
        <v>688</v>
      </c>
      <c r="C120" s="474" t="s">
        <v>937</v>
      </c>
      <c r="D120" s="1497" t="s">
        <v>250</v>
      </c>
      <c r="E120" s="1498"/>
      <c r="F120" s="1498"/>
      <c r="G120" s="1498"/>
      <c r="H120" s="1498"/>
      <c r="I120" s="1499"/>
      <c r="J120" s="475" t="s">
        <v>267</v>
      </c>
      <c r="K120" s="471"/>
    </row>
    <row r="121" spans="1:12" ht="16.95" customHeight="1">
      <c r="A121" s="463"/>
      <c r="B121" s="476" t="s">
        <v>3</v>
      </c>
      <c r="C121" s="477">
        <f ca="1">PLANEJAMENTO!F4</f>
        <v>46140</v>
      </c>
      <c r="D121" s="681" t="s">
        <v>1472</v>
      </c>
      <c r="E121" s="479"/>
      <c r="F121" s="479"/>
      <c r="G121" s="479"/>
      <c r="H121" s="479"/>
      <c r="I121" s="480"/>
      <c r="J121" s="481" t="s">
        <v>203</v>
      </c>
      <c r="K121" s="471"/>
    </row>
    <row r="122" spans="1:12">
      <c r="A122" s="463"/>
      <c r="B122" s="482"/>
      <c r="C122" s="482"/>
      <c r="D122" s="482"/>
      <c r="E122" s="482"/>
      <c r="F122" s="482"/>
      <c r="G122" s="482"/>
      <c r="H122" s="482"/>
      <c r="I122" s="483"/>
      <c r="J122" s="484"/>
      <c r="K122" s="471"/>
    </row>
    <row r="123" spans="1:12">
      <c r="A123" s="463"/>
      <c r="B123" s="1484" t="s">
        <v>938</v>
      </c>
      <c r="C123" s="1486"/>
      <c r="D123" s="1502" t="s">
        <v>688</v>
      </c>
      <c r="E123" s="1504" t="s">
        <v>939</v>
      </c>
      <c r="F123" s="485" t="s">
        <v>940</v>
      </c>
      <c r="G123" s="486"/>
      <c r="H123" s="485" t="s">
        <v>941</v>
      </c>
      <c r="I123" s="486"/>
      <c r="J123" s="487" t="s">
        <v>942</v>
      </c>
      <c r="K123" s="471"/>
    </row>
    <row r="124" spans="1:12">
      <c r="A124" s="463"/>
      <c r="B124" s="1500"/>
      <c r="C124" s="1501"/>
      <c r="D124" s="1503"/>
      <c r="E124" s="1505"/>
      <c r="F124" s="488" t="s">
        <v>943</v>
      </c>
      <c r="G124" s="488" t="s">
        <v>944</v>
      </c>
      <c r="H124" s="488" t="s">
        <v>943</v>
      </c>
      <c r="I124" s="489" t="s">
        <v>944</v>
      </c>
      <c r="J124" s="490" t="s">
        <v>945</v>
      </c>
      <c r="K124" s="471"/>
    </row>
    <row r="125" spans="1:12">
      <c r="A125" s="463"/>
      <c r="B125" s="491" t="s">
        <v>669</v>
      </c>
      <c r="C125" s="492"/>
      <c r="D125" s="493"/>
      <c r="E125" s="494">
        <v>1</v>
      </c>
      <c r="F125" s="494">
        <v>1</v>
      </c>
      <c r="G125" s="495">
        <f>1-F125</f>
        <v>0</v>
      </c>
      <c r="H125" s="496">
        <f>VLOOKUP(B125,EQUIPAMENTOS!$A:$J,10,FALSE)</f>
        <v>214.36944444444444</v>
      </c>
      <c r="I125" s="497">
        <f>H125</f>
        <v>214.36944444444444</v>
      </c>
      <c r="J125" s="498">
        <f>H125*F125*E125+I125*G125*E125</f>
        <v>214.36944444444444</v>
      </c>
      <c r="K125" s="471"/>
      <c r="L125" s="6">
        <f>J125/$E$139</f>
        <v>1.0427634915190156</v>
      </c>
    </row>
    <row r="126" spans="1:12">
      <c r="A126" s="463"/>
      <c r="B126" s="499" t="s">
        <v>954</v>
      </c>
      <c r="C126" s="500"/>
      <c r="D126" s="501"/>
      <c r="E126" s="875">
        <v>1</v>
      </c>
      <c r="F126" s="502">
        <v>1</v>
      </c>
      <c r="G126" s="502">
        <f>1-F126</f>
        <v>0</v>
      </c>
      <c r="H126" s="503">
        <f>VLOOKUP(B126,EQUIPAMENTOS!$A:$J,10,FALSE)</f>
        <v>192.58333333333334</v>
      </c>
      <c r="I126" s="504">
        <f>H126</f>
        <v>192.58333333333334</v>
      </c>
      <c r="J126" s="505">
        <f>H126*F126*E126+I126*G126*E126</f>
        <v>192.58333333333334</v>
      </c>
      <c r="K126" s="471"/>
      <c r="L126" s="6">
        <f>J126/$E$139</f>
        <v>0.93678868084710154</v>
      </c>
    </row>
    <row r="127" spans="1:12">
      <c r="A127" s="463"/>
      <c r="B127" s="499" t="s">
        <v>1157</v>
      </c>
      <c r="C127" s="500"/>
      <c r="D127" s="501"/>
      <c r="E127" s="502">
        <v>3</v>
      </c>
      <c r="F127" s="502">
        <v>1</v>
      </c>
      <c r="G127" s="502">
        <f>1-F127</f>
        <v>0</v>
      </c>
      <c r="H127" s="503">
        <f>VLOOKUP(B127,EQUIPAMENTOS!$A:$J,10,FALSE)</f>
        <v>125</v>
      </c>
      <c r="I127" s="504">
        <f>H127</f>
        <v>125</v>
      </c>
      <c r="J127" s="505">
        <f>H127*F127*E127+I127*G127*E127</f>
        <v>375</v>
      </c>
      <c r="K127" s="471"/>
      <c r="L127" s="6">
        <f>J127/$E$139</f>
        <v>1.8241233508489643</v>
      </c>
    </row>
    <row r="128" spans="1:12">
      <c r="A128" s="463"/>
      <c r="B128" s="499"/>
      <c r="C128" s="500"/>
      <c r="D128" s="501"/>
      <c r="E128" s="502"/>
      <c r="F128" s="502"/>
      <c r="G128" s="502"/>
      <c r="H128" s="503"/>
      <c r="I128" s="504"/>
      <c r="J128" s="505"/>
      <c r="K128" s="471"/>
      <c r="L128" s="6"/>
    </row>
    <row r="129" spans="1:13">
      <c r="A129" s="463"/>
      <c r="B129" s="506"/>
      <c r="C129" s="507"/>
      <c r="D129" s="508"/>
      <c r="E129" s="509"/>
      <c r="F129" s="509"/>
      <c r="G129" s="509"/>
      <c r="H129" s="510"/>
      <c r="I129" s="511"/>
      <c r="J129" s="505">
        <f>H129*F129*E129+I129*G129*E129</f>
        <v>0</v>
      </c>
      <c r="K129" s="471"/>
      <c r="L129" s="6"/>
    </row>
    <row r="130" spans="1:13">
      <c r="A130" s="463"/>
      <c r="B130" s="512" t="s">
        <v>946</v>
      </c>
      <c r="C130" s="482"/>
      <c r="D130" s="482"/>
      <c r="E130" s="482"/>
      <c r="F130" s="482"/>
      <c r="G130" s="482"/>
      <c r="H130" s="482"/>
      <c r="I130" s="513" t="s">
        <v>175</v>
      </c>
      <c r="J130" s="514">
        <f>SUM(J125:J129)</f>
        <v>781.95277777777778</v>
      </c>
      <c r="K130" s="471"/>
      <c r="L130" s="6"/>
    </row>
    <row r="131" spans="1:13">
      <c r="A131" s="463"/>
      <c r="B131" s="515"/>
      <c r="C131" s="515"/>
      <c r="D131" s="515"/>
      <c r="E131" s="515"/>
      <c r="F131" s="515"/>
      <c r="G131" s="515"/>
      <c r="H131" s="515"/>
      <c r="I131" s="516"/>
      <c r="J131" s="517"/>
      <c r="K131" s="471"/>
    </row>
    <row r="132" spans="1:13" ht="20.399999999999999">
      <c r="A132" s="463"/>
      <c r="B132" s="1490" t="s">
        <v>947</v>
      </c>
      <c r="C132" s="1491"/>
      <c r="D132" s="1491"/>
      <c r="E132" s="1492"/>
      <c r="F132" s="725" t="s">
        <v>688</v>
      </c>
      <c r="G132" s="853"/>
      <c r="H132" s="520" t="s">
        <v>427</v>
      </c>
      <c r="I132" s="521" t="s">
        <v>948</v>
      </c>
      <c r="J132" s="522" t="s">
        <v>949</v>
      </c>
      <c r="K132" s="471"/>
    </row>
    <row r="133" spans="1:13">
      <c r="A133" s="463"/>
      <c r="B133" s="523" t="s">
        <v>950</v>
      </c>
      <c r="C133" s="524"/>
      <c r="D133" s="525"/>
      <c r="E133" s="526"/>
      <c r="F133" s="527"/>
      <c r="G133" s="528"/>
      <c r="H133" s="529">
        <f>E127</f>
        <v>3</v>
      </c>
      <c r="I133" s="534">
        <f>(VLOOKUP(B133,'MÃO DE OBRA'!$A:$E,5,FALSE)/220)</f>
        <v>26.714454545454547</v>
      </c>
      <c r="J133" s="505">
        <f>H133*I133</f>
        <v>80.143363636363645</v>
      </c>
      <c r="K133" s="471"/>
      <c r="L133" s="6">
        <f>J133/$E$139</f>
        <v>0.38984368273245518</v>
      </c>
    </row>
    <row r="134" spans="1:13">
      <c r="A134" s="463"/>
      <c r="B134" s="530" t="s">
        <v>976</v>
      </c>
      <c r="C134" s="531"/>
      <c r="D134" s="472"/>
      <c r="E134" s="500"/>
      <c r="F134" s="501"/>
      <c r="G134" s="532"/>
      <c r="H134" s="533">
        <f>E125</f>
        <v>1</v>
      </c>
      <c r="I134" s="534">
        <f>(VLOOKUP(B134,'MÃO DE OBRA'!$A:$E,5,FALSE)/220)</f>
        <v>35.711036363636367</v>
      </c>
      <c r="J134" s="505">
        <f>H134*I134</f>
        <v>35.711036363636367</v>
      </c>
      <c r="K134" s="471"/>
      <c r="L134" s="6">
        <f>J134/$E$139</f>
        <v>0.17371022750380155</v>
      </c>
    </row>
    <row r="135" spans="1:13">
      <c r="A135" s="463"/>
      <c r="B135" s="530" t="s">
        <v>472</v>
      </c>
      <c r="C135" s="531"/>
      <c r="D135" s="472"/>
      <c r="E135" s="500"/>
      <c r="F135" s="501"/>
      <c r="G135" s="532"/>
      <c r="H135" s="533">
        <v>3</v>
      </c>
      <c r="I135" s="534">
        <f>(VLOOKUP(B135,'MÃO DE OBRA'!$A:$E,5,FALSE)/220)</f>
        <v>18.377072727272729</v>
      </c>
      <c r="J135" s="505">
        <f>H135*I135</f>
        <v>55.131218181818184</v>
      </c>
      <c r="K135" s="471"/>
      <c r="L135" s="6">
        <f>J135/$E$139</f>
        <v>0.26817637985654275</v>
      </c>
    </row>
    <row r="136" spans="1:13">
      <c r="A136" s="463"/>
      <c r="B136" s="530" t="s">
        <v>951</v>
      </c>
      <c r="C136" s="531"/>
      <c r="D136" s="472"/>
      <c r="E136" s="500"/>
      <c r="F136" s="501"/>
      <c r="G136" s="532"/>
      <c r="H136" s="533">
        <f>E126</f>
        <v>1</v>
      </c>
      <c r="I136" s="534">
        <f>(VLOOKUP(B136,'MÃO DE OBRA'!$A:$E,5,FALSE)/220)</f>
        <v>26.270618181818183</v>
      </c>
      <c r="J136" s="505">
        <f>H136*I136</f>
        <v>26.270618181818183</v>
      </c>
      <c r="K136" s="471"/>
      <c r="L136" s="6">
        <f>J136/$E$139</f>
        <v>0.1277889281778451</v>
      </c>
    </row>
    <row r="137" spans="1:13">
      <c r="A137" s="463"/>
      <c r="B137" s="512" t="s">
        <v>946</v>
      </c>
      <c r="C137" s="515"/>
      <c r="D137" s="515"/>
      <c r="E137" s="515"/>
      <c r="F137" s="515"/>
      <c r="G137" s="515"/>
      <c r="H137" s="515"/>
      <c r="I137" s="535" t="s">
        <v>175</v>
      </c>
      <c r="J137" s="514">
        <f>SUM(J133:J136)</f>
        <v>197.25623636363639</v>
      </c>
      <c r="K137" s="471"/>
    </row>
    <row r="138" spans="1:13">
      <c r="A138" s="463"/>
      <c r="B138" s="536"/>
      <c r="C138" s="536"/>
      <c r="D138" s="536"/>
      <c r="E138" s="536"/>
      <c r="F138" s="536"/>
      <c r="G138" s="536"/>
      <c r="H138" s="536"/>
      <c r="I138" s="537"/>
      <c r="J138" s="536"/>
      <c r="K138" s="471"/>
    </row>
    <row r="139" spans="1:13">
      <c r="A139" s="463"/>
      <c r="B139" s="538" t="s">
        <v>952</v>
      </c>
      <c r="C139" s="539"/>
      <c r="D139" s="536"/>
      <c r="E139" s="540">
        <v>205.57820271610001</v>
      </c>
      <c r="F139" s="541" t="s">
        <v>965</v>
      </c>
      <c r="G139" s="519"/>
      <c r="H139" s="519"/>
      <c r="I139" s="542" t="s">
        <v>953</v>
      </c>
      <c r="J139" s="514">
        <f>J130+J137</f>
        <v>979.20901414141417</v>
      </c>
      <c r="K139" s="471"/>
      <c r="M139" s="2"/>
    </row>
    <row r="140" spans="1:13">
      <c r="A140" s="463"/>
      <c r="B140" s="543"/>
      <c r="C140" s="536"/>
      <c r="D140" s="536"/>
      <c r="E140" s="544"/>
      <c r="F140" s="545"/>
      <c r="G140" s="545"/>
      <c r="H140" s="545"/>
      <c r="I140" s="537"/>
      <c r="J140" s="536"/>
      <c r="K140" s="471"/>
    </row>
    <row r="141" spans="1:13" ht="20.399999999999999">
      <c r="A141" s="463"/>
      <c r="B141" s="1493" t="s">
        <v>362</v>
      </c>
      <c r="C141" s="1494"/>
      <c r="D141" s="1494"/>
      <c r="E141" s="1495"/>
      <c r="F141" s="546" t="s">
        <v>688</v>
      </c>
      <c r="G141" s="547" t="s">
        <v>371</v>
      </c>
      <c r="H141" s="520" t="s">
        <v>942</v>
      </c>
      <c r="I141" s="548" t="s">
        <v>361</v>
      </c>
      <c r="J141" s="549" t="s">
        <v>363</v>
      </c>
      <c r="K141" s="471"/>
    </row>
    <row r="142" spans="1:13">
      <c r="A142" s="463"/>
      <c r="B142" s="550" t="str">
        <f>B125</f>
        <v>Trator de esteiras 20T</v>
      </c>
      <c r="C142" s="551"/>
      <c r="D142" s="551"/>
      <c r="E142" s="552"/>
      <c r="F142" s="553" t="str">
        <f>VLOOKUP(B142,EQUIPAMENTOS!$A:$N,12,FALSE)</f>
        <v>Diesel S10</v>
      </c>
      <c r="G142" s="554" t="s">
        <v>415</v>
      </c>
      <c r="H142" s="560">
        <f>VLOOKUP(B142,EQUIPAMENTOS!$A:$N,13,FALSE)</f>
        <v>0</v>
      </c>
      <c r="I142" s="556">
        <f>VLOOKUP(B142,EQUIPAMENTOS!$A:$N,14,FALSE)</f>
        <v>26</v>
      </c>
      <c r="J142" s="498">
        <f>H142*I142*E125*F125</f>
        <v>0</v>
      </c>
      <c r="K142" s="471"/>
      <c r="L142" s="6"/>
    </row>
    <row r="143" spans="1:13">
      <c r="A143" s="463"/>
      <c r="B143" s="557" t="str">
        <f>B126</f>
        <v>Pá Carregadeira</v>
      </c>
      <c r="C143" s="531"/>
      <c r="D143" s="531"/>
      <c r="E143" s="500"/>
      <c r="F143" s="553" t="str">
        <f>VLOOKUP(B143,EQUIPAMENTOS!$A:$N,12,FALSE)</f>
        <v>Diesel S10</v>
      </c>
      <c r="G143" s="554" t="s">
        <v>415</v>
      </c>
      <c r="H143" s="560">
        <f>VLOOKUP(B143,EQUIPAMENTOS!$A:$N,13,FALSE)</f>
        <v>0</v>
      </c>
      <c r="I143" s="556">
        <f>VLOOKUP(B143,EQUIPAMENTOS!$A:$N,14,FALSE)</f>
        <v>16</v>
      </c>
      <c r="J143" s="505">
        <f>H143*I143*E126*F126</f>
        <v>0</v>
      </c>
      <c r="K143" s="471"/>
      <c r="L143" s="6"/>
    </row>
    <row r="144" spans="1:13">
      <c r="A144" s="463"/>
      <c r="B144" s="557" t="str">
        <f>B127</f>
        <v>Caminhão basculante 14 m³</v>
      </c>
      <c r="C144" s="539"/>
      <c r="D144" s="539"/>
      <c r="E144" s="507"/>
      <c r="F144" s="553" t="str">
        <f>VLOOKUP(B144,EQUIPAMENTOS!$A:$N,12,FALSE)</f>
        <v>Diesel S10</v>
      </c>
      <c r="G144" s="736" t="s">
        <v>415</v>
      </c>
      <c r="H144" s="560">
        <f>VLOOKUP(B144,EQUIPAMENTOS!$A:$N,13,FALSE)</f>
        <v>0</v>
      </c>
      <c r="I144" s="556">
        <f>VLOOKUP(B144,EQUIPAMENTOS!$A:$N,14,FALSE)</f>
        <v>2.5</v>
      </c>
      <c r="J144" s="505">
        <f>H144*I144*E127*F127</f>
        <v>0</v>
      </c>
      <c r="K144" s="471"/>
      <c r="L144" s="6"/>
    </row>
    <row r="145" spans="1:13">
      <c r="A145" s="463"/>
      <c r="B145" s="563" t="s">
        <v>946</v>
      </c>
      <c r="C145" s="539"/>
      <c r="D145" s="539"/>
      <c r="E145" s="539"/>
      <c r="F145" s="536"/>
      <c r="G145" s="539"/>
      <c r="H145" s="564"/>
      <c r="I145" s="565" t="s">
        <v>175</v>
      </c>
      <c r="J145" s="514">
        <f>SUM(J142:J144)</f>
        <v>0</v>
      </c>
      <c r="K145" s="471"/>
      <c r="L145" s="6"/>
    </row>
    <row r="146" spans="1:13">
      <c r="A146" s="463"/>
      <c r="B146" s="566"/>
      <c r="C146" s="539"/>
      <c r="D146" s="539"/>
      <c r="E146" s="567"/>
      <c r="F146" s="568"/>
      <c r="G146" s="519"/>
      <c r="H146" s="519"/>
      <c r="I146" s="542"/>
      <c r="J146" s="567"/>
      <c r="K146" s="471"/>
    </row>
    <row r="147" spans="1:13" ht="20.399999999999999">
      <c r="A147" s="463"/>
      <c r="B147" s="1493" t="s">
        <v>955</v>
      </c>
      <c r="C147" s="1494"/>
      <c r="D147" s="1494"/>
      <c r="E147" s="1494"/>
      <c r="F147" s="1495"/>
      <c r="G147" s="569" t="s">
        <v>372</v>
      </c>
      <c r="H147" s="519" t="s">
        <v>956</v>
      </c>
      <c r="I147" s="570" t="s">
        <v>942</v>
      </c>
      <c r="J147" s="522" t="s">
        <v>363</v>
      </c>
      <c r="K147" s="471"/>
    </row>
    <row r="148" spans="1:13">
      <c r="A148" s="463"/>
      <c r="B148" s="571"/>
      <c r="C148" s="572"/>
      <c r="D148" s="573"/>
      <c r="E148" s="573"/>
      <c r="F148" s="574"/>
      <c r="G148" s="502"/>
      <c r="H148" s="502"/>
      <c r="I148" s="575"/>
      <c r="J148" s="505"/>
      <c r="K148" s="471"/>
    </row>
    <row r="149" spans="1:13">
      <c r="A149" s="463"/>
      <c r="B149" s="576"/>
      <c r="C149" s="577"/>
      <c r="D149" s="578"/>
      <c r="E149" s="578"/>
      <c r="F149" s="579"/>
      <c r="G149" s="502"/>
      <c r="H149" s="502"/>
      <c r="I149" s="575"/>
      <c r="J149" s="505"/>
      <c r="K149" s="471"/>
    </row>
    <row r="150" spans="1:13">
      <c r="A150" s="463"/>
      <c r="B150" s="1496" t="s">
        <v>175</v>
      </c>
      <c r="C150" s="1496"/>
      <c r="D150" s="1496"/>
      <c r="E150" s="1496"/>
      <c r="F150" s="1496"/>
      <c r="G150" s="1496"/>
      <c r="H150" s="1496"/>
      <c r="I150" s="1496"/>
      <c r="J150" s="514">
        <f>SUM(J148:J149)</f>
        <v>0</v>
      </c>
      <c r="K150" s="471"/>
    </row>
    <row r="151" spans="1:13">
      <c r="A151" s="463"/>
      <c r="B151" s="580"/>
      <c r="C151" s="524"/>
      <c r="D151" s="524"/>
      <c r="E151" s="581"/>
      <c r="F151" s="582"/>
      <c r="G151" s="583"/>
      <c r="H151" s="583"/>
      <c r="I151" s="584"/>
      <c r="J151" s="585"/>
      <c r="K151" s="471"/>
    </row>
    <row r="152" spans="1:13">
      <c r="A152" s="463"/>
      <c r="B152" s="586" t="s">
        <v>957</v>
      </c>
      <c r="C152" s="586"/>
      <c r="D152" s="563"/>
      <c r="E152" s="536"/>
      <c r="F152" s="536"/>
      <c r="G152" s="536"/>
      <c r="H152" s="587"/>
      <c r="I152" s="588"/>
      <c r="J152" s="514">
        <f>(J139+J145+J150)/E139</f>
        <v>4.7631947414857265</v>
      </c>
      <c r="K152" s="471"/>
      <c r="L152">
        <v>4.7631916762380913</v>
      </c>
    </row>
    <row r="153" spans="1:13">
      <c r="A153" s="463"/>
      <c r="B153" s="566"/>
      <c r="C153" s="539"/>
      <c r="D153" s="539"/>
      <c r="E153" s="567"/>
      <c r="F153" s="568"/>
      <c r="G153" s="519"/>
      <c r="H153" s="519"/>
      <c r="I153" s="542"/>
      <c r="J153" s="589"/>
      <c r="K153" s="471"/>
    </row>
    <row r="154" spans="1:13" ht="20.399999999999999">
      <c r="A154" s="463"/>
      <c r="B154" s="1493" t="s">
        <v>958</v>
      </c>
      <c r="C154" s="1494"/>
      <c r="D154" s="1494"/>
      <c r="E154" s="1494"/>
      <c r="F154" s="1495"/>
      <c r="G154" s="569" t="s">
        <v>372</v>
      </c>
      <c r="H154" s="519" t="s">
        <v>956</v>
      </c>
      <c r="I154" s="570" t="s">
        <v>942</v>
      </c>
      <c r="J154" s="522" t="s">
        <v>363</v>
      </c>
      <c r="K154" s="471"/>
      <c r="M154" s="6"/>
    </row>
    <row r="155" spans="1:13">
      <c r="A155" s="463"/>
      <c r="B155" s="571"/>
      <c r="C155" s="572"/>
      <c r="D155" s="573"/>
      <c r="E155" s="573"/>
      <c r="F155" s="574"/>
      <c r="G155" s="502"/>
      <c r="H155" s="502"/>
      <c r="I155" s="575"/>
      <c r="J155" s="505">
        <f>G155*I155</f>
        <v>0</v>
      </c>
      <c r="K155" s="471"/>
      <c r="M155" s="6"/>
    </row>
    <row r="156" spans="1:13">
      <c r="A156" s="463"/>
      <c r="B156" s="576"/>
      <c r="C156" s="577"/>
      <c r="D156" s="578"/>
      <c r="E156" s="578"/>
      <c r="F156" s="579"/>
      <c r="G156" s="502"/>
      <c r="H156" s="502"/>
      <c r="I156" s="575"/>
      <c r="J156" s="505">
        <f>G156*I156</f>
        <v>0</v>
      </c>
      <c r="K156" s="471"/>
    </row>
    <row r="157" spans="1:13">
      <c r="A157" s="463"/>
      <c r="B157" s="576"/>
      <c r="C157" s="577"/>
      <c r="D157" s="578"/>
      <c r="E157" s="578"/>
      <c r="F157" s="579"/>
      <c r="G157" s="502"/>
      <c r="H157" s="502"/>
      <c r="I157" s="575"/>
      <c r="J157" s="505">
        <f>G157*I157</f>
        <v>0</v>
      </c>
      <c r="K157" s="471"/>
    </row>
    <row r="158" spans="1:13">
      <c r="A158" s="463"/>
      <c r="B158" s="590"/>
      <c r="C158" s="591"/>
      <c r="D158" s="592"/>
      <c r="E158" s="592"/>
      <c r="F158" s="593"/>
      <c r="G158" s="502"/>
      <c r="H158" s="502"/>
      <c r="I158" s="575"/>
      <c r="J158" s="505">
        <f>G158*I158</f>
        <v>0</v>
      </c>
      <c r="K158" s="471"/>
    </row>
    <row r="159" spans="1:13">
      <c r="A159" s="463"/>
      <c r="B159" s="594"/>
      <c r="C159" s="536"/>
      <c r="D159" s="536"/>
      <c r="E159" s="595"/>
      <c r="F159" s="596"/>
      <c r="G159" s="545"/>
      <c r="H159" s="545"/>
      <c r="I159" s="537" t="s">
        <v>175</v>
      </c>
      <c r="J159" s="514">
        <f>SUM(J155:J158)</f>
        <v>0</v>
      </c>
      <c r="K159" s="471"/>
    </row>
    <row r="160" spans="1:13">
      <c r="A160" s="463"/>
      <c r="B160" s="597"/>
      <c r="C160" s="536"/>
      <c r="D160" s="536"/>
      <c r="E160" s="595"/>
      <c r="F160" s="596"/>
      <c r="G160" s="545"/>
      <c r="H160" s="545"/>
      <c r="I160" s="537"/>
      <c r="J160" s="595"/>
      <c r="K160" s="471"/>
    </row>
    <row r="161" spans="1:11" ht="20.399999999999999">
      <c r="A161" s="463"/>
      <c r="B161" s="598" t="s">
        <v>959</v>
      </c>
      <c r="C161" s="598"/>
      <c r="D161" s="598"/>
      <c r="E161" s="599"/>
      <c r="F161" s="600" t="s">
        <v>372</v>
      </c>
      <c r="G161" s="569" t="s">
        <v>960</v>
      </c>
      <c r="H161" s="519" t="s">
        <v>942</v>
      </c>
      <c r="I161" s="570" t="s">
        <v>361</v>
      </c>
      <c r="J161" s="522" t="s">
        <v>363</v>
      </c>
      <c r="K161" s="471"/>
    </row>
    <row r="162" spans="1:11">
      <c r="A162" s="463"/>
      <c r="B162" s="571"/>
      <c r="C162" s="572"/>
      <c r="D162" s="573"/>
      <c r="E162" s="574"/>
      <c r="F162" s="502"/>
      <c r="G162" s="502"/>
      <c r="H162" s="624"/>
      <c r="I162" s="575"/>
      <c r="J162" s="505"/>
      <c r="K162" s="471"/>
    </row>
    <row r="163" spans="1:11">
      <c r="A163" s="463"/>
      <c r="B163" s="590" t="s">
        <v>946</v>
      </c>
      <c r="C163" s="591"/>
      <c r="D163" s="592"/>
      <c r="E163" s="593" t="s">
        <v>946</v>
      </c>
      <c r="F163" s="509">
        <v>0</v>
      </c>
      <c r="G163" s="509">
        <v>0</v>
      </c>
      <c r="H163" s="509">
        <v>0</v>
      </c>
      <c r="I163" s="601">
        <v>0</v>
      </c>
      <c r="J163" s="505">
        <f>I163*H163*G163*F163</f>
        <v>0</v>
      </c>
      <c r="K163" s="471"/>
    </row>
    <row r="164" spans="1:11">
      <c r="A164" s="463"/>
      <c r="B164" s="594"/>
      <c r="C164" s="536"/>
      <c r="D164" s="536"/>
      <c r="E164" s="595"/>
      <c r="F164" s="596"/>
      <c r="G164" s="545"/>
      <c r="H164" s="545"/>
      <c r="I164" s="537" t="s">
        <v>175</v>
      </c>
      <c r="J164" s="514">
        <f>SUM(J162:J163)</f>
        <v>0</v>
      </c>
      <c r="K164" s="471"/>
    </row>
    <row r="165" spans="1:11">
      <c r="A165" s="463"/>
      <c r="B165" s="536"/>
      <c r="C165" s="536"/>
      <c r="D165" s="536"/>
      <c r="E165" s="536"/>
      <c r="F165" s="536"/>
      <c r="G165" s="536"/>
      <c r="H165" s="536"/>
      <c r="I165" s="537"/>
      <c r="J165" s="536"/>
      <c r="K165" s="471"/>
    </row>
    <row r="166" spans="1:11">
      <c r="A166" s="463"/>
      <c r="B166" s="1481" t="s">
        <v>963</v>
      </c>
      <c r="C166" s="1482"/>
      <c r="D166" s="1482"/>
      <c r="E166" s="1482"/>
      <c r="F166" s="1482"/>
      <c r="G166" s="1482"/>
      <c r="H166" s="1482"/>
      <c r="I166" s="1483"/>
      <c r="J166" s="586">
        <v>4.7631947414857265</v>
      </c>
      <c r="K166" s="471"/>
    </row>
    <row r="167" spans="1:11">
      <c r="A167" s="463"/>
      <c r="B167" s="524"/>
      <c r="C167" s="524"/>
      <c r="D167" s="524"/>
      <c r="E167" s="524"/>
      <c r="F167" s="524"/>
      <c r="G167" s="524"/>
      <c r="H167" s="524"/>
      <c r="I167" s="584"/>
      <c r="J167" s="524"/>
      <c r="K167" s="471"/>
    </row>
    <row r="168" spans="1:11">
      <c r="A168" s="463"/>
      <c r="B168" s="602"/>
      <c r="C168" s="572"/>
      <c r="D168" s="572"/>
      <c r="E168" s="572"/>
      <c r="F168" s="572"/>
      <c r="G168" s="572"/>
      <c r="H168" s="572"/>
      <c r="I168" s="572"/>
      <c r="J168" s="603"/>
      <c r="K168" s="471"/>
    </row>
    <row r="169" spans="1:11">
      <c r="A169" s="463"/>
      <c r="B169" s="604"/>
      <c r="C169" s="605"/>
      <c r="D169" s="606"/>
      <c r="E169" s="606"/>
      <c r="F169" s="607" t="s">
        <v>946</v>
      </c>
      <c r="G169" s="608" t="s">
        <v>946</v>
      </c>
      <c r="H169" s="605"/>
      <c r="I169" s="605"/>
      <c r="J169" s="609"/>
      <c r="K169" s="471"/>
    </row>
    <row r="170" spans="1:11">
      <c r="A170" s="463"/>
      <c r="B170" s="472"/>
      <c r="C170" s="472"/>
      <c r="D170" s="472"/>
      <c r="E170" s="472"/>
      <c r="F170" s="472"/>
      <c r="G170" s="472"/>
      <c r="H170" s="472"/>
      <c r="I170" s="472"/>
      <c r="J170" s="472"/>
      <c r="K170" s="471"/>
    </row>
    <row r="171" spans="1:11">
      <c r="A171" s="463"/>
      <c r="B171" s="610" t="str">
        <f>PLANEJAMENTO!F2</f>
        <v>OPERAÇÃO DE SUPRESSÃO E SUMP</v>
      </c>
      <c r="C171" s="611"/>
      <c r="D171" s="611"/>
      <c r="E171" s="611"/>
      <c r="F171" s="612"/>
      <c r="G171" s="613" t="s">
        <v>363</v>
      </c>
      <c r="H171" s="515"/>
      <c r="I171" s="515"/>
      <c r="J171" s="518"/>
      <c r="K171" s="471"/>
    </row>
    <row r="172" spans="1:11">
      <c r="A172" s="463"/>
      <c r="B172" s="614" t="str">
        <f>PLANEJAMENTO!F3</f>
        <v>MARA ROSA</v>
      </c>
      <c r="C172" s="615"/>
      <c r="D172" s="615"/>
      <c r="E172" s="615"/>
      <c r="F172" s="616"/>
      <c r="G172" s="1484" t="s">
        <v>964</v>
      </c>
      <c r="H172" s="1485"/>
      <c r="I172" s="1485"/>
      <c r="J172" s="1486"/>
      <c r="K172" s="471"/>
    </row>
    <row r="173" spans="1:11">
      <c r="A173" s="463"/>
      <c r="B173" s="617"/>
      <c r="C173" s="618"/>
      <c r="D173" s="618"/>
      <c r="E173" s="618"/>
      <c r="F173" s="619"/>
      <c r="G173" s="620"/>
      <c r="H173" s="1487"/>
      <c r="I173" s="1488"/>
      <c r="J173" s="1489"/>
      <c r="K173" s="471"/>
    </row>
    <row r="174" spans="1:11" ht="15" thickBot="1">
      <c r="A174" s="621"/>
      <c r="B174" s="622"/>
      <c r="C174" s="622"/>
      <c r="D174" s="622"/>
      <c r="E174" s="622"/>
      <c r="F174" s="622"/>
      <c r="G174" s="622"/>
      <c r="H174" s="622"/>
      <c r="I174" s="622"/>
      <c r="J174" s="622"/>
      <c r="K174" s="623"/>
    </row>
    <row r="175" spans="1:11">
      <c r="A175" s="460"/>
      <c r="B175" s="461"/>
      <c r="C175" s="461"/>
      <c r="D175" s="461"/>
      <c r="E175" s="461"/>
      <c r="F175" s="461"/>
      <c r="G175" s="461"/>
      <c r="H175" s="461"/>
      <c r="I175" s="461"/>
      <c r="J175" s="461"/>
      <c r="K175" s="462"/>
    </row>
    <row r="176" spans="1:11">
      <c r="A176" s="463"/>
      <c r="B176" s="464" t="s">
        <v>178</v>
      </c>
      <c r="C176" s="465"/>
      <c r="D176" s="466" t="s">
        <v>936</v>
      </c>
      <c r="E176" s="467"/>
      <c r="F176" s="468"/>
      <c r="G176" s="468"/>
      <c r="H176" s="469"/>
      <c r="I176" s="469"/>
      <c r="J176" s="470"/>
      <c r="K176" s="471"/>
    </row>
    <row r="177" spans="1:14">
      <c r="A177" s="463"/>
      <c r="B177" s="472"/>
      <c r="C177" s="472"/>
      <c r="D177" s="472"/>
      <c r="E177" s="472"/>
      <c r="F177" s="472"/>
      <c r="G177" s="472"/>
      <c r="H177" s="472"/>
      <c r="I177" s="472"/>
      <c r="J177" s="472"/>
      <c r="K177" s="471"/>
    </row>
    <row r="178" spans="1:14">
      <c r="A178" s="463"/>
      <c r="B178" s="473" t="s">
        <v>688</v>
      </c>
      <c r="C178" s="474" t="s">
        <v>937</v>
      </c>
      <c r="D178" s="1497" t="s">
        <v>250</v>
      </c>
      <c r="E178" s="1498"/>
      <c r="F178" s="1498"/>
      <c r="G178" s="1498"/>
      <c r="H178" s="1498"/>
      <c r="I178" s="1499"/>
      <c r="J178" s="475" t="s">
        <v>267</v>
      </c>
      <c r="K178" s="471"/>
    </row>
    <row r="179" spans="1:14" ht="15" customHeight="1">
      <c r="A179" s="463"/>
      <c r="B179" s="476" t="s">
        <v>3</v>
      </c>
      <c r="C179" s="477">
        <f ca="1">C121</f>
        <v>46140</v>
      </c>
      <c r="D179" s="681" t="s">
        <v>1484</v>
      </c>
      <c r="E179" s="479"/>
      <c r="F179" s="479"/>
      <c r="G179" s="479"/>
      <c r="H179" s="479"/>
      <c r="I179" s="480"/>
      <c r="J179" s="481" t="str">
        <f>F196</f>
        <v>m3</v>
      </c>
      <c r="K179" s="471"/>
    </row>
    <row r="180" spans="1:14">
      <c r="A180" s="463"/>
      <c r="B180" s="482"/>
      <c r="C180" s="482"/>
      <c r="D180" s="482"/>
      <c r="E180" s="482"/>
      <c r="F180" s="482"/>
      <c r="G180" s="482"/>
      <c r="H180" s="482"/>
      <c r="I180" s="483"/>
      <c r="J180" s="484"/>
      <c r="K180" s="471"/>
    </row>
    <row r="181" spans="1:14">
      <c r="A181" s="463"/>
      <c r="B181" s="1484" t="s">
        <v>938</v>
      </c>
      <c r="C181" s="1486"/>
      <c r="D181" s="1502" t="s">
        <v>688</v>
      </c>
      <c r="E181" s="1504" t="s">
        <v>939</v>
      </c>
      <c r="F181" s="485" t="s">
        <v>940</v>
      </c>
      <c r="G181" s="486"/>
      <c r="H181" s="485" t="s">
        <v>941</v>
      </c>
      <c r="I181" s="486"/>
      <c r="J181" s="487" t="s">
        <v>942</v>
      </c>
      <c r="K181" s="471"/>
    </row>
    <row r="182" spans="1:14">
      <c r="A182" s="463"/>
      <c r="B182" s="1500"/>
      <c r="C182" s="1501"/>
      <c r="D182" s="1503"/>
      <c r="E182" s="1505"/>
      <c r="F182" s="488" t="s">
        <v>943</v>
      </c>
      <c r="G182" s="488" t="s">
        <v>944</v>
      </c>
      <c r="H182" s="488" t="s">
        <v>943</v>
      </c>
      <c r="I182" s="489" t="s">
        <v>944</v>
      </c>
      <c r="J182" s="490" t="s">
        <v>945</v>
      </c>
      <c r="K182" s="471"/>
    </row>
    <row r="183" spans="1:14">
      <c r="A183" s="463"/>
      <c r="B183" s="499" t="s">
        <v>619</v>
      </c>
      <c r="C183" s="500"/>
      <c r="D183" s="501"/>
      <c r="E183" s="502">
        <v>1</v>
      </c>
      <c r="F183" s="502">
        <v>1</v>
      </c>
      <c r="G183" s="502">
        <f>1-F183</f>
        <v>0</v>
      </c>
      <c r="H183" s="503">
        <f>VLOOKUP(B183,EQUIPAMENTOS!$A:$J,10,FALSE)</f>
        <v>70</v>
      </c>
      <c r="I183" s="504">
        <f>H183</f>
        <v>70</v>
      </c>
      <c r="J183" s="505">
        <f>H183*F183*E183+I183*G183*E183</f>
        <v>70</v>
      </c>
      <c r="K183" s="471"/>
    </row>
    <row r="184" spans="1:14">
      <c r="A184" s="463"/>
      <c r="B184" s="499"/>
      <c r="C184" s="500"/>
      <c r="D184" s="501"/>
      <c r="E184" s="502"/>
      <c r="F184" s="502"/>
      <c r="G184" s="502"/>
      <c r="H184" s="503"/>
      <c r="I184" s="504"/>
      <c r="J184" s="505">
        <f>H184*F184*E184+I184*G184*E184</f>
        <v>0</v>
      </c>
      <c r="K184" s="471"/>
    </row>
    <row r="185" spans="1:14">
      <c r="A185" s="463"/>
      <c r="B185" s="499"/>
      <c r="C185" s="500"/>
      <c r="D185" s="501"/>
      <c r="E185" s="502"/>
      <c r="F185" s="502"/>
      <c r="G185" s="502"/>
      <c r="H185" s="503"/>
      <c r="I185" s="504"/>
      <c r="J185" s="505"/>
      <c r="K185" s="471"/>
    </row>
    <row r="186" spans="1:14">
      <c r="A186" s="463"/>
      <c r="B186" s="499"/>
      <c r="C186" s="500"/>
      <c r="D186" s="501"/>
      <c r="E186" s="502"/>
      <c r="F186" s="502"/>
      <c r="G186" s="502"/>
      <c r="H186" s="503"/>
      <c r="I186" s="504"/>
      <c r="J186" s="505"/>
      <c r="K186" s="471"/>
    </row>
    <row r="187" spans="1:14">
      <c r="A187" s="463"/>
      <c r="B187" s="506"/>
      <c r="C187" s="507"/>
      <c r="D187" s="508"/>
      <c r="E187" s="509"/>
      <c r="F187" s="509"/>
      <c r="G187" s="509"/>
      <c r="H187" s="510"/>
      <c r="I187" s="511"/>
      <c r="J187" s="505">
        <f>H187*F187*E187+I187*G187*E187</f>
        <v>0</v>
      </c>
      <c r="K187" s="471"/>
    </row>
    <row r="188" spans="1:14">
      <c r="A188" s="463"/>
      <c r="B188" s="512" t="s">
        <v>946</v>
      </c>
      <c r="C188" s="482"/>
      <c r="D188" s="482"/>
      <c r="E188" s="482"/>
      <c r="F188" s="482"/>
      <c r="G188" s="482"/>
      <c r="H188" s="482"/>
      <c r="I188" s="513" t="s">
        <v>175</v>
      </c>
      <c r="J188" s="514">
        <f>SUM(J183:J187)</f>
        <v>70</v>
      </c>
      <c r="K188" s="471"/>
      <c r="L188" s="6">
        <f>J188/E196</f>
        <v>7.4053307709071952</v>
      </c>
    </row>
    <row r="189" spans="1:14">
      <c r="A189" s="463"/>
      <c r="B189" s="515"/>
      <c r="C189" s="515"/>
      <c r="D189" s="515"/>
      <c r="E189" s="515"/>
      <c r="F189" s="515"/>
      <c r="G189" s="515"/>
      <c r="H189" s="515"/>
      <c r="I189" s="516"/>
      <c r="J189" s="517"/>
      <c r="K189" s="471"/>
    </row>
    <row r="190" spans="1:14" ht="20.399999999999999">
      <c r="A190" s="463"/>
      <c r="B190" s="1490" t="s">
        <v>947</v>
      </c>
      <c r="C190" s="1491"/>
      <c r="D190" s="1491"/>
      <c r="E190" s="1492"/>
      <c r="F190" s="725" t="s">
        <v>688</v>
      </c>
      <c r="G190" s="853"/>
      <c r="H190" s="520" t="s">
        <v>427</v>
      </c>
      <c r="I190" s="521" t="s">
        <v>948</v>
      </c>
      <c r="J190" s="522" t="s">
        <v>949</v>
      </c>
      <c r="K190" s="471"/>
    </row>
    <row r="191" spans="1:14">
      <c r="A191" s="463"/>
      <c r="B191" s="530" t="s">
        <v>1171</v>
      </c>
      <c r="C191" s="531"/>
      <c r="D191" s="472"/>
      <c r="E191" s="500"/>
      <c r="F191" s="501"/>
      <c r="G191" s="532"/>
      <c r="H191" s="533">
        <f>E183</f>
        <v>1</v>
      </c>
      <c r="I191" s="534">
        <f>(VLOOKUP(B191,'MÃO DE OBRA'!$A:$E,5,FALSE)/220)</f>
        <v>23.69</v>
      </c>
      <c r="J191" s="505">
        <f>H191*I191</f>
        <v>23.69</v>
      </c>
      <c r="K191" s="471"/>
    </row>
    <row r="192" spans="1:14">
      <c r="A192" s="463"/>
      <c r="B192" s="530" t="s">
        <v>472</v>
      </c>
      <c r="C192" s="531"/>
      <c r="D192" s="472"/>
      <c r="E192" s="500"/>
      <c r="F192" s="501"/>
      <c r="G192" s="532"/>
      <c r="H192" s="533">
        <v>2</v>
      </c>
      <c r="I192" s="534">
        <f>(VLOOKUP(B192,'MÃO DE OBRA'!$A:$E,5,FALSE)/220)</f>
        <v>18.377072727272729</v>
      </c>
      <c r="J192" s="505">
        <f>H192*I192</f>
        <v>36.754145454545458</v>
      </c>
      <c r="K192" s="471"/>
      <c r="N192" s="6">
        <f>J192/E196</f>
        <v>3.8882372041849185</v>
      </c>
    </row>
    <row r="193" spans="1:12">
      <c r="A193" s="463"/>
      <c r="B193" s="530"/>
      <c r="C193" s="531"/>
      <c r="D193" s="472"/>
      <c r="E193" s="500"/>
      <c r="F193" s="501"/>
      <c r="G193" s="532"/>
      <c r="H193" s="533"/>
      <c r="I193" s="534"/>
      <c r="J193" s="505">
        <f>H193*I193</f>
        <v>0</v>
      </c>
      <c r="K193" s="471"/>
    </row>
    <row r="194" spans="1:12">
      <c r="A194" s="463"/>
      <c r="B194" s="512" t="s">
        <v>946</v>
      </c>
      <c r="C194" s="515"/>
      <c r="D194" s="515"/>
      <c r="E194" s="515"/>
      <c r="F194" s="515"/>
      <c r="G194" s="515"/>
      <c r="H194" s="515"/>
      <c r="I194" s="535" t="s">
        <v>175</v>
      </c>
      <c r="J194" s="514">
        <f>SUM(J191:J193)</f>
        <v>60.444145454545463</v>
      </c>
      <c r="K194" s="471"/>
    </row>
    <row r="195" spans="1:12">
      <c r="A195" s="463"/>
      <c r="B195" s="536"/>
      <c r="C195" s="536"/>
      <c r="D195" s="536"/>
      <c r="E195" s="536"/>
      <c r="F195" s="536"/>
      <c r="G195" s="536"/>
      <c r="H195" s="536"/>
      <c r="I195" s="537"/>
      <c r="J195" s="536"/>
      <c r="K195" s="471"/>
    </row>
    <row r="196" spans="1:12">
      <c r="A196" s="463"/>
      <c r="B196" s="538" t="s">
        <v>952</v>
      </c>
      <c r="C196" s="539"/>
      <c r="D196" s="536"/>
      <c r="E196" s="540">
        <v>9.4526500119351997</v>
      </c>
      <c r="F196" s="541" t="s">
        <v>931</v>
      </c>
      <c r="G196" s="519"/>
      <c r="H196" s="519"/>
      <c r="I196" s="542" t="s">
        <v>953</v>
      </c>
      <c r="J196" s="514">
        <f>J188+J194</f>
        <v>130.44414545454546</v>
      </c>
      <c r="K196" s="471"/>
    </row>
    <row r="197" spans="1:12">
      <c r="A197" s="463"/>
      <c r="B197" s="543"/>
      <c r="C197" s="536"/>
      <c r="D197" s="536"/>
      <c r="E197" s="544"/>
      <c r="F197" s="545"/>
      <c r="G197" s="545"/>
      <c r="H197" s="545"/>
      <c r="I197" s="537"/>
      <c r="J197" s="536"/>
      <c r="K197" s="471"/>
    </row>
    <row r="198" spans="1:12" ht="20.399999999999999">
      <c r="A198" s="463"/>
      <c r="B198" s="1493" t="s">
        <v>362</v>
      </c>
      <c r="C198" s="1494"/>
      <c r="D198" s="1494"/>
      <c r="E198" s="1495"/>
      <c r="F198" s="546" t="s">
        <v>688</v>
      </c>
      <c r="G198" s="547" t="s">
        <v>371</v>
      </c>
      <c r="H198" s="520" t="s">
        <v>942</v>
      </c>
      <c r="I198" s="548" t="s">
        <v>361</v>
      </c>
      <c r="J198" s="549" t="s">
        <v>363</v>
      </c>
      <c r="K198" s="471"/>
    </row>
    <row r="199" spans="1:12">
      <c r="A199" s="463"/>
      <c r="B199" s="557" t="str">
        <f>B183</f>
        <v xml:space="preserve">Caminhão carroceria </v>
      </c>
      <c r="C199" s="531"/>
      <c r="D199" s="531"/>
      <c r="E199" s="500"/>
      <c r="F199" s="553" t="str">
        <f>VLOOKUP(B199,EQUIPAMENTOS!$A:$N,12,FALSE)</f>
        <v>Diesel S10</v>
      </c>
      <c r="G199" s="554" t="s">
        <v>415</v>
      </c>
      <c r="H199" s="560">
        <f>VLOOKUP(B199,EQUIPAMENTOS!$A:$N,13,FALSE)</f>
        <v>0</v>
      </c>
      <c r="I199" s="556">
        <f>VLOOKUP(B199,EQUIPAMENTOS!$A:$N,14,FALSE)</f>
        <v>5</v>
      </c>
      <c r="J199" s="505">
        <f>H199*I199*E183*F183</f>
        <v>0</v>
      </c>
      <c r="K199" s="471"/>
    </row>
    <row r="200" spans="1:12">
      <c r="A200" s="463"/>
      <c r="B200" s="557"/>
      <c r="C200" s="531"/>
      <c r="D200" s="531"/>
      <c r="E200" s="500"/>
      <c r="F200" s="553"/>
      <c r="G200" s="554"/>
      <c r="H200" s="560"/>
      <c r="I200" s="560"/>
      <c r="J200" s="505">
        <f>H200*I200*E184*F184</f>
        <v>0</v>
      </c>
      <c r="K200" s="471"/>
    </row>
    <row r="201" spans="1:12">
      <c r="A201" s="463"/>
      <c r="B201" s="557"/>
      <c r="C201" s="531"/>
      <c r="D201" s="531"/>
      <c r="E201" s="500"/>
      <c r="F201" s="553"/>
      <c r="G201" s="554"/>
      <c r="H201" s="560"/>
      <c r="I201" s="560"/>
      <c r="J201" s="505"/>
      <c r="K201" s="471"/>
    </row>
    <row r="202" spans="1:12">
      <c r="A202" s="463"/>
      <c r="B202" s="557"/>
      <c r="C202" s="531"/>
      <c r="D202" s="531"/>
      <c r="E202" s="500"/>
      <c r="F202" s="553"/>
      <c r="G202" s="554"/>
      <c r="H202" s="560"/>
      <c r="I202" s="560"/>
      <c r="J202" s="505"/>
      <c r="K202" s="471"/>
    </row>
    <row r="203" spans="1:12">
      <c r="A203" s="463"/>
      <c r="B203" s="557"/>
      <c r="C203" s="539"/>
      <c r="D203" s="539"/>
      <c r="E203" s="507"/>
      <c r="F203" s="553"/>
      <c r="G203" s="736"/>
      <c r="H203" s="560"/>
      <c r="I203" s="560"/>
      <c r="J203" s="505"/>
      <c r="K203" s="471"/>
    </row>
    <row r="204" spans="1:12">
      <c r="A204" s="463"/>
      <c r="B204" s="563" t="s">
        <v>946</v>
      </c>
      <c r="C204" s="536"/>
      <c r="D204" s="536"/>
      <c r="E204" s="536"/>
      <c r="F204" s="536"/>
      <c r="G204" s="536"/>
      <c r="H204" s="564"/>
      <c r="I204" s="565" t="s">
        <v>175</v>
      </c>
      <c r="J204" s="514">
        <f>SUM(J199:J203)</f>
        <v>0</v>
      </c>
      <c r="K204" s="471"/>
      <c r="L204" s="6">
        <f>J204/E196</f>
        <v>0</v>
      </c>
    </row>
    <row r="205" spans="1:12">
      <c r="A205" s="463"/>
      <c r="B205" s="566"/>
      <c r="C205" s="539"/>
      <c r="D205" s="539"/>
      <c r="E205" s="567"/>
      <c r="F205" s="568"/>
      <c r="G205" s="519"/>
      <c r="H205" s="519"/>
      <c r="I205" s="542"/>
      <c r="J205" s="567"/>
      <c r="K205" s="471"/>
    </row>
    <row r="206" spans="1:12" ht="20.399999999999999">
      <c r="A206" s="463"/>
      <c r="B206" s="1493" t="s">
        <v>955</v>
      </c>
      <c r="C206" s="1494"/>
      <c r="D206" s="1494"/>
      <c r="E206" s="1494"/>
      <c r="F206" s="1495"/>
      <c r="G206" s="569" t="s">
        <v>372</v>
      </c>
      <c r="H206" s="519" t="s">
        <v>956</v>
      </c>
      <c r="I206" s="570" t="s">
        <v>942</v>
      </c>
      <c r="J206" s="522" t="s">
        <v>363</v>
      </c>
      <c r="K206" s="471"/>
    </row>
    <row r="207" spans="1:12">
      <c r="A207" s="463"/>
      <c r="B207" s="571"/>
      <c r="C207" s="572"/>
      <c r="D207" s="573"/>
      <c r="E207" s="573"/>
      <c r="F207" s="574"/>
      <c r="G207" s="502"/>
      <c r="H207" s="502"/>
      <c r="I207" s="575"/>
      <c r="J207" s="505"/>
      <c r="K207" s="471"/>
    </row>
    <row r="208" spans="1:12">
      <c r="A208" s="463"/>
      <c r="B208" s="576"/>
      <c r="C208" s="577"/>
      <c r="D208" s="578"/>
      <c r="E208" s="578"/>
      <c r="F208" s="579"/>
      <c r="G208" s="502"/>
      <c r="H208" s="502"/>
      <c r="I208" s="575"/>
      <c r="J208" s="505"/>
      <c r="K208" s="471"/>
    </row>
    <row r="209" spans="1:13">
      <c r="A209" s="463"/>
      <c r="B209" s="1496" t="s">
        <v>175</v>
      </c>
      <c r="C209" s="1496"/>
      <c r="D209" s="1496"/>
      <c r="E209" s="1496"/>
      <c r="F209" s="1496"/>
      <c r="G209" s="1496"/>
      <c r="H209" s="1496"/>
      <c r="I209" s="1496"/>
      <c r="J209" s="514">
        <f>SUM(J207:J208)</f>
        <v>0</v>
      </c>
      <c r="K209" s="471"/>
    </row>
    <row r="210" spans="1:13">
      <c r="A210" s="463"/>
      <c r="B210" s="580"/>
      <c r="C210" s="524"/>
      <c r="D210" s="524"/>
      <c r="E210" s="581"/>
      <c r="F210" s="582"/>
      <c r="G210" s="583"/>
      <c r="H210" s="583"/>
      <c r="I210" s="584"/>
      <c r="J210" s="585"/>
      <c r="K210" s="471"/>
    </row>
    <row r="211" spans="1:13">
      <c r="A211" s="463"/>
      <c r="B211" s="586" t="s">
        <v>957</v>
      </c>
      <c r="C211" s="586"/>
      <c r="D211" s="563"/>
      <c r="E211" s="536"/>
      <c r="F211" s="536"/>
      <c r="G211" s="536"/>
      <c r="H211" s="587"/>
      <c r="I211" s="588"/>
      <c r="J211" s="514">
        <f>(J196+J204+J209)/E196</f>
        <v>13.799743488846278</v>
      </c>
      <c r="K211" s="471"/>
      <c r="L211">
        <v>13.7997432605905</v>
      </c>
      <c r="M211" s="6"/>
    </row>
    <row r="212" spans="1:13">
      <c r="A212" s="463"/>
      <c r="B212" s="566"/>
      <c r="C212" s="539"/>
      <c r="D212" s="539"/>
      <c r="E212" s="567"/>
      <c r="F212" s="568"/>
      <c r="G212" s="519"/>
      <c r="H212" s="519"/>
      <c r="I212" s="542"/>
      <c r="J212" s="589"/>
      <c r="K212" s="471"/>
    </row>
    <row r="213" spans="1:13" ht="20.399999999999999">
      <c r="A213" s="463"/>
      <c r="B213" s="1493" t="s">
        <v>958</v>
      </c>
      <c r="C213" s="1494"/>
      <c r="D213" s="1494"/>
      <c r="E213" s="1494"/>
      <c r="F213" s="1495"/>
      <c r="G213" s="569" t="s">
        <v>372</v>
      </c>
      <c r="H213" s="519" t="s">
        <v>956</v>
      </c>
      <c r="I213" s="570" t="s">
        <v>942</v>
      </c>
      <c r="J213" s="522" t="s">
        <v>363</v>
      </c>
      <c r="K213" s="471"/>
      <c r="M213" s="6"/>
    </row>
    <row r="214" spans="1:13">
      <c r="A214" s="463"/>
      <c r="B214" s="571"/>
      <c r="C214" s="572"/>
      <c r="D214" s="573"/>
      <c r="E214" s="573"/>
      <c r="F214" s="574"/>
      <c r="G214" s="502"/>
      <c r="H214" s="502"/>
      <c r="I214" s="575"/>
      <c r="J214" s="505">
        <f>G214*I214</f>
        <v>0</v>
      </c>
      <c r="K214" s="471"/>
      <c r="M214" s="6"/>
    </row>
    <row r="215" spans="1:13">
      <c r="A215" s="463"/>
      <c r="B215" s="590"/>
      <c r="C215" s="591"/>
      <c r="D215" s="592"/>
      <c r="E215" s="592"/>
      <c r="F215" s="593"/>
      <c r="G215" s="502"/>
      <c r="H215" s="502"/>
      <c r="I215" s="575"/>
      <c r="J215" s="505">
        <f>G215*I215</f>
        <v>0</v>
      </c>
      <c r="K215" s="471"/>
    </row>
    <row r="216" spans="1:13">
      <c r="A216" s="463"/>
      <c r="B216" s="594"/>
      <c r="C216" s="536"/>
      <c r="D216" s="536"/>
      <c r="E216" s="595"/>
      <c r="F216" s="596"/>
      <c r="G216" s="545"/>
      <c r="H216" s="545"/>
      <c r="I216" s="537" t="s">
        <v>175</v>
      </c>
      <c r="J216" s="514">
        <f>SUM(J214:J215)</f>
        <v>0</v>
      </c>
      <c r="K216" s="471"/>
    </row>
    <row r="217" spans="1:13">
      <c r="A217" s="463"/>
      <c r="B217" s="597"/>
      <c r="C217" s="536"/>
      <c r="D217" s="536"/>
      <c r="E217" s="595"/>
      <c r="F217" s="596"/>
      <c r="G217" s="545"/>
      <c r="H217" s="545"/>
      <c r="I217" s="537"/>
      <c r="J217" s="595"/>
      <c r="K217" s="471"/>
    </row>
    <row r="218" spans="1:13" ht="20.399999999999999">
      <c r="A218" s="463"/>
      <c r="B218" s="598" t="s">
        <v>959</v>
      </c>
      <c r="C218" s="598"/>
      <c r="D218" s="598"/>
      <c r="E218" s="599"/>
      <c r="F218" s="600" t="s">
        <v>372</v>
      </c>
      <c r="G218" s="569" t="s">
        <v>960</v>
      </c>
      <c r="H218" s="519" t="s">
        <v>942</v>
      </c>
      <c r="I218" s="570" t="s">
        <v>361</v>
      </c>
      <c r="J218" s="522" t="s">
        <v>363</v>
      </c>
      <c r="K218" s="471"/>
    </row>
    <row r="219" spans="1:13">
      <c r="A219" s="463"/>
      <c r="B219" s="576" t="s">
        <v>946</v>
      </c>
      <c r="C219" s="577"/>
      <c r="D219" s="578"/>
      <c r="E219" s="579" t="s">
        <v>946</v>
      </c>
      <c r="F219" s="502">
        <v>0</v>
      </c>
      <c r="G219" s="502">
        <v>0</v>
      </c>
      <c r="H219" s="502">
        <v>0</v>
      </c>
      <c r="I219" s="575">
        <v>0</v>
      </c>
      <c r="J219" s="505">
        <f>I219*H219*G219*F219</f>
        <v>0</v>
      </c>
      <c r="K219" s="471"/>
    </row>
    <row r="220" spans="1:13">
      <c r="A220" s="463"/>
      <c r="B220" s="590" t="s">
        <v>946</v>
      </c>
      <c r="C220" s="591"/>
      <c r="D220" s="592"/>
      <c r="E220" s="593" t="s">
        <v>946</v>
      </c>
      <c r="F220" s="509">
        <v>0</v>
      </c>
      <c r="G220" s="509">
        <v>0</v>
      </c>
      <c r="H220" s="509">
        <v>0</v>
      </c>
      <c r="I220" s="601">
        <v>0</v>
      </c>
      <c r="J220" s="505">
        <f>I220*H220*G220*F220</f>
        <v>0</v>
      </c>
      <c r="K220" s="471"/>
    </row>
    <row r="221" spans="1:13">
      <c r="A221" s="463"/>
      <c r="B221" s="594"/>
      <c r="C221" s="536"/>
      <c r="D221" s="536"/>
      <c r="E221" s="595"/>
      <c r="F221" s="596"/>
      <c r="G221" s="545"/>
      <c r="H221" s="545"/>
      <c r="I221" s="537" t="s">
        <v>175</v>
      </c>
      <c r="J221" s="514">
        <f>SUM(J219:J220)</f>
        <v>0</v>
      </c>
      <c r="K221" s="471"/>
    </row>
    <row r="222" spans="1:13">
      <c r="A222" s="463"/>
      <c r="B222" s="536"/>
      <c r="C222" s="536"/>
      <c r="D222" s="536"/>
      <c r="E222" s="536"/>
      <c r="F222" s="536"/>
      <c r="G222" s="536"/>
      <c r="H222" s="536"/>
      <c r="I222" s="537"/>
      <c r="J222" s="536"/>
      <c r="K222" s="471"/>
    </row>
    <row r="223" spans="1:13">
      <c r="A223" s="463"/>
      <c r="B223" s="1481" t="s">
        <v>963</v>
      </c>
      <c r="C223" s="1482"/>
      <c r="D223" s="1482"/>
      <c r="E223" s="1482"/>
      <c r="F223" s="1482"/>
      <c r="G223" s="1482"/>
      <c r="H223" s="1482"/>
      <c r="I223" s="1483"/>
      <c r="J223" s="586">
        <v>13.799743488846278</v>
      </c>
      <c r="K223" s="471"/>
    </row>
    <row r="224" spans="1:13">
      <c r="A224" s="463"/>
      <c r="B224" s="524"/>
      <c r="C224" s="524"/>
      <c r="D224" s="524"/>
      <c r="E224" s="524"/>
      <c r="F224" s="524"/>
      <c r="G224" s="524"/>
      <c r="H224" s="524"/>
      <c r="I224" s="584"/>
      <c r="J224" s="524"/>
      <c r="K224" s="471"/>
    </row>
    <row r="225" spans="1:11">
      <c r="A225" s="463"/>
      <c r="B225" s="602"/>
      <c r="C225" s="572"/>
      <c r="D225" s="572"/>
      <c r="E225" s="572"/>
      <c r="F225" s="572"/>
      <c r="G225" s="572"/>
      <c r="H225" s="572"/>
      <c r="I225" s="572"/>
      <c r="J225" s="603"/>
      <c r="K225" s="471"/>
    </row>
    <row r="226" spans="1:11">
      <c r="A226" s="463"/>
      <c r="B226" s="604"/>
      <c r="C226" s="605"/>
      <c r="D226" s="606"/>
      <c r="E226" s="606"/>
      <c r="F226" s="607" t="s">
        <v>946</v>
      </c>
      <c r="G226" s="608" t="s">
        <v>946</v>
      </c>
      <c r="H226" s="605"/>
      <c r="I226" s="605"/>
      <c r="J226" s="609"/>
      <c r="K226" s="471"/>
    </row>
    <row r="227" spans="1:11">
      <c r="A227" s="463"/>
      <c r="B227" s="472"/>
      <c r="C227" s="472"/>
      <c r="D227" s="472"/>
      <c r="E227" s="472"/>
      <c r="F227" s="472"/>
      <c r="G227" s="472"/>
      <c r="H227" s="472"/>
      <c r="I227" s="472"/>
      <c r="J227" s="472"/>
      <c r="K227" s="471"/>
    </row>
    <row r="228" spans="1:11">
      <c r="A228" s="463"/>
      <c r="B228" s="610" t="str">
        <f>B171</f>
        <v>OPERAÇÃO DE SUPRESSÃO E SUMP</v>
      </c>
      <c r="C228" s="611"/>
      <c r="D228" s="611"/>
      <c r="E228" s="611"/>
      <c r="F228" s="612"/>
      <c r="G228" s="613" t="s">
        <v>363</v>
      </c>
      <c r="H228" s="515"/>
      <c r="I228" s="515"/>
      <c r="J228" s="518"/>
      <c r="K228" s="471"/>
    </row>
    <row r="229" spans="1:11">
      <c r="A229" s="463"/>
      <c r="B229" s="614" t="str">
        <f>B172</f>
        <v>MARA ROSA</v>
      </c>
      <c r="C229" s="615"/>
      <c r="D229" s="615"/>
      <c r="E229" s="615"/>
      <c r="F229" s="616"/>
      <c r="G229" s="1484" t="s">
        <v>964</v>
      </c>
      <c r="H229" s="1485"/>
      <c r="I229" s="1485"/>
      <c r="J229" s="1486"/>
      <c r="K229" s="471"/>
    </row>
    <row r="230" spans="1:11">
      <c r="A230" s="463"/>
      <c r="B230" s="617"/>
      <c r="C230" s="618"/>
      <c r="D230" s="618"/>
      <c r="E230" s="618"/>
      <c r="F230" s="619"/>
      <c r="G230" s="620"/>
      <c r="H230" s="1487"/>
      <c r="I230" s="1488"/>
      <c r="J230" s="1489"/>
      <c r="K230" s="471"/>
    </row>
    <row r="231" spans="1:11" ht="15" thickBot="1">
      <c r="A231" s="463"/>
      <c r="B231" s="1012"/>
      <c r="C231" s="472"/>
      <c r="D231" s="472"/>
      <c r="E231" s="472"/>
      <c r="F231" s="472"/>
      <c r="G231" s="472"/>
      <c r="H231" s="1013"/>
      <c r="I231" s="1013"/>
      <c r="J231" s="1013"/>
      <c r="K231" s="471"/>
    </row>
    <row r="232" spans="1:11">
      <c r="A232" s="460"/>
      <c r="B232" s="461"/>
      <c r="C232" s="461"/>
      <c r="D232" s="461"/>
      <c r="E232" s="461"/>
      <c r="F232" s="461"/>
      <c r="G232" s="461"/>
      <c r="H232" s="461"/>
      <c r="I232" s="461"/>
      <c r="J232" s="461"/>
      <c r="K232" s="462"/>
    </row>
    <row r="233" spans="1:11">
      <c r="A233" s="463"/>
      <c r="B233" s="464" t="s">
        <v>178</v>
      </c>
      <c r="C233" s="465"/>
      <c r="D233" s="466" t="s">
        <v>936</v>
      </c>
      <c r="E233" s="467"/>
      <c r="F233" s="468"/>
      <c r="G233" s="468"/>
      <c r="H233" s="469"/>
      <c r="I233" s="469"/>
      <c r="J233" s="470"/>
      <c r="K233" s="471"/>
    </row>
    <row r="234" spans="1:11">
      <c r="A234" s="463"/>
      <c r="B234" s="472"/>
      <c r="C234" s="472"/>
      <c r="D234" s="472"/>
      <c r="E234" s="472"/>
      <c r="F234" s="472"/>
      <c r="G234" s="472"/>
      <c r="H234" s="472"/>
      <c r="I234" s="472"/>
      <c r="J234" s="472"/>
      <c r="K234" s="471"/>
    </row>
    <row r="235" spans="1:11">
      <c r="A235" s="463"/>
      <c r="B235" s="473" t="s">
        <v>688</v>
      </c>
      <c r="C235" s="474" t="s">
        <v>937</v>
      </c>
      <c r="D235" s="1497" t="s">
        <v>250</v>
      </c>
      <c r="E235" s="1498"/>
      <c r="F235" s="1498"/>
      <c r="G235" s="1498"/>
      <c r="H235" s="1498"/>
      <c r="I235" s="1499"/>
      <c r="J235" s="475" t="s">
        <v>267</v>
      </c>
      <c r="K235" s="471"/>
    </row>
    <row r="236" spans="1:11" ht="15" customHeight="1">
      <c r="A236" s="463"/>
      <c r="B236" s="476" t="s">
        <v>3</v>
      </c>
      <c r="C236" s="477">
        <f ca="1">C121</f>
        <v>46140</v>
      </c>
      <c r="D236" s="681" t="s">
        <v>1485</v>
      </c>
      <c r="E236" s="479"/>
      <c r="F236" s="479"/>
      <c r="G236" s="479"/>
      <c r="H236" s="479"/>
      <c r="I236" s="480"/>
      <c r="J236" s="481" t="str">
        <f>F253</f>
        <v>m3</v>
      </c>
      <c r="K236" s="471"/>
    </row>
    <row r="237" spans="1:11">
      <c r="A237" s="463"/>
      <c r="B237" s="482"/>
      <c r="C237" s="482"/>
      <c r="D237" s="482"/>
      <c r="E237" s="482"/>
      <c r="F237" s="482"/>
      <c r="G237" s="482"/>
      <c r="H237" s="482"/>
      <c r="I237" s="483"/>
      <c r="J237" s="484"/>
      <c r="K237" s="471"/>
    </row>
    <row r="238" spans="1:11">
      <c r="A238" s="463"/>
      <c r="B238" s="1484" t="s">
        <v>938</v>
      </c>
      <c r="C238" s="1486"/>
      <c r="D238" s="1502" t="s">
        <v>688</v>
      </c>
      <c r="E238" s="1504" t="s">
        <v>939</v>
      </c>
      <c r="F238" s="485" t="s">
        <v>940</v>
      </c>
      <c r="G238" s="486"/>
      <c r="H238" s="485" t="s">
        <v>941</v>
      </c>
      <c r="I238" s="486"/>
      <c r="J238" s="487" t="s">
        <v>942</v>
      </c>
      <c r="K238" s="471"/>
    </row>
    <row r="239" spans="1:11">
      <c r="A239" s="463"/>
      <c r="B239" s="1500"/>
      <c r="C239" s="1501"/>
      <c r="D239" s="1503"/>
      <c r="E239" s="1505"/>
      <c r="F239" s="488" t="s">
        <v>943</v>
      </c>
      <c r="G239" s="488" t="s">
        <v>944</v>
      </c>
      <c r="H239" s="488" t="s">
        <v>943</v>
      </c>
      <c r="I239" s="489" t="s">
        <v>944</v>
      </c>
      <c r="J239" s="490" t="s">
        <v>945</v>
      </c>
      <c r="K239" s="471"/>
    </row>
    <row r="240" spans="1:11">
      <c r="A240" s="463"/>
      <c r="B240" s="499" t="s">
        <v>619</v>
      </c>
      <c r="C240" s="500"/>
      <c r="D240" s="501"/>
      <c r="E240" s="502">
        <v>1</v>
      </c>
      <c r="F240" s="502">
        <v>1</v>
      </c>
      <c r="G240" s="502">
        <f>1-F240</f>
        <v>0</v>
      </c>
      <c r="H240" s="503">
        <f>VLOOKUP(B240,EQUIPAMENTOS!$A:$J,10,FALSE)</f>
        <v>70</v>
      </c>
      <c r="I240" s="504">
        <f>H240</f>
        <v>70</v>
      </c>
      <c r="J240" s="505">
        <f>H240*F240*E240+I240*G240*E240</f>
        <v>70</v>
      </c>
      <c r="K240" s="471"/>
    </row>
    <row r="241" spans="1:14">
      <c r="A241" s="463"/>
      <c r="B241" s="499"/>
      <c r="C241" s="500"/>
      <c r="D241" s="501"/>
      <c r="E241" s="502"/>
      <c r="F241" s="502"/>
      <c r="G241" s="502"/>
      <c r="H241" s="503"/>
      <c r="I241" s="504"/>
      <c r="J241" s="505">
        <f>H241*F241*E241+I241*G241*E241</f>
        <v>0</v>
      </c>
      <c r="K241" s="471"/>
    </row>
    <row r="242" spans="1:14">
      <c r="A242" s="463"/>
      <c r="B242" s="499"/>
      <c r="C242" s="500"/>
      <c r="D242" s="501"/>
      <c r="E242" s="502"/>
      <c r="F242" s="502"/>
      <c r="G242" s="502"/>
      <c r="H242" s="503"/>
      <c r="I242" s="504"/>
      <c r="J242" s="505"/>
      <c r="K242" s="471"/>
    </row>
    <row r="243" spans="1:14">
      <c r="A243" s="463"/>
      <c r="B243" s="499"/>
      <c r="C243" s="500"/>
      <c r="D243" s="501"/>
      <c r="E243" s="502"/>
      <c r="F243" s="502"/>
      <c r="G243" s="502"/>
      <c r="H243" s="503"/>
      <c r="I243" s="504"/>
      <c r="J243" s="505"/>
      <c r="K243" s="471"/>
    </row>
    <row r="244" spans="1:14">
      <c r="A244" s="463"/>
      <c r="B244" s="506"/>
      <c r="C244" s="507"/>
      <c r="D244" s="508"/>
      <c r="E244" s="509"/>
      <c r="F244" s="509"/>
      <c r="G244" s="509"/>
      <c r="H244" s="510"/>
      <c r="I244" s="511"/>
      <c r="J244" s="505">
        <f>H244*F244*E244+I244*G244*E244</f>
        <v>0</v>
      </c>
      <c r="K244" s="471"/>
    </row>
    <row r="245" spans="1:14">
      <c r="A245" s="463"/>
      <c r="B245" s="512" t="s">
        <v>946</v>
      </c>
      <c r="C245" s="482"/>
      <c r="D245" s="482"/>
      <c r="E245" s="482"/>
      <c r="F245" s="482"/>
      <c r="G245" s="482"/>
      <c r="H245" s="482"/>
      <c r="I245" s="513" t="s">
        <v>175</v>
      </c>
      <c r="J245" s="514">
        <f>SUM(J240:J244)</f>
        <v>70</v>
      </c>
      <c r="K245" s="471"/>
      <c r="L245" s="6">
        <f>J245/E253</f>
        <v>8.0035591901442782</v>
      </c>
    </row>
    <row r="246" spans="1:14">
      <c r="A246" s="463"/>
      <c r="B246" s="515"/>
      <c r="C246" s="515"/>
      <c r="D246" s="515"/>
      <c r="E246" s="515"/>
      <c r="F246" s="515"/>
      <c r="G246" s="515"/>
      <c r="H246" s="515"/>
      <c r="I246" s="516"/>
      <c r="J246" s="517"/>
      <c r="K246" s="471"/>
    </row>
    <row r="247" spans="1:14" ht="20.399999999999999">
      <c r="A247" s="463"/>
      <c r="B247" s="1490" t="s">
        <v>947</v>
      </c>
      <c r="C247" s="1491"/>
      <c r="D247" s="1491"/>
      <c r="E247" s="1492"/>
      <c r="F247" s="725" t="s">
        <v>688</v>
      </c>
      <c r="G247" s="853"/>
      <c r="H247" s="520" t="s">
        <v>427</v>
      </c>
      <c r="I247" s="521" t="s">
        <v>948</v>
      </c>
      <c r="J247" s="522" t="s">
        <v>949</v>
      </c>
      <c r="K247" s="471"/>
    </row>
    <row r="248" spans="1:14">
      <c r="A248" s="463"/>
      <c r="B248" s="530" t="s">
        <v>1171</v>
      </c>
      <c r="C248" s="531"/>
      <c r="D248" s="472"/>
      <c r="E248" s="500"/>
      <c r="F248" s="501"/>
      <c r="G248" s="532"/>
      <c r="H248" s="533">
        <f>E240</f>
        <v>1</v>
      </c>
      <c r="I248" s="534">
        <f>(VLOOKUP(B248,'MÃO DE OBRA'!$A:$E,5,FALSE)/220)</f>
        <v>23.69</v>
      </c>
      <c r="J248" s="505">
        <f>H248*I248</f>
        <v>23.69</v>
      </c>
      <c r="K248" s="471"/>
    </row>
    <row r="249" spans="1:14">
      <c r="A249" s="463"/>
      <c r="B249" s="530" t="s">
        <v>472</v>
      </c>
      <c r="C249" s="531"/>
      <c r="D249" s="472"/>
      <c r="E249" s="500"/>
      <c r="F249" s="501"/>
      <c r="G249" s="532"/>
      <c r="H249" s="533">
        <v>2</v>
      </c>
      <c r="I249" s="534">
        <f>(VLOOKUP(B249,'MÃO DE OBRA'!$A:$E,5,FALSE)/220)</f>
        <v>18.377072727272729</v>
      </c>
      <c r="J249" s="505">
        <f>H249*I249</f>
        <v>36.754145454545458</v>
      </c>
      <c r="K249" s="471"/>
      <c r="N249" s="6">
        <f>J249/E253</f>
        <v>4.2023425518375266</v>
      </c>
    </row>
    <row r="250" spans="1:14">
      <c r="A250" s="463"/>
      <c r="B250" s="530"/>
      <c r="C250" s="531"/>
      <c r="D250" s="472"/>
      <c r="E250" s="500"/>
      <c r="F250" s="501"/>
      <c r="G250" s="532"/>
      <c r="H250" s="533"/>
      <c r="I250" s="534"/>
      <c r="J250" s="505">
        <f>H250*I250</f>
        <v>0</v>
      </c>
      <c r="K250" s="471"/>
    </row>
    <row r="251" spans="1:14">
      <c r="A251" s="463"/>
      <c r="B251" s="512" t="s">
        <v>946</v>
      </c>
      <c r="C251" s="515"/>
      <c r="D251" s="515"/>
      <c r="E251" s="515"/>
      <c r="F251" s="515"/>
      <c r="G251" s="515"/>
      <c r="H251" s="515"/>
      <c r="I251" s="535" t="s">
        <v>175</v>
      </c>
      <c r="J251" s="514">
        <f>SUM(J248:J250)</f>
        <v>60.444145454545463</v>
      </c>
      <c r="K251" s="471"/>
    </row>
    <row r="252" spans="1:14">
      <c r="A252" s="463"/>
      <c r="B252" s="536"/>
      <c r="C252" s="536"/>
      <c r="D252" s="536"/>
      <c r="E252" s="536"/>
      <c r="F252" s="536"/>
      <c r="G252" s="536"/>
      <c r="H252" s="536"/>
      <c r="I252" s="537"/>
      <c r="J252" s="536"/>
      <c r="K252" s="471"/>
    </row>
    <row r="253" spans="1:14">
      <c r="A253" s="463"/>
      <c r="B253" s="538" t="s">
        <v>952</v>
      </c>
      <c r="C253" s="539"/>
      <c r="D253" s="536"/>
      <c r="E253" s="540">
        <v>8.7461088669400002</v>
      </c>
      <c r="F253" s="541" t="s">
        <v>931</v>
      </c>
      <c r="G253" s="519"/>
      <c r="H253" s="519"/>
      <c r="I253" s="542" t="s">
        <v>953</v>
      </c>
      <c r="J253" s="514">
        <f>J245+J251</f>
        <v>130.44414545454546</v>
      </c>
      <c r="K253" s="471"/>
    </row>
    <row r="254" spans="1:14">
      <c r="A254" s="463"/>
      <c r="B254" s="543"/>
      <c r="C254" s="536"/>
      <c r="D254" s="536"/>
      <c r="E254" s="544"/>
      <c r="F254" s="545"/>
      <c r="G254" s="545"/>
      <c r="H254" s="545"/>
      <c r="I254" s="537"/>
      <c r="J254" s="536"/>
      <c r="K254" s="471"/>
    </row>
    <row r="255" spans="1:14" ht="20.399999999999999">
      <c r="A255" s="463"/>
      <c r="B255" s="1493" t="s">
        <v>362</v>
      </c>
      <c r="C255" s="1494"/>
      <c r="D255" s="1494"/>
      <c r="E255" s="1495"/>
      <c r="F255" s="546" t="s">
        <v>688</v>
      </c>
      <c r="G255" s="547" t="s">
        <v>371</v>
      </c>
      <c r="H255" s="520" t="s">
        <v>942</v>
      </c>
      <c r="I255" s="548" t="s">
        <v>361</v>
      </c>
      <c r="J255" s="549" t="s">
        <v>363</v>
      </c>
      <c r="K255" s="471"/>
    </row>
    <row r="256" spans="1:14">
      <c r="A256" s="463"/>
      <c r="B256" s="557" t="str">
        <f>B240</f>
        <v xml:space="preserve">Caminhão carroceria </v>
      </c>
      <c r="C256" s="531"/>
      <c r="D256" s="531"/>
      <c r="E256" s="500"/>
      <c r="F256" s="553" t="str">
        <f>VLOOKUP(B256,EQUIPAMENTOS!$A:$N,12,FALSE)</f>
        <v>Diesel S10</v>
      </c>
      <c r="G256" s="554" t="s">
        <v>415</v>
      </c>
      <c r="H256" s="560">
        <f>VLOOKUP(B256,EQUIPAMENTOS!$A:$N,13,FALSE)</f>
        <v>0</v>
      </c>
      <c r="I256" s="556">
        <f>VLOOKUP(B256,EQUIPAMENTOS!$A:$N,14,FALSE)</f>
        <v>5</v>
      </c>
      <c r="J256" s="505">
        <f>H256*I256*E240*F240</f>
        <v>0</v>
      </c>
      <c r="K256" s="471"/>
    </row>
    <row r="257" spans="1:13">
      <c r="A257" s="463"/>
      <c r="B257" s="557"/>
      <c r="C257" s="531"/>
      <c r="D257" s="531"/>
      <c r="E257" s="500"/>
      <c r="F257" s="553"/>
      <c r="G257" s="554"/>
      <c r="H257" s="560"/>
      <c r="I257" s="560"/>
      <c r="J257" s="505">
        <f>H257*I257*E241*F241</f>
        <v>0</v>
      </c>
      <c r="K257" s="471"/>
    </row>
    <row r="258" spans="1:13">
      <c r="A258" s="463"/>
      <c r="B258" s="557"/>
      <c r="C258" s="531"/>
      <c r="D258" s="531"/>
      <c r="E258" s="500"/>
      <c r="F258" s="553"/>
      <c r="G258" s="554"/>
      <c r="H258" s="560"/>
      <c r="I258" s="560"/>
      <c r="J258" s="505"/>
      <c r="K258" s="471"/>
    </row>
    <row r="259" spans="1:13">
      <c r="A259" s="463"/>
      <c r="B259" s="557"/>
      <c r="C259" s="531"/>
      <c r="D259" s="531"/>
      <c r="E259" s="500"/>
      <c r="F259" s="553"/>
      <c r="G259" s="554"/>
      <c r="H259" s="560"/>
      <c r="I259" s="560"/>
      <c r="J259" s="505"/>
      <c r="K259" s="471"/>
    </row>
    <row r="260" spans="1:13">
      <c r="A260" s="463"/>
      <c r="B260" s="557"/>
      <c r="C260" s="539"/>
      <c r="D260" s="539"/>
      <c r="E260" s="507"/>
      <c r="F260" s="553"/>
      <c r="G260" s="736"/>
      <c r="H260" s="560"/>
      <c r="I260" s="560"/>
      <c r="J260" s="505"/>
      <c r="K260" s="471"/>
    </row>
    <row r="261" spans="1:13">
      <c r="A261" s="463"/>
      <c r="B261" s="563" t="s">
        <v>946</v>
      </c>
      <c r="C261" s="536"/>
      <c r="D261" s="536"/>
      <c r="E261" s="536"/>
      <c r="F261" s="536"/>
      <c r="G261" s="536"/>
      <c r="H261" s="564"/>
      <c r="I261" s="565" t="s">
        <v>175</v>
      </c>
      <c r="J261" s="514">
        <f>SUM(J256:J260)</f>
        <v>0</v>
      </c>
      <c r="K261" s="471"/>
      <c r="L261" s="6">
        <f>J261/E253</f>
        <v>0</v>
      </c>
    </row>
    <row r="262" spans="1:13">
      <c r="A262" s="463"/>
      <c r="B262" s="566"/>
      <c r="C262" s="539"/>
      <c r="D262" s="539"/>
      <c r="E262" s="567"/>
      <c r="F262" s="568"/>
      <c r="G262" s="519"/>
      <c r="H262" s="519"/>
      <c r="I262" s="542"/>
      <c r="J262" s="567"/>
      <c r="K262" s="471"/>
    </row>
    <row r="263" spans="1:13" ht="20.399999999999999">
      <c r="A263" s="463"/>
      <c r="B263" s="1493" t="s">
        <v>955</v>
      </c>
      <c r="C263" s="1494"/>
      <c r="D263" s="1494"/>
      <c r="E263" s="1494"/>
      <c r="F263" s="1495"/>
      <c r="G263" s="569" t="s">
        <v>372</v>
      </c>
      <c r="H263" s="519" t="s">
        <v>956</v>
      </c>
      <c r="I263" s="570" t="s">
        <v>942</v>
      </c>
      <c r="J263" s="522" t="s">
        <v>363</v>
      </c>
      <c r="K263" s="471"/>
    </row>
    <row r="264" spans="1:13">
      <c r="A264" s="463"/>
      <c r="B264" s="571"/>
      <c r="C264" s="572"/>
      <c r="D264" s="573"/>
      <c r="E264" s="573"/>
      <c r="F264" s="574"/>
      <c r="G264" s="502"/>
      <c r="H264" s="502"/>
      <c r="I264" s="575"/>
      <c r="J264" s="505"/>
      <c r="K264" s="471"/>
    </row>
    <row r="265" spans="1:13">
      <c r="A265" s="463"/>
      <c r="B265" s="576"/>
      <c r="C265" s="577"/>
      <c r="D265" s="578"/>
      <c r="E265" s="578"/>
      <c r="F265" s="579"/>
      <c r="G265" s="502"/>
      <c r="H265" s="502"/>
      <c r="I265" s="575"/>
      <c r="J265" s="505"/>
      <c r="K265" s="471"/>
    </row>
    <row r="266" spans="1:13">
      <c r="A266" s="463"/>
      <c r="B266" s="1496" t="s">
        <v>175</v>
      </c>
      <c r="C266" s="1496"/>
      <c r="D266" s="1496"/>
      <c r="E266" s="1496"/>
      <c r="F266" s="1496"/>
      <c r="G266" s="1496"/>
      <c r="H266" s="1496"/>
      <c r="I266" s="1496"/>
      <c r="J266" s="514">
        <f>SUM(J264:J265)</f>
        <v>0</v>
      </c>
      <c r="K266" s="471"/>
    </row>
    <row r="267" spans="1:13">
      <c r="A267" s="463"/>
      <c r="B267" s="580"/>
      <c r="C267" s="524"/>
      <c r="D267" s="524"/>
      <c r="E267" s="581"/>
      <c r="F267" s="582"/>
      <c r="G267" s="583"/>
      <c r="H267" s="583"/>
      <c r="I267" s="584"/>
      <c r="J267" s="585"/>
      <c r="K267" s="471"/>
    </row>
    <row r="268" spans="1:13">
      <c r="A268" s="463"/>
      <c r="B268" s="586" t="s">
        <v>957</v>
      </c>
      <c r="C268" s="586"/>
      <c r="D268" s="563"/>
      <c r="E268" s="536"/>
      <c r="F268" s="536"/>
      <c r="G268" s="536"/>
      <c r="H268" s="587"/>
      <c r="I268" s="588"/>
      <c r="J268" s="514">
        <f>(J253+J261+J266)/E253</f>
        <v>14.914534845046347</v>
      </c>
      <c r="K268" s="471"/>
      <c r="L268">
        <v>14.914532801837714</v>
      </c>
      <c r="M268" s="6"/>
    </row>
    <row r="269" spans="1:13">
      <c r="A269" s="463"/>
      <c r="B269" s="566"/>
      <c r="C269" s="539"/>
      <c r="D269" s="539"/>
      <c r="E269" s="567"/>
      <c r="F269" s="568"/>
      <c r="G269" s="519"/>
      <c r="H269" s="519"/>
      <c r="I269" s="542"/>
      <c r="J269" s="589"/>
      <c r="K269" s="471"/>
    </row>
    <row r="270" spans="1:13" ht="20.399999999999999">
      <c r="A270" s="463"/>
      <c r="B270" s="1493" t="s">
        <v>958</v>
      </c>
      <c r="C270" s="1494"/>
      <c r="D270" s="1494"/>
      <c r="E270" s="1494"/>
      <c r="F270" s="1495"/>
      <c r="G270" s="569" t="s">
        <v>372</v>
      </c>
      <c r="H270" s="519" t="s">
        <v>956</v>
      </c>
      <c r="I270" s="570" t="s">
        <v>942</v>
      </c>
      <c r="J270" s="522" t="s">
        <v>363</v>
      </c>
      <c r="K270" s="471"/>
      <c r="M270" s="6"/>
    </row>
    <row r="271" spans="1:13">
      <c r="A271" s="463"/>
      <c r="B271" s="571"/>
      <c r="C271" s="572"/>
      <c r="D271" s="573"/>
      <c r="E271" s="573"/>
      <c r="F271" s="574"/>
      <c r="G271" s="502"/>
      <c r="H271" s="502"/>
      <c r="I271" s="575"/>
      <c r="J271" s="505">
        <f>G271*I271</f>
        <v>0</v>
      </c>
      <c r="K271" s="471"/>
      <c r="M271" s="6"/>
    </row>
    <row r="272" spans="1:13">
      <c r="A272" s="463"/>
      <c r="B272" s="590"/>
      <c r="C272" s="591"/>
      <c r="D272" s="592"/>
      <c r="E272" s="592"/>
      <c r="F272" s="593"/>
      <c r="G272" s="502"/>
      <c r="H272" s="502"/>
      <c r="I272" s="575"/>
      <c r="J272" s="505">
        <f>G272*I272</f>
        <v>0</v>
      </c>
      <c r="K272" s="471"/>
    </row>
    <row r="273" spans="1:11">
      <c r="A273" s="463"/>
      <c r="B273" s="594"/>
      <c r="C273" s="536"/>
      <c r="D273" s="536"/>
      <c r="E273" s="595"/>
      <c r="F273" s="596"/>
      <c r="G273" s="545"/>
      <c r="H273" s="545"/>
      <c r="I273" s="537" t="s">
        <v>175</v>
      </c>
      <c r="J273" s="514">
        <f>SUM(J271:J272)</f>
        <v>0</v>
      </c>
      <c r="K273" s="471"/>
    </row>
    <row r="274" spans="1:11">
      <c r="A274" s="463"/>
      <c r="B274" s="597"/>
      <c r="C274" s="536"/>
      <c r="D274" s="536"/>
      <c r="E274" s="595"/>
      <c r="F274" s="596"/>
      <c r="G274" s="545"/>
      <c r="H274" s="545"/>
      <c r="I274" s="537"/>
      <c r="J274" s="595"/>
      <c r="K274" s="471"/>
    </row>
    <row r="275" spans="1:11" ht="20.399999999999999">
      <c r="A275" s="463"/>
      <c r="B275" s="598" t="s">
        <v>959</v>
      </c>
      <c r="C275" s="598"/>
      <c r="D275" s="598"/>
      <c r="E275" s="599"/>
      <c r="F275" s="600" t="s">
        <v>372</v>
      </c>
      <c r="G275" s="569" t="s">
        <v>960</v>
      </c>
      <c r="H275" s="519" t="s">
        <v>942</v>
      </c>
      <c r="I275" s="570" t="s">
        <v>361</v>
      </c>
      <c r="J275" s="522" t="s">
        <v>363</v>
      </c>
      <c r="K275" s="471"/>
    </row>
    <row r="276" spans="1:11">
      <c r="A276" s="463"/>
      <c r="B276" s="576" t="s">
        <v>946</v>
      </c>
      <c r="C276" s="577"/>
      <c r="D276" s="578"/>
      <c r="E276" s="579" t="s">
        <v>946</v>
      </c>
      <c r="F276" s="502">
        <v>0</v>
      </c>
      <c r="G276" s="502">
        <v>0</v>
      </c>
      <c r="H276" s="502">
        <v>0</v>
      </c>
      <c r="I276" s="575">
        <v>0</v>
      </c>
      <c r="J276" s="505">
        <f>I276*H276*G276*F276</f>
        <v>0</v>
      </c>
      <c r="K276" s="471"/>
    </row>
    <row r="277" spans="1:11">
      <c r="A277" s="463"/>
      <c r="B277" s="590" t="s">
        <v>946</v>
      </c>
      <c r="C277" s="591"/>
      <c r="D277" s="592"/>
      <c r="E277" s="593" t="s">
        <v>946</v>
      </c>
      <c r="F277" s="509">
        <v>0</v>
      </c>
      <c r="G277" s="509">
        <v>0</v>
      </c>
      <c r="H277" s="509">
        <v>0</v>
      </c>
      <c r="I277" s="601">
        <v>0</v>
      </c>
      <c r="J277" s="505">
        <f>I277*H277*G277*F277</f>
        <v>0</v>
      </c>
      <c r="K277" s="471"/>
    </row>
    <row r="278" spans="1:11">
      <c r="A278" s="463"/>
      <c r="B278" s="594"/>
      <c r="C278" s="536"/>
      <c r="D278" s="536"/>
      <c r="E278" s="595"/>
      <c r="F278" s="596"/>
      <c r="G278" s="545"/>
      <c r="H278" s="545"/>
      <c r="I278" s="537" t="s">
        <v>175</v>
      </c>
      <c r="J278" s="514">
        <f>SUM(J276:J277)</f>
        <v>0</v>
      </c>
      <c r="K278" s="471"/>
    </row>
    <row r="279" spans="1:11">
      <c r="A279" s="463"/>
      <c r="B279" s="536"/>
      <c r="C279" s="536"/>
      <c r="D279" s="536"/>
      <c r="E279" s="536"/>
      <c r="F279" s="536"/>
      <c r="G279" s="536"/>
      <c r="H279" s="536"/>
      <c r="I279" s="537"/>
      <c r="J279" s="536"/>
      <c r="K279" s="471"/>
    </row>
    <row r="280" spans="1:11">
      <c r="A280" s="463"/>
      <c r="B280" s="1481" t="s">
        <v>963</v>
      </c>
      <c r="C280" s="1482"/>
      <c r="D280" s="1482"/>
      <c r="E280" s="1482"/>
      <c r="F280" s="1482"/>
      <c r="G280" s="1482"/>
      <c r="H280" s="1482"/>
      <c r="I280" s="1483"/>
      <c r="J280" s="586">
        <v>14.914534845046347</v>
      </c>
      <c r="K280" s="471"/>
    </row>
    <row r="281" spans="1:11">
      <c r="A281" s="463"/>
      <c r="B281" s="524"/>
      <c r="C281" s="524"/>
      <c r="D281" s="524"/>
      <c r="E281" s="524"/>
      <c r="F281" s="524"/>
      <c r="G281" s="524"/>
      <c r="H281" s="524"/>
      <c r="I281" s="584"/>
      <c r="J281" s="524"/>
      <c r="K281" s="471"/>
    </row>
    <row r="282" spans="1:11">
      <c r="A282" s="463"/>
      <c r="B282" s="602"/>
      <c r="C282" s="572"/>
      <c r="D282" s="572"/>
      <c r="E282" s="572"/>
      <c r="F282" s="572"/>
      <c r="G282" s="572"/>
      <c r="H282" s="572"/>
      <c r="I282" s="572"/>
      <c r="J282" s="603"/>
      <c r="K282" s="471"/>
    </row>
    <row r="283" spans="1:11">
      <c r="A283" s="463"/>
      <c r="B283" s="604"/>
      <c r="C283" s="605"/>
      <c r="D283" s="606"/>
      <c r="E283" s="606"/>
      <c r="F283" s="607" t="s">
        <v>946</v>
      </c>
      <c r="G283" s="608" t="s">
        <v>946</v>
      </c>
      <c r="H283" s="605"/>
      <c r="I283" s="605"/>
      <c r="J283" s="609"/>
      <c r="K283" s="471"/>
    </row>
    <row r="284" spans="1:11">
      <c r="A284" s="463"/>
      <c r="B284" s="472"/>
      <c r="C284" s="472"/>
      <c r="D284" s="472"/>
      <c r="E284" s="472"/>
      <c r="F284" s="472"/>
      <c r="G284" s="472"/>
      <c r="H284" s="472"/>
      <c r="I284" s="472"/>
      <c r="J284" s="472"/>
      <c r="K284" s="471"/>
    </row>
    <row r="285" spans="1:11">
      <c r="A285" s="463"/>
      <c r="B285" s="610" t="str">
        <f>B171</f>
        <v>OPERAÇÃO DE SUPRESSÃO E SUMP</v>
      </c>
      <c r="C285" s="611"/>
      <c r="D285" s="611"/>
      <c r="E285" s="611"/>
      <c r="F285" s="612"/>
      <c r="G285" s="613" t="s">
        <v>363</v>
      </c>
      <c r="H285" s="515"/>
      <c r="I285" s="515"/>
      <c r="J285" s="518"/>
      <c r="K285" s="471"/>
    </row>
    <row r="286" spans="1:11">
      <c r="A286" s="463"/>
      <c r="B286" s="614" t="str">
        <f>B172</f>
        <v>MARA ROSA</v>
      </c>
      <c r="C286" s="615"/>
      <c r="D286" s="615"/>
      <c r="E286" s="615"/>
      <c r="F286" s="616"/>
      <c r="G286" s="1484" t="s">
        <v>964</v>
      </c>
      <c r="H286" s="1485"/>
      <c r="I286" s="1485"/>
      <c r="J286" s="1486"/>
      <c r="K286" s="471"/>
    </row>
    <row r="287" spans="1:11">
      <c r="A287" s="463"/>
      <c r="B287" s="617"/>
      <c r="C287" s="618"/>
      <c r="D287" s="618"/>
      <c r="E287" s="618"/>
      <c r="F287" s="619"/>
      <c r="G287" s="620"/>
      <c r="H287" s="1487"/>
      <c r="I287" s="1488"/>
      <c r="J287" s="1489"/>
      <c r="K287" s="471"/>
    </row>
    <row r="288" spans="1:11" ht="15" thickBot="1">
      <c r="A288" s="463"/>
      <c r="B288" s="1012"/>
      <c r="C288" s="472"/>
      <c r="D288" s="472"/>
      <c r="E288" s="472"/>
      <c r="F288" s="472"/>
      <c r="G288" s="472"/>
      <c r="H288" s="1013"/>
      <c r="I288" s="1013"/>
      <c r="J288" s="1013"/>
      <c r="K288" s="471"/>
    </row>
    <row r="289" spans="1:12">
      <c r="A289" s="460"/>
      <c r="B289" s="461"/>
      <c r="C289" s="461"/>
      <c r="D289" s="461"/>
      <c r="E289" s="461"/>
      <c r="F289" s="461"/>
      <c r="G289" s="461"/>
      <c r="H289" s="461"/>
      <c r="I289" s="461"/>
      <c r="J289" s="461"/>
      <c r="K289" s="462"/>
    </row>
    <row r="290" spans="1:12">
      <c r="A290" s="463"/>
      <c r="B290" s="464" t="s">
        <v>178</v>
      </c>
      <c r="C290" s="465"/>
      <c r="D290" s="466" t="s">
        <v>936</v>
      </c>
      <c r="E290" s="467"/>
      <c r="F290" s="468"/>
      <c r="G290" s="468"/>
      <c r="H290" s="469"/>
      <c r="I290" s="469"/>
      <c r="J290" s="470"/>
      <c r="K290" s="471"/>
    </row>
    <row r="291" spans="1:12">
      <c r="A291" s="463"/>
      <c r="B291" s="472"/>
      <c r="C291" s="472"/>
      <c r="D291" s="472"/>
      <c r="E291" s="472"/>
      <c r="F291" s="472"/>
      <c r="G291" s="472"/>
      <c r="H291" s="472"/>
      <c r="I291" s="472"/>
      <c r="J291" s="472"/>
      <c r="K291" s="471"/>
    </row>
    <row r="292" spans="1:12">
      <c r="A292" s="463"/>
      <c r="B292" s="473" t="s">
        <v>688</v>
      </c>
      <c r="C292" s="474" t="s">
        <v>937</v>
      </c>
      <c r="D292" s="1497" t="s">
        <v>250</v>
      </c>
      <c r="E292" s="1498"/>
      <c r="F292" s="1498"/>
      <c r="G292" s="1498"/>
      <c r="H292" s="1498"/>
      <c r="I292" s="1499"/>
      <c r="J292" s="475" t="s">
        <v>267</v>
      </c>
      <c r="K292" s="471"/>
    </row>
    <row r="293" spans="1:12" ht="15" customHeight="1">
      <c r="A293" s="463"/>
      <c r="B293" s="476" t="s">
        <v>3</v>
      </c>
      <c r="C293" s="477">
        <f ca="1">C121</f>
        <v>46140</v>
      </c>
      <c r="D293" s="681" t="s">
        <v>1486</v>
      </c>
      <c r="E293" s="479"/>
      <c r="F293" s="479"/>
      <c r="G293" s="479"/>
      <c r="H293" s="479"/>
      <c r="I293" s="480"/>
      <c r="J293" s="481" t="str">
        <f>F310</f>
        <v>m3</v>
      </c>
      <c r="K293" s="471"/>
    </row>
    <row r="294" spans="1:12">
      <c r="A294" s="463"/>
      <c r="B294" s="482"/>
      <c r="C294" s="482"/>
      <c r="D294" s="482"/>
      <c r="E294" s="482"/>
      <c r="F294" s="482"/>
      <c r="G294" s="482"/>
      <c r="H294" s="482"/>
      <c r="I294" s="483"/>
      <c r="J294" s="484"/>
      <c r="K294" s="471"/>
    </row>
    <row r="295" spans="1:12">
      <c r="A295" s="463"/>
      <c r="B295" s="1484" t="s">
        <v>938</v>
      </c>
      <c r="C295" s="1486"/>
      <c r="D295" s="1502" t="s">
        <v>688</v>
      </c>
      <c r="E295" s="1504" t="s">
        <v>939</v>
      </c>
      <c r="F295" s="485" t="s">
        <v>940</v>
      </c>
      <c r="G295" s="486"/>
      <c r="H295" s="485" t="s">
        <v>941</v>
      </c>
      <c r="I295" s="486"/>
      <c r="J295" s="487" t="s">
        <v>942</v>
      </c>
      <c r="K295" s="471"/>
    </row>
    <row r="296" spans="1:12">
      <c r="A296" s="463"/>
      <c r="B296" s="1500"/>
      <c r="C296" s="1501"/>
      <c r="D296" s="1503"/>
      <c r="E296" s="1505"/>
      <c r="F296" s="488" t="s">
        <v>943</v>
      </c>
      <c r="G296" s="488" t="s">
        <v>944</v>
      </c>
      <c r="H296" s="488" t="s">
        <v>943</v>
      </c>
      <c r="I296" s="489" t="s">
        <v>944</v>
      </c>
      <c r="J296" s="490" t="s">
        <v>945</v>
      </c>
      <c r="K296" s="471"/>
    </row>
    <row r="297" spans="1:12">
      <c r="A297" s="463"/>
      <c r="B297" s="499" t="s">
        <v>619</v>
      </c>
      <c r="C297" s="500"/>
      <c r="D297" s="501"/>
      <c r="E297" s="502">
        <v>1</v>
      </c>
      <c r="F297" s="502">
        <v>1</v>
      </c>
      <c r="G297" s="502">
        <f>1-F297</f>
        <v>0</v>
      </c>
      <c r="H297" s="503">
        <f>VLOOKUP(B297,EQUIPAMENTOS!$A:$J,10,FALSE)</f>
        <v>70</v>
      </c>
      <c r="I297" s="504">
        <f>H297</f>
        <v>70</v>
      </c>
      <c r="J297" s="505">
        <f>H297*F297*E297+I297*G297*E297</f>
        <v>70</v>
      </c>
      <c r="K297" s="471"/>
    </row>
    <row r="298" spans="1:12">
      <c r="A298" s="463"/>
      <c r="B298" s="499"/>
      <c r="C298" s="500"/>
      <c r="D298" s="501"/>
      <c r="E298" s="502"/>
      <c r="F298" s="502"/>
      <c r="G298" s="502"/>
      <c r="H298" s="503"/>
      <c r="I298" s="504"/>
      <c r="J298" s="505">
        <f>H298*F298*E298+I298*G298*E298</f>
        <v>0</v>
      </c>
      <c r="K298" s="471"/>
    </row>
    <row r="299" spans="1:12">
      <c r="A299" s="463"/>
      <c r="B299" s="499"/>
      <c r="C299" s="500"/>
      <c r="D299" s="501"/>
      <c r="E299" s="502"/>
      <c r="F299" s="502"/>
      <c r="G299" s="502"/>
      <c r="H299" s="503"/>
      <c r="I299" s="504"/>
      <c r="J299" s="505"/>
      <c r="K299" s="471"/>
    </row>
    <row r="300" spans="1:12">
      <c r="A300" s="463"/>
      <c r="B300" s="499"/>
      <c r="C300" s="500"/>
      <c r="D300" s="501"/>
      <c r="E300" s="502"/>
      <c r="F300" s="502"/>
      <c r="G300" s="502"/>
      <c r="H300" s="503"/>
      <c r="I300" s="504"/>
      <c r="J300" s="505"/>
      <c r="K300" s="471"/>
    </row>
    <row r="301" spans="1:12">
      <c r="A301" s="463"/>
      <c r="B301" s="506"/>
      <c r="C301" s="507"/>
      <c r="D301" s="508"/>
      <c r="E301" s="509"/>
      <c r="F301" s="509"/>
      <c r="G301" s="509"/>
      <c r="H301" s="510"/>
      <c r="I301" s="511"/>
      <c r="J301" s="505">
        <f>H301*F301*E301+I301*G301*E301</f>
        <v>0</v>
      </c>
      <c r="K301" s="471"/>
    </row>
    <row r="302" spans="1:12">
      <c r="A302" s="463"/>
      <c r="B302" s="512" t="s">
        <v>946</v>
      </c>
      <c r="C302" s="482"/>
      <c r="D302" s="482"/>
      <c r="E302" s="482"/>
      <c r="F302" s="482"/>
      <c r="G302" s="482"/>
      <c r="H302" s="482"/>
      <c r="I302" s="513" t="s">
        <v>175</v>
      </c>
      <c r="J302" s="514">
        <f>SUM(J297:J301)</f>
        <v>70</v>
      </c>
      <c r="K302" s="471"/>
      <c r="L302" s="6">
        <f>J302/E310</f>
        <v>8.3389281554740045</v>
      </c>
    </row>
    <row r="303" spans="1:12">
      <c r="A303" s="463"/>
      <c r="B303" s="515"/>
      <c r="C303" s="515"/>
      <c r="D303" s="515"/>
      <c r="E303" s="515"/>
      <c r="F303" s="515"/>
      <c r="G303" s="515"/>
      <c r="H303" s="515"/>
      <c r="I303" s="516"/>
      <c r="J303" s="517"/>
      <c r="K303" s="471"/>
    </row>
    <row r="304" spans="1:12" ht="20.399999999999999">
      <c r="A304" s="463"/>
      <c r="B304" s="1490" t="s">
        <v>947</v>
      </c>
      <c r="C304" s="1491"/>
      <c r="D304" s="1491"/>
      <c r="E304" s="1492"/>
      <c r="F304" s="725" t="s">
        <v>688</v>
      </c>
      <c r="G304" s="853"/>
      <c r="H304" s="520" t="s">
        <v>427</v>
      </c>
      <c r="I304" s="521" t="s">
        <v>948</v>
      </c>
      <c r="J304" s="522" t="s">
        <v>949</v>
      </c>
      <c r="K304" s="471"/>
    </row>
    <row r="305" spans="1:14">
      <c r="A305" s="463"/>
      <c r="B305" s="530" t="s">
        <v>1171</v>
      </c>
      <c r="C305" s="531"/>
      <c r="D305" s="472"/>
      <c r="E305" s="500"/>
      <c r="F305" s="501"/>
      <c r="G305" s="532"/>
      <c r="H305" s="533">
        <f>E297</f>
        <v>1</v>
      </c>
      <c r="I305" s="534">
        <f>(VLOOKUP(B305,'MÃO DE OBRA'!$A:$E,5,FALSE)/220)</f>
        <v>23.69</v>
      </c>
      <c r="J305" s="505">
        <f>H305*I305</f>
        <v>23.69</v>
      </c>
      <c r="K305" s="471"/>
    </row>
    <row r="306" spans="1:14">
      <c r="A306" s="463"/>
      <c r="B306" s="530" t="s">
        <v>472</v>
      </c>
      <c r="C306" s="531"/>
      <c r="D306" s="472"/>
      <c r="E306" s="500"/>
      <c r="F306" s="501"/>
      <c r="G306" s="532"/>
      <c r="H306" s="533">
        <v>2</v>
      </c>
      <c r="I306" s="534">
        <f>(VLOOKUP(B306,'MÃO DE OBRA'!$A:$E,5,FALSE)/220)</f>
        <v>18.377072727272729</v>
      </c>
      <c r="J306" s="505">
        <f>H306*I306</f>
        <v>36.754145454545458</v>
      </c>
      <c r="K306" s="471"/>
      <c r="N306" s="6">
        <f>J306/E310</f>
        <v>4.378431119447086</v>
      </c>
    </row>
    <row r="307" spans="1:14">
      <c r="A307" s="463"/>
      <c r="B307" s="530"/>
      <c r="C307" s="531"/>
      <c r="D307" s="472"/>
      <c r="E307" s="500"/>
      <c r="F307" s="501"/>
      <c r="G307" s="532"/>
      <c r="H307" s="533"/>
      <c r="I307" s="534"/>
      <c r="J307" s="505">
        <f>H307*I307</f>
        <v>0</v>
      </c>
      <c r="K307" s="471"/>
    </row>
    <row r="308" spans="1:14">
      <c r="A308" s="463"/>
      <c r="B308" s="512" t="s">
        <v>946</v>
      </c>
      <c r="C308" s="515"/>
      <c r="D308" s="515"/>
      <c r="E308" s="515"/>
      <c r="F308" s="515"/>
      <c r="G308" s="515"/>
      <c r="H308" s="515"/>
      <c r="I308" s="535" t="s">
        <v>175</v>
      </c>
      <c r="J308" s="514">
        <f>SUM(J305:J307)</f>
        <v>60.444145454545463</v>
      </c>
      <c r="K308" s="471"/>
    </row>
    <row r="309" spans="1:14">
      <c r="A309" s="463"/>
      <c r="B309" s="536"/>
      <c r="C309" s="536"/>
      <c r="D309" s="536"/>
      <c r="E309" s="536"/>
      <c r="F309" s="536"/>
      <c r="G309" s="536"/>
      <c r="H309" s="536"/>
      <c r="I309" s="537"/>
      <c r="J309" s="536"/>
      <c r="K309" s="471"/>
    </row>
    <row r="310" spans="1:14">
      <c r="A310" s="463"/>
      <c r="B310" s="538" t="s">
        <v>952</v>
      </c>
      <c r="C310" s="539"/>
      <c r="D310" s="536"/>
      <c r="E310" s="540">
        <v>8.3943642030359999</v>
      </c>
      <c r="F310" s="541" t="s">
        <v>931</v>
      </c>
      <c r="G310" s="519"/>
      <c r="H310" s="519"/>
      <c r="I310" s="542" t="s">
        <v>953</v>
      </c>
      <c r="J310" s="514">
        <f>J302+J308</f>
        <v>130.44414545454546</v>
      </c>
      <c r="K310" s="471"/>
    </row>
    <row r="311" spans="1:14">
      <c r="A311" s="463"/>
      <c r="B311" s="543"/>
      <c r="C311" s="536"/>
      <c r="D311" s="536"/>
      <c r="E311" s="544"/>
      <c r="F311" s="545"/>
      <c r="G311" s="545"/>
      <c r="H311" s="545"/>
      <c r="I311" s="537"/>
      <c r="J311" s="536"/>
      <c r="K311" s="471"/>
    </row>
    <row r="312" spans="1:14" ht="20.399999999999999">
      <c r="A312" s="463"/>
      <c r="B312" s="1493" t="s">
        <v>362</v>
      </c>
      <c r="C312" s="1494"/>
      <c r="D312" s="1494"/>
      <c r="E312" s="1495"/>
      <c r="F312" s="546" t="s">
        <v>688</v>
      </c>
      <c r="G312" s="547" t="s">
        <v>371</v>
      </c>
      <c r="H312" s="520" t="s">
        <v>942</v>
      </c>
      <c r="I312" s="548" t="s">
        <v>361</v>
      </c>
      <c r="J312" s="549" t="s">
        <v>363</v>
      </c>
      <c r="K312" s="471"/>
    </row>
    <row r="313" spans="1:14">
      <c r="A313" s="463"/>
      <c r="B313" s="557" t="str">
        <f>B297</f>
        <v xml:space="preserve">Caminhão carroceria </v>
      </c>
      <c r="C313" s="531"/>
      <c r="D313" s="531"/>
      <c r="E313" s="500"/>
      <c r="F313" s="553" t="str">
        <f>VLOOKUP(B313,EQUIPAMENTOS!$A:$N,12,FALSE)</f>
        <v>Diesel S10</v>
      </c>
      <c r="G313" s="554" t="s">
        <v>415</v>
      </c>
      <c r="H313" s="560">
        <f>VLOOKUP(B313,EQUIPAMENTOS!$A:$N,13,FALSE)</f>
        <v>0</v>
      </c>
      <c r="I313" s="556">
        <f>VLOOKUP(B313,EQUIPAMENTOS!$A:$N,14,FALSE)</f>
        <v>5</v>
      </c>
      <c r="J313" s="505">
        <f>H313*I313*E297*F297</f>
        <v>0</v>
      </c>
      <c r="K313" s="471"/>
    </row>
    <row r="314" spans="1:14">
      <c r="A314" s="463"/>
      <c r="B314" s="557"/>
      <c r="C314" s="531"/>
      <c r="D314" s="531"/>
      <c r="E314" s="500"/>
      <c r="F314" s="553"/>
      <c r="G314" s="554"/>
      <c r="H314" s="560"/>
      <c r="I314" s="560"/>
      <c r="J314" s="505">
        <f>H314*I314*E298*F298</f>
        <v>0</v>
      </c>
      <c r="K314" s="471"/>
    </row>
    <row r="315" spans="1:14">
      <c r="A315" s="463"/>
      <c r="B315" s="557"/>
      <c r="C315" s="531"/>
      <c r="D315" s="531"/>
      <c r="E315" s="500"/>
      <c r="F315" s="553"/>
      <c r="G315" s="554"/>
      <c r="H315" s="560"/>
      <c r="I315" s="560"/>
      <c r="J315" s="505"/>
      <c r="K315" s="471"/>
    </row>
    <row r="316" spans="1:14">
      <c r="A316" s="463"/>
      <c r="B316" s="557"/>
      <c r="C316" s="531"/>
      <c r="D316" s="531"/>
      <c r="E316" s="500"/>
      <c r="F316" s="553"/>
      <c r="G316" s="554"/>
      <c r="H316" s="560"/>
      <c r="I316" s="560"/>
      <c r="J316" s="505"/>
      <c r="K316" s="471"/>
    </row>
    <row r="317" spans="1:14">
      <c r="A317" s="463"/>
      <c r="B317" s="557"/>
      <c r="C317" s="539"/>
      <c r="D317" s="539"/>
      <c r="E317" s="507"/>
      <c r="F317" s="553"/>
      <c r="G317" s="736"/>
      <c r="H317" s="560"/>
      <c r="I317" s="560"/>
      <c r="J317" s="505"/>
      <c r="K317" s="471"/>
    </row>
    <row r="318" spans="1:14">
      <c r="A318" s="463"/>
      <c r="B318" s="563" t="s">
        <v>946</v>
      </c>
      <c r="C318" s="536"/>
      <c r="D318" s="536"/>
      <c r="E318" s="536"/>
      <c r="F318" s="536"/>
      <c r="G318" s="536"/>
      <c r="H318" s="564"/>
      <c r="I318" s="565" t="s">
        <v>175</v>
      </c>
      <c r="J318" s="514">
        <f>SUM(J313:J317)</f>
        <v>0</v>
      </c>
      <c r="K318" s="471"/>
      <c r="L318" s="6">
        <f>J318/E310</f>
        <v>0</v>
      </c>
    </row>
    <row r="319" spans="1:14">
      <c r="A319" s="463"/>
      <c r="B319" s="566"/>
      <c r="C319" s="539"/>
      <c r="D319" s="539"/>
      <c r="E319" s="567"/>
      <c r="F319" s="568"/>
      <c r="G319" s="519"/>
      <c r="H319" s="519"/>
      <c r="I319" s="542"/>
      <c r="J319" s="567"/>
      <c r="K319" s="471"/>
    </row>
    <row r="320" spans="1:14" ht="20.399999999999999">
      <c r="A320" s="463"/>
      <c r="B320" s="1493" t="s">
        <v>955</v>
      </c>
      <c r="C320" s="1494"/>
      <c r="D320" s="1494"/>
      <c r="E320" s="1494"/>
      <c r="F320" s="1495"/>
      <c r="G320" s="569" t="s">
        <v>372</v>
      </c>
      <c r="H320" s="519" t="s">
        <v>956</v>
      </c>
      <c r="I320" s="570" t="s">
        <v>942</v>
      </c>
      <c r="J320" s="522" t="s">
        <v>363</v>
      </c>
      <c r="K320" s="471"/>
    </row>
    <row r="321" spans="1:13">
      <c r="A321" s="463"/>
      <c r="B321" s="571"/>
      <c r="C321" s="572"/>
      <c r="D321" s="573"/>
      <c r="E321" s="573"/>
      <c r="F321" s="574"/>
      <c r="G321" s="502"/>
      <c r="H321" s="502"/>
      <c r="I321" s="575"/>
      <c r="J321" s="505"/>
      <c r="K321" s="471"/>
    </row>
    <row r="322" spans="1:13">
      <c r="A322" s="463"/>
      <c r="B322" s="576"/>
      <c r="C322" s="577"/>
      <c r="D322" s="578"/>
      <c r="E322" s="578"/>
      <c r="F322" s="579"/>
      <c r="G322" s="502"/>
      <c r="H322" s="502"/>
      <c r="I322" s="575"/>
      <c r="J322" s="505"/>
      <c r="K322" s="471"/>
    </row>
    <row r="323" spans="1:13">
      <c r="A323" s="463"/>
      <c r="B323" s="1496" t="s">
        <v>175</v>
      </c>
      <c r="C323" s="1496"/>
      <c r="D323" s="1496"/>
      <c r="E323" s="1496"/>
      <c r="F323" s="1496"/>
      <c r="G323" s="1496"/>
      <c r="H323" s="1496"/>
      <c r="I323" s="1496"/>
      <c r="J323" s="514">
        <f>SUM(J321:J322)</f>
        <v>0</v>
      </c>
      <c r="K323" s="471"/>
    </row>
    <row r="324" spans="1:13">
      <c r="A324" s="463"/>
      <c r="B324" s="580"/>
      <c r="C324" s="524"/>
      <c r="D324" s="524"/>
      <c r="E324" s="581"/>
      <c r="F324" s="582"/>
      <c r="G324" s="583"/>
      <c r="H324" s="583"/>
      <c r="I324" s="584"/>
      <c r="J324" s="585"/>
      <c r="K324" s="471"/>
    </row>
    <row r="325" spans="1:13">
      <c r="A325" s="463"/>
      <c r="B325" s="586" t="s">
        <v>957</v>
      </c>
      <c r="C325" s="586"/>
      <c r="D325" s="563"/>
      <c r="E325" s="536"/>
      <c r="F325" s="536"/>
      <c r="G325" s="536"/>
      <c r="H325" s="587"/>
      <c r="I325" s="588"/>
      <c r="J325" s="514">
        <f>(J310+J318+J323)/E310</f>
        <v>15.539490817823649</v>
      </c>
      <c r="K325" s="471"/>
      <c r="L325">
        <v>15.53949057496115</v>
      </c>
      <c r="M325" s="6"/>
    </row>
    <row r="326" spans="1:13">
      <c r="A326" s="463"/>
      <c r="B326" s="566"/>
      <c r="C326" s="539"/>
      <c r="D326" s="539"/>
      <c r="E326" s="567"/>
      <c r="F326" s="568"/>
      <c r="G326" s="519"/>
      <c r="H326" s="519"/>
      <c r="I326" s="542"/>
      <c r="J326" s="589"/>
      <c r="K326" s="471"/>
    </row>
    <row r="327" spans="1:13" ht="20.399999999999999">
      <c r="A327" s="463"/>
      <c r="B327" s="1493" t="s">
        <v>958</v>
      </c>
      <c r="C327" s="1494"/>
      <c r="D327" s="1494"/>
      <c r="E327" s="1494"/>
      <c r="F327" s="1495"/>
      <c r="G327" s="569" t="s">
        <v>372</v>
      </c>
      <c r="H327" s="519" t="s">
        <v>956</v>
      </c>
      <c r="I327" s="570" t="s">
        <v>942</v>
      </c>
      <c r="J327" s="522" t="s">
        <v>363</v>
      </c>
      <c r="K327" s="471"/>
      <c r="M327" s="6"/>
    </row>
    <row r="328" spans="1:13">
      <c r="A328" s="463"/>
      <c r="B328" s="571"/>
      <c r="C328" s="572"/>
      <c r="D328" s="573"/>
      <c r="E328" s="573"/>
      <c r="F328" s="574"/>
      <c r="G328" s="502"/>
      <c r="H328" s="502"/>
      <c r="I328" s="575"/>
      <c r="J328" s="505">
        <f>G328*I328</f>
        <v>0</v>
      </c>
      <c r="K328" s="471"/>
      <c r="M328" s="6"/>
    </row>
    <row r="329" spans="1:13">
      <c r="A329" s="463"/>
      <c r="B329" s="590"/>
      <c r="C329" s="591"/>
      <c r="D329" s="592"/>
      <c r="E329" s="592"/>
      <c r="F329" s="593"/>
      <c r="G329" s="502"/>
      <c r="H329" s="502"/>
      <c r="I329" s="575"/>
      <c r="J329" s="505">
        <f>G329*I329</f>
        <v>0</v>
      </c>
      <c r="K329" s="471"/>
    </row>
    <row r="330" spans="1:13">
      <c r="A330" s="463"/>
      <c r="B330" s="594"/>
      <c r="C330" s="536"/>
      <c r="D330" s="536"/>
      <c r="E330" s="595"/>
      <c r="F330" s="596"/>
      <c r="G330" s="545"/>
      <c r="H330" s="545"/>
      <c r="I330" s="537" t="s">
        <v>175</v>
      </c>
      <c r="J330" s="514">
        <f>SUM(J328:J329)</f>
        <v>0</v>
      </c>
      <c r="K330" s="471"/>
    </row>
    <row r="331" spans="1:13">
      <c r="A331" s="463"/>
      <c r="B331" s="597"/>
      <c r="C331" s="536"/>
      <c r="D331" s="536"/>
      <c r="E331" s="595"/>
      <c r="F331" s="596"/>
      <c r="G331" s="545"/>
      <c r="H331" s="545"/>
      <c r="I331" s="537"/>
      <c r="J331" s="595"/>
      <c r="K331" s="471"/>
    </row>
    <row r="332" spans="1:13" ht="20.399999999999999">
      <c r="A332" s="463"/>
      <c r="B332" s="598" t="s">
        <v>959</v>
      </c>
      <c r="C332" s="598"/>
      <c r="D332" s="598"/>
      <c r="E332" s="599"/>
      <c r="F332" s="600" t="s">
        <v>372</v>
      </c>
      <c r="G332" s="569" t="s">
        <v>960</v>
      </c>
      <c r="H332" s="519" t="s">
        <v>942</v>
      </c>
      <c r="I332" s="570" t="s">
        <v>361</v>
      </c>
      <c r="J332" s="522" t="s">
        <v>363</v>
      </c>
      <c r="K332" s="471"/>
    </row>
    <row r="333" spans="1:13">
      <c r="A333" s="463"/>
      <c r="B333" s="576" t="s">
        <v>946</v>
      </c>
      <c r="C333" s="577"/>
      <c r="D333" s="578"/>
      <c r="E333" s="579" t="s">
        <v>946</v>
      </c>
      <c r="F333" s="502">
        <v>0</v>
      </c>
      <c r="G333" s="502">
        <v>0</v>
      </c>
      <c r="H333" s="502">
        <v>0</v>
      </c>
      <c r="I333" s="575">
        <v>0</v>
      </c>
      <c r="J333" s="505">
        <f>I333*H333*G333*F333</f>
        <v>0</v>
      </c>
      <c r="K333" s="471"/>
    </row>
    <row r="334" spans="1:13">
      <c r="A334" s="463"/>
      <c r="B334" s="590" t="s">
        <v>946</v>
      </c>
      <c r="C334" s="591"/>
      <c r="D334" s="592"/>
      <c r="E334" s="593" t="s">
        <v>946</v>
      </c>
      <c r="F334" s="509">
        <v>0</v>
      </c>
      <c r="G334" s="509">
        <v>0</v>
      </c>
      <c r="H334" s="509">
        <v>0</v>
      </c>
      <c r="I334" s="601">
        <v>0</v>
      </c>
      <c r="J334" s="505">
        <f>I334*H334*G334*F334</f>
        <v>0</v>
      </c>
      <c r="K334" s="471"/>
    </row>
    <row r="335" spans="1:13">
      <c r="A335" s="463"/>
      <c r="B335" s="594"/>
      <c r="C335" s="536"/>
      <c r="D335" s="536"/>
      <c r="E335" s="595"/>
      <c r="F335" s="596"/>
      <c r="G335" s="545"/>
      <c r="H335" s="545"/>
      <c r="I335" s="537" t="s">
        <v>175</v>
      </c>
      <c r="J335" s="514">
        <f>SUM(J333:J334)</f>
        <v>0</v>
      </c>
      <c r="K335" s="471"/>
    </row>
    <row r="336" spans="1:13">
      <c r="A336" s="463"/>
      <c r="B336" s="536"/>
      <c r="C336" s="536"/>
      <c r="D336" s="536"/>
      <c r="E336" s="536"/>
      <c r="F336" s="536"/>
      <c r="G336" s="536"/>
      <c r="H336" s="536"/>
      <c r="I336" s="537"/>
      <c r="J336" s="536"/>
      <c r="K336" s="471"/>
    </row>
    <row r="337" spans="1:11">
      <c r="A337" s="463"/>
      <c r="B337" s="1481" t="s">
        <v>963</v>
      </c>
      <c r="C337" s="1482"/>
      <c r="D337" s="1482"/>
      <c r="E337" s="1482"/>
      <c r="F337" s="1482"/>
      <c r="G337" s="1482"/>
      <c r="H337" s="1482"/>
      <c r="I337" s="1483"/>
      <c r="J337" s="586">
        <v>15.539490817823649</v>
      </c>
      <c r="K337" s="471"/>
    </row>
    <row r="338" spans="1:11">
      <c r="A338" s="463"/>
      <c r="B338" s="524"/>
      <c r="C338" s="524"/>
      <c r="D338" s="524"/>
      <c r="E338" s="524"/>
      <c r="F338" s="524"/>
      <c r="G338" s="524"/>
      <c r="H338" s="524"/>
      <c r="I338" s="584"/>
      <c r="J338" s="524"/>
      <c r="K338" s="471"/>
    </row>
    <row r="339" spans="1:11">
      <c r="A339" s="463"/>
      <c r="B339" s="602"/>
      <c r="C339" s="572"/>
      <c r="D339" s="572"/>
      <c r="E339" s="572"/>
      <c r="F339" s="572"/>
      <c r="G339" s="572"/>
      <c r="H339" s="572"/>
      <c r="I339" s="572"/>
      <c r="J339" s="603"/>
      <c r="K339" s="471"/>
    </row>
    <row r="340" spans="1:11">
      <c r="A340" s="463"/>
      <c r="B340" s="604"/>
      <c r="C340" s="605"/>
      <c r="D340" s="606"/>
      <c r="E340" s="606"/>
      <c r="F340" s="607" t="s">
        <v>946</v>
      </c>
      <c r="G340" s="608" t="s">
        <v>946</v>
      </c>
      <c r="H340" s="605"/>
      <c r="I340" s="605"/>
      <c r="J340" s="609"/>
      <c r="K340" s="471"/>
    </row>
    <row r="341" spans="1:11">
      <c r="A341" s="463"/>
      <c r="B341" s="472"/>
      <c r="C341" s="472"/>
      <c r="D341" s="472"/>
      <c r="E341" s="472"/>
      <c r="F341" s="472"/>
      <c r="G341" s="472"/>
      <c r="H341" s="472"/>
      <c r="I341" s="472"/>
      <c r="J341" s="472"/>
      <c r="K341" s="471"/>
    </row>
    <row r="342" spans="1:11">
      <c r="A342" s="463"/>
      <c r="B342" s="610" t="str">
        <f>B171</f>
        <v>OPERAÇÃO DE SUPRESSÃO E SUMP</v>
      </c>
      <c r="C342" s="611"/>
      <c r="D342" s="611"/>
      <c r="E342" s="611"/>
      <c r="F342" s="612"/>
      <c r="G342" s="613" t="s">
        <v>363</v>
      </c>
      <c r="H342" s="515"/>
      <c r="I342" s="515"/>
      <c r="J342" s="518"/>
      <c r="K342" s="471"/>
    </row>
    <row r="343" spans="1:11">
      <c r="A343" s="463"/>
      <c r="B343" s="614" t="str">
        <f>B172</f>
        <v>MARA ROSA</v>
      </c>
      <c r="C343" s="615"/>
      <c r="D343" s="615"/>
      <c r="E343" s="615"/>
      <c r="F343" s="616"/>
      <c r="G343" s="1484" t="s">
        <v>964</v>
      </c>
      <c r="H343" s="1485"/>
      <c r="I343" s="1485"/>
      <c r="J343" s="1486"/>
      <c r="K343" s="471"/>
    </row>
    <row r="344" spans="1:11">
      <c r="A344" s="463"/>
      <c r="B344" s="617"/>
      <c r="C344" s="618"/>
      <c r="D344" s="618"/>
      <c r="E344" s="618"/>
      <c r="F344" s="619"/>
      <c r="G344" s="620"/>
      <c r="H344" s="1487"/>
      <c r="I344" s="1488"/>
      <c r="J344" s="1489"/>
      <c r="K344" s="471"/>
    </row>
    <row r="345" spans="1:11">
      <c r="A345" s="463"/>
      <c r="B345" s="1012"/>
      <c r="C345" s="472"/>
      <c r="D345" s="472"/>
      <c r="E345" s="472"/>
      <c r="F345" s="472"/>
      <c r="G345" s="472"/>
      <c r="H345" s="1013"/>
      <c r="I345" s="1013"/>
      <c r="J345" s="1013"/>
      <c r="K345" s="471"/>
    </row>
    <row r="346" spans="1:11">
      <c r="A346" s="460"/>
      <c r="B346" s="461"/>
      <c r="C346" s="461"/>
      <c r="D346" s="461"/>
      <c r="E346" s="461"/>
      <c r="F346" s="461"/>
      <c r="G346" s="461"/>
      <c r="H346" s="461"/>
      <c r="I346" s="461"/>
      <c r="J346" s="461"/>
      <c r="K346" s="462"/>
    </row>
    <row r="347" spans="1:11">
      <c r="A347" s="463"/>
      <c r="B347" s="464" t="s">
        <v>178</v>
      </c>
      <c r="C347" s="465"/>
      <c r="D347" s="466" t="s">
        <v>936</v>
      </c>
      <c r="E347" s="467"/>
      <c r="F347" s="468"/>
      <c r="G347" s="468"/>
      <c r="H347" s="469"/>
      <c r="I347" s="469"/>
      <c r="J347" s="470"/>
      <c r="K347" s="471"/>
    </row>
    <row r="348" spans="1:11">
      <c r="A348" s="463"/>
      <c r="B348" s="472"/>
      <c r="C348" s="472"/>
      <c r="D348" s="472"/>
      <c r="E348" s="472"/>
      <c r="F348" s="472"/>
      <c r="G348" s="472"/>
      <c r="H348" s="472"/>
      <c r="I348" s="472"/>
      <c r="J348" s="472"/>
      <c r="K348" s="471"/>
    </row>
    <row r="349" spans="1:11">
      <c r="A349" s="463"/>
      <c r="B349" s="473" t="s">
        <v>688</v>
      </c>
      <c r="C349" s="474" t="s">
        <v>937</v>
      </c>
      <c r="D349" s="1497" t="s">
        <v>250</v>
      </c>
      <c r="E349" s="1498"/>
      <c r="F349" s="1498"/>
      <c r="G349" s="1498"/>
      <c r="H349" s="1498"/>
      <c r="I349" s="1499"/>
      <c r="J349" s="475" t="s">
        <v>267</v>
      </c>
      <c r="K349" s="471"/>
    </row>
    <row r="350" spans="1:11" ht="15" customHeight="1">
      <c r="A350" s="463"/>
      <c r="B350" s="476" t="s">
        <v>3</v>
      </c>
      <c r="C350" s="477">
        <f ca="1">C121</f>
        <v>46140</v>
      </c>
      <c r="D350" s="681" t="s">
        <v>1487</v>
      </c>
      <c r="E350" s="479"/>
      <c r="F350" s="479"/>
      <c r="G350" s="479"/>
      <c r="H350" s="479"/>
      <c r="I350" s="480"/>
      <c r="J350" s="481" t="str">
        <f>F367</f>
        <v>m3</v>
      </c>
      <c r="K350" s="471"/>
    </row>
    <row r="351" spans="1:11">
      <c r="A351" s="463"/>
      <c r="B351" s="482"/>
      <c r="C351" s="482"/>
      <c r="D351" s="482"/>
      <c r="E351" s="482"/>
      <c r="F351" s="482"/>
      <c r="G351" s="482"/>
      <c r="H351" s="482"/>
      <c r="I351" s="483"/>
      <c r="J351" s="484"/>
      <c r="K351" s="471"/>
    </row>
    <row r="352" spans="1:11">
      <c r="A352" s="463"/>
      <c r="B352" s="1484" t="s">
        <v>938</v>
      </c>
      <c r="C352" s="1486"/>
      <c r="D352" s="1502" t="s">
        <v>688</v>
      </c>
      <c r="E352" s="1504" t="s">
        <v>939</v>
      </c>
      <c r="F352" s="485" t="s">
        <v>940</v>
      </c>
      <c r="G352" s="486"/>
      <c r="H352" s="485" t="s">
        <v>941</v>
      </c>
      <c r="I352" s="486"/>
      <c r="J352" s="487" t="s">
        <v>942</v>
      </c>
      <c r="K352" s="471"/>
    </row>
    <row r="353" spans="1:14">
      <c r="A353" s="463"/>
      <c r="B353" s="1500"/>
      <c r="C353" s="1501"/>
      <c r="D353" s="1503"/>
      <c r="E353" s="1505"/>
      <c r="F353" s="488" t="s">
        <v>943</v>
      </c>
      <c r="G353" s="488" t="s">
        <v>944</v>
      </c>
      <c r="H353" s="488" t="s">
        <v>943</v>
      </c>
      <c r="I353" s="489" t="s">
        <v>944</v>
      </c>
      <c r="J353" s="490" t="s">
        <v>945</v>
      </c>
      <c r="K353" s="471"/>
    </row>
    <row r="354" spans="1:14">
      <c r="A354" s="463"/>
      <c r="B354" s="499" t="s">
        <v>619</v>
      </c>
      <c r="C354" s="500"/>
      <c r="D354" s="501"/>
      <c r="E354" s="502">
        <v>1</v>
      </c>
      <c r="F354" s="502">
        <v>1</v>
      </c>
      <c r="G354" s="502">
        <f>1-F354</f>
        <v>0</v>
      </c>
      <c r="H354" s="503">
        <f>VLOOKUP(B354,EQUIPAMENTOS!$A:$J,10,FALSE)</f>
        <v>70</v>
      </c>
      <c r="I354" s="504">
        <f>H354</f>
        <v>70</v>
      </c>
      <c r="J354" s="505">
        <f>H354*F354*E354+I354*G354*E354</f>
        <v>70</v>
      </c>
      <c r="K354" s="471"/>
    </row>
    <row r="355" spans="1:14">
      <c r="A355" s="463"/>
      <c r="B355" s="499"/>
      <c r="C355" s="500"/>
      <c r="D355" s="501"/>
      <c r="E355" s="502"/>
      <c r="F355" s="502"/>
      <c r="G355" s="502"/>
      <c r="H355" s="503"/>
      <c r="I355" s="504"/>
      <c r="J355" s="505">
        <f>H355*F355*E355+I355*G355*E355</f>
        <v>0</v>
      </c>
      <c r="K355" s="471"/>
    </row>
    <row r="356" spans="1:14">
      <c r="A356" s="463"/>
      <c r="B356" s="499"/>
      <c r="C356" s="500"/>
      <c r="D356" s="501"/>
      <c r="E356" s="502"/>
      <c r="F356" s="502"/>
      <c r="G356" s="502"/>
      <c r="H356" s="503"/>
      <c r="I356" s="504"/>
      <c r="J356" s="505"/>
      <c r="K356" s="471"/>
    </row>
    <row r="357" spans="1:14">
      <c r="A357" s="463"/>
      <c r="B357" s="499"/>
      <c r="C357" s="500"/>
      <c r="D357" s="501"/>
      <c r="E357" s="502"/>
      <c r="F357" s="502"/>
      <c r="G357" s="502"/>
      <c r="H357" s="503"/>
      <c r="I357" s="504"/>
      <c r="J357" s="505"/>
      <c r="K357" s="471"/>
    </row>
    <row r="358" spans="1:14">
      <c r="A358" s="463"/>
      <c r="B358" s="506"/>
      <c r="C358" s="507"/>
      <c r="D358" s="508"/>
      <c r="E358" s="509"/>
      <c r="F358" s="509"/>
      <c r="G358" s="509"/>
      <c r="H358" s="510"/>
      <c r="I358" s="511"/>
      <c r="J358" s="505">
        <f>H358*F358*E358+I358*G358*E358</f>
        <v>0</v>
      </c>
      <c r="K358" s="471"/>
    </row>
    <row r="359" spans="1:14">
      <c r="A359" s="463"/>
      <c r="B359" s="512" t="s">
        <v>946</v>
      </c>
      <c r="C359" s="482"/>
      <c r="D359" s="482"/>
      <c r="E359" s="482"/>
      <c r="F359" s="482"/>
      <c r="G359" s="482"/>
      <c r="H359" s="482"/>
      <c r="I359" s="513" t="s">
        <v>175</v>
      </c>
      <c r="J359" s="514">
        <f>SUM(J354:J358)</f>
        <v>70</v>
      </c>
      <c r="K359" s="471"/>
      <c r="L359" s="6">
        <f>J359/E367</f>
        <v>8.7558743418106211</v>
      </c>
    </row>
    <row r="360" spans="1:14">
      <c r="A360" s="463"/>
      <c r="B360" s="515"/>
      <c r="C360" s="515"/>
      <c r="D360" s="515"/>
      <c r="E360" s="515"/>
      <c r="F360" s="515"/>
      <c r="G360" s="515"/>
      <c r="H360" s="515"/>
      <c r="I360" s="516"/>
      <c r="J360" s="517"/>
      <c r="K360" s="471"/>
    </row>
    <row r="361" spans="1:14" ht="20.399999999999999">
      <c r="A361" s="463"/>
      <c r="B361" s="1490" t="s">
        <v>947</v>
      </c>
      <c r="C361" s="1491"/>
      <c r="D361" s="1491"/>
      <c r="E361" s="1492"/>
      <c r="F361" s="725" t="s">
        <v>688</v>
      </c>
      <c r="G361" s="853"/>
      <c r="H361" s="520" t="s">
        <v>427</v>
      </c>
      <c r="I361" s="521" t="s">
        <v>948</v>
      </c>
      <c r="J361" s="522" t="s">
        <v>949</v>
      </c>
      <c r="K361" s="471"/>
    </row>
    <row r="362" spans="1:14">
      <c r="A362" s="463"/>
      <c r="B362" s="530" t="s">
        <v>1171</v>
      </c>
      <c r="C362" s="531"/>
      <c r="D362" s="472"/>
      <c r="E362" s="500"/>
      <c r="F362" s="501"/>
      <c r="G362" s="532"/>
      <c r="H362" s="533">
        <f>E354</f>
        <v>1</v>
      </c>
      <c r="I362" s="534">
        <f>(VLOOKUP(B362,'MÃO DE OBRA'!$A:$E,5,FALSE)/220)</f>
        <v>23.69</v>
      </c>
      <c r="J362" s="505">
        <f>H362*I362</f>
        <v>23.69</v>
      </c>
      <c r="K362" s="471"/>
    </row>
    <row r="363" spans="1:14">
      <c r="A363" s="463"/>
      <c r="B363" s="530" t="s">
        <v>472</v>
      </c>
      <c r="C363" s="531"/>
      <c r="D363" s="472"/>
      <c r="E363" s="500"/>
      <c r="F363" s="501"/>
      <c r="G363" s="532"/>
      <c r="H363" s="533">
        <v>2</v>
      </c>
      <c r="I363" s="534">
        <f>(VLOOKUP(B363,'MÃO DE OBRA'!$A:$E,5,FALSE)/220)</f>
        <v>18.377072727272729</v>
      </c>
      <c r="J363" s="505">
        <f>H363*I363</f>
        <v>36.754145454545458</v>
      </c>
      <c r="K363" s="471"/>
      <c r="N363" s="6">
        <f>J363/E367</f>
        <v>4.597352559151858</v>
      </c>
    </row>
    <row r="364" spans="1:14">
      <c r="A364" s="463"/>
      <c r="B364" s="530"/>
      <c r="C364" s="531"/>
      <c r="D364" s="472"/>
      <c r="E364" s="500"/>
      <c r="F364" s="501"/>
      <c r="G364" s="532"/>
      <c r="H364" s="533"/>
      <c r="I364" s="534"/>
      <c r="J364" s="505">
        <f>H364*I364</f>
        <v>0</v>
      </c>
      <c r="K364" s="471"/>
    </row>
    <row r="365" spans="1:14">
      <c r="A365" s="463"/>
      <c r="B365" s="512" t="s">
        <v>946</v>
      </c>
      <c r="C365" s="515"/>
      <c r="D365" s="515"/>
      <c r="E365" s="515"/>
      <c r="F365" s="515"/>
      <c r="G365" s="515"/>
      <c r="H365" s="515"/>
      <c r="I365" s="535" t="s">
        <v>175</v>
      </c>
      <c r="J365" s="514">
        <f>SUM(J362:J364)</f>
        <v>60.444145454545463</v>
      </c>
      <c r="K365" s="471"/>
    </row>
    <row r="366" spans="1:14">
      <c r="A366" s="463"/>
      <c r="B366" s="536"/>
      <c r="C366" s="536"/>
      <c r="D366" s="536"/>
      <c r="E366" s="536"/>
      <c r="F366" s="536"/>
      <c r="G366" s="536"/>
      <c r="H366" s="536"/>
      <c r="I366" s="537"/>
      <c r="J366" s="536"/>
      <c r="K366" s="471"/>
    </row>
    <row r="367" spans="1:14">
      <c r="A367" s="463"/>
      <c r="B367" s="538" t="s">
        <v>952</v>
      </c>
      <c r="C367" s="539"/>
      <c r="D367" s="536"/>
      <c r="E367" s="540">
        <v>7.9946327765051901</v>
      </c>
      <c r="F367" s="541" t="s">
        <v>931</v>
      </c>
      <c r="G367" s="519"/>
      <c r="H367" s="519"/>
      <c r="I367" s="542" t="s">
        <v>953</v>
      </c>
      <c r="J367" s="514">
        <f>J359+J365</f>
        <v>130.44414545454546</v>
      </c>
      <c r="K367" s="471"/>
    </row>
    <row r="368" spans="1:14">
      <c r="A368" s="463"/>
      <c r="B368" s="543"/>
      <c r="C368" s="536"/>
      <c r="D368" s="536"/>
      <c r="E368" s="544"/>
      <c r="F368" s="545"/>
      <c r="G368" s="545"/>
      <c r="H368" s="545"/>
      <c r="I368" s="537"/>
      <c r="J368" s="536"/>
      <c r="K368" s="471"/>
    </row>
    <row r="369" spans="1:13" ht="20.399999999999999">
      <c r="A369" s="463"/>
      <c r="B369" s="1493" t="s">
        <v>362</v>
      </c>
      <c r="C369" s="1494"/>
      <c r="D369" s="1494"/>
      <c r="E369" s="1495"/>
      <c r="F369" s="546" t="s">
        <v>688</v>
      </c>
      <c r="G369" s="547" t="s">
        <v>371</v>
      </c>
      <c r="H369" s="520" t="s">
        <v>942</v>
      </c>
      <c r="I369" s="548" t="s">
        <v>361</v>
      </c>
      <c r="J369" s="549" t="s">
        <v>363</v>
      </c>
      <c r="K369" s="471"/>
    </row>
    <row r="370" spans="1:13">
      <c r="A370" s="463"/>
      <c r="B370" s="557" t="str">
        <f>B354</f>
        <v xml:space="preserve">Caminhão carroceria </v>
      </c>
      <c r="C370" s="531"/>
      <c r="D370" s="531"/>
      <c r="E370" s="500"/>
      <c r="F370" s="553" t="str">
        <f>VLOOKUP(B370,EQUIPAMENTOS!$A:$N,12,FALSE)</f>
        <v>Diesel S10</v>
      </c>
      <c r="G370" s="554" t="s">
        <v>415</v>
      </c>
      <c r="H370" s="560">
        <f>VLOOKUP(B370,EQUIPAMENTOS!$A:$N,13,FALSE)</f>
        <v>0</v>
      </c>
      <c r="I370" s="556">
        <f>VLOOKUP(B370,EQUIPAMENTOS!$A:$N,14,FALSE)</f>
        <v>5</v>
      </c>
      <c r="J370" s="505">
        <f>H370*I370*E354*F354</f>
        <v>0</v>
      </c>
      <c r="K370" s="471"/>
    </row>
    <row r="371" spans="1:13">
      <c r="A371" s="463"/>
      <c r="B371" s="557"/>
      <c r="C371" s="531"/>
      <c r="D371" s="531"/>
      <c r="E371" s="500"/>
      <c r="F371" s="553"/>
      <c r="G371" s="554"/>
      <c r="H371" s="560"/>
      <c r="I371" s="560"/>
      <c r="J371" s="505">
        <f>H371*I371*E355*F355</f>
        <v>0</v>
      </c>
      <c r="K371" s="471"/>
    </row>
    <row r="372" spans="1:13">
      <c r="A372" s="463"/>
      <c r="B372" s="557"/>
      <c r="C372" s="531"/>
      <c r="D372" s="531"/>
      <c r="E372" s="500"/>
      <c r="F372" s="553"/>
      <c r="G372" s="554"/>
      <c r="H372" s="560"/>
      <c r="I372" s="560"/>
      <c r="J372" s="505"/>
      <c r="K372" s="471"/>
    </row>
    <row r="373" spans="1:13">
      <c r="A373" s="463"/>
      <c r="B373" s="557"/>
      <c r="C373" s="531"/>
      <c r="D373" s="531"/>
      <c r="E373" s="500"/>
      <c r="F373" s="553"/>
      <c r="G373" s="554"/>
      <c r="H373" s="560"/>
      <c r="I373" s="560"/>
      <c r="J373" s="505"/>
      <c r="K373" s="471"/>
    </row>
    <row r="374" spans="1:13">
      <c r="A374" s="463"/>
      <c r="B374" s="557"/>
      <c r="C374" s="539"/>
      <c r="D374" s="539"/>
      <c r="E374" s="507"/>
      <c r="F374" s="553"/>
      <c r="G374" s="736"/>
      <c r="H374" s="560"/>
      <c r="I374" s="560"/>
      <c r="J374" s="505"/>
      <c r="K374" s="471"/>
    </row>
    <row r="375" spans="1:13">
      <c r="A375" s="463"/>
      <c r="B375" s="563" t="s">
        <v>946</v>
      </c>
      <c r="C375" s="536"/>
      <c r="D375" s="536"/>
      <c r="E375" s="536"/>
      <c r="F375" s="536"/>
      <c r="G375" s="536"/>
      <c r="H375" s="564"/>
      <c r="I375" s="565" t="s">
        <v>175</v>
      </c>
      <c r="J375" s="514">
        <f>SUM(J370:J374)</f>
        <v>0</v>
      </c>
      <c r="K375" s="471"/>
      <c r="L375" s="6">
        <f>J375/E367</f>
        <v>0</v>
      </c>
    </row>
    <row r="376" spans="1:13">
      <c r="A376" s="463"/>
      <c r="B376" s="566"/>
      <c r="C376" s="539"/>
      <c r="D376" s="539"/>
      <c r="E376" s="567"/>
      <c r="F376" s="568"/>
      <c r="G376" s="519"/>
      <c r="H376" s="519"/>
      <c r="I376" s="542"/>
      <c r="J376" s="567"/>
      <c r="K376" s="471"/>
    </row>
    <row r="377" spans="1:13" ht="20.399999999999999">
      <c r="A377" s="463"/>
      <c r="B377" s="1493" t="s">
        <v>955</v>
      </c>
      <c r="C377" s="1494"/>
      <c r="D377" s="1494"/>
      <c r="E377" s="1494"/>
      <c r="F377" s="1495"/>
      <c r="G377" s="569" t="s">
        <v>372</v>
      </c>
      <c r="H377" s="519" t="s">
        <v>956</v>
      </c>
      <c r="I377" s="570" t="s">
        <v>942</v>
      </c>
      <c r="J377" s="522" t="s">
        <v>363</v>
      </c>
      <c r="K377" s="471"/>
    </row>
    <row r="378" spans="1:13">
      <c r="A378" s="463"/>
      <c r="B378" s="571"/>
      <c r="C378" s="572"/>
      <c r="D378" s="573"/>
      <c r="E378" s="573"/>
      <c r="F378" s="574"/>
      <c r="G378" s="502"/>
      <c r="H378" s="502"/>
      <c r="I378" s="575"/>
      <c r="J378" s="505"/>
      <c r="K378" s="471"/>
    </row>
    <row r="379" spans="1:13">
      <c r="A379" s="463"/>
      <c r="B379" s="576"/>
      <c r="C379" s="577"/>
      <c r="D379" s="578"/>
      <c r="E379" s="578"/>
      <c r="F379" s="579"/>
      <c r="G379" s="502"/>
      <c r="H379" s="502"/>
      <c r="I379" s="575"/>
      <c r="J379" s="505"/>
      <c r="K379" s="471"/>
    </row>
    <row r="380" spans="1:13">
      <c r="A380" s="463"/>
      <c r="B380" s="1496" t="s">
        <v>175</v>
      </c>
      <c r="C380" s="1496"/>
      <c r="D380" s="1496"/>
      <c r="E380" s="1496"/>
      <c r="F380" s="1496"/>
      <c r="G380" s="1496"/>
      <c r="H380" s="1496"/>
      <c r="I380" s="1496"/>
      <c r="J380" s="514">
        <f>SUM(J378:J379)</f>
        <v>0</v>
      </c>
      <c r="K380" s="471"/>
    </row>
    <row r="381" spans="1:13">
      <c r="A381" s="463"/>
      <c r="B381" s="580"/>
      <c r="C381" s="524"/>
      <c r="D381" s="524"/>
      <c r="E381" s="581"/>
      <c r="F381" s="582"/>
      <c r="G381" s="583"/>
      <c r="H381" s="583"/>
      <c r="I381" s="584"/>
      <c r="J381" s="585"/>
      <c r="K381" s="471"/>
    </row>
    <row r="382" spans="1:13">
      <c r="A382" s="463"/>
      <c r="B382" s="586" t="s">
        <v>957</v>
      </c>
      <c r="C382" s="586"/>
      <c r="D382" s="563"/>
      <c r="E382" s="536"/>
      <c r="F382" s="536"/>
      <c r="G382" s="536"/>
      <c r="H382" s="587"/>
      <c r="I382" s="588"/>
      <c r="J382" s="514">
        <f>(J367+J375+J380)/E367</f>
        <v>16.31646494606953</v>
      </c>
      <c r="K382" s="471"/>
      <c r="L382">
        <v>16.316465103709209</v>
      </c>
      <c r="M382" s="6"/>
    </row>
    <row r="383" spans="1:13">
      <c r="A383" s="463"/>
      <c r="B383" s="566"/>
      <c r="C383" s="539"/>
      <c r="D383" s="539"/>
      <c r="E383" s="567"/>
      <c r="F383" s="568"/>
      <c r="G383" s="519"/>
      <c r="H383" s="519"/>
      <c r="I383" s="542"/>
      <c r="J383" s="589"/>
      <c r="K383" s="471"/>
    </row>
    <row r="384" spans="1:13" ht="20.399999999999999">
      <c r="A384" s="463"/>
      <c r="B384" s="1493" t="s">
        <v>958</v>
      </c>
      <c r="C384" s="1494"/>
      <c r="D384" s="1494"/>
      <c r="E384" s="1494"/>
      <c r="F384" s="1495"/>
      <c r="G384" s="569" t="s">
        <v>372</v>
      </c>
      <c r="H384" s="519" t="s">
        <v>956</v>
      </c>
      <c r="I384" s="570" t="s">
        <v>942</v>
      </c>
      <c r="J384" s="522" t="s">
        <v>363</v>
      </c>
      <c r="K384" s="471"/>
      <c r="M384" s="6"/>
    </row>
    <row r="385" spans="1:13">
      <c r="A385" s="463"/>
      <c r="B385" s="571"/>
      <c r="C385" s="572"/>
      <c r="D385" s="573"/>
      <c r="E385" s="573"/>
      <c r="F385" s="574"/>
      <c r="G385" s="502"/>
      <c r="H385" s="502"/>
      <c r="I385" s="575"/>
      <c r="J385" s="505">
        <f>G385*I385</f>
        <v>0</v>
      </c>
      <c r="K385" s="471"/>
      <c r="M385" s="6"/>
    </row>
    <row r="386" spans="1:13">
      <c r="A386" s="463"/>
      <c r="B386" s="590"/>
      <c r="C386" s="591"/>
      <c r="D386" s="592"/>
      <c r="E386" s="592"/>
      <c r="F386" s="593"/>
      <c r="G386" s="502"/>
      <c r="H386" s="502"/>
      <c r="I386" s="575"/>
      <c r="J386" s="505">
        <f>G386*I386</f>
        <v>0</v>
      </c>
      <c r="K386" s="471"/>
    </row>
    <row r="387" spans="1:13">
      <c r="A387" s="463"/>
      <c r="B387" s="594"/>
      <c r="C387" s="536"/>
      <c r="D387" s="536"/>
      <c r="E387" s="595"/>
      <c r="F387" s="596"/>
      <c r="G387" s="545"/>
      <c r="H387" s="545"/>
      <c r="I387" s="537" t="s">
        <v>175</v>
      </c>
      <c r="J387" s="514">
        <f>SUM(J385:J386)</f>
        <v>0</v>
      </c>
      <c r="K387" s="471"/>
    </row>
    <row r="388" spans="1:13">
      <c r="A388" s="463"/>
      <c r="B388" s="597"/>
      <c r="C388" s="536"/>
      <c r="D388" s="536"/>
      <c r="E388" s="595"/>
      <c r="F388" s="596"/>
      <c r="G388" s="545"/>
      <c r="H388" s="545"/>
      <c r="I388" s="537"/>
      <c r="J388" s="595"/>
      <c r="K388" s="471"/>
    </row>
    <row r="389" spans="1:13" ht="20.399999999999999">
      <c r="A389" s="463"/>
      <c r="B389" s="598" t="s">
        <v>959</v>
      </c>
      <c r="C389" s="598"/>
      <c r="D389" s="598"/>
      <c r="E389" s="599"/>
      <c r="F389" s="600" t="s">
        <v>372</v>
      </c>
      <c r="G389" s="569" t="s">
        <v>960</v>
      </c>
      <c r="H389" s="519" t="s">
        <v>942</v>
      </c>
      <c r="I389" s="570" t="s">
        <v>361</v>
      </c>
      <c r="J389" s="522" t="s">
        <v>363</v>
      </c>
      <c r="K389" s="471"/>
    </row>
    <row r="390" spans="1:13">
      <c r="A390" s="463"/>
      <c r="B390" s="576" t="s">
        <v>946</v>
      </c>
      <c r="C390" s="577"/>
      <c r="D390" s="578"/>
      <c r="E390" s="579" t="s">
        <v>946</v>
      </c>
      <c r="F390" s="502">
        <v>0</v>
      </c>
      <c r="G390" s="502">
        <v>0</v>
      </c>
      <c r="H390" s="502">
        <v>0</v>
      </c>
      <c r="I390" s="575">
        <v>0</v>
      </c>
      <c r="J390" s="505">
        <f>I390*H390*G390*F390</f>
        <v>0</v>
      </c>
      <c r="K390" s="471"/>
    </row>
    <row r="391" spans="1:13">
      <c r="A391" s="463"/>
      <c r="B391" s="590" t="s">
        <v>946</v>
      </c>
      <c r="C391" s="591"/>
      <c r="D391" s="592"/>
      <c r="E391" s="593" t="s">
        <v>946</v>
      </c>
      <c r="F391" s="509">
        <v>0</v>
      </c>
      <c r="G391" s="509">
        <v>0</v>
      </c>
      <c r="H391" s="509">
        <v>0</v>
      </c>
      <c r="I391" s="601">
        <v>0</v>
      </c>
      <c r="J391" s="505">
        <f>I391*H391*G391*F391</f>
        <v>0</v>
      </c>
      <c r="K391" s="471"/>
    </row>
    <row r="392" spans="1:13">
      <c r="A392" s="463"/>
      <c r="B392" s="594"/>
      <c r="C392" s="536"/>
      <c r="D392" s="536"/>
      <c r="E392" s="595"/>
      <c r="F392" s="596"/>
      <c r="G392" s="545"/>
      <c r="H392" s="545"/>
      <c r="I392" s="537" t="s">
        <v>175</v>
      </c>
      <c r="J392" s="514">
        <f>SUM(J390:J391)</f>
        <v>0</v>
      </c>
      <c r="K392" s="471"/>
    </row>
    <row r="393" spans="1:13">
      <c r="A393" s="463"/>
      <c r="B393" s="536"/>
      <c r="C393" s="536"/>
      <c r="D393" s="536"/>
      <c r="E393" s="536"/>
      <c r="F393" s="536"/>
      <c r="G393" s="536"/>
      <c r="H393" s="536"/>
      <c r="I393" s="537"/>
      <c r="J393" s="536"/>
      <c r="K393" s="471"/>
    </row>
    <row r="394" spans="1:13">
      <c r="A394" s="463"/>
      <c r="B394" s="1481" t="s">
        <v>963</v>
      </c>
      <c r="C394" s="1482"/>
      <c r="D394" s="1482"/>
      <c r="E394" s="1482"/>
      <c r="F394" s="1482"/>
      <c r="G394" s="1482"/>
      <c r="H394" s="1482"/>
      <c r="I394" s="1483"/>
      <c r="J394" s="586">
        <v>16.31646494606953</v>
      </c>
      <c r="K394" s="471"/>
    </row>
    <row r="395" spans="1:13">
      <c r="A395" s="463"/>
      <c r="B395" s="524"/>
      <c r="C395" s="524"/>
      <c r="D395" s="524"/>
      <c r="E395" s="524"/>
      <c r="F395" s="524"/>
      <c r="G395" s="524"/>
      <c r="H395" s="524"/>
      <c r="I395" s="584"/>
      <c r="J395" s="524"/>
      <c r="K395" s="471"/>
    </row>
    <row r="396" spans="1:13">
      <c r="A396" s="463"/>
      <c r="B396" s="602"/>
      <c r="C396" s="572"/>
      <c r="D396" s="572"/>
      <c r="E396" s="572"/>
      <c r="F396" s="572"/>
      <c r="G396" s="572"/>
      <c r="H396" s="572"/>
      <c r="I396" s="572"/>
      <c r="J396" s="603"/>
      <c r="K396" s="471"/>
    </row>
    <row r="397" spans="1:13">
      <c r="A397" s="463"/>
      <c r="B397" s="604"/>
      <c r="C397" s="605"/>
      <c r="D397" s="606"/>
      <c r="E397" s="606"/>
      <c r="F397" s="607" t="s">
        <v>946</v>
      </c>
      <c r="G397" s="608" t="s">
        <v>946</v>
      </c>
      <c r="H397" s="605"/>
      <c r="I397" s="605"/>
      <c r="J397" s="609"/>
      <c r="K397" s="471"/>
    </row>
    <row r="398" spans="1:13">
      <c r="A398" s="463"/>
      <c r="B398" s="472"/>
      <c r="C398" s="472"/>
      <c r="D398" s="472"/>
      <c r="E398" s="472"/>
      <c r="F398" s="472"/>
      <c r="G398" s="472"/>
      <c r="H398" s="472"/>
      <c r="I398" s="472"/>
      <c r="J398" s="472"/>
      <c r="K398" s="471"/>
    </row>
    <row r="399" spans="1:13">
      <c r="A399" s="463"/>
      <c r="B399" s="610" t="str">
        <f>B171</f>
        <v>OPERAÇÃO DE SUPRESSÃO E SUMP</v>
      </c>
      <c r="C399" s="611"/>
      <c r="D399" s="611"/>
      <c r="E399" s="611"/>
      <c r="F399" s="612"/>
      <c r="G399" s="613" t="s">
        <v>363</v>
      </c>
      <c r="H399" s="515"/>
      <c r="I399" s="515"/>
      <c r="J399" s="518"/>
      <c r="K399" s="471"/>
    </row>
    <row r="400" spans="1:13">
      <c r="A400" s="463"/>
      <c r="B400" s="614" t="str">
        <f>B172</f>
        <v>MARA ROSA</v>
      </c>
      <c r="C400" s="615"/>
      <c r="D400" s="615"/>
      <c r="E400" s="615"/>
      <c r="F400" s="616"/>
      <c r="G400" s="1484" t="s">
        <v>964</v>
      </c>
      <c r="H400" s="1485"/>
      <c r="I400" s="1485"/>
      <c r="J400" s="1486"/>
      <c r="K400" s="471"/>
    </row>
    <row r="401" spans="1:13">
      <c r="A401" s="463"/>
      <c r="B401" s="617"/>
      <c r="C401" s="618"/>
      <c r="D401" s="618"/>
      <c r="E401" s="618"/>
      <c r="F401" s="619"/>
      <c r="G401" s="620"/>
      <c r="H401" s="1487"/>
      <c r="I401" s="1488"/>
      <c r="J401" s="1489"/>
      <c r="K401" s="471"/>
    </row>
    <row r="402" spans="1:13" ht="15" thickBot="1">
      <c r="A402" s="463"/>
      <c r="B402" s="1012"/>
      <c r="C402" s="472"/>
      <c r="D402" s="472"/>
      <c r="E402" s="472"/>
      <c r="F402" s="472"/>
      <c r="G402" s="472"/>
      <c r="H402" s="1013"/>
      <c r="I402" s="1013"/>
      <c r="J402" s="1013"/>
      <c r="K402" s="471"/>
    </row>
    <row r="403" spans="1:13">
      <c r="A403" s="460"/>
      <c r="B403" s="461"/>
      <c r="C403" s="461"/>
      <c r="D403" s="461"/>
      <c r="E403" s="461"/>
      <c r="F403" s="461"/>
      <c r="G403" s="461"/>
      <c r="H403" s="461"/>
      <c r="I403" s="461"/>
      <c r="J403" s="461"/>
      <c r="K403" s="462"/>
    </row>
    <row r="404" spans="1:13">
      <c r="A404" s="463"/>
      <c r="B404" s="464" t="s">
        <v>178</v>
      </c>
      <c r="C404" s="465"/>
      <c r="D404" s="466" t="s">
        <v>936</v>
      </c>
      <c r="E404" s="467"/>
      <c r="F404" s="468"/>
      <c r="G404" s="468"/>
      <c r="H404" s="469"/>
      <c r="I404" s="469"/>
      <c r="J404" s="470"/>
      <c r="K404" s="471"/>
    </row>
    <row r="405" spans="1:13">
      <c r="A405" s="463"/>
      <c r="B405" s="472"/>
      <c r="C405" s="472"/>
      <c r="D405" s="472"/>
      <c r="E405" s="472"/>
      <c r="F405" s="472"/>
      <c r="G405" s="472"/>
      <c r="H405" s="472"/>
      <c r="I405" s="472"/>
      <c r="J405" s="472"/>
      <c r="K405" s="471"/>
    </row>
    <row r="406" spans="1:13">
      <c r="A406" s="463"/>
      <c r="B406" s="473" t="s">
        <v>688</v>
      </c>
      <c r="C406" s="474" t="s">
        <v>937</v>
      </c>
      <c r="D406" s="1497" t="s">
        <v>250</v>
      </c>
      <c r="E406" s="1498"/>
      <c r="F406" s="1498"/>
      <c r="G406" s="1498"/>
      <c r="H406" s="1498"/>
      <c r="I406" s="1499"/>
      <c r="J406" s="475" t="s">
        <v>267</v>
      </c>
      <c r="K406" s="471"/>
    </row>
    <row r="407" spans="1:13" ht="14.4" customHeight="1">
      <c r="A407" s="463"/>
      <c r="B407" s="476" t="s">
        <v>3</v>
      </c>
      <c r="C407" s="477">
        <f ca="1">C121</f>
        <v>46140</v>
      </c>
      <c r="D407" s="681" t="s">
        <v>1488</v>
      </c>
      <c r="E407" s="479"/>
      <c r="F407" s="479"/>
      <c r="G407" s="479"/>
      <c r="H407" s="479"/>
      <c r="I407" s="480"/>
      <c r="J407" s="481" t="str">
        <f>F424</f>
        <v>m3</v>
      </c>
      <c r="K407" s="471"/>
    </row>
    <row r="408" spans="1:13">
      <c r="A408" s="463"/>
      <c r="B408" s="482"/>
      <c r="C408" s="482"/>
      <c r="D408" s="482"/>
      <c r="E408" s="482"/>
      <c r="F408" s="482"/>
      <c r="G408" s="482"/>
      <c r="H408" s="482"/>
      <c r="I408" s="483"/>
      <c r="J408" s="484"/>
      <c r="K408" s="471"/>
    </row>
    <row r="409" spans="1:13">
      <c r="A409" s="463"/>
      <c r="B409" s="1484" t="s">
        <v>938</v>
      </c>
      <c r="C409" s="1486"/>
      <c r="D409" s="1502" t="s">
        <v>688</v>
      </c>
      <c r="E409" s="1504" t="s">
        <v>939</v>
      </c>
      <c r="F409" s="485" t="s">
        <v>940</v>
      </c>
      <c r="G409" s="486"/>
      <c r="H409" s="485" t="s">
        <v>941</v>
      </c>
      <c r="I409" s="486"/>
      <c r="J409" s="487" t="s">
        <v>942</v>
      </c>
      <c r="K409" s="471"/>
    </row>
    <row r="410" spans="1:13">
      <c r="A410" s="463"/>
      <c r="B410" s="1500"/>
      <c r="C410" s="1501"/>
      <c r="D410" s="1503"/>
      <c r="E410" s="1505"/>
      <c r="F410" s="488" t="s">
        <v>943</v>
      </c>
      <c r="G410" s="488" t="s">
        <v>944</v>
      </c>
      <c r="H410" s="488" t="s">
        <v>943</v>
      </c>
      <c r="I410" s="489" t="s">
        <v>944</v>
      </c>
      <c r="J410" s="490" t="s">
        <v>945</v>
      </c>
      <c r="K410" s="471"/>
    </row>
    <row r="411" spans="1:13">
      <c r="A411" s="463"/>
      <c r="B411" s="499" t="s">
        <v>619</v>
      </c>
      <c r="C411" s="500"/>
      <c r="D411" s="501"/>
      <c r="E411" s="502">
        <v>1</v>
      </c>
      <c r="F411" s="502">
        <v>1</v>
      </c>
      <c r="G411" s="502">
        <f>1-F411</f>
        <v>0</v>
      </c>
      <c r="H411" s="503">
        <f>VLOOKUP(B411,EQUIPAMENTOS!$A:$J,10,FALSE)</f>
        <v>70</v>
      </c>
      <c r="I411" s="504">
        <f>H411</f>
        <v>70</v>
      </c>
      <c r="J411" s="505">
        <f>H411*F411*E411+I411*G411*E411</f>
        <v>70</v>
      </c>
      <c r="K411" s="471"/>
    </row>
    <row r="412" spans="1:13">
      <c r="A412" s="463"/>
      <c r="B412" s="499"/>
      <c r="C412" s="500"/>
      <c r="D412" s="501"/>
      <c r="E412" s="502"/>
      <c r="F412" s="502"/>
      <c r="G412" s="502"/>
      <c r="H412" s="503"/>
      <c r="I412" s="504"/>
      <c r="J412" s="505">
        <f>H412*F412*E412+I412*G412*E412</f>
        <v>0</v>
      </c>
      <c r="K412" s="471"/>
    </row>
    <row r="413" spans="1:13">
      <c r="A413" s="463"/>
      <c r="B413" s="499"/>
      <c r="C413" s="500"/>
      <c r="D413" s="501"/>
      <c r="E413" s="502"/>
      <c r="F413" s="502"/>
      <c r="G413" s="502"/>
      <c r="H413" s="503"/>
      <c r="I413" s="504"/>
      <c r="J413" s="505"/>
      <c r="K413" s="471"/>
      <c r="M413" s="6"/>
    </row>
    <row r="414" spans="1:13">
      <c r="A414" s="463"/>
      <c r="B414" s="499"/>
      <c r="C414" s="500"/>
      <c r="D414" s="501"/>
      <c r="E414" s="502"/>
      <c r="F414" s="502"/>
      <c r="G414" s="502"/>
      <c r="H414" s="503"/>
      <c r="I414" s="504"/>
      <c r="J414" s="505"/>
      <c r="K414" s="471"/>
    </row>
    <row r="415" spans="1:13">
      <c r="A415" s="463"/>
      <c r="B415" s="506"/>
      <c r="C415" s="507"/>
      <c r="D415" s="508"/>
      <c r="E415" s="509"/>
      <c r="F415" s="509"/>
      <c r="G415" s="509"/>
      <c r="H415" s="510"/>
      <c r="I415" s="511"/>
      <c r="J415" s="505">
        <f>H415*F415*E415+I415*G415*E415</f>
        <v>0</v>
      </c>
      <c r="K415" s="471"/>
    </row>
    <row r="416" spans="1:13">
      <c r="A416" s="463"/>
      <c r="B416" s="512" t="s">
        <v>946</v>
      </c>
      <c r="C416" s="482"/>
      <c r="D416" s="482"/>
      <c r="E416" s="482"/>
      <c r="F416" s="482"/>
      <c r="G416" s="482"/>
      <c r="H416" s="482"/>
      <c r="I416" s="513" t="s">
        <v>175</v>
      </c>
      <c r="J416" s="514">
        <f>SUM(J411:J415)</f>
        <v>70</v>
      </c>
      <c r="K416" s="471"/>
    </row>
    <row r="417" spans="1:12">
      <c r="A417" s="463"/>
      <c r="B417" s="515"/>
      <c r="C417" s="515"/>
      <c r="D417" s="515"/>
      <c r="E417" s="515"/>
      <c r="F417" s="515"/>
      <c r="G417" s="515"/>
      <c r="H417" s="515"/>
      <c r="I417" s="516"/>
      <c r="J417" s="517"/>
      <c r="K417" s="471"/>
      <c r="L417" s="6"/>
    </row>
    <row r="418" spans="1:12" ht="20.399999999999999" customHeight="1">
      <c r="A418" s="463"/>
      <c r="B418" s="1490" t="s">
        <v>947</v>
      </c>
      <c r="C418" s="1491"/>
      <c r="D418" s="1491"/>
      <c r="E418" s="1492"/>
      <c r="F418" s="725" t="s">
        <v>688</v>
      </c>
      <c r="G418" s="853"/>
      <c r="H418" s="520" t="s">
        <v>427</v>
      </c>
      <c r="I418" s="521" t="s">
        <v>948</v>
      </c>
      <c r="J418" s="522" t="s">
        <v>949</v>
      </c>
      <c r="K418" s="471"/>
    </row>
    <row r="419" spans="1:12" ht="20.399999999999999" customHeight="1">
      <c r="A419" s="463"/>
      <c r="B419" s="530" t="s">
        <v>1171</v>
      </c>
      <c r="C419" s="531"/>
      <c r="D419" s="472"/>
      <c r="E419" s="500"/>
      <c r="F419" s="501"/>
      <c r="G419" s="532"/>
      <c r="H419" s="533">
        <f>E411</f>
        <v>1</v>
      </c>
      <c r="I419" s="534">
        <f>(VLOOKUP(B419,'MÃO DE OBRA'!$A:$E,5,FALSE)/220)</f>
        <v>23.69</v>
      </c>
      <c r="J419" s="505">
        <f>H419*I419</f>
        <v>23.69</v>
      </c>
      <c r="K419" s="471"/>
    </row>
    <row r="420" spans="1:12">
      <c r="A420" s="463"/>
      <c r="B420" s="530" t="s">
        <v>472</v>
      </c>
      <c r="C420" s="531"/>
      <c r="D420" s="472"/>
      <c r="E420" s="500"/>
      <c r="F420" s="501"/>
      <c r="G420" s="532"/>
      <c r="H420" s="533">
        <v>2</v>
      </c>
      <c r="I420" s="534">
        <f>(VLOOKUP(B420,'MÃO DE OBRA'!$A:$E,5,FALSE)/220)</f>
        <v>18.377072727272729</v>
      </c>
      <c r="J420" s="505">
        <f>H420*I420</f>
        <v>36.754145454545458</v>
      </c>
      <c r="K420" s="471"/>
    </row>
    <row r="421" spans="1:12">
      <c r="A421" s="463"/>
      <c r="B421" s="530"/>
      <c r="C421" s="531"/>
      <c r="D421" s="472"/>
      <c r="E421" s="500"/>
      <c r="F421" s="501"/>
      <c r="G421" s="532"/>
      <c r="H421" s="533"/>
      <c r="I421" s="534"/>
      <c r="J421" s="505">
        <f>H421*I421</f>
        <v>0</v>
      </c>
      <c r="K421" s="471"/>
    </row>
    <row r="422" spans="1:12">
      <c r="A422" s="463"/>
      <c r="B422" s="512" t="s">
        <v>946</v>
      </c>
      <c r="C422" s="515"/>
      <c r="D422" s="515"/>
      <c r="E422" s="515"/>
      <c r="F422" s="515"/>
      <c r="G422" s="515"/>
      <c r="H422" s="515"/>
      <c r="I422" s="535" t="s">
        <v>175</v>
      </c>
      <c r="J422" s="514">
        <f>SUM(J419:J421)</f>
        <v>60.444145454545463</v>
      </c>
      <c r="K422" s="471"/>
    </row>
    <row r="423" spans="1:12">
      <c r="A423" s="463"/>
      <c r="B423" s="536"/>
      <c r="C423" s="536"/>
      <c r="D423" s="536"/>
      <c r="E423" s="536"/>
      <c r="F423" s="536"/>
      <c r="G423" s="536"/>
      <c r="H423" s="536"/>
      <c r="I423" s="537"/>
      <c r="J423" s="536"/>
      <c r="K423" s="471"/>
    </row>
    <row r="424" spans="1:12">
      <c r="A424" s="463"/>
      <c r="B424" s="538" t="s">
        <v>952</v>
      </c>
      <c r="C424" s="539"/>
      <c r="D424" s="536"/>
      <c r="E424" s="540">
        <v>7.5862629980572303</v>
      </c>
      <c r="F424" s="541" t="s">
        <v>931</v>
      </c>
      <c r="G424" s="519"/>
      <c r="H424" s="519"/>
      <c r="I424" s="542" t="s">
        <v>953</v>
      </c>
      <c r="J424" s="514">
        <f>J416+J422</f>
        <v>130.44414545454546</v>
      </c>
      <c r="K424" s="471"/>
    </row>
    <row r="425" spans="1:12">
      <c r="A425" s="463"/>
      <c r="B425" s="543"/>
      <c r="C425" s="536"/>
      <c r="D425" s="536"/>
      <c r="E425" s="544"/>
      <c r="F425" s="545"/>
      <c r="G425" s="545"/>
      <c r="H425" s="545"/>
      <c r="I425" s="537"/>
      <c r="J425" s="536"/>
      <c r="K425" s="471"/>
    </row>
    <row r="426" spans="1:12" ht="20.399999999999999">
      <c r="A426" s="463"/>
      <c r="B426" s="1493" t="s">
        <v>362</v>
      </c>
      <c r="C426" s="1494"/>
      <c r="D426" s="1494"/>
      <c r="E426" s="1495"/>
      <c r="F426" s="546" t="s">
        <v>688</v>
      </c>
      <c r="G426" s="547" t="s">
        <v>371</v>
      </c>
      <c r="H426" s="520" t="s">
        <v>942</v>
      </c>
      <c r="I426" s="548" t="s">
        <v>361</v>
      </c>
      <c r="J426" s="549" t="s">
        <v>363</v>
      </c>
      <c r="K426" s="471"/>
    </row>
    <row r="427" spans="1:12">
      <c r="A427" s="463"/>
      <c r="B427" s="557" t="str">
        <f>B411</f>
        <v xml:space="preserve">Caminhão carroceria </v>
      </c>
      <c r="C427" s="531"/>
      <c r="D427" s="531"/>
      <c r="E427" s="500"/>
      <c r="F427" s="553" t="str">
        <f>VLOOKUP(B427,EQUIPAMENTOS!$A:$N,12,FALSE)</f>
        <v>Diesel S10</v>
      </c>
      <c r="G427" s="554" t="s">
        <v>415</v>
      </c>
      <c r="H427" s="560">
        <f>VLOOKUP(B427,EQUIPAMENTOS!$A:$N,13,FALSE)</f>
        <v>0</v>
      </c>
      <c r="I427" s="556">
        <f>VLOOKUP(B427,EQUIPAMENTOS!$A:$N,14,FALSE)</f>
        <v>5</v>
      </c>
      <c r="J427" s="505">
        <f>H427*I427*E411*F411</f>
        <v>0</v>
      </c>
      <c r="K427" s="471"/>
    </row>
    <row r="428" spans="1:12">
      <c r="A428" s="463"/>
      <c r="B428" s="557"/>
      <c r="C428" s="531"/>
      <c r="D428" s="531"/>
      <c r="E428" s="500"/>
      <c r="F428" s="553"/>
      <c r="G428" s="554"/>
      <c r="H428" s="560"/>
      <c r="I428" s="560"/>
      <c r="J428" s="505">
        <f>H428*I428*E412*F412</f>
        <v>0</v>
      </c>
      <c r="K428" s="471"/>
    </row>
    <row r="429" spans="1:12">
      <c r="A429" s="463"/>
      <c r="B429" s="557"/>
      <c r="C429" s="531"/>
      <c r="D429" s="531"/>
      <c r="E429" s="500"/>
      <c r="F429" s="553"/>
      <c r="G429" s="554"/>
      <c r="H429" s="560"/>
      <c r="I429" s="560"/>
      <c r="J429" s="505"/>
      <c r="K429" s="471"/>
    </row>
    <row r="430" spans="1:12">
      <c r="A430" s="463"/>
      <c r="B430" s="557"/>
      <c r="C430" s="531"/>
      <c r="D430" s="531"/>
      <c r="E430" s="500"/>
      <c r="F430" s="553"/>
      <c r="G430" s="554"/>
      <c r="H430" s="560"/>
      <c r="I430" s="560"/>
      <c r="J430" s="505"/>
      <c r="K430" s="471"/>
    </row>
    <row r="431" spans="1:12">
      <c r="A431" s="463"/>
      <c r="B431" s="557"/>
      <c r="C431" s="539"/>
      <c r="D431" s="539"/>
      <c r="E431" s="507"/>
      <c r="F431" s="553"/>
      <c r="G431" s="736"/>
      <c r="H431" s="560"/>
      <c r="I431" s="560"/>
      <c r="J431" s="505"/>
      <c r="K431" s="471"/>
    </row>
    <row r="432" spans="1:12">
      <c r="A432" s="463"/>
      <c r="B432" s="563" t="s">
        <v>946</v>
      </c>
      <c r="C432" s="536"/>
      <c r="D432" s="536"/>
      <c r="E432" s="536"/>
      <c r="F432" s="536"/>
      <c r="G432" s="536"/>
      <c r="H432" s="564"/>
      <c r="I432" s="565" t="s">
        <v>175</v>
      </c>
      <c r="J432" s="514">
        <f>SUM(J427:J431)</f>
        <v>0</v>
      </c>
      <c r="K432" s="471"/>
    </row>
    <row r="433" spans="1:12">
      <c r="A433" s="463"/>
      <c r="B433" s="566"/>
      <c r="C433" s="539"/>
      <c r="D433" s="539"/>
      <c r="E433" s="567"/>
      <c r="F433" s="568"/>
      <c r="G433" s="519"/>
      <c r="H433" s="519"/>
      <c r="I433" s="542"/>
      <c r="J433" s="567"/>
      <c r="K433" s="471"/>
    </row>
    <row r="434" spans="1:12" ht="20.399999999999999">
      <c r="A434" s="463"/>
      <c r="B434" s="1493" t="s">
        <v>955</v>
      </c>
      <c r="C434" s="1494"/>
      <c r="D434" s="1494"/>
      <c r="E434" s="1494"/>
      <c r="F434" s="1495"/>
      <c r="G434" s="569" t="s">
        <v>372</v>
      </c>
      <c r="H434" s="519" t="s">
        <v>956</v>
      </c>
      <c r="I434" s="570" t="s">
        <v>942</v>
      </c>
      <c r="J434" s="522" t="s">
        <v>363</v>
      </c>
      <c r="K434" s="471"/>
    </row>
    <row r="435" spans="1:12">
      <c r="A435" s="463"/>
      <c r="B435" s="571"/>
      <c r="C435" s="572"/>
      <c r="D435" s="573"/>
      <c r="E435" s="573"/>
      <c r="F435" s="574"/>
      <c r="G435" s="502"/>
      <c r="H435" s="502"/>
      <c r="I435" s="575"/>
      <c r="J435" s="505"/>
      <c r="K435" s="471"/>
    </row>
    <row r="436" spans="1:12">
      <c r="A436" s="463"/>
      <c r="B436" s="576"/>
      <c r="C436" s="577"/>
      <c r="D436" s="578"/>
      <c r="E436" s="578"/>
      <c r="F436" s="579"/>
      <c r="G436" s="502"/>
      <c r="H436" s="502"/>
      <c r="I436" s="575"/>
      <c r="J436" s="505"/>
      <c r="K436" s="471"/>
      <c r="L436" s="6"/>
    </row>
    <row r="437" spans="1:12">
      <c r="A437" s="463"/>
      <c r="B437" s="1496" t="s">
        <v>175</v>
      </c>
      <c r="C437" s="1496"/>
      <c r="D437" s="1496"/>
      <c r="E437" s="1496"/>
      <c r="F437" s="1496"/>
      <c r="G437" s="1496"/>
      <c r="H437" s="1496"/>
      <c r="I437" s="1496"/>
      <c r="J437" s="514">
        <f>SUM(J435:J436)</f>
        <v>0</v>
      </c>
      <c r="K437" s="471"/>
    </row>
    <row r="438" spans="1:12">
      <c r="A438" s="463"/>
      <c r="B438" s="580"/>
      <c r="C438" s="524"/>
      <c r="D438" s="524"/>
      <c r="E438" s="581"/>
      <c r="F438" s="582"/>
      <c r="G438" s="583"/>
      <c r="H438" s="583"/>
      <c r="I438" s="584"/>
      <c r="J438" s="585"/>
      <c r="K438" s="471"/>
    </row>
    <row r="439" spans="1:12">
      <c r="A439" s="463"/>
      <c r="B439" s="586" t="s">
        <v>957</v>
      </c>
      <c r="C439" s="586"/>
      <c r="D439" s="563"/>
      <c r="E439" s="536"/>
      <c r="F439" s="536"/>
      <c r="G439" s="536"/>
      <c r="H439" s="587"/>
      <c r="I439" s="588"/>
      <c r="J439" s="514">
        <f>(J424+J432+J437)/E424</f>
        <v>17.19478292381255</v>
      </c>
      <c r="K439" s="471"/>
      <c r="L439">
        <v>17.194784136207012</v>
      </c>
    </row>
    <row r="440" spans="1:12">
      <c r="A440" s="463"/>
      <c r="B440" s="566"/>
      <c r="C440" s="539"/>
      <c r="D440" s="539"/>
      <c r="E440" s="567"/>
      <c r="F440" s="568"/>
      <c r="G440" s="519"/>
      <c r="H440" s="519"/>
      <c r="I440" s="542"/>
      <c r="J440" s="589"/>
      <c r="K440" s="471"/>
    </row>
    <row r="441" spans="1:12" ht="20.399999999999999">
      <c r="A441" s="463"/>
      <c r="B441" s="1493" t="s">
        <v>958</v>
      </c>
      <c r="C441" s="1494"/>
      <c r="D441" s="1494"/>
      <c r="E441" s="1494"/>
      <c r="F441" s="1495"/>
      <c r="G441" s="569" t="s">
        <v>372</v>
      </c>
      <c r="H441" s="519" t="s">
        <v>956</v>
      </c>
      <c r="I441" s="570" t="s">
        <v>942</v>
      </c>
      <c r="J441" s="522" t="s">
        <v>363</v>
      </c>
      <c r="K441" s="471"/>
    </row>
    <row r="442" spans="1:12">
      <c r="A442" s="463"/>
      <c r="B442" s="571"/>
      <c r="C442" s="572"/>
      <c r="D442" s="573"/>
      <c r="E442" s="573"/>
      <c r="F442" s="574"/>
      <c r="G442" s="502"/>
      <c r="H442" s="502"/>
      <c r="I442" s="575"/>
      <c r="J442" s="505">
        <f>G442*I442</f>
        <v>0</v>
      </c>
      <c r="K442" s="471"/>
    </row>
    <row r="443" spans="1:12">
      <c r="A443" s="463"/>
      <c r="B443" s="590"/>
      <c r="C443" s="591"/>
      <c r="D443" s="592"/>
      <c r="E443" s="592"/>
      <c r="F443" s="593"/>
      <c r="G443" s="502"/>
      <c r="H443" s="502"/>
      <c r="I443" s="575"/>
      <c r="J443" s="505">
        <f>G443*I443</f>
        <v>0</v>
      </c>
      <c r="K443" s="471"/>
    </row>
    <row r="444" spans="1:12">
      <c r="A444" s="463"/>
      <c r="B444" s="594"/>
      <c r="C444" s="536"/>
      <c r="D444" s="536"/>
      <c r="E444" s="595"/>
      <c r="F444" s="596"/>
      <c r="G444" s="545"/>
      <c r="H444" s="545"/>
      <c r="I444" s="537" t="s">
        <v>175</v>
      </c>
      <c r="J444" s="514">
        <f>SUM(J442:J443)</f>
        <v>0</v>
      </c>
      <c r="K444" s="471"/>
    </row>
    <row r="445" spans="1:12">
      <c r="A445" s="463"/>
      <c r="B445" s="597"/>
      <c r="C445" s="536"/>
      <c r="D445" s="536"/>
      <c r="E445" s="595"/>
      <c r="F445" s="596"/>
      <c r="G445" s="545"/>
      <c r="H445" s="545"/>
      <c r="I445" s="537"/>
      <c r="J445" s="595"/>
      <c r="K445" s="471"/>
    </row>
    <row r="446" spans="1:12" ht="20.399999999999999">
      <c r="A446" s="463"/>
      <c r="B446" s="598" t="s">
        <v>959</v>
      </c>
      <c r="C446" s="598"/>
      <c r="D446" s="598"/>
      <c r="E446" s="599"/>
      <c r="F446" s="600" t="s">
        <v>372</v>
      </c>
      <c r="G446" s="569" t="s">
        <v>960</v>
      </c>
      <c r="H446" s="519" t="s">
        <v>942</v>
      </c>
      <c r="I446" s="570" t="s">
        <v>361</v>
      </c>
      <c r="J446" s="522" t="s">
        <v>363</v>
      </c>
      <c r="K446" s="471"/>
    </row>
    <row r="447" spans="1:12">
      <c r="A447" s="463"/>
      <c r="B447" s="576" t="s">
        <v>946</v>
      </c>
      <c r="C447" s="577"/>
      <c r="D447" s="578"/>
      <c r="E447" s="579" t="s">
        <v>946</v>
      </c>
      <c r="F447" s="502">
        <v>0</v>
      </c>
      <c r="G447" s="502">
        <v>0</v>
      </c>
      <c r="H447" s="502">
        <v>0</v>
      </c>
      <c r="I447" s="575">
        <v>0</v>
      </c>
      <c r="J447" s="505">
        <f>I447*H447*G447*F447</f>
        <v>0</v>
      </c>
      <c r="K447" s="471"/>
    </row>
    <row r="448" spans="1:12">
      <c r="A448" s="463"/>
      <c r="B448" s="590" t="s">
        <v>946</v>
      </c>
      <c r="C448" s="591"/>
      <c r="D448" s="592"/>
      <c r="E448" s="593" t="s">
        <v>946</v>
      </c>
      <c r="F448" s="509">
        <v>0</v>
      </c>
      <c r="G448" s="509">
        <v>0</v>
      </c>
      <c r="H448" s="509">
        <v>0</v>
      </c>
      <c r="I448" s="601">
        <v>0</v>
      </c>
      <c r="J448" s="505">
        <f>I448*H448*G448*F448</f>
        <v>0</v>
      </c>
      <c r="K448" s="471"/>
    </row>
    <row r="449" spans="1:11">
      <c r="A449" s="463"/>
      <c r="B449" s="594"/>
      <c r="C449" s="536"/>
      <c r="D449" s="536"/>
      <c r="E449" s="595"/>
      <c r="F449" s="596"/>
      <c r="G449" s="545"/>
      <c r="H449" s="545"/>
      <c r="I449" s="537" t="s">
        <v>175</v>
      </c>
      <c r="J449" s="514">
        <f>SUM(J447:J448)</f>
        <v>0</v>
      </c>
      <c r="K449" s="471"/>
    </row>
    <row r="450" spans="1:11">
      <c r="A450" s="463"/>
      <c r="B450" s="536"/>
      <c r="C450" s="536"/>
      <c r="D450" s="536"/>
      <c r="E450" s="536"/>
      <c r="F450" s="536"/>
      <c r="G450" s="536"/>
      <c r="H450" s="536"/>
      <c r="I450" s="537"/>
      <c r="J450" s="536"/>
      <c r="K450" s="471"/>
    </row>
    <row r="451" spans="1:11">
      <c r="A451" s="463"/>
      <c r="B451" s="1481" t="s">
        <v>963</v>
      </c>
      <c r="C451" s="1482"/>
      <c r="D451" s="1482"/>
      <c r="E451" s="1482"/>
      <c r="F451" s="1482"/>
      <c r="G451" s="1482"/>
      <c r="H451" s="1482"/>
      <c r="I451" s="1483"/>
      <c r="J451" s="586">
        <v>17.19478292381255</v>
      </c>
      <c r="K451" s="471"/>
    </row>
    <row r="452" spans="1:11">
      <c r="A452" s="463"/>
      <c r="B452" s="524"/>
      <c r="C452" s="524"/>
      <c r="D452" s="524"/>
      <c r="E452" s="524"/>
      <c r="F452" s="524"/>
      <c r="G452" s="524"/>
      <c r="H452" s="524"/>
      <c r="I452" s="584"/>
      <c r="J452" s="524"/>
      <c r="K452" s="471"/>
    </row>
    <row r="453" spans="1:11">
      <c r="A453" s="463"/>
      <c r="B453" s="602"/>
      <c r="C453" s="572"/>
      <c r="D453" s="572"/>
      <c r="E453" s="572"/>
      <c r="F453" s="572"/>
      <c r="G453" s="572"/>
      <c r="H453" s="572"/>
      <c r="I453" s="572"/>
      <c r="J453" s="603"/>
      <c r="K453" s="471"/>
    </row>
    <row r="454" spans="1:11">
      <c r="A454" s="463"/>
      <c r="B454" s="604"/>
      <c r="C454" s="605"/>
      <c r="D454" s="606"/>
      <c r="E454" s="606"/>
      <c r="F454" s="607" t="s">
        <v>946</v>
      </c>
      <c r="G454" s="608" t="s">
        <v>946</v>
      </c>
      <c r="H454" s="605"/>
      <c r="I454" s="605"/>
      <c r="J454" s="609"/>
      <c r="K454" s="471"/>
    </row>
    <row r="455" spans="1:11">
      <c r="A455" s="463"/>
      <c r="B455" s="472"/>
      <c r="C455" s="472"/>
      <c r="D455" s="472"/>
      <c r="E455" s="472"/>
      <c r="F455" s="472"/>
      <c r="G455" s="472"/>
      <c r="H455" s="472"/>
      <c r="I455" s="472"/>
      <c r="J455" s="472"/>
      <c r="K455" s="471"/>
    </row>
    <row r="456" spans="1:11">
      <c r="A456" s="463"/>
      <c r="B456" s="610" t="str">
        <f>B171</f>
        <v>OPERAÇÃO DE SUPRESSÃO E SUMP</v>
      </c>
      <c r="C456" s="611"/>
      <c r="D456" s="611"/>
      <c r="E456" s="611"/>
      <c r="F456" s="612"/>
      <c r="G456" s="613" t="s">
        <v>363</v>
      </c>
      <c r="H456" s="515"/>
      <c r="I456" s="515"/>
      <c r="J456" s="518"/>
      <c r="K456" s="471"/>
    </row>
    <row r="457" spans="1:11">
      <c r="A457" s="463"/>
      <c r="B457" s="614" t="str">
        <f>B172</f>
        <v>MARA ROSA</v>
      </c>
      <c r="C457" s="615"/>
      <c r="D457" s="615"/>
      <c r="E457" s="615"/>
      <c r="F457" s="616"/>
      <c r="G457" s="1484" t="s">
        <v>964</v>
      </c>
      <c r="H457" s="1485"/>
      <c r="I457" s="1485"/>
      <c r="J457" s="1486"/>
      <c r="K457" s="471"/>
    </row>
    <row r="458" spans="1:11">
      <c r="A458" s="463"/>
      <c r="B458" s="617"/>
      <c r="C458" s="618"/>
      <c r="D458" s="618"/>
      <c r="E458" s="618"/>
      <c r="F458" s="619"/>
      <c r="G458" s="620"/>
      <c r="H458" s="1487"/>
      <c r="I458" s="1488"/>
      <c r="J458" s="1489"/>
      <c r="K458" s="471"/>
    </row>
    <row r="459" spans="1:11" ht="15" thickBot="1">
      <c r="A459" s="621"/>
      <c r="B459" s="622"/>
      <c r="C459" s="622"/>
      <c r="D459" s="622"/>
      <c r="E459" s="622"/>
      <c r="F459" s="622"/>
      <c r="G459" s="622"/>
      <c r="H459" s="622"/>
      <c r="I459" s="622"/>
      <c r="J459" s="622"/>
      <c r="K459" s="623"/>
    </row>
    <row r="460" spans="1:11">
      <c r="A460" s="460"/>
      <c r="B460" s="461"/>
      <c r="C460" s="461"/>
      <c r="D460" s="461"/>
      <c r="E460" s="461"/>
      <c r="F460" s="461"/>
      <c r="G460" s="461"/>
      <c r="H460" s="461"/>
      <c r="I460" s="461"/>
      <c r="J460" s="461"/>
      <c r="K460" s="462"/>
    </row>
    <row r="461" spans="1:11">
      <c r="A461" s="463"/>
      <c r="B461" s="464" t="s">
        <v>178</v>
      </c>
      <c r="C461" s="465"/>
      <c r="D461" s="466" t="s">
        <v>936</v>
      </c>
      <c r="E461" s="467"/>
      <c r="F461" s="468"/>
      <c r="G461" s="468"/>
      <c r="H461" s="469"/>
      <c r="I461" s="469"/>
      <c r="J461" s="470"/>
      <c r="K461" s="471"/>
    </row>
    <row r="462" spans="1:11">
      <c r="A462" s="463"/>
      <c r="B462" s="472"/>
      <c r="C462" s="472"/>
      <c r="D462" s="472"/>
      <c r="E462" s="472"/>
      <c r="F462" s="472"/>
      <c r="G462" s="472"/>
      <c r="H462" s="472"/>
      <c r="I462" s="472"/>
      <c r="J462" s="472"/>
      <c r="K462" s="471"/>
    </row>
    <row r="463" spans="1:11">
      <c r="A463" s="463"/>
      <c r="B463" s="473" t="s">
        <v>688</v>
      </c>
      <c r="C463" s="474" t="s">
        <v>937</v>
      </c>
      <c r="D463" s="1497" t="s">
        <v>250</v>
      </c>
      <c r="E463" s="1498"/>
      <c r="F463" s="1498"/>
      <c r="G463" s="1498"/>
      <c r="H463" s="1498"/>
      <c r="I463" s="1499"/>
      <c r="J463" s="475" t="s">
        <v>267</v>
      </c>
      <c r="K463" s="471"/>
    </row>
    <row r="464" spans="1:11" ht="14.4" customHeight="1">
      <c r="A464" s="463"/>
      <c r="B464" s="476" t="s">
        <v>3</v>
      </c>
      <c r="C464" s="477">
        <f ca="1">C350</f>
        <v>46140</v>
      </c>
      <c r="D464" s="681" t="s">
        <v>1489</v>
      </c>
      <c r="E464" s="479"/>
      <c r="F464" s="479"/>
      <c r="G464" s="479"/>
      <c r="H464" s="479"/>
      <c r="I464" s="480"/>
      <c r="J464" s="481" t="str">
        <f>F481</f>
        <v>m3</v>
      </c>
      <c r="K464" s="471"/>
    </row>
    <row r="465" spans="1:13">
      <c r="A465" s="463"/>
      <c r="B465" s="482"/>
      <c r="C465" s="482"/>
      <c r="D465" s="482"/>
      <c r="E465" s="482"/>
      <c r="F465" s="482"/>
      <c r="G465" s="482"/>
      <c r="H465" s="482"/>
      <c r="I465" s="483"/>
      <c r="J465" s="484"/>
      <c r="K465" s="471"/>
    </row>
    <row r="466" spans="1:13">
      <c r="A466" s="463"/>
      <c r="B466" s="1484" t="s">
        <v>938</v>
      </c>
      <c r="C466" s="1486"/>
      <c r="D466" s="1502" t="s">
        <v>688</v>
      </c>
      <c r="E466" s="1504" t="s">
        <v>939</v>
      </c>
      <c r="F466" s="485" t="s">
        <v>940</v>
      </c>
      <c r="G466" s="486"/>
      <c r="H466" s="485" t="s">
        <v>941</v>
      </c>
      <c r="I466" s="486"/>
      <c r="J466" s="487" t="s">
        <v>942</v>
      </c>
      <c r="K466" s="471"/>
    </row>
    <row r="467" spans="1:13">
      <c r="A467" s="463"/>
      <c r="B467" s="1500"/>
      <c r="C467" s="1501"/>
      <c r="D467" s="1503"/>
      <c r="E467" s="1505"/>
      <c r="F467" s="488" t="s">
        <v>943</v>
      </c>
      <c r="G467" s="488" t="s">
        <v>944</v>
      </c>
      <c r="H467" s="488" t="s">
        <v>943</v>
      </c>
      <c r="I467" s="489" t="s">
        <v>944</v>
      </c>
      <c r="J467" s="490" t="s">
        <v>945</v>
      </c>
      <c r="K467" s="471"/>
    </row>
    <row r="468" spans="1:13">
      <c r="A468" s="463"/>
      <c r="B468" s="499" t="s">
        <v>619</v>
      </c>
      <c r="C468" s="500"/>
      <c r="D468" s="501"/>
      <c r="E468" s="502">
        <v>1</v>
      </c>
      <c r="F468" s="502">
        <v>1</v>
      </c>
      <c r="G468" s="502">
        <f>1-F468</f>
        <v>0</v>
      </c>
      <c r="H468" s="503">
        <f>VLOOKUP(B468,EQUIPAMENTOS!$A:$J,10,FALSE)</f>
        <v>70</v>
      </c>
      <c r="I468" s="504">
        <f>H468</f>
        <v>70</v>
      </c>
      <c r="J468" s="505">
        <f>H468*F468*E468+I468*G468*E468</f>
        <v>70</v>
      </c>
      <c r="K468" s="471"/>
    </row>
    <row r="469" spans="1:13">
      <c r="A469" s="463"/>
      <c r="B469" s="499"/>
      <c r="C469" s="500"/>
      <c r="D469" s="501"/>
      <c r="E469" s="502"/>
      <c r="F469" s="502"/>
      <c r="G469" s="502"/>
      <c r="H469" s="503"/>
      <c r="I469" s="504"/>
      <c r="J469" s="505">
        <f>H469*F469*E469+I469*G469*E469</f>
        <v>0</v>
      </c>
      <c r="K469" s="471"/>
    </row>
    <row r="470" spans="1:13">
      <c r="A470" s="463"/>
      <c r="B470" s="499"/>
      <c r="C470" s="500"/>
      <c r="D470" s="501"/>
      <c r="E470" s="502"/>
      <c r="F470" s="502"/>
      <c r="G470" s="502"/>
      <c r="H470" s="503"/>
      <c r="I470" s="504"/>
      <c r="J470" s="505"/>
      <c r="K470" s="471"/>
      <c r="M470" s="6"/>
    </row>
    <row r="471" spans="1:13">
      <c r="A471" s="463"/>
      <c r="B471" s="499"/>
      <c r="C471" s="500"/>
      <c r="D471" s="501"/>
      <c r="E471" s="502"/>
      <c r="F471" s="502"/>
      <c r="G471" s="502"/>
      <c r="H471" s="503"/>
      <c r="I471" s="504"/>
      <c r="J471" s="505"/>
      <c r="K471" s="471"/>
    </row>
    <row r="472" spans="1:13">
      <c r="A472" s="463"/>
      <c r="B472" s="506"/>
      <c r="C472" s="507"/>
      <c r="D472" s="508"/>
      <c r="E472" s="509"/>
      <c r="F472" s="509"/>
      <c r="G472" s="509"/>
      <c r="H472" s="510"/>
      <c r="I472" s="511"/>
      <c r="J472" s="505">
        <f>H472*F472*E472+I472*G472*E472</f>
        <v>0</v>
      </c>
      <c r="K472" s="471"/>
    </row>
    <row r="473" spans="1:13">
      <c r="A473" s="463"/>
      <c r="B473" s="512" t="s">
        <v>946</v>
      </c>
      <c r="C473" s="482"/>
      <c r="D473" s="482"/>
      <c r="E473" s="482"/>
      <c r="F473" s="482"/>
      <c r="G473" s="482"/>
      <c r="H473" s="482"/>
      <c r="I473" s="513" t="s">
        <v>175</v>
      </c>
      <c r="J473" s="514">
        <f>SUM(J468:J472)</f>
        <v>70</v>
      </c>
      <c r="K473" s="471"/>
    </row>
    <row r="474" spans="1:13">
      <c r="A474" s="463"/>
      <c r="B474" s="515"/>
      <c r="C474" s="515"/>
      <c r="D474" s="515"/>
      <c r="E474" s="515"/>
      <c r="F474" s="515"/>
      <c r="G474" s="515"/>
      <c r="H474" s="515"/>
      <c r="I474" s="516"/>
      <c r="J474" s="517"/>
      <c r="K474" s="471"/>
      <c r="L474" s="6"/>
    </row>
    <row r="475" spans="1:13" ht="20.399999999999999" customHeight="1">
      <c r="A475" s="463"/>
      <c r="B475" s="1490" t="s">
        <v>947</v>
      </c>
      <c r="C475" s="1491"/>
      <c r="D475" s="1491"/>
      <c r="E475" s="1492"/>
      <c r="F475" s="725" t="s">
        <v>688</v>
      </c>
      <c r="G475" s="853"/>
      <c r="H475" s="520" t="s">
        <v>427</v>
      </c>
      <c r="I475" s="521" t="s">
        <v>948</v>
      </c>
      <c r="J475" s="522" t="s">
        <v>949</v>
      </c>
      <c r="K475" s="471"/>
    </row>
    <row r="476" spans="1:13" ht="20.399999999999999" customHeight="1">
      <c r="A476" s="463"/>
      <c r="B476" s="530" t="s">
        <v>1171</v>
      </c>
      <c r="C476" s="531"/>
      <c r="D476" s="472"/>
      <c r="E476" s="500"/>
      <c r="F476" s="501"/>
      <c r="G476" s="532"/>
      <c r="H476" s="533">
        <f>E468</f>
        <v>1</v>
      </c>
      <c r="I476" s="534">
        <f>(VLOOKUP(B476,'MÃO DE OBRA'!$A:$E,5,FALSE)/220)</f>
        <v>23.69</v>
      </c>
      <c r="J476" s="505">
        <f>H476*I476</f>
        <v>23.69</v>
      </c>
      <c r="K476" s="471"/>
    </row>
    <row r="477" spans="1:13">
      <c r="A477" s="463"/>
      <c r="B477" s="530" t="s">
        <v>472</v>
      </c>
      <c r="C477" s="531"/>
      <c r="D477" s="472"/>
      <c r="E477" s="500"/>
      <c r="F477" s="501"/>
      <c r="G477" s="532"/>
      <c r="H477" s="533">
        <v>3</v>
      </c>
      <c r="I477" s="534">
        <f>(VLOOKUP(B477,'MÃO DE OBRA'!$A:$E,5,FALSE)/220)</f>
        <v>18.377072727272729</v>
      </c>
      <c r="J477" s="505">
        <f>H477*I477</f>
        <v>55.131218181818184</v>
      </c>
      <c r="K477" s="471"/>
    </row>
    <row r="478" spans="1:13">
      <c r="A478" s="463"/>
      <c r="B478" s="530"/>
      <c r="C478" s="531"/>
      <c r="D478" s="472"/>
      <c r="E478" s="500"/>
      <c r="F478" s="501"/>
      <c r="G478" s="532"/>
      <c r="H478" s="533"/>
      <c r="I478" s="534"/>
      <c r="J478" s="505">
        <f>H478*I478</f>
        <v>0</v>
      </c>
      <c r="K478" s="471"/>
    </row>
    <row r="479" spans="1:13">
      <c r="A479" s="463"/>
      <c r="B479" s="512" t="s">
        <v>946</v>
      </c>
      <c r="C479" s="515"/>
      <c r="D479" s="515"/>
      <c r="E479" s="515"/>
      <c r="F479" s="515"/>
      <c r="G479" s="515"/>
      <c r="H479" s="515"/>
      <c r="I479" s="535" t="s">
        <v>175</v>
      </c>
      <c r="J479" s="514">
        <f>SUM(J476:J478)</f>
        <v>78.821218181818182</v>
      </c>
      <c r="K479" s="471"/>
    </row>
    <row r="480" spans="1:13">
      <c r="A480" s="463"/>
      <c r="B480" s="536"/>
      <c r="C480" s="536"/>
      <c r="D480" s="536"/>
      <c r="E480" s="536"/>
      <c r="F480" s="536"/>
      <c r="G480" s="536"/>
      <c r="H480" s="536"/>
      <c r="I480" s="537"/>
      <c r="J480" s="536"/>
      <c r="K480" s="471"/>
    </row>
    <row r="481" spans="1:12">
      <c r="A481" s="463"/>
      <c r="B481" s="538" t="s">
        <v>952</v>
      </c>
      <c r="C481" s="539"/>
      <c r="D481" s="536"/>
      <c r="E481" s="540">
        <v>7.4290223074092658</v>
      </c>
      <c r="F481" s="541" t="s">
        <v>931</v>
      </c>
      <c r="G481" s="519"/>
      <c r="H481" s="519"/>
      <c r="I481" s="542" t="s">
        <v>953</v>
      </c>
      <c r="J481" s="514">
        <f>J473+J479</f>
        <v>148.82121818181818</v>
      </c>
      <c r="K481" s="471"/>
    </row>
    <row r="482" spans="1:12">
      <c r="A482" s="463"/>
      <c r="B482" s="543"/>
      <c r="C482" s="536"/>
      <c r="D482" s="536"/>
      <c r="E482" s="544"/>
      <c r="F482" s="545"/>
      <c r="G482" s="545"/>
      <c r="H482" s="545"/>
      <c r="I482" s="537"/>
      <c r="J482" s="536"/>
      <c r="K482" s="471"/>
    </row>
    <row r="483" spans="1:12" ht="20.399999999999999">
      <c r="A483" s="463"/>
      <c r="B483" s="1493" t="s">
        <v>362</v>
      </c>
      <c r="C483" s="1494"/>
      <c r="D483" s="1494"/>
      <c r="E483" s="1495"/>
      <c r="F483" s="546" t="s">
        <v>688</v>
      </c>
      <c r="G483" s="547" t="s">
        <v>371</v>
      </c>
      <c r="H483" s="520" t="s">
        <v>942</v>
      </c>
      <c r="I483" s="548" t="s">
        <v>361</v>
      </c>
      <c r="J483" s="549" t="s">
        <v>363</v>
      </c>
      <c r="K483" s="471"/>
    </row>
    <row r="484" spans="1:12">
      <c r="A484" s="463"/>
      <c r="B484" s="557" t="str">
        <f>B468</f>
        <v xml:space="preserve">Caminhão carroceria </v>
      </c>
      <c r="C484" s="531"/>
      <c r="D484" s="531"/>
      <c r="E484" s="500"/>
      <c r="F484" s="553" t="str">
        <f>VLOOKUP(B484,EQUIPAMENTOS!$A:$N,12,FALSE)</f>
        <v>Diesel S10</v>
      </c>
      <c r="G484" s="554" t="s">
        <v>415</v>
      </c>
      <c r="H484" s="560">
        <f>VLOOKUP(B484,EQUIPAMENTOS!$A:$N,13,FALSE)</f>
        <v>0</v>
      </c>
      <c r="I484" s="556">
        <f>VLOOKUP(B484,EQUIPAMENTOS!$A:$N,14,FALSE)</f>
        <v>5</v>
      </c>
      <c r="J484" s="505">
        <f>H484*I484*E468*F468</f>
        <v>0</v>
      </c>
      <c r="K484" s="471"/>
    </row>
    <row r="485" spans="1:12">
      <c r="A485" s="463"/>
      <c r="B485" s="557"/>
      <c r="C485" s="531"/>
      <c r="D485" s="531"/>
      <c r="E485" s="500"/>
      <c r="F485" s="553"/>
      <c r="G485" s="554"/>
      <c r="H485" s="560"/>
      <c r="I485" s="560"/>
      <c r="J485" s="505">
        <f>H485*I485*E469*F469</f>
        <v>0</v>
      </c>
      <c r="K485" s="471"/>
    </row>
    <row r="486" spans="1:12">
      <c r="A486" s="463"/>
      <c r="B486" s="557"/>
      <c r="C486" s="531"/>
      <c r="D486" s="531"/>
      <c r="E486" s="500"/>
      <c r="F486" s="553"/>
      <c r="G486" s="554"/>
      <c r="H486" s="560"/>
      <c r="I486" s="560"/>
      <c r="J486" s="505"/>
      <c r="K486" s="471"/>
    </row>
    <row r="487" spans="1:12">
      <c r="A487" s="463"/>
      <c r="B487" s="557"/>
      <c r="C487" s="531"/>
      <c r="D487" s="531"/>
      <c r="E487" s="500"/>
      <c r="F487" s="553"/>
      <c r="G487" s="554"/>
      <c r="H487" s="560"/>
      <c r="I487" s="560"/>
      <c r="J487" s="505"/>
      <c r="K487" s="471"/>
    </row>
    <row r="488" spans="1:12">
      <c r="A488" s="463"/>
      <c r="B488" s="557"/>
      <c r="C488" s="539"/>
      <c r="D488" s="539"/>
      <c r="E488" s="507"/>
      <c r="F488" s="553"/>
      <c r="G488" s="736"/>
      <c r="H488" s="560"/>
      <c r="I488" s="560"/>
      <c r="J488" s="505"/>
      <c r="K488" s="471"/>
    </row>
    <row r="489" spans="1:12">
      <c r="A489" s="463"/>
      <c r="B489" s="563" t="s">
        <v>946</v>
      </c>
      <c r="C489" s="536"/>
      <c r="D489" s="536"/>
      <c r="E489" s="536"/>
      <c r="F489" s="536"/>
      <c r="G489" s="536"/>
      <c r="H489" s="564"/>
      <c r="I489" s="565" t="s">
        <v>175</v>
      </c>
      <c r="J489" s="514">
        <f>SUM(J484:J488)</f>
        <v>0</v>
      </c>
      <c r="K489" s="471"/>
    </row>
    <row r="490" spans="1:12">
      <c r="A490" s="463"/>
      <c r="B490" s="566"/>
      <c r="C490" s="539"/>
      <c r="D490" s="539"/>
      <c r="E490" s="567"/>
      <c r="F490" s="568"/>
      <c r="G490" s="519"/>
      <c r="H490" s="519"/>
      <c r="I490" s="542"/>
      <c r="J490" s="567"/>
      <c r="K490" s="471"/>
    </row>
    <row r="491" spans="1:12" ht="20.399999999999999">
      <c r="A491" s="463"/>
      <c r="B491" s="1493" t="s">
        <v>955</v>
      </c>
      <c r="C491" s="1494"/>
      <c r="D491" s="1494"/>
      <c r="E491" s="1494"/>
      <c r="F491" s="1495"/>
      <c r="G491" s="569" t="s">
        <v>372</v>
      </c>
      <c r="H491" s="519" t="s">
        <v>956</v>
      </c>
      <c r="I491" s="570" t="s">
        <v>942</v>
      </c>
      <c r="J491" s="522" t="s">
        <v>363</v>
      </c>
      <c r="K491" s="471"/>
    </row>
    <row r="492" spans="1:12">
      <c r="A492" s="463"/>
      <c r="B492" s="571"/>
      <c r="C492" s="572"/>
      <c r="D492" s="573"/>
      <c r="E492" s="573"/>
      <c r="F492" s="574"/>
      <c r="G492" s="502"/>
      <c r="H492" s="502"/>
      <c r="I492" s="575"/>
      <c r="J492" s="505"/>
      <c r="K492" s="471"/>
    </row>
    <row r="493" spans="1:12">
      <c r="A493" s="463"/>
      <c r="B493" s="576"/>
      <c r="C493" s="577"/>
      <c r="D493" s="578"/>
      <c r="E493" s="578"/>
      <c r="F493" s="579"/>
      <c r="G493" s="502"/>
      <c r="H493" s="502"/>
      <c r="I493" s="575"/>
      <c r="J493" s="505"/>
      <c r="K493" s="471"/>
      <c r="L493" s="6"/>
    </row>
    <row r="494" spans="1:12">
      <c r="A494" s="463"/>
      <c r="B494" s="1496" t="s">
        <v>175</v>
      </c>
      <c r="C494" s="1496"/>
      <c r="D494" s="1496"/>
      <c r="E494" s="1496"/>
      <c r="F494" s="1496"/>
      <c r="G494" s="1496"/>
      <c r="H494" s="1496"/>
      <c r="I494" s="1496"/>
      <c r="J494" s="514">
        <f>SUM(J492:J493)</f>
        <v>0</v>
      </c>
      <c r="K494" s="471"/>
    </row>
    <row r="495" spans="1:12">
      <c r="A495" s="463"/>
      <c r="B495" s="580"/>
      <c r="C495" s="524"/>
      <c r="D495" s="524"/>
      <c r="E495" s="581"/>
      <c r="F495" s="582"/>
      <c r="G495" s="583"/>
      <c r="H495" s="583"/>
      <c r="I495" s="584"/>
      <c r="J495" s="585"/>
      <c r="K495" s="471"/>
    </row>
    <row r="496" spans="1:12">
      <c r="A496" s="463"/>
      <c r="B496" s="586" t="s">
        <v>957</v>
      </c>
      <c r="C496" s="586"/>
      <c r="D496" s="563"/>
      <c r="E496" s="536"/>
      <c r="F496" s="536"/>
      <c r="G496" s="536"/>
      <c r="H496" s="587"/>
      <c r="I496" s="588"/>
      <c r="J496" s="514">
        <f>(J481+J489+J494)/E481</f>
        <v>20.032409652800844</v>
      </c>
      <c r="K496" s="471"/>
      <c r="L496">
        <v>20.032430241199918</v>
      </c>
    </row>
    <row r="497" spans="1:11">
      <c r="A497" s="463"/>
      <c r="B497" s="566"/>
      <c r="C497" s="539"/>
      <c r="D497" s="539"/>
      <c r="E497" s="567"/>
      <c r="F497" s="568"/>
      <c r="G497" s="519"/>
      <c r="H497" s="519"/>
      <c r="I497" s="542"/>
      <c r="J497" s="589"/>
      <c r="K497" s="471"/>
    </row>
    <row r="498" spans="1:11" ht="20.399999999999999">
      <c r="A498" s="463"/>
      <c r="B498" s="1493" t="s">
        <v>958</v>
      </c>
      <c r="C498" s="1494"/>
      <c r="D498" s="1494"/>
      <c r="E498" s="1494"/>
      <c r="F498" s="1495"/>
      <c r="G498" s="569" t="s">
        <v>372</v>
      </c>
      <c r="H498" s="519" t="s">
        <v>956</v>
      </c>
      <c r="I498" s="570" t="s">
        <v>942</v>
      </c>
      <c r="J498" s="522" t="s">
        <v>363</v>
      </c>
      <c r="K498" s="471"/>
    </row>
    <row r="499" spans="1:11">
      <c r="A499" s="463"/>
      <c r="B499" s="571"/>
      <c r="C499" s="572"/>
      <c r="D499" s="573"/>
      <c r="E499" s="573"/>
      <c r="F499" s="574"/>
      <c r="G499" s="502"/>
      <c r="H499" s="502"/>
      <c r="I499" s="575"/>
      <c r="J499" s="505">
        <f>G499*I499</f>
        <v>0</v>
      </c>
      <c r="K499" s="471"/>
    </row>
    <row r="500" spans="1:11">
      <c r="A500" s="463"/>
      <c r="B500" s="590"/>
      <c r="C500" s="591"/>
      <c r="D500" s="592"/>
      <c r="E500" s="592"/>
      <c r="F500" s="593"/>
      <c r="G500" s="502"/>
      <c r="H500" s="502"/>
      <c r="I500" s="575"/>
      <c r="J500" s="505">
        <f>G500*I500</f>
        <v>0</v>
      </c>
      <c r="K500" s="471"/>
    </row>
    <row r="501" spans="1:11">
      <c r="A501" s="463"/>
      <c r="B501" s="594"/>
      <c r="C501" s="536"/>
      <c r="D501" s="536"/>
      <c r="E501" s="595"/>
      <c r="F501" s="596"/>
      <c r="G501" s="545"/>
      <c r="H501" s="545"/>
      <c r="I501" s="537" t="s">
        <v>175</v>
      </c>
      <c r="J501" s="514">
        <f>SUM(J499:J500)</f>
        <v>0</v>
      </c>
      <c r="K501" s="471"/>
    </row>
    <row r="502" spans="1:11">
      <c r="A502" s="463"/>
      <c r="B502" s="597"/>
      <c r="C502" s="536"/>
      <c r="D502" s="536"/>
      <c r="E502" s="595"/>
      <c r="F502" s="596"/>
      <c r="G502" s="545"/>
      <c r="H502" s="545"/>
      <c r="I502" s="537"/>
      <c r="J502" s="595"/>
      <c r="K502" s="471"/>
    </row>
    <row r="503" spans="1:11" ht="20.399999999999999">
      <c r="A503" s="463"/>
      <c r="B503" s="598" t="s">
        <v>959</v>
      </c>
      <c r="C503" s="598"/>
      <c r="D503" s="598"/>
      <c r="E503" s="599"/>
      <c r="F503" s="600" t="s">
        <v>372</v>
      </c>
      <c r="G503" s="569" t="s">
        <v>960</v>
      </c>
      <c r="H503" s="519" t="s">
        <v>942</v>
      </c>
      <c r="I503" s="570" t="s">
        <v>361</v>
      </c>
      <c r="J503" s="522" t="s">
        <v>363</v>
      </c>
      <c r="K503" s="471"/>
    </row>
    <row r="504" spans="1:11">
      <c r="A504" s="463"/>
      <c r="B504" s="576" t="s">
        <v>946</v>
      </c>
      <c r="C504" s="577"/>
      <c r="D504" s="578"/>
      <c r="E504" s="579" t="s">
        <v>946</v>
      </c>
      <c r="F504" s="502">
        <v>0</v>
      </c>
      <c r="G504" s="502">
        <v>0</v>
      </c>
      <c r="H504" s="502">
        <v>0</v>
      </c>
      <c r="I504" s="575">
        <v>0</v>
      </c>
      <c r="J504" s="505">
        <f>I504*H504*G504*F504</f>
        <v>0</v>
      </c>
      <c r="K504" s="471"/>
    </row>
    <row r="505" spans="1:11">
      <c r="A505" s="463"/>
      <c r="B505" s="590" t="s">
        <v>946</v>
      </c>
      <c r="C505" s="591"/>
      <c r="D505" s="592"/>
      <c r="E505" s="593" t="s">
        <v>946</v>
      </c>
      <c r="F505" s="509">
        <v>0</v>
      </c>
      <c r="G505" s="509">
        <v>0</v>
      </c>
      <c r="H505" s="509">
        <v>0</v>
      </c>
      <c r="I505" s="601">
        <v>0</v>
      </c>
      <c r="J505" s="505">
        <f>I505*H505*G505*F505</f>
        <v>0</v>
      </c>
      <c r="K505" s="471"/>
    </row>
    <row r="506" spans="1:11">
      <c r="A506" s="463"/>
      <c r="B506" s="594"/>
      <c r="C506" s="536"/>
      <c r="D506" s="536"/>
      <c r="E506" s="595"/>
      <c r="F506" s="596"/>
      <c r="G506" s="545"/>
      <c r="H506" s="545"/>
      <c r="I506" s="537" t="s">
        <v>175</v>
      </c>
      <c r="J506" s="514">
        <f>SUM(J504:J505)</f>
        <v>0</v>
      </c>
      <c r="K506" s="471"/>
    </row>
    <row r="507" spans="1:11">
      <c r="A507" s="463"/>
      <c r="B507" s="536"/>
      <c r="C507" s="536"/>
      <c r="D507" s="536"/>
      <c r="E507" s="536"/>
      <c r="F507" s="536"/>
      <c r="G507" s="536"/>
      <c r="H507" s="536"/>
      <c r="I507" s="537"/>
      <c r="J507" s="536"/>
      <c r="K507" s="471"/>
    </row>
    <row r="508" spans="1:11">
      <c r="A508" s="463"/>
      <c r="B508" s="1481" t="s">
        <v>963</v>
      </c>
      <c r="C508" s="1482"/>
      <c r="D508" s="1482"/>
      <c r="E508" s="1482"/>
      <c r="F508" s="1482"/>
      <c r="G508" s="1482"/>
      <c r="H508" s="1482"/>
      <c r="I508" s="1483"/>
      <c r="J508" s="586">
        <v>20.032409652800844</v>
      </c>
      <c r="K508" s="471"/>
    </row>
    <row r="509" spans="1:11">
      <c r="A509" s="463"/>
      <c r="B509" s="524"/>
      <c r="C509" s="524"/>
      <c r="D509" s="524"/>
      <c r="E509" s="524"/>
      <c r="F509" s="524"/>
      <c r="G509" s="524"/>
      <c r="H509" s="524"/>
      <c r="I509" s="584"/>
      <c r="J509" s="524"/>
      <c r="K509" s="471"/>
    </row>
    <row r="510" spans="1:11">
      <c r="A510" s="463"/>
      <c r="B510" s="602"/>
      <c r="C510" s="572"/>
      <c r="D510" s="572"/>
      <c r="E510" s="572"/>
      <c r="F510" s="572"/>
      <c r="G510" s="572"/>
      <c r="H510" s="572"/>
      <c r="I510" s="572"/>
      <c r="J510" s="603"/>
      <c r="K510" s="471"/>
    </row>
    <row r="511" spans="1:11">
      <c r="A511" s="463"/>
      <c r="B511" s="604"/>
      <c r="C511" s="605"/>
      <c r="D511" s="606"/>
      <c r="E511" s="606"/>
      <c r="F511" s="607" t="s">
        <v>946</v>
      </c>
      <c r="G511" s="608" t="s">
        <v>946</v>
      </c>
      <c r="H511" s="605"/>
      <c r="I511" s="605"/>
      <c r="J511" s="609"/>
      <c r="K511" s="471"/>
    </row>
    <row r="512" spans="1:11">
      <c r="A512" s="463"/>
      <c r="B512" s="472"/>
      <c r="C512" s="472"/>
      <c r="D512" s="472"/>
      <c r="E512" s="472"/>
      <c r="F512" s="472"/>
      <c r="G512" s="472"/>
      <c r="H512" s="472"/>
      <c r="I512" s="472"/>
      <c r="J512" s="472"/>
      <c r="K512" s="471"/>
    </row>
    <row r="513" spans="1:13">
      <c r="A513" s="463"/>
      <c r="B513" s="610" t="str">
        <f>B399</f>
        <v>OPERAÇÃO DE SUPRESSÃO E SUMP</v>
      </c>
      <c r="C513" s="611"/>
      <c r="D513" s="611"/>
      <c r="E513" s="611"/>
      <c r="F513" s="612"/>
      <c r="G513" s="613" t="s">
        <v>363</v>
      </c>
      <c r="H513" s="515"/>
      <c r="I513" s="515"/>
      <c r="J513" s="518"/>
      <c r="K513" s="471"/>
    </row>
    <row r="514" spans="1:13">
      <c r="A514" s="463"/>
      <c r="B514" s="614" t="str">
        <f>B400</f>
        <v>MARA ROSA</v>
      </c>
      <c r="C514" s="615"/>
      <c r="D514" s="615"/>
      <c r="E514" s="615"/>
      <c r="F514" s="616"/>
      <c r="G514" s="1484" t="s">
        <v>964</v>
      </c>
      <c r="H514" s="1485"/>
      <c r="I514" s="1485"/>
      <c r="J514" s="1486"/>
      <c r="K514" s="471"/>
    </row>
    <row r="515" spans="1:13">
      <c r="A515" s="463"/>
      <c r="B515" s="617"/>
      <c r="C515" s="618"/>
      <c r="D515" s="618"/>
      <c r="E515" s="618"/>
      <c r="F515" s="619"/>
      <c r="G515" s="620"/>
      <c r="H515" s="1487"/>
      <c r="I515" s="1488"/>
      <c r="J515" s="1489"/>
      <c r="K515" s="471"/>
    </row>
    <row r="516" spans="1:13" ht="15" thickBot="1">
      <c r="A516" s="621"/>
      <c r="B516" s="622"/>
      <c r="C516" s="622"/>
      <c r="D516" s="622"/>
      <c r="E516" s="622"/>
      <c r="F516" s="622"/>
      <c r="G516" s="622"/>
      <c r="H516" s="622"/>
      <c r="I516" s="622"/>
      <c r="J516" s="622"/>
      <c r="K516" s="623"/>
    </row>
    <row r="517" spans="1:13">
      <c r="A517" s="460"/>
      <c r="B517" s="461"/>
      <c r="C517" s="461"/>
      <c r="D517" s="461"/>
      <c r="E517" s="461"/>
      <c r="F517" s="461"/>
      <c r="G517" s="461"/>
      <c r="H517" s="461"/>
      <c r="I517" s="461"/>
      <c r="J517" s="461"/>
      <c r="K517" s="462"/>
    </row>
    <row r="518" spans="1:13">
      <c r="A518" s="463"/>
      <c r="B518" s="464" t="s">
        <v>178</v>
      </c>
      <c r="C518" s="465"/>
      <c r="D518" s="466" t="s">
        <v>936</v>
      </c>
      <c r="E518" s="467"/>
      <c r="F518" s="468"/>
      <c r="G518" s="468"/>
      <c r="H518" s="469"/>
      <c r="I518" s="469"/>
      <c r="J518" s="470"/>
      <c r="K518" s="471"/>
    </row>
    <row r="519" spans="1:13">
      <c r="A519" s="463"/>
      <c r="B519" s="472"/>
      <c r="C519" s="472"/>
      <c r="D519" s="472"/>
      <c r="E519" s="472"/>
      <c r="F519" s="472"/>
      <c r="G519" s="472"/>
      <c r="H519" s="472"/>
      <c r="I519" s="472"/>
      <c r="J519" s="472"/>
      <c r="K519" s="471"/>
    </row>
    <row r="520" spans="1:13">
      <c r="A520" s="463"/>
      <c r="B520" s="473" t="s">
        <v>688</v>
      </c>
      <c r="C520" s="474" t="s">
        <v>937</v>
      </c>
      <c r="D520" s="1497" t="s">
        <v>250</v>
      </c>
      <c r="E520" s="1498"/>
      <c r="F520" s="1498"/>
      <c r="G520" s="1498"/>
      <c r="H520" s="1498"/>
      <c r="I520" s="1499"/>
      <c r="J520" s="475" t="s">
        <v>267</v>
      </c>
      <c r="K520" s="471"/>
    </row>
    <row r="521" spans="1:13" ht="14.4" customHeight="1">
      <c r="A521" s="463"/>
      <c r="B521" s="476" t="s">
        <v>3</v>
      </c>
      <c r="C521" s="477">
        <f ca="1">C407</f>
        <v>46140</v>
      </c>
      <c r="D521" s="681" t="s">
        <v>1490</v>
      </c>
      <c r="E521" s="479"/>
      <c r="F521" s="479"/>
      <c r="G521" s="479"/>
      <c r="H521" s="479"/>
      <c r="I521" s="480"/>
      <c r="J521" s="481" t="str">
        <f>F538</f>
        <v>m3</v>
      </c>
      <c r="K521" s="471"/>
    </row>
    <row r="522" spans="1:13">
      <c r="A522" s="463"/>
      <c r="B522" s="482"/>
      <c r="C522" s="482"/>
      <c r="D522" s="482"/>
      <c r="E522" s="482"/>
      <c r="F522" s="482"/>
      <c r="G522" s="482"/>
      <c r="H522" s="482"/>
      <c r="I522" s="483"/>
      <c r="J522" s="484"/>
      <c r="K522" s="471"/>
    </row>
    <row r="523" spans="1:13">
      <c r="A523" s="463"/>
      <c r="B523" s="1484" t="s">
        <v>938</v>
      </c>
      <c r="C523" s="1486"/>
      <c r="D523" s="1502" t="s">
        <v>688</v>
      </c>
      <c r="E523" s="1504" t="s">
        <v>939</v>
      </c>
      <c r="F523" s="485" t="s">
        <v>940</v>
      </c>
      <c r="G523" s="486"/>
      <c r="H523" s="485" t="s">
        <v>941</v>
      </c>
      <c r="I523" s="486"/>
      <c r="J523" s="487" t="s">
        <v>942</v>
      </c>
      <c r="K523" s="471"/>
    </row>
    <row r="524" spans="1:13">
      <c r="A524" s="463"/>
      <c r="B524" s="1500"/>
      <c r="C524" s="1501"/>
      <c r="D524" s="1503"/>
      <c r="E524" s="1505"/>
      <c r="F524" s="488" t="s">
        <v>943</v>
      </c>
      <c r="G524" s="488" t="s">
        <v>944</v>
      </c>
      <c r="H524" s="488" t="s">
        <v>943</v>
      </c>
      <c r="I524" s="489" t="s">
        <v>944</v>
      </c>
      <c r="J524" s="490" t="s">
        <v>945</v>
      </c>
      <c r="K524" s="471"/>
    </row>
    <row r="525" spans="1:13">
      <c r="A525" s="463"/>
      <c r="B525" s="499" t="s">
        <v>619</v>
      </c>
      <c r="C525" s="500"/>
      <c r="D525" s="501"/>
      <c r="E525" s="502">
        <v>1</v>
      </c>
      <c r="F525" s="502">
        <v>1</v>
      </c>
      <c r="G525" s="502">
        <f>1-F525</f>
        <v>0</v>
      </c>
      <c r="H525" s="503">
        <f>VLOOKUP(B525,EQUIPAMENTOS!$A:$J,10,FALSE)</f>
        <v>70</v>
      </c>
      <c r="I525" s="504">
        <f>H525</f>
        <v>70</v>
      </c>
      <c r="J525" s="505">
        <f>H525*F525*E525+I525*G525*E525</f>
        <v>70</v>
      </c>
      <c r="K525" s="471"/>
    </row>
    <row r="526" spans="1:13">
      <c r="A526" s="463"/>
      <c r="B526" s="499"/>
      <c r="C526" s="500"/>
      <c r="D526" s="501"/>
      <c r="E526" s="502"/>
      <c r="F526" s="502"/>
      <c r="G526" s="502"/>
      <c r="H526" s="503"/>
      <c r="I526" s="504"/>
      <c r="J526" s="505">
        <f>H526*F526*E526+I526*G526*E526</f>
        <v>0</v>
      </c>
      <c r="K526" s="471"/>
    </row>
    <row r="527" spans="1:13">
      <c r="A527" s="463"/>
      <c r="B527" s="499"/>
      <c r="C527" s="500"/>
      <c r="D527" s="501"/>
      <c r="E527" s="502"/>
      <c r="F527" s="502"/>
      <c r="G527" s="502"/>
      <c r="H527" s="503"/>
      <c r="I527" s="504"/>
      <c r="J527" s="505"/>
      <c r="K527" s="471"/>
      <c r="M527" s="6"/>
    </row>
    <row r="528" spans="1:13">
      <c r="A528" s="463"/>
      <c r="B528" s="499"/>
      <c r="C528" s="500"/>
      <c r="D528" s="501"/>
      <c r="E528" s="502"/>
      <c r="F528" s="502"/>
      <c r="G528" s="502"/>
      <c r="H528" s="503"/>
      <c r="I528" s="504"/>
      <c r="J528" s="505"/>
      <c r="K528" s="471"/>
    </row>
    <row r="529" spans="1:12">
      <c r="A529" s="463"/>
      <c r="B529" s="506"/>
      <c r="C529" s="507"/>
      <c r="D529" s="508"/>
      <c r="E529" s="509"/>
      <c r="F529" s="509"/>
      <c r="G529" s="509"/>
      <c r="H529" s="510"/>
      <c r="I529" s="511"/>
      <c r="J529" s="505">
        <f>H529*F529*E529+I529*G529*E529</f>
        <v>0</v>
      </c>
      <c r="K529" s="471"/>
    </row>
    <row r="530" spans="1:12">
      <c r="A530" s="463"/>
      <c r="B530" s="512" t="s">
        <v>946</v>
      </c>
      <c r="C530" s="482"/>
      <c r="D530" s="482"/>
      <c r="E530" s="482"/>
      <c r="F530" s="482"/>
      <c r="G530" s="482"/>
      <c r="H530" s="482"/>
      <c r="I530" s="513" t="s">
        <v>175</v>
      </c>
      <c r="J530" s="514">
        <f>SUM(J525:J529)</f>
        <v>70</v>
      </c>
      <c r="K530" s="471"/>
    </row>
    <row r="531" spans="1:12">
      <c r="A531" s="463"/>
      <c r="B531" s="515"/>
      <c r="C531" s="515"/>
      <c r="D531" s="515"/>
      <c r="E531" s="515"/>
      <c r="F531" s="515"/>
      <c r="G531" s="515"/>
      <c r="H531" s="515"/>
      <c r="I531" s="516"/>
      <c r="J531" s="517"/>
      <c r="K531" s="471"/>
      <c r="L531" s="6"/>
    </row>
    <row r="532" spans="1:12" ht="20.399999999999999" customHeight="1">
      <c r="A532" s="463"/>
      <c r="B532" s="1490" t="s">
        <v>947</v>
      </c>
      <c r="C532" s="1491"/>
      <c r="D532" s="1491"/>
      <c r="E532" s="1492"/>
      <c r="F532" s="725" t="s">
        <v>688</v>
      </c>
      <c r="G532" s="853"/>
      <c r="H532" s="520" t="s">
        <v>427</v>
      </c>
      <c r="I532" s="521" t="s">
        <v>948</v>
      </c>
      <c r="J532" s="522" t="s">
        <v>949</v>
      </c>
      <c r="K532" s="471"/>
    </row>
    <row r="533" spans="1:12" ht="20.399999999999999" customHeight="1">
      <c r="A533" s="463"/>
      <c r="B533" s="530" t="s">
        <v>1171</v>
      </c>
      <c r="C533" s="531"/>
      <c r="D533" s="472"/>
      <c r="E533" s="500"/>
      <c r="F533" s="501"/>
      <c r="G533" s="532"/>
      <c r="H533" s="533">
        <f>E525</f>
        <v>1</v>
      </c>
      <c r="I533" s="534">
        <f>(VLOOKUP(B533,'MÃO DE OBRA'!$A:$E,5,FALSE)/220)</f>
        <v>23.69</v>
      </c>
      <c r="J533" s="505">
        <f>H533*I533</f>
        <v>23.69</v>
      </c>
      <c r="K533" s="471"/>
    </row>
    <row r="534" spans="1:12">
      <c r="A534" s="463"/>
      <c r="B534" s="530" t="s">
        <v>472</v>
      </c>
      <c r="C534" s="531"/>
      <c r="D534" s="472"/>
      <c r="E534" s="500"/>
      <c r="F534" s="501"/>
      <c r="G534" s="532"/>
      <c r="H534" s="533">
        <v>4</v>
      </c>
      <c r="I534" s="534">
        <f>(VLOOKUP(B534,'MÃO DE OBRA'!$A:$E,5,FALSE)/220)</f>
        <v>18.377072727272729</v>
      </c>
      <c r="J534" s="505">
        <f>H534*I534</f>
        <v>73.508290909090917</v>
      </c>
      <c r="K534" s="471"/>
    </row>
    <row r="535" spans="1:12">
      <c r="A535" s="463"/>
      <c r="B535" s="530"/>
      <c r="C535" s="531"/>
      <c r="D535" s="472"/>
      <c r="E535" s="500"/>
      <c r="F535" s="501"/>
      <c r="G535" s="532"/>
      <c r="H535" s="533"/>
      <c r="I535" s="534"/>
      <c r="J535" s="505">
        <f>H535*I535</f>
        <v>0</v>
      </c>
      <c r="K535" s="471"/>
    </row>
    <row r="536" spans="1:12">
      <c r="A536" s="463"/>
      <c r="B536" s="512" t="s">
        <v>946</v>
      </c>
      <c r="C536" s="515"/>
      <c r="D536" s="515"/>
      <c r="E536" s="515"/>
      <c r="F536" s="515"/>
      <c r="G536" s="515"/>
      <c r="H536" s="515"/>
      <c r="I536" s="535" t="s">
        <v>175</v>
      </c>
      <c r="J536" s="514">
        <f>SUM(J533:J535)</f>
        <v>97.198290909090915</v>
      </c>
      <c r="K536" s="471"/>
    </row>
    <row r="537" spans="1:12">
      <c r="A537" s="463"/>
      <c r="B537" s="536"/>
      <c r="C537" s="536"/>
      <c r="D537" s="536"/>
      <c r="E537" s="536"/>
      <c r="F537" s="536"/>
      <c r="G537" s="536"/>
      <c r="H537" s="536"/>
      <c r="I537" s="537"/>
      <c r="J537" s="536"/>
      <c r="K537" s="471"/>
    </row>
    <row r="538" spans="1:12">
      <c r="A538" s="463"/>
      <c r="B538" s="538" t="s">
        <v>952</v>
      </c>
      <c r="C538" s="539"/>
      <c r="D538" s="536"/>
      <c r="E538" s="540">
        <v>6.26705086729</v>
      </c>
      <c r="F538" s="541" t="s">
        <v>931</v>
      </c>
      <c r="G538" s="519"/>
      <c r="H538" s="519"/>
      <c r="I538" s="542" t="s">
        <v>953</v>
      </c>
      <c r="J538" s="514">
        <f>J530+J536</f>
        <v>167.19829090909093</v>
      </c>
      <c r="K538" s="471"/>
    </row>
    <row r="539" spans="1:12">
      <c r="A539" s="463"/>
      <c r="B539" s="543"/>
      <c r="C539" s="536"/>
      <c r="D539" s="536"/>
      <c r="E539" s="544"/>
      <c r="F539" s="545"/>
      <c r="G539" s="545"/>
      <c r="H539" s="545"/>
      <c r="I539" s="537"/>
      <c r="J539" s="536"/>
      <c r="K539" s="471"/>
    </row>
    <row r="540" spans="1:12" ht="20.399999999999999">
      <c r="A540" s="463"/>
      <c r="B540" s="1493" t="s">
        <v>362</v>
      </c>
      <c r="C540" s="1494"/>
      <c r="D540" s="1494"/>
      <c r="E540" s="1495"/>
      <c r="F540" s="546" t="s">
        <v>688</v>
      </c>
      <c r="G540" s="547" t="s">
        <v>371</v>
      </c>
      <c r="H540" s="520" t="s">
        <v>942</v>
      </c>
      <c r="I540" s="548" t="s">
        <v>361</v>
      </c>
      <c r="J540" s="549" t="s">
        <v>363</v>
      </c>
      <c r="K540" s="471"/>
    </row>
    <row r="541" spans="1:12">
      <c r="A541" s="463"/>
      <c r="B541" s="557" t="str">
        <f>B525</f>
        <v xml:space="preserve">Caminhão carroceria </v>
      </c>
      <c r="C541" s="531"/>
      <c r="D541" s="531"/>
      <c r="E541" s="500"/>
      <c r="F541" s="553" t="str">
        <f>VLOOKUP(B541,EQUIPAMENTOS!$A:$N,12,FALSE)</f>
        <v>Diesel S10</v>
      </c>
      <c r="G541" s="554" t="s">
        <v>415</v>
      </c>
      <c r="H541" s="560">
        <f>VLOOKUP(B541,EQUIPAMENTOS!$A:$N,13,FALSE)</f>
        <v>0</v>
      </c>
      <c r="I541" s="556">
        <f>VLOOKUP(B541,EQUIPAMENTOS!$A:$N,14,FALSE)</f>
        <v>5</v>
      </c>
      <c r="J541" s="505">
        <f>H541*I541*E525*F525</f>
        <v>0</v>
      </c>
      <c r="K541" s="471"/>
    </row>
    <row r="542" spans="1:12">
      <c r="A542" s="463"/>
      <c r="B542" s="557"/>
      <c r="C542" s="531"/>
      <c r="D542" s="531"/>
      <c r="E542" s="500"/>
      <c r="F542" s="553"/>
      <c r="G542" s="554"/>
      <c r="H542" s="560"/>
      <c r="I542" s="560"/>
      <c r="J542" s="505">
        <f>H542*I542*E526*F526</f>
        <v>0</v>
      </c>
      <c r="K542" s="471"/>
    </row>
    <row r="543" spans="1:12">
      <c r="A543" s="463"/>
      <c r="B543" s="557"/>
      <c r="C543" s="531"/>
      <c r="D543" s="531"/>
      <c r="E543" s="500"/>
      <c r="F543" s="553"/>
      <c r="G543" s="554"/>
      <c r="H543" s="560"/>
      <c r="I543" s="560"/>
      <c r="J543" s="505"/>
      <c r="K543" s="471"/>
    </row>
    <row r="544" spans="1:12">
      <c r="A544" s="463"/>
      <c r="B544" s="557"/>
      <c r="C544" s="531"/>
      <c r="D544" s="531"/>
      <c r="E544" s="500"/>
      <c r="F544" s="553"/>
      <c r="G544" s="554"/>
      <c r="H544" s="560"/>
      <c r="I544" s="560"/>
      <c r="J544" s="505"/>
      <c r="K544" s="471"/>
    </row>
    <row r="545" spans="1:12">
      <c r="A545" s="463"/>
      <c r="B545" s="557"/>
      <c r="C545" s="539"/>
      <c r="D545" s="539"/>
      <c r="E545" s="507"/>
      <c r="F545" s="553"/>
      <c r="G545" s="736"/>
      <c r="H545" s="560"/>
      <c r="I545" s="560"/>
      <c r="J545" s="505"/>
      <c r="K545" s="471"/>
    </row>
    <row r="546" spans="1:12">
      <c r="A546" s="463"/>
      <c r="B546" s="563" t="s">
        <v>946</v>
      </c>
      <c r="C546" s="536"/>
      <c r="D546" s="536"/>
      <c r="E546" s="536"/>
      <c r="F546" s="536"/>
      <c r="G546" s="536"/>
      <c r="H546" s="564"/>
      <c r="I546" s="565" t="s">
        <v>175</v>
      </c>
      <c r="J546" s="514">
        <f>SUM(J541:J545)</f>
        <v>0</v>
      </c>
      <c r="K546" s="471"/>
    </row>
    <row r="547" spans="1:12">
      <c r="A547" s="463"/>
      <c r="B547" s="566"/>
      <c r="C547" s="539"/>
      <c r="D547" s="539"/>
      <c r="E547" s="567"/>
      <c r="F547" s="568"/>
      <c r="G547" s="519"/>
      <c r="H547" s="519"/>
      <c r="I547" s="542"/>
      <c r="J547" s="567"/>
      <c r="K547" s="471"/>
    </row>
    <row r="548" spans="1:12" ht="20.399999999999999">
      <c r="A548" s="463"/>
      <c r="B548" s="1493" t="s">
        <v>955</v>
      </c>
      <c r="C548" s="1494"/>
      <c r="D548" s="1494"/>
      <c r="E548" s="1494"/>
      <c r="F548" s="1495"/>
      <c r="G548" s="569" t="s">
        <v>372</v>
      </c>
      <c r="H548" s="519" t="s">
        <v>956</v>
      </c>
      <c r="I548" s="570" t="s">
        <v>942</v>
      </c>
      <c r="J548" s="522" t="s">
        <v>363</v>
      </c>
      <c r="K548" s="471"/>
    </row>
    <row r="549" spans="1:12">
      <c r="A549" s="463"/>
      <c r="B549" s="571"/>
      <c r="C549" s="572"/>
      <c r="D549" s="573"/>
      <c r="E549" s="573"/>
      <c r="F549" s="574"/>
      <c r="G549" s="502"/>
      <c r="H549" s="502"/>
      <c r="I549" s="575"/>
      <c r="J549" s="505"/>
      <c r="K549" s="471"/>
    </row>
    <row r="550" spans="1:12">
      <c r="A550" s="463"/>
      <c r="B550" s="576"/>
      <c r="C550" s="577"/>
      <c r="D550" s="578"/>
      <c r="E550" s="578"/>
      <c r="F550" s="579"/>
      <c r="G550" s="502"/>
      <c r="H550" s="502"/>
      <c r="I550" s="575"/>
      <c r="J550" s="505"/>
      <c r="K550" s="471"/>
      <c r="L550" s="6"/>
    </row>
    <row r="551" spans="1:12">
      <c r="A551" s="463"/>
      <c r="B551" s="1496" t="s">
        <v>175</v>
      </c>
      <c r="C551" s="1496"/>
      <c r="D551" s="1496"/>
      <c r="E551" s="1496"/>
      <c r="F551" s="1496"/>
      <c r="G551" s="1496"/>
      <c r="H551" s="1496"/>
      <c r="I551" s="1496"/>
      <c r="J551" s="514">
        <f>SUM(J549:J550)</f>
        <v>0</v>
      </c>
      <c r="K551" s="471"/>
    </row>
    <row r="552" spans="1:12">
      <c r="A552" s="463"/>
      <c r="B552" s="580"/>
      <c r="C552" s="524"/>
      <c r="D552" s="524"/>
      <c r="E552" s="581"/>
      <c r="F552" s="582"/>
      <c r="G552" s="583"/>
      <c r="H552" s="583"/>
      <c r="I552" s="584"/>
      <c r="J552" s="585"/>
      <c r="K552" s="471"/>
    </row>
    <row r="553" spans="1:12">
      <c r="A553" s="463"/>
      <c r="B553" s="586" t="s">
        <v>957</v>
      </c>
      <c r="C553" s="586"/>
      <c r="D553" s="563"/>
      <c r="E553" s="536"/>
      <c r="F553" s="536"/>
      <c r="G553" s="536"/>
      <c r="H553" s="587"/>
      <c r="I553" s="588"/>
      <c r="J553" s="514">
        <f>(J538+J546+J551)/E538</f>
        <v>26.678942687661774</v>
      </c>
      <c r="K553" s="471"/>
      <c r="L553">
        <v>26.678940612120801</v>
      </c>
    </row>
    <row r="554" spans="1:12">
      <c r="A554" s="463"/>
      <c r="B554" s="566"/>
      <c r="C554" s="539"/>
      <c r="D554" s="539"/>
      <c r="E554" s="567"/>
      <c r="F554" s="568"/>
      <c r="G554" s="519"/>
      <c r="H554" s="519"/>
      <c r="I554" s="542"/>
      <c r="J554" s="589"/>
      <c r="K554" s="471"/>
    </row>
    <row r="555" spans="1:12" ht="20.399999999999999">
      <c r="A555" s="463"/>
      <c r="B555" s="1493" t="s">
        <v>958</v>
      </c>
      <c r="C555" s="1494"/>
      <c r="D555" s="1494"/>
      <c r="E555" s="1494"/>
      <c r="F555" s="1495"/>
      <c r="G555" s="569" t="s">
        <v>372</v>
      </c>
      <c r="H555" s="519" t="s">
        <v>956</v>
      </c>
      <c r="I555" s="570" t="s">
        <v>942</v>
      </c>
      <c r="J555" s="522" t="s">
        <v>363</v>
      </c>
      <c r="K555" s="471"/>
    </row>
    <row r="556" spans="1:12">
      <c r="A556" s="463"/>
      <c r="B556" s="571"/>
      <c r="C556" s="572"/>
      <c r="D556" s="573"/>
      <c r="E556" s="573"/>
      <c r="F556" s="574"/>
      <c r="G556" s="502"/>
      <c r="H556" s="502"/>
      <c r="I556" s="575"/>
      <c r="J556" s="505">
        <f>G556*I556</f>
        <v>0</v>
      </c>
      <c r="K556" s="471"/>
    </row>
    <row r="557" spans="1:12">
      <c r="A557" s="463"/>
      <c r="B557" s="590"/>
      <c r="C557" s="591"/>
      <c r="D557" s="592"/>
      <c r="E557" s="592"/>
      <c r="F557" s="593"/>
      <c r="G557" s="502"/>
      <c r="H557" s="502"/>
      <c r="I557" s="575"/>
      <c r="J557" s="505">
        <f>G557*I557</f>
        <v>0</v>
      </c>
      <c r="K557" s="471"/>
    </row>
    <row r="558" spans="1:12">
      <c r="A558" s="463"/>
      <c r="B558" s="594"/>
      <c r="C558" s="536"/>
      <c r="D558" s="536"/>
      <c r="E558" s="595"/>
      <c r="F558" s="596"/>
      <c r="G558" s="545"/>
      <c r="H558" s="545"/>
      <c r="I558" s="537" t="s">
        <v>175</v>
      </c>
      <c r="J558" s="514">
        <f>SUM(J556:J557)</f>
        <v>0</v>
      </c>
      <c r="K558" s="471"/>
    </row>
    <row r="559" spans="1:12">
      <c r="A559" s="463"/>
      <c r="B559" s="597"/>
      <c r="C559" s="536"/>
      <c r="D559" s="536"/>
      <c r="E559" s="595"/>
      <c r="F559" s="596"/>
      <c r="G559" s="545"/>
      <c r="H559" s="545"/>
      <c r="I559" s="537"/>
      <c r="J559" s="595"/>
      <c r="K559" s="471"/>
    </row>
    <row r="560" spans="1:12" ht="20.399999999999999">
      <c r="A560" s="463"/>
      <c r="B560" s="598" t="s">
        <v>959</v>
      </c>
      <c r="C560" s="598"/>
      <c r="D560" s="598"/>
      <c r="E560" s="599"/>
      <c r="F560" s="600" t="s">
        <v>372</v>
      </c>
      <c r="G560" s="569" t="s">
        <v>960</v>
      </c>
      <c r="H560" s="519" t="s">
        <v>942</v>
      </c>
      <c r="I560" s="570" t="s">
        <v>361</v>
      </c>
      <c r="J560" s="522" t="s">
        <v>363</v>
      </c>
      <c r="K560" s="471"/>
    </row>
    <row r="561" spans="1:11">
      <c r="A561" s="463"/>
      <c r="B561" s="576" t="s">
        <v>946</v>
      </c>
      <c r="C561" s="577"/>
      <c r="D561" s="578"/>
      <c r="E561" s="579" t="s">
        <v>946</v>
      </c>
      <c r="F561" s="502">
        <v>0</v>
      </c>
      <c r="G561" s="502">
        <v>0</v>
      </c>
      <c r="H561" s="502">
        <v>0</v>
      </c>
      <c r="I561" s="575">
        <v>0</v>
      </c>
      <c r="J561" s="505">
        <f>I561*H561*G561*F561</f>
        <v>0</v>
      </c>
      <c r="K561" s="471"/>
    </row>
    <row r="562" spans="1:11">
      <c r="A562" s="463"/>
      <c r="B562" s="590" t="s">
        <v>946</v>
      </c>
      <c r="C562" s="591"/>
      <c r="D562" s="592"/>
      <c r="E562" s="593" t="s">
        <v>946</v>
      </c>
      <c r="F562" s="509">
        <v>0</v>
      </c>
      <c r="G562" s="509">
        <v>0</v>
      </c>
      <c r="H562" s="509">
        <v>0</v>
      </c>
      <c r="I562" s="601">
        <v>0</v>
      </c>
      <c r="J562" s="505">
        <f>I562*H562*G562*F562</f>
        <v>0</v>
      </c>
      <c r="K562" s="471"/>
    </row>
    <row r="563" spans="1:11">
      <c r="A563" s="463"/>
      <c r="B563" s="594"/>
      <c r="C563" s="536"/>
      <c r="D563" s="536"/>
      <c r="E563" s="595"/>
      <c r="F563" s="596"/>
      <c r="G563" s="545"/>
      <c r="H563" s="545"/>
      <c r="I563" s="537" t="s">
        <v>175</v>
      </c>
      <c r="J563" s="514">
        <f>SUM(J561:J562)</f>
        <v>0</v>
      </c>
      <c r="K563" s="471"/>
    </row>
    <row r="564" spans="1:11">
      <c r="A564" s="463"/>
      <c r="B564" s="536"/>
      <c r="C564" s="536"/>
      <c r="D564" s="536"/>
      <c r="E564" s="536"/>
      <c r="F564" s="536"/>
      <c r="G564" s="536"/>
      <c r="H564" s="536"/>
      <c r="I564" s="537"/>
      <c r="J564" s="536"/>
      <c r="K564" s="471"/>
    </row>
    <row r="565" spans="1:11">
      <c r="A565" s="463"/>
      <c r="B565" s="1481" t="s">
        <v>963</v>
      </c>
      <c r="C565" s="1482"/>
      <c r="D565" s="1482"/>
      <c r="E565" s="1482"/>
      <c r="F565" s="1482"/>
      <c r="G565" s="1482"/>
      <c r="H565" s="1482"/>
      <c r="I565" s="1483"/>
      <c r="J565" s="586">
        <v>26.678942687661774</v>
      </c>
      <c r="K565" s="471"/>
    </row>
    <row r="566" spans="1:11">
      <c r="A566" s="463"/>
      <c r="B566" s="524"/>
      <c r="C566" s="524"/>
      <c r="D566" s="524"/>
      <c r="E566" s="524"/>
      <c r="F566" s="524"/>
      <c r="G566" s="524"/>
      <c r="H566" s="524"/>
      <c r="I566" s="584"/>
      <c r="J566" s="524"/>
      <c r="K566" s="471"/>
    </row>
    <row r="567" spans="1:11">
      <c r="A567" s="463"/>
      <c r="B567" s="602"/>
      <c r="C567" s="572"/>
      <c r="D567" s="572"/>
      <c r="E567" s="572"/>
      <c r="F567" s="572"/>
      <c r="G567" s="572"/>
      <c r="H567" s="572"/>
      <c r="I567" s="572"/>
      <c r="J567" s="603"/>
      <c r="K567" s="471"/>
    </row>
    <row r="568" spans="1:11">
      <c r="A568" s="463"/>
      <c r="B568" s="604"/>
      <c r="C568" s="605"/>
      <c r="D568" s="606"/>
      <c r="E568" s="606"/>
      <c r="F568" s="607" t="s">
        <v>946</v>
      </c>
      <c r="G568" s="608" t="s">
        <v>946</v>
      </c>
      <c r="H568" s="605"/>
      <c r="I568" s="605"/>
      <c r="J568" s="609"/>
      <c r="K568" s="471"/>
    </row>
    <row r="569" spans="1:11">
      <c r="A569" s="463"/>
      <c r="B569" s="472"/>
      <c r="C569" s="472"/>
      <c r="D569" s="472"/>
      <c r="E569" s="472"/>
      <c r="F569" s="472"/>
      <c r="G569" s="472"/>
      <c r="H569" s="472"/>
      <c r="I569" s="472"/>
      <c r="J569" s="472"/>
      <c r="K569" s="471"/>
    </row>
    <row r="570" spans="1:11">
      <c r="A570" s="463"/>
      <c r="B570" s="610" t="str">
        <f>B456</f>
        <v>OPERAÇÃO DE SUPRESSÃO E SUMP</v>
      </c>
      <c r="C570" s="611"/>
      <c r="D570" s="611"/>
      <c r="E570" s="611"/>
      <c r="F570" s="612"/>
      <c r="G570" s="613" t="s">
        <v>363</v>
      </c>
      <c r="H570" s="515"/>
      <c r="I570" s="515"/>
      <c r="J570" s="518"/>
      <c r="K570" s="471"/>
    </row>
    <row r="571" spans="1:11">
      <c r="A571" s="463"/>
      <c r="B571" s="614" t="str">
        <f>B457</f>
        <v>MARA ROSA</v>
      </c>
      <c r="C571" s="615"/>
      <c r="D571" s="615"/>
      <c r="E571" s="615"/>
      <c r="F571" s="616"/>
      <c r="G571" s="1484" t="s">
        <v>964</v>
      </c>
      <c r="H571" s="1485"/>
      <c r="I571" s="1485"/>
      <c r="J571" s="1486"/>
      <c r="K571" s="471"/>
    </row>
    <row r="572" spans="1:11">
      <c r="A572" s="463"/>
      <c r="B572" s="617"/>
      <c r="C572" s="618"/>
      <c r="D572" s="618"/>
      <c r="E572" s="618"/>
      <c r="F572" s="619"/>
      <c r="G572" s="620"/>
      <c r="H572" s="1487"/>
      <c r="I572" s="1488"/>
      <c r="J572" s="1489"/>
      <c r="K572" s="471"/>
    </row>
    <row r="573" spans="1:11" ht="15" thickBot="1">
      <c r="A573" s="621"/>
      <c r="B573" s="622"/>
      <c r="C573" s="622"/>
      <c r="D573" s="622"/>
      <c r="E573" s="622"/>
      <c r="F573" s="622"/>
      <c r="G573" s="622"/>
      <c r="H573" s="622"/>
      <c r="I573" s="622"/>
      <c r="J573" s="622"/>
      <c r="K573" s="623"/>
    </row>
    <row r="574" spans="1:11">
      <c r="A574" s="460"/>
      <c r="B574" s="461"/>
      <c r="C574" s="461"/>
      <c r="D574" s="461"/>
      <c r="E574" s="461"/>
      <c r="F574" s="461"/>
      <c r="G574" s="461"/>
      <c r="H574" s="461"/>
      <c r="I574" s="461"/>
      <c r="J574" s="461"/>
      <c r="K574" s="462"/>
    </row>
    <row r="575" spans="1:11">
      <c r="A575" s="463"/>
      <c r="B575" s="464" t="s">
        <v>178</v>
      </c>
      <c r="C575" s="465"/>
      <c r="D575" s="466" t="s">
        <v>936</v>
      </c>
      <c r="E575" s="467"/>
      <c r="F575" s="468"/>
      <c r="G575" s="468"/>
      <c r="H575" s="469"/>
      <c r="I575" s="469"/>
      <c r="J575" s="470"/>
      <c r="K575" s="471"/>
    </row>
    <row r="576" spans="1:11">
      <c r="A576" s="463"/>
      <c r="B576" s="472"/>
      <c r="C576" s="472"/>
      <c r="D576" s="472"/>
      <c r="E576" s="472"/>
      <c r="F576" s="472"/>
      <c r="G576" s="472"/>
      <c r="H576" s="472"/>
      <c r="I576" s="472"/>
      <c r="J576" s="472"/>
      <c r="K576" s="471"/>
    </row>
    <row r="577" spans="1:16">
      <c r="A577" s="463"/>
      <c r="B577" s="473" t="s">
        <v>688</v>
      </c>
      <c r="C577" s="474" t="s">
        <v>937</v>
      </c>
      <c r="D577" s="1497" t="s">
        <v>250</v>
      </c>
      <c r="E577" s="1498"/>
      <c r="F577" s="1498"/>
      <c r="G577" s="1498"/>
      <c r="H577" s="1498"/>
      <c r="I577" s="1499"/>
      <c r="J577" s="475" t="s">
        <v>267</v>
      </c>
      <c r="K577" s="471"/>
    </row>
    <row r="578" spans="1:16" ht="24.6" customHeight="1">
      <c r="A578" s="463"/>
      <c r="B578" s="476" t="s">
        <v>3</v>
      </c>
      <c r="C578" s="477">
        <f ca="1">PLANEJAMENTO!F4</f>
        <v>46140</v>
      </c>
      <c r="D578" s="681" t="s">
        <v>1491</v>
      </c>
      <c r="E578" s="479"/>
      <c r="F578" s="479"/>
      <c r="G578" s="479"/>
      <c r="H578" s="479"/>
      <c r="I578" s="480"/>
      <c r="J578" s="481" t="str">
        <f>F595</f>
        <v>m3</v>
      </c>
      <c r="K578" s="471"/>
    </row>
    <row r="579" spans="1:16">
      <c r="A579" s="463"/>
      <c r="B579" s="482"/>
      <c r="C579" s="482"/>
      <c r="D579" s="482"/>
      <c r="E579" s="482"/>
      <c r="F579" s="482"/>
      <c r="G579" s="482"/>
      <c r="H579" s="482"/>
      <c r="I579" s="483"/>
      <c r="J579" s="484"/>
      <c r="K579" s="471"/>
    </row>
    <row r="580" spans="1:16">
      <c r="A580" s="463"/>
      <c r="B580" s="1484" t="s">
        <v>938</v>
      </c>
      <c r="C580" s="1486"/>
      <c r="D580" s="1502" t="s">
        <v>688</v>
      </c>
      <c r="E580" s="1504" t="s">
        <v>939</v>
      </c>
      <c r="F580" s="485" t="s">
        <v>940</v>
      </c>
      <c r="G580" s="486"/>
      <c r="H580" s="485" t="s">
        <v>941</v>
      </c>
      <c r="I580" s="486"/>
      <c r="J580" s="487" t="s">
        <v>942</v>
      </c>
      <c r="K580" s="471"/>
    </row>
    <row r="581" spans="1:16">
      <c r="A581" s="463"/>
      <c r="B581" s="1500"/>
      <c r="C581" s="1501"/>
      <c r="D581" s="1503"/>
      <c r="E581" s="1505"/>
      <c r="F581" s="488" t="s">
        <v>943</v>
      </c>
      <c r="G581" s="488" t="s">
        <v>944</v>
      </c>
      <c r="H581" s="488" t="s">
        <v>943</v>
      </c>
      <c r="I581" s="489" t="s">
        <v>944</v>
      </c>
      <c r="J581" s="490" t="s">
        <v>945</v>
      </c>
      <c r="K581" s="471"/>
    </row>
    <row r="582" spans="1:16">
      <c r="A582" s="463"/>
      <c r="B582" s="491" t="s">
        <v>669</v>
      </c>
      <c r="C582" s="492"/>
      <c r="D582" s="493"/>
      <c r="E582" s="494">
        <v>1</v>
      </c>
      <c r="F582" s="494">
        <v>1</v>
      </c>
      <c r="G582" s="495">
        <f>1-F582</f>
        <v>0</v>
      </c>
      <c r="H582" s="496">
        <f>VLOOKUP(B582,EQUIPAMENTOS!$A:$J,10,FALSE)</f>
        <v>214.36944444444444</v>
      </c>
      <c r="I582" s="497">
        <f>H582</f>
        <v>214.36944444444444</v>
      </c>
      <c r="J582" s="498">
        <f>H582*F582*E582+I582*G582*E582</f>
        <v>214.36944444444444</v>
      </c>
      <c r="K582" s="471"/>
    </row>
    <row r="583" spans="1:16" ht="14.25" customHeight="1">
      <c r="A583" s="463"/>
      <c r="B583" s="499" t="s">
        <v>954</v>
      </c>
      <c r="C583" s="500"/>
      <c r="D583" s="501"/>
      <c r="E583" s="875">
        <v>1</v>
      </c>
      <c r="F583" s="502">
        <v>1</v>
      </c>
      <c r="G583" s="502">
        <f>1-F583</f>
        <v>0</v>
      </c>
      <c r="H583" s="503">
        <f>VLOOKUP(B583,EQUIPAMENTOS!$A:$J,10,FALSE)</f>
        <v>192.58333333333334</v>
      </c>
      <c r="I583" s="504">
        <f>H583</f>
        <v>192.58333333333334</v>
      </c>
      <c r="J583" s="505">
        <f>H583*F583*E583+I583*G583*E583</f>
        <v>192.58333333333334</v>
      </c>
      <c r="K583" s="471"/>
    </row>
    <row r="584" spans="1:16" ht="14.4" customHeight="1">
      <c r="A584" s="463"/>
      <c r="B584" s="499" t="s">
        <v>1157</v>
      </c>
      <c r="C584" s="500"/>
      <c r="D584" s="501"/>
      <c r="E584" s="502">
        <v>3</v>
      </c>
      <c r="F584" s="502">
        <v>1</v>
      </c>
      <c r="G584" s="502">
        <f>1-F584</f>
        <v>0</v>
      </c>
      <c r="H584" s="503">
        <f>VLOOKUP(B584,EQUIPAMENTOS!$A:$J,10,FALSE)</f>
        <v>125</v>
      </c>
      <c r="I584" s="504">
        <f>H584</f>
        <v>125</v>
      </c>
      <c r="J584" s="505">
        <f>H584*F584*E584+I584*G584*E584</f>
        <v>375</v>
      </c>
      <c r="K584" s="471"/>
    </row>
    <row r="585" spans="1:16">
      <c r="A585" s="463"/>
      <c r="B585" s="499"/>
      <c r="C585" s="507"/>
      <c r="D585" s="1017"/>
      <c r="E585" s="509"/>
      <c r="F585" s="509"/>
      <c r="G585" s="509"/>
      <c r="H585" s="510"/>
      <c r="I585" s="510"/>
      <c r="J585" s="505"/>
      <c r="K585" s="471"/>
    </row>
    <row r="586" spans="1:16">
      <c r="A586" s="463"/>
      <c r="B586" s="512" t="s">
        <v>946</v>
      </c>
      <c r="C586" s="482"/>
      <c r="D586" s="482"/>
      <c r="E586" s="482"/>
      <c r="F586" s="482"/>
      <c r="G586" s="482"/>
      <c r="H586" s="482"/>
      <c r="I586" s="513" t="s">
        <v>175</v>
      </c>
      <c r="J586" s="514">
        <f>SUM(J582:J585)</f>
        <v>781.95277777777778</v>
      </c>
      <c r="K586" s="471"/>
    </row>
    <row r="587" spans="1:16" ht="20.399999999999999" customHeight="1">
      <c r="A587" s="463"/>
      <c r="B587" s="515"/>
      <c r="C587" s="515"/>
      <c r="D587" s="515"/>
      <c r="E587" s="515"/>
      <c r="F587" s="515"/>
      <c r="G587" s="515"/>
      <c r="H587" s="515"/>
      <c r="I587" s="516"/>
      <c r="J587" s="517"/>
      <c r="K587" s="471"/>
    </row>
    <row r="588" spans="1:16" ht="20.399999999999999">
      <c r="A588" s="463"/>
      <c r="B588" s="1490" t="s">
        <v>947</v>
      </c>
      <c r="C588" s="1491"/>
      <c r="D588" s="1491"/>
      <c r="E588" s="1492"/>
      <c r="F588" s="725" t="s">
        <v>688</v>
      </c>
      <c r="G588" s="853"/>
      <c r="H588" s="520" t="s">
        <v>427</v>
      </c>
      <c r="I588" s="521" t="s">
        <v>948</v>
      </c>
      <c r="J588" s="522" t="s">
        <v>949</v>
      </c>
      <c r="K588" s="471"/>
      <c r="N588" s="116"/>
      <c r="O588" s="58"/>
      <c r="P588" s="58"/>
    </row>
    <row r="589" spans="1:16">
      <c r="A589" s="463"/>
      <c r="B589" s="523" t="s">
        <v>950</v>
      </c>
      <c r="C589" s="524"/>
      <c r="D589" s="525"/>
      <c r="E589" s="526"/>
      <c r="F589" s="527"/>
      <c r="G589" s="528"/>
      <c r="H589" s="529">
        <f>E584</f>
        <v>3</v>
      </c>
      <c r="I589" s="534">
        <f>(VLOOKUP(B589,'MÃO DE OBRA'!$A:$E,5,FALSE)/220)</f>
        <v>26.714454545454547</v>
      </c>
      <c r="J589" s="505">
        <f>H589*I589</f>
        <v>80.143363636363645</v>
      </c>
      <c r="K589" s="471"/>
    </row>
    <row r="590" spans="1:16" ht="14.4" customHeight="1">
      <c r="A590" s="463"/>
      <c r="B590" s="530" t="s">
        <v>976</v>
      </c>
      <c r="C590" s="531"/>
      <c r="D590" s="472"/>
      <c r="E590" s="500"/>
      <c r="F590" s="501"/>
      <c r="G590" s="532"/>
      <c r="H590" s="533">
        <f>E582</f>
        <v>1</v>
      </c>
      <c r="I590" s="534">
        <f>(VLOOKUP(B590,'MÃO DE OBRA'!$A:$E,5,FALSE)/220)</f>
        <v>35.711036363636367</v>
      </c>
      <c r="J590" s="505">
        <f>H590*I590</f>
        <v>35.711036363636367</v>
      </c>
      <c r="K590" s="471"/>
    </row>
    <row r="591" spans="1:16">
      <c r="A591" s="463"/>
      <c r="B591" s="530" t="s">
        <v>472</v>
      </c>
      <c r="C591" s="531"/>
      <c r="D591" s="472"/>
      <c r="E591" s="500"/>
      <c r="F591" s="501"/>
      <c r="G591" s="532"/>
      <c r="H591" s="533">
        <v>3</v>
      </c>
      <c r="I591" s="534">
        <f>(VLOOKUP(B591,'MÃO DE OBRA'!$A:$E,5,FALSE)/220)</f>
        <v>18.377072727272729</v>
      </c>
      <c r="J591" s="505">
        <f>H591*I591</f>
        <v>55.131218181818184</v>
      </c>
      <c r="K591" s="471"/>
    </row>
    <row r="592" spans="1:16">
      <c r="A592" s="463"/>
      <c r="B592" s="530" t="s">
        <v>951</v>
      </c>
      <c r="C592" s="531"/>
      <c r="D592" s="472"/>
      <c r="E592" s="500"/>
      <c r="F592" s="501"/>
      <c r="G592" s="532"/>
      <c r="H592" s="533">
        <f>E583</f>
        <v>1</v>
      </c>
      <c r="I592" s="534">
        <f>(VLOOKUP(B592,'MÃO DE OBRA'!$A:$E,5,FALSE)/220)</f>
        <v>26.270618181818183</v>
      </c>
      <c r="J592" s="505">
        <f>H592*I592</f>
        <v>26.270618181818183</v>
      </c>
      <c r="K592" s="471"/>
    </row>
    <row r="593" spans="1:12">
      <c r="A593" s="463"/>
      <c r="B593" s="512" t="s">
        <v>946</v>
      </c>
      <c r="C593" s="515"/>
      <c r="D593" s="515"/>
      <c r="E593" s="515"/>
      <c r="F593" s="515"/>
      <c r="G593" s="515"/>
      <c r="H593" s="515"/>
      <c r="I593" s="535" t="s">
        <v>175</v>
      </c>
      <c r="J593" s="514">
        <f>SUM(J589:J592)</f>
        <v>197.25623636363639</v>
      </c>
      <c r="K593" s="471"/>
    </row>
    <row r="594" spans="1:12">
      <c r="A594" s="463"/>
      <c r="B594" s="536"/>
      <c r="C594" s="536"/>
      <c r="D594" s="536"/>
      <c r="E594" s="536"/>
      <c r="F594" s="536"/>
      <c r="G594" s="536"/>
      <c r="H594" s="536"/>
      <c r="I594" s="537"/>
      <c r="J594" s="536"/>
      <c r="K594" s="471"/>
    </row>
    <row r="595" spans="1:12">
      <c r="A595" s="463"/>
      <c r="B595" s="538" t="s">
        <v>952</v>
      </c>
      <c r="C595" s="539"/>
      <c r="D595" s="536"/>
      <c r="E595" s="540">
        <v>76.785549833800005</v>
      </c>
      <c r="F595" s="541" t="s">
        <v>931</v>
      </c>
      <c r="G595" s="519"/>
      <c r="H595" s="519"/>
      <c r="I595" s="542" t="s">
        <v>953</v>
      </c>
      <c r="J595" s="514">
        <f>J586+J593</f>
        <v>979.20901414141417</v>
      </c>
      <c r="K595" s="471"/>
    </row>
    <row r="596" spans="1:12">
      <c r="A596" s="463"/>
      <c r="B596" s="543"/>
      <c r="C596" s="536"/>
      <c r="D596" s="536"/>
      <c r="E596" s="1028"/>
      <c r="F596" s="545"/>
      <c r="G596" s="545"/>
      <c r="H596" s="545"/>
      <c r="I596" s="537"/>
      <c r="J596" s="536"/>
      <c r="K596" s="471"/>
    </row>
    <row r="597" spans="1:12" ht="20.399999999999999">
      <c r="A597" s="463"/>
      <c r="B597" s="1493" t="s">
        <v>362</v>
      </c>
      <c r="C597" s="1494"/>
      <c r="D597" s="1494"/>
      <c r="E597" s="1495"/>
      <c r="F597" s="546" t="s">
        <v>688</v>
      </c>
      <c r="G597" s="547" t="s">
        <v>371</v>
      </c>
      <c r="H597" s="520" t="s">
        <v>942</v>
      </c>
      <c r="I597" s="548" t="s">
        <v>361</v>
      </c>
      <c r="J597" s="549" t="s">
        <v>363</v>
      </c>
      <c r="K597" s="471"/>
    </row>
    <row r="598" spans="1:12" ht="14.4" hidden="1" customHeight="1">
      <c r="A598" s="463"/>
      <c r="B598" s="550" t="str">
        <f>B582</f>
        <v>Trator de esteiras 20T</v>
      </c>
      <c r="C598" s="551"/>
      <c r="D598" s="551"/>
      <c r="E598" s="552"/>
      <c r="F598" s="553" t="str">
        <f>VLOOKUP(B598,EQUIPAMENTOS!$A:$N,12,FALSE)</f>
        <v>Diesel S10</v>
      </c>
      <c r="G598" s="554" t="s">
        <v>415</v>
      </c>
      <c r="H598" s="560">
        <f>VLOOKUP(B598,EQUIPAMENTOS!$A:$N,13,FALSE)</f>
        <v>0</v>
      </c>
      <c r="I598" s="556">
        <f>VLOOKUP(B598,EQUIPAMENTOS!$A:$N,14,FALSE)</f>
        <v>26</v>
      </c>
      <c r="J598" s="498">
        <f>H598*I598*E582*F582</f>
        <v>0</v>
      </c>
      <c r="K598" s="471"/>
    </row>
    <row r="599" spans="1:12">
      <c r="A599" s="463"/>
      <c r="B599" s="557" t="str">
        <f>B582</f>
        <v>Trator de esteiras 20T</v>
      </c>
      <c r="C599" s="531"/>
      <c r="D599" s="531"/>
      <c r="E599" s="500"/>
      <c r="F599" s="553" t="str">
        <f>VLOOKUP(B599,EQUIPAMENTOS!$A:$N,12,FALSE)</f>
        <v>Diesel S10</v>
      </c>
      <c r="G599" s="554" t="s">
        <v>415</v>
      </c>
      <c r="H599" s="560">
        <f>VLOOKUP(B599,EQUIPAMENTOS!$A:$N,13,FALSE)</f>
        <v>0</v>
      </c>
      <c r="I599" s="556">
        <f>VLOOKUP(B599,EQUIPAMENTOS!$A:$N,14,FALSE)</f>
        <v>26</v>
      </c>
      <c r="J599" s="505">
        <f>H599*I599*E582*F582</f>
        <v>0</v>
      </c>
      <c r="K599" s="471"/>
      <c r="L599" s="6"/>
    </row>
    <row r="600" spans="1:12">
      <c r="A600" s="463"/>
      <c r="B600" s="557" t="str">
        <f t="shared" ref="B600:B601" si="0">B583</f>
        <v>Pá Carregadeira</v>
      </c>
      <c r="C600" s="531"/>
      <c r="D600" s="531"/>
      <c r="E600" s="500"/>
      <c r="F600" s="553" t="str">
        <f>VLOOKUP(B600,EQUIPAMENTOS!$A:$N,12,FALSE)</f>
        <v>Diesel S10</v>
      </c>
      <c r="G600" s="554" t="s">
        <v>415</v>
      </c>
      <c r="H600" s="560">
        <f>VLOOKUP(B600,EQUIPAMENTOS!$A:$N,13,FALSE)</f>
        <v>0</v>
      </c>
      <c r="I600" s="556">
        <f>VLOOKUP(B600,EQUIPAMENTOS!$A:$N,14,FALSE)</f>
        <v>16</v>
      </c>
      <c r="J600" s="505">
        <f>H600*I600*E583*F583</f>
        <v>0</v>
      </c>
      <c r="K600" s="471"/>
      <c r="L600" s="6"/>
    </row>
    <row r="601" spans="1:12">
      <c r="A601" s="463"/>
      <c r="B601" s="557" t="str">
        <f t="shared" si="0"/>
        <v>Caminhão basculante 14 m³</v>
      </c>
      <c r="C601" s="539"/>
      <c r="D601" s="539"/>
      <c r="E601" s="507"/>
      <c r="F601" s="553" t="str">
        <f>VLOOKUP(B601,EQUIPAMENTOS!$A:$N,12,FALSE)</f>
        <v>Diesel S10</v>
      </c>
      <c r="G601" s="736" t="s">
        <v>415</v>
      </c>
      <c r="H601" s="560">
        <f>VLOOKUP(B601,EQUIPAMENTOS!$A:$N,13,FALSE)</f>
        <v>0</v>
      </c>
      <c r="I601" s="556">
        <f>VLOOKUP(B601,EQUIPAMENTOS!$A:$N,14,FALSE)</f>
        <v>2.5</v>
      </c>
      <c r="J601" s="505">
        <f>H601*I601*E584*F584</f>
        <v>0</v>
      </c>
      <c r="K601" s="471"/>
    </row>
    <row r="602" spans="1:12">
      <c r="A602" s="463"/>
      <c r="B602" s="563" t="s">
        <v>946</v>
      </c>
      <c r="C602" s="539"/>
      <c r="D602" s="539"/>
      <c r="E602" s="539"/>
      <c r="F602" s="536"/>
      <c r="G602" s="539"/>
      <c r="H602" s="564"/>
      <c r="I602" s="565" t="s">
        <v>175</v>
      </c>
      <c r="J602" s="514">
        <f>SUM(J598:J601)</f>
        <v>0</v>
      </c>
      <c r="K602" s="471"/>
    </row>
    <row r="603" spans="1:12">
      <c r="A603" s="463"/>
      <c r="B603" s="566"/>
      <c r="C603" s="539"/>
      <c r="D603" s="539"/>
      <c r="E603" s="567"/>
      <c r="F603" s="568"/>
      <c r="G603" s="519"/>
      <c r="H603" s="519"/>
      <c r="I603" s="542"/>
      <c r="J603" s="567"/>
      <c r="K603" s="471"/>
    </row>
    <row r="604" spans="1:12" ht="20.399999999999999">
      <c r="A604" s="463"/>
      <c r="B604" s="1493" t="s">
        <v>955</v>
      </c>
      <c r="C604" s="1494"/>
      <c r="D604" s="1494"/>
      <c r="E604" s="1494"/>
      <c r="F604" s="1495"/>
      <c r="G604" s="569" t="s">
        <v>372</v>
      </c>
      <c r="H604" s="519" t="s">
        <v>956</v>
      </c>
      <c r="I604" s="570" t="s">
        <v>942</v>
      </c>
      <c r="J604" s="522" t="s">
        <v>363</v>
      </c>
      <c r="K604" s="471"/>
    </row>
    <row r="605" spans="1:12">
      <c r="A605" s="463"/>
      <c r="B605" s="571"/>
      <c r="C605" s="572"/>
      <c r="D605" s="573"/>
      <c r="E605" s="573"/>
      <c r="F605" s="574"/>
      <c r="G605" s="502"/>
      <c r="H605" s="502"/>
      <c r="I605" s="575"/>
      <c r="J605" s="505"/>
      <c r="K605" s="471"/>
    </row>
    <row r="606" spans="1:12">
      <c r="A606" s="463"/>
      <c r="B606" s="576"/>
      <c r="C606" s="577"/>
      <c r="D606" s="578"/>
      <c r="E606" s="578"/>
      <c r="F606" s="579"/>
      <c r="G606" s="502"/>
      <c r="H606" s="502"/>
      <c r="I606" s="575"/>
      <c r="J606" s="505"/>
      <c r="K606" s="471"/>
    </row>
    <row r="607" spans="1:12">
      <c r="A607" s="463"/>
      <c r="B607" s="1496" t="s">
        <v>175</v>
      </c>
      <c r="C607" s="1496"/>
      <c r="D607" s="1496"/>
      <c r="E607" s="1496"/>
      <c r="F607" s="1496"/>
      <c r="G607" s="1496"/>
      <c r="H607" s="1496"/>
      <c r="I607" s="1496"/>
      <c r="J607" s="514">
        <f>SUM(J605:J606)</f>
        <v>0</v>
      </c>
      <c r="K607" s="471"/>
    </row>
    <row r="608" spans="1:12">
      <c r="A608" s="463"/>
      <c r="B608" s="580"/>
      <c r="C608" s="524"/>
      <c r="D608" s="524"/>
      <c r="E608" s="581"/>
      <c r="F608" s="582"/>
      <c r="G608" s="583"/>
      <c r="H608" s="583"/>
      <c r="I608" s="584"/>
      <c r="J608" s="585"/>
      <c r="K608" s="471"/>
    </row>
    <row r="609" spans="1:14">
      <c r="A609" s="463"/>
      <c r="B609" s="586" t="s">
        <v>957</v>
      </c>
      <c r="C609" s="586"/>
      <c r="D609" s="563"/>
      <c r="E609" s="536"/>
      <c r="F609" s="536"/>
      <c r="G609" s="536"/>
      <c r="H609" s="587"/>
      <c r="I609" s="588"/>
      <c r="J609" s="514">
        <f>(J595+J602+J607)/E595</f>
        <v>12.752516798549758</v>
      </c>
      <c r="K609" s="471"/>
      <c r="L609">
        <v>12.752516721843119</v>
      </c>
    </row>
    <row r="610" spans="1:14">
      <c r="A610" s="463"/>
      <c r="B610" s="566"/>
      <c r="C610" s="539"/>
      <c r="D610" s="539"/>
      <c r="E610" s="567"/>
      <c r="F610" s="568"/>
      <c r="G610" s="519"/>
      <c r="H610" s="519"/>
      <c r="I610" s="542"/>
      <c r="J610" s="589"/>
      <c r="K610" s="471"/>
      <c r="N610" s="6"/>
    </row>
    <row r="611" spans="1:14" ht="20.399999999999999">
      <c r="A611" s="463"/>
      <c r="B611" s="1493" t="s">
        <v>958</v>
      </c>
      <c r="C611" s="1494"/>
      <c r="D611" s="1494"/>
      <c r="E611" s="1494"/>
      <c r="F611" s="1495"/>
      <c r="G611" s="569" t="s">
        <v>372</v>
      </c>
      <c r="H611" s="519" t="s">
        <v>956</v>
      </c>
      <c r="I611" s="570" t="s">
        <v>942</v>
      </c>
      <c r="J611" s="522" t="s">
        <v>363</v>
      </c>
      <c r="K611" s="471"/>
      <c r="N611" s="6"/>
    </row>
    <row r="612" spans="1:14">
      <c r="A612" s="463"/>
      <c r="B612" s="571"/>
      <c r="C612" s="572"/>
      <c r="D612" s="573"/>
      <c r="E612" s="573"/>
      <c r="F612" s="574"/>
      <c r="G612" s="502"/>
      <c r="H612" s="502"/>
      <c r="I612" s="575"/>
      <c r="J612" s="505">
        <f>G612*I612</f>
        <v>0</v>
      </c>
      <c r="K612" s="471"/>
    </row>
    <row r="613" spans="1:14">
      <c r="A613" s="463"/>
      <c r="B613" s="576"/>
      <c r="C613" s="577"/>
      <c r="D613" s="578"/>
      <c r="E613" s="578"/>
      <c r="F613" s="579"/>
      <c r="G613" s="502"/>
      <c r="H613" s="502"/>
      <c r="I613" s="575"/>
      <c r="J613" s="505">
        <f>G613*I613</f>
        <v>0</v>
      </c>
      <c r="K613" s="471"/>
    </row>
    <row r="614" spans="1:14">
      <c r="A614" s="463"/>
      <c r="B614" s="576"/>
      <c r="C614" s="577"/>
      <c r="D614" s="578"/>
      <c r="E614" s="578"/>
      <c r="F614" s="579"/>
      <c r="G614" s="502"/>
      <c r="H614" s="502"/>
      <c r="I614" s="575"/>
      <c r="J614" s="505">
        <f>G614*I614</f>
        <v>0</v>
      </c>
      <c r="K614" s="471"/>
    </row>
    <row r="615" spans="1:14">
      <c r="A615" s="463"/>
      <c r="B615" s="590"/>
      <c r="C615" s="591"/>
      <c r="D615" s="592"/>
      <c r="E615" s="592"/>
      <c r="F615" s="593"/>
      <c r="G615" s="502"/>
      <c r="H615" s="502"/>
      <c r="I615" s="575"/>
      <c r="J615" s="505">
        <f>G615*I615</f>
        <v>0</v>
      </c>
      <c r="K615" s="471"/>
    </row>
    <row r="616" spans="1:14">
      <c r="A616" s="463"/>
      <c r="B616" s="594"/>
      <c r="C616" s="536"/>
      <c r="D616" s="536"/>
      <c r="E616" s="595"/>
      <c r="F616" s="596"/>
      <c r="G616" s="545"/>
      <c r="H616" s="545"/>
      <c r="I616" s="537" t="s">
        <v>175</v>
      </c>
      <c r="J616" s="514">
        <f>SUM(J612:J615)</f>
        <v>0</v>
      </c>
      <c r="K616" s="471"/>
    </row>
    <row r="617" spans="1:14">
      <c r="A617" s="463"/>
      <c r="B617" s="597"/>
      <c r="C617" s="536"/>
      <c r="D617" s="536"/>
      <c r="E617" s="595"/>
      <c r="F617" s="596"/>
      <c r="G617" s="545"/>
      <c r="H617" s="545"/>
      <c r="I617" s="537"/>
      <c r="J617" s="595"/>
      <c r="K617" s="471"/>
    </row>
    <row r="618" spans="1:14" ht="20.399999999999999">
      <c r="A618" s="463"/>
      <c r="B618" s="598" t="s">
        <v>959</v>
      </c>
      <c r="C618" s="598"/>
      <c r="D618" s="598"/>
      <c r="E618" s="599"/>
      <c r="F618" s="600" t="s">
        <v>372</v>
      </c>
      <c r="G618" s="569" t="s">
        <v>960</v>
      </c>
      <c r="H618" s="519" t="s">
        <v>942</v>
      </c>
      <c r="I618" s="570" t="s">
        <v>361</v>
      </c>
      <c r="J618" s="522" t="s">
        <v>363</v>
      </c>
      <c r="K618" s="471"/>
    </row>
    <row r="619" spans="1:14">
      <c r="A619" s="463"/>
      <c r="B619" s="571"/>
      <c r="C619" s="572"/>
      <c r="D619" s="573"/>
      <c r="E619" s="574"/>
      <c r="F619" s="502"/>
      <c r="G619" s="502"/>
      <c r="H619" s="624"/>
      <c r="I619" s="575"/>
      <c r="J619" s="505"/>
      <c r="K619" s="471"/>
    </row>
    <row r="620" spans="1:14">
      <c r="A620" s="463"/>
      <c r="B620" s="590" t="s">
        <v>946</v>
      </c>
      <c r="C620" s="591"/>
      <c r="D620" s="592"/>
      <c r="E620" s="593" t="s">
        <v>946</v>
      </c>
      <c r="F620" s="509">
        <v>0</v>
      </c>
      <c r="G620" s="509">
        <v>0</v>
      </c>
      <c r="H620" s="509">
        <v>0</v>
      </c>
      <c r="I620" s="601">
        <v>0</v>
      </c>
      <c r="J620" s="505">
        <f>I620*H620*G620*F620</f>
        <v>0</v>
      </c>
      <c r="K620" s="471"/>
    </row>
    <row r="621" spans="1:14">
      <c r="A621" s="463"/>
      <c r="B621" s="594"/>
      <c r="C621" s="536"/>
      <c r="D621" s="536"/>
      <c r="E621" s="595"/>
      <c r="F621" s="596"/>
      <c r="G621" s="545"/>
      <c r="H621" s="545"/>
      <c r="I621" s="537" t="s">
        <v>175</v>
      </c>
      <c r="J621" s="514">
        <f>SUM(J619:J620)</f>
        <v>0</v>
      </c>
      <c r="K621" s="471"/>
    </row>
    <row r="622" spans="1:14">
      <c r="A622" s="463"/>
      <c r="B622" s="536"/>
      <c r="C622" s="536"/>
      <c r="D622" s="536"/>
      <c r="E622" s="536"/>
      <c r="F622" s="536"/>
      <c r="G622" s="536"/>
      <c r="H622" s="536"/>
      <c r="I622" s="537"/>
      <c r="J622" s="536"/>
      <c r="K622" s="471"/>
    </row>
    <row r="623" spans="1:14">
      <c r="A623" s="463"/>
      <c r="B623" s="1481" t="s">
        <v>963</v>
      </c>
      <c r="C623" s="1482"/>
      <c r="D623" s="1482"/>
      <c r="E623" s="1482"/>
      <c r="F623" s="1482"/>
      <c r="G623" s="1482"/>
      <c r="H623" s="1482"/>
      <c r="I623" s="1483"/>
      <c r="J623" s="586">
        <v>12.752516798549758</v>
      </c>
      <c r="K623" s="471"/>
    </row>
    <row r="624" spans="1:14">
      <c r="A624" s="463"/>
      <c r="B624" s="524"/>
      <c r="C624" s="524"/>
      <c r="D624" s="524"/>
      <c r="E624" s="524"/>
      <c r="F624" s="524"/>
      <c r="G624" s="524"/>
      <c r="H624" s="524"/>
      <c r="I624" s="584"/>
      <c r="J624" s="524"/>
      <c r="K624" s="471"/>
    </row>
    <row r="625" spans="1:11">
      <c r="A625" s="463"/>
      <c r="B625" s="602"/>
      <c r="C625" s="572"/>
      <c r="D625" s="572"/>
      <c r="E625" s="572"/>
      <c r="F625" s="572"/>
      <c r="G625" s="572"/>
      <c r="H625" s="572"/>
      <c r="I625" s="572"/>
      <c r="J625" s="603"/>
      <c r="K625" s="471"/>
    </row>
    <row r="626" spans="1:11">
      <c r="A626" s="463"/>
      <c r="B626" s="604"/>
      <c r="C626" s="605"/>
      <c r="D626" s="606"/>
      <c r="E626" s="606"/>
      <c r="F626" s="607" t="s">
        <v>946</v>
      </c>
      <c r="G626" s="608" t="s">
        <v>946</v>
      </c>
      <c r="H626" s="605"/>
      <c r="I626" s="605"/>
      <c r="J626" s="609"/>
      <c r="K626" s="471"/>
    </row>
    <row r="627" spans="1:11">
      <c r="A627" s="463"/>
      <c r="B627" s="472"/>
      <c r="C627" s="472"/>
      <c r="D627" s="472"/>
      <c r="E627" s="472"/>
      <c r="F627" s="472"/>
      <c r="G627" s="472"/>
      <c r="H627" s="472"/>
      <c r="I627" s="472"/>
      <c r="J627" s="472"/>
      <c r="K627" s="471"/>
    </row>
    <row r="628" spans="1:11">
      <c r="A628" s="463"/>
      <c r="B628" s="610" t="str">
        <f>PLANEJAMENTO!F2</f>
        <v>OPERAÇÃO DE SUPRESSÃO E SUMP</v>
      </c>
      <c r="C628" s="611"/>
      <c r="D628" s="611"/>
      <c r="E628" s="611"/>
      <c r="F628" s="612"/>
      <c r="G628" s="613" t="s">
        <v>363</v>
      </c>
      <c r="H628" s="515"/>
      <c r="I628" s="515"/>
      <c r="J628" s="518"/>
      <c r="K628" s="471"/>
    </row>
    <row r="629" spans="1:11">
      <c r="A629" s="463"/>
      <c r="B629" s="956" t="str">
        <f>PLANEJAMENTO!F3</f>
        <v>MARA ROSA</v>
      </c>
      <c r="C629" s="957"/>
      <c r="D629" s="957"/>
      <c r="E629" s="957"/>
      <c r="F629" s="958"/>
      <c r="G629" s="1484" t="s">
        <v>964</v>
      </c>
      <c r="H629" s="1485"/>
      <c r="I629" s="1485"/>
      <c r="J629" s="1486"/>
      <c r="K629" s="471"/>
    </row>
    <row r="630" spans="1:11">
      <c r="A630" s="463"/>
      <c r="B630" s="1015"/>
      <c r="C630" s="587"/>
      <c r="D630" s="587"/>
      <c r="E630" s="587"/>
      <c r="F630" s="587"/>
      <c r="G630" s="1014"/>
      <c r="H630" s="1014"/>
      <c r="I630" s="1014"/>
      <c r="J630" s="1016"/>
      <c r="K630" s="471"/>
    </row>
    <row r="631" spans="1:11" ht="15" thickBot="1">
      <c r="A631" s="463"/>
      <c r="B631" s="524"/>
      <c r="C631" s="524"/>
      <c r="D631" s="524"/>
      <c r="E631" s="524"/>
      <c r="F631" s="524"/>
      <c r="G631" s="524"/>
      <c r="H631" s="524"/>
      <c r="I631" s="584"/>
      <c r="J631" s="524"/>
      <c r="K631" s="471"/>
    </row>
    <row r="632" spans="1:11">
      <c r="A632" s="460"/>
      <c r="B632" s="461"/>
      <c r="C632" s="461"/>
      <c r="D632" s="461"/>
      <c r="E632" s="461"/>
      <c r="F632" s="461"/>
      <c r="G632" s="461"/>
      <c r="H632" s="461"/>
      <c r="I632" s="461"/>
      <c r="J632" s="461"/>
      <c r="K632" s="462"/>
    </row>
    <row r="633" spans="1:11">
      <c r="A633" s="463"/>
      <c r="B633" s="464" t="s">
        <v>178</v>
      </c>
      <c r="C633" s="465"/>
      <c r="D633" s="466" t="s">
        <v>936</v>
      </c>
      <c r="E633" s="467"/>
      <c r="F633" s="468"/>
      <c r="G633" s="468"/>
      <c r="H633" s="469"/>
      <c r="I633" s="469"/>
      <c r="J633" s="470"/>
      <c r="K633" s="471"/>
    </row>
    <row r="634" spans="1:11">
      <c r="A634" s="463"/>
      <c r="B634" s="472"/>
      <c r="C634" s="472"/>
      <c r="D634" s="472"/>
      <c r="E634" s="472"/>
      <c r="F634" s="472"/>
      <c r="G634" s="472"/>
      <c r="H634" s="472"/>
      <c r="I634" s="472"/>
      <c r="J634" s="472"/>
      <c r="K634" s="471"/>
    </row>
    <row r="635" spans="1:11">
      <c r="A635" s="463"/>
      <c r="B635" s="473" t="s">
        <v>688</v>
      </c>
      <c r="C635" s="474" t="s">
        <v>937</v>
      </c>
      <c r="D635" s="1497" t="s">
        <v>250</v>
      </c>
      <c r="E635" s="1498"/>
      <c r="F635" s="1498"/>
      <c r="G635" s="1498"/>
      <c r="H635" s="1498"/>
      <c r="I635" s="1499"/>
      <c r="J635" s="475" t="s">
        <v>267</v>
      </c>
      <c r="K635" s="471"/>
    </row>
    <row r="636" spans="1:11" ht="24.6" customHeight="1">
      <c r="A636" s="463"/>
      <c r="B636" s="476" t="s">
        <v>3</v>
      </c>
      <c r="C636" s="477">
        <f ca="1">PLANEJAMENTO!F4</f>
        <v>46140</v>
      </c>
      <c r="D636" s="681" t="s">
        <v>1492</v>
      </c>
      <c r="E636" s="479"/>
      <c r="F636" s="479"/>
      <c r="G636" s="479"/>
      <c r="H636" s="479"/>
      <c r="I636" s="480"/>
      <c r="J636" s="481" t="str">
        <f>F653</f>
        <v>m3</v>
      </c>
      <c r="K636" s="471"/>
    </row>
    <row r="637" spans="1:11">
      <c r="A637" s="463"/>
      <c r="B637" s="482"/>
      <c r="C637" s="482"/>
      <c r="D637" s="482"/>
      <c r="E637" s="482"/>
      <c r="F637" s="482"/>
      <c r="G637" s="482"/>
      <c r="H637" s="482"/>
      <c r="I637" s="483"/>
      <c r="J637" s="484"/>
      <c r="K637" s="471"/>
    </row>
    <row r="638" spans="1:11">
      <c r="A638" s="463"/>
      <c r="B638" s="1484" t="s">
        <v>938</v>
      </c>
      <c r="C638" s="1486"/>
      <c r="D638" s="1502" t="s">
        <v>688</v>
      </c>
      <c r="E638" s="1504" t="s">
        <v>939</v>
      </c>
      <c r="F638" s="485" t="s">
        <v>940</v>
      </c>
      <c r="G638" s="486"/>
      <c r="H638" s="485" t="s">
        <v>941</v>
      </c>
      <c r="I638" s="486"/>
      <c r="J638" s="487" t="s">
        <v>942</v>
      </c>
      <c r="K638" s="471"/>
    </row>
    <row r="639" spans="1:11">
      <c r="A639" s="463"/>
      <c r="B639" s="1500"/>
      <c r="C639" s="1501"/>
      <c r="D639" s="1503"/>
      <c r="E639" s="1505"/>
      <c r="F639" s="488" t="s">
        <v>943</v>
      </c>
      <c r="G639" s="488" t="s">
        <v>944</v>
      </c>
      <c r="H639" s="488" t="s">
        <v>943</v>
      </c>
      <c r="I639" s="489" t="s">
        <v>944</v>
      </c>
      <c r="J639" s="490" t="s">
        <v>945</v>
      </c>
      <c r="K639" s="471"/>
    </row>
    <row r="640" spans="1:11">
      <c r="A640" s="463"/>
      <c r="B640" s="491" t="s">
        <v>669</v>
      </c>
      <c r="C640" s="492"/>
      <c r="D640" s="493"/>
      <c r="E640" s="494">
        <v>1</v>
      </c>
      <c r="F640" s="494">
        <v>1</v>
      </c>
      <c r="G640" s="495">
        <f>1-F640</f>
        <v>0</v>
      </c>
      <c r="H640" s="496">
        <f>VLOOKUP(B640,EQUIPAMENTOS!$A:$J,10,FALSE)</f>
        <v>214.36944444444444</v>
      </c>
      <c r="I640" s="497">
        <f>H640</f>
        <v>214.36944444444444</v>
      </c>
      <c r="J640" s="498">
        <f>H640*F640*E640+I640*G640*E640</f>
        <v>214.36944444444444</v>
      </c>
      <c r="K640" s="471"/>
    </row>
    <row r="641" spans="1:16" ht="14.25" customHeight="1">
      <c r="A641" s="463"/>
      <c r="B641" s="499" t="s">
        <v>954</v>
      </c>
      <c r="C641" s="500"/>
      <c r="D641" s="501"/>
      <c r="E641" s="875">
        <v>1</v>
      </c>
      <c r="F641" s="502">
        <v>1</v>
      </c>
      <c r="G641" s="502">
        <f>1-F641</f>
        <v>0</v>
      </c>
      <c r="H641" s="503">
        <f>VLOOKUP(B641,EQUIPAMENTOS!$A:$J,10,FALSE)</f>
        <v>192.58333333333334</v>
      </c>
      <c r="I641" s="504">
        <f>H641</f>
        <v>192.58333333333334</v>
      </c>
      <c r="J641" s="505">
        <f>H641*F641*E641+I641*G641*E641</f>
        <v>192.58333333333334</v>
      </c>
      <c r="K641" s="471"/>
    </row>
    <row r="642" spans="1:16" ht="14.4" customHeight="1">
      <c r="A642" s="463"/>
      <c r="B642" s="499" t="s">
        <v>1157</v>
      </c>
      <c r="C642" s="500"/>
      <c r="D642" s="501"/>
      <c r="E642" s="502">
        <v>5</v>
      </c>
      <c r="F642" s="502">
        <v>1</v>
      </c>
      <c r="G642" s="502">
        <f>1-F642</f>
        <v>0</v>
      </c>
      <c r="H642" s="503">
        <f>VLOOKUP(B642,EQUIPAMENTOS!$A:$J,10,FALSE)</f>
        <v>125</v>
      </c>
      <c r="I642" s="504">
        <f>H642</f>
        <v>125</v>
      </c>
      <c r="J642" s="505">
        <f>H642*F642*E642+I642*G642*E642</f>
        <v>625</v>
      </c>
      <c r="K642" s="471"/>
    </row>
    <row r="643" spans="1:16">
      <c r="A643" s="463"/>
      <c r="B643" s="499"/>
      <c r="C643" s="507"/>
      <c r="D643" s="1017"/>
      <c r="E643" s="509"/>
      <c r="F643" s="509"/>
      <c r="G643" s="509"/>
      <c r="H643" s="510"/>
      <c r="I643" s="510"/>
      <c r="J643" s="505"/>
      <c r="K643" s="471"/>
    </row>
    <row r="644" spans="1:16">
      <c r="A644" s="463"/>
      <c r="B644" s="512" t="s">
        <v>946</v>
      </c>
      <c r="C644" s="482"/>
      <c r="D644" s="482"/>
      <c r="E644" s="482"/>
      <c r="F644" s="482"/>
      <c r="G644" s="482"/>
      <c r="H644" s="482"/>
      <c r="I644" s="513" t="s">
        <v>175</v>
      </c>
      <c r="J644" s="514">
        <f>SUM(J640:J643)</f>
        <v>1031.9527777777778</v>
      </c>
      <c r="K644" s="471"/>
    </row>
    <row r="645" spans="1:16" ht="20.399999999999999" customHeight="1">
      <c r="A645" s="463"/>
      <c r="B645" s="515"/>
      <c r="C645" s="515"/>
      <c r="D645" s="515"/>
      <c r="E645" s="515"/>
      <c r="F645" s="515"/>
      <c r="G645" s="515"/>
      <c r="H645" s="515"/>
      <c r="I645" s="516"/>
      <c r="J645" s="517"/>
      <c r="K645" s="471"/>
    </row>
    <row r="646" spans="1:16" ht="20.399999999999999">
      <c r="A646" s="463"/>
      <c r="B646" s="1490" t="s">
        <v>947</v>
      </c>
      <c r="C646" s="1491"/>
      <c r="D646" s="1491"/>
      <c r="E646" s="1492"/>
      <c r="F646" s="725" t="s">
        <v>688</v>
      </c>
      <c r="G646" s="853"/>
      <c r="H646" s="520" t="s">
        <v>427</v>
      </c>
      <c r="I646" s="521" t="s">
        <v>948</v>
      </c>
      <c r="J646" s="522" t="s">
        <v>949</v>
      </c>
      <c r="K646" s="471"/>
      <c r="N646" s="116"/>
      <c r="O646" s="58"/>
      <c r="P646" s="58"/>
    </row>
    <row r="647" spans="1:16">
      <c r="A647" s="463"/>
      <c r="B647" s="523" t="s">
        <v>950</v>
      </c>
      <c r="C647" s="524"/>
      <c r="D647" s="525"/>
      <c r="E647" s="526"/>
      <c r="F647" s="527"/>
      <c r="G647" s="528"/>
      <c r="H647" s="529">
        <f>E642</f>
        <v>5</v>
      </c>
      <c r="I647" s="534">
        <f>(VLOOKUP(B647,'MÃO DE OBRA'!$A:$E,5,FALSE)/220)</f>
        <v>26.714454545454547</v>
      </c>
      <c r="J647" s="505">
        <f>H647*I647</f>
        <v>133.57227272727275</v>
      </c>
      <c r="K647" s="471"/>
    </row>
    <row r="648" spans="1:16" ht="14.4" customHeight="1">
      <c r="A648" s="463"/>
      <c r="B648" s="530" t="s">
        <v>976</v>
      </c>
      <c r="C648" s="531"/>
      <c r="D648" s="472"/>
      <c r="E648" s="500"/>
      <c r="F648" s="501"/>
      <c r="G648" s="532"/>
      <c r="H648" s="533">
        <f>E640</f>
        <v>1</v>
      </c>
      <c r="I648" s="534">
        <f>(VLOOKUP(B648,'MÃO DE OBRA'!$A:$E,5,FALSE)/220)</f>
        <v>35.711036363636367</v>
      </c>
      <c r="J648" s="505">
        <f>H648*I648</f>
        <v>35.711036363636367</v>
      </c>
      <c r="K648" s="471"/>
    </row>
    <row r="649" spans="1:16">
      <c r="A649" s="463"/>
      <c r="B649" s="530" t="s">
        <v>472</v>
      </c>
      <c r="C649" s="531"/>
      <c r="D649" s="472"/>
      <c r="E649" s="500"/>
      <c r="F649" s="501"/>
      <c r="G649" s="532"/>
      <c r="H649" s="533">
        <v>3</v>
      </c>
      <c r="I649" s="534">
        <f>(VLOOKUP(B649,'MÃO DE OBRA'!$A:$E,5,FALSE)/220)</f>
        <v>18.377072727272729</v>
      </c>
      <c r="J649" s="505">
        <f>H649*I649</f>
        <v>55.131218181818184</v>
      </c>
      <c r="K649" s="471"/>
    </row>
    <row r="650" spans="1:16">
      <c r="A650" s="463"/>
      <c r="B650" s="530" t="s">
        <v>951</v>
      </c>
      <c r="C650" s="531"/>
      <c r="D650" s="472"/>
      <c r="E650" s="500"/>
      <c r="F650" s="501"/>
      <c r="G650" s="532"/>
      <c r="H650" s="533">
        <f>E641</f>
        <v>1</v>
      </c>
      <c r="I650" s="534">
        <f>(VLOOKUP(B650,'MÃO DE OBRA'!$A:$E,5,FALSE)/220)</f>
        <v>26.270618181818183</v>
      </c>
      <c r="J650" s="505">
        <f>H650*I650</f>
        <v>26.270618181818183</v>
      </c>
      <c r="K650" s="471"/>
    </row>
    <row r="651" spans="1:16">
      <c r="A651" s="463"/>
      <c r="B651" s="512" t="s">
        <v>946</v>
      </c>
      <c r="C651" s="515"/>
      <c r="D651" s="515"/>
      <c r="E651" s="515"/>
      <c r="F651" s="515"/>
      <c r="G651" s="515"/>
      <c r="H651" s="515"/>
      <c r="I651" s="535" t="s">
        <v>175</v>
      </c>
      <c r="J651" s="514">
        <f>SUM(J647:J650)</f>
        <v>250.68514545454548</v>
      </c>
      <c r="K651" s="471"/>
    </row>
    <row r="652" spans="1:16">
      <c r="A652" s="463"/>
      <c r="B652" s="536"/>
      <c r="C652" s="536"/>
      <c r="D652" s="536"/>
      <c r="E652" s="536"/>
      <c r="F652" s="536"/>
      <c r="G652" s="536"/>
      <c r="H652" s="536"/>
      <c r="I652" s="537"/>
      <c r="J652" s="536"/>
      <c r="K652" s="471"/>
    </row>
    <row r="653" spans="1:16">
      <c r="A653" s="463"/>
      <c r="B653" s="538" t="s">
        <v>952</v>
      </c>
      <c r="C653" s="539"/>
      <c r="D653" s="536"/>
      <c r="E653" s="540">
        <v>87.687403456487004</v>
      </c>
      <c r="F653" s="541" t="s">
        <v>931</v>
      </c>
      <c r="G653" s="519"/>
      <c r="H653" s="519"/>
      <c r="I653" s="542" t="s">
        <v>953</v>
      </c>
      <c r="J653" s="514">
        <f>J644+J651</f>
        <v>1282.6379232323234</v>
      </c>
      <c r="K653" s="471"/>
    </row>
    <row r="654" spans="1:16">
      <c r="A654" s="463"/>
      <c r="B654" s="543"/>
      <c r="C654" s="536"/>
      <c r="D654" s="536"/>
      <c r="E654" s="544"/>
      <c r="F654" s="545"/>
      <c r="G654" s="545"/>
      <c r="H654" s="545"/>
      <c r="I654" s="537"/>
      <c r="J654" s="536"/>
      <c r="K654" s="471"/>
    </row>
    <row r="655" spans="1:16" ht="20.399999999999999">
      <c r="A655" s="463"/>
      <c r="B655" s="1493" t="s">
        <v>362</v>
      </c>
      <c r="C655" s="1494"/>
      <c r="D655" s="1494"/>
      <c r="E655" s="1495"/>
      <c r="F655" s="546" t="s">
        <v>688</v>
      </c>
      <c r="G655" s="547" t="s">
        <v>371</v>
      </c>
      <c r="H655" s="520" t="s">
        <v>942</v>
      </c>
      <c r="I655" s="548" t="s">
        <v>361</v>
      </c>
      <c r="J655" s="549" t="s">
        <v>363</v>
      </c>
      <c r="K655" s="471"/>
    </row>
    <row r="656" spans="1:16" ht="14.4" hidden="1" customHeight="1">
      <c r="A656" s="463"/>
      <c r="B656" s="550" t="str">
        <f>B640</f>
        <v>Trator de esteiras 20T</v>
      </c>
      <c r="C656" s="551"/>
      <c r="D656" s="551"/>
      <c r="E656" s="552"/>
      <c r="F656" s="553" t="str">
        <f>VLOOKUP(B656,EQUIPAMENTOS!$A:$N,12,FALSE)</f>
        <v>Diesel S10</v>
      </c>
      <c r="G656" s="554" t="s">
        <v>415</v>
      </c>
      <c r="H656" s="560">
        <f>VLOOKUP(B656,EQUIPAMENTOS!$A:$N,13,FALSE)</f>
        <v>0</v>
      </c>
      <c r="I656" s="556">
        <f>VLOOKUP(B656,EQUIPAMENTOS!$A:$N,14,FALSE)</f>
        <v>26</v>
      </c>
      <c r="J656" s="498">
        <f>H656*I656*E640*F640</f>
        <v>0</v>
      </c>
      <c r="K656" s="471"/>
    </row>
    <row r="657" spans="1:14">
      <c r="A657" s="463"/>
      <c r="B657" s="557" t="str">
        <f>B640</f>
        <v>Trator de esteiras 20T</v>
      </c>
      <c r="C657" s="531"/>
      <c r="D657" s="531"/>
      <c r="E657" s="500"/>
      <c r="F657" s="553" t="str">
        <f>VLOOKUP(B657,EQUIPAMENTOS!$A:$N,12,FALSE)</f>
        <v>Diesel S10</v>
      </c>
      <c r="G657" s="554" t="s">
        <v>415</v>
      </c>
      <c r="H657" s="560">
        <f>VLOOKUP(B657,EQUIPAMENTOS!$A:$N,13,FALSE)</f>
        <v>0</v>
      </c>
      <c r="I657" s="556">
        <f>VLOOKUP(B657,EQUIPAMENTOS!$A:$N,14,FALSE)</f>
        <v>26</v>
      </c>
      <c r="J657" s="505">
        <f>H657*I657*E640*F640</f>
        <v>0</v>
      </c>
      <c r="K657" s="471"/>
      <c r="L657" s="6"/>
    </row>
    <row r="658" spans="1:14">
      <c r="A658" s="463"/>
      <c r="B658" s="557" t="str">
        <f t="shared" ref="B658:B659" si="1">B641</f>
        <v>Pá Carregadeira</v>
      </c>
      <c r="C658" s="531"/>
      <c r="D658" s="531"/>
      <c r="E658" s="500"/>
      <c r="F658" s="553" t="str">
        <f>VLOOKUP(B658,EQUIPAMENTOS!$A:$N,12,FALSE)</f>
        <v>Diesel S10</v>
      </c>
      <c r="G658" s="554" t="s">
        <v>415</v>
      </c>
      <c r="H658" s="560">
        <f>VLOOKUP(B658,EQUIPAMENTOS!$A:$N,13,FALSE)</f>
        <v>0</v>
      </c>
      <c r="I658" s="556">
        <f>VLOOKUP(B658,EQUIPAMENTOS!$A:$N,14,FALSE)</f>
        <v>16</v>
      </c>
      <c r="J658" s="505">
        <f>H658*I658*E641*F641</f>
        <v>0</v>
      </c>
      <c r="K658" s="471"/>
      <c r="L658" s="6"/>
    </row>
    <row r="659" spans="1:14">
      <c r="A659" s="463"/>
      <c r="B659" s="557" t="str">
        <f t="shared" si="1"/>
        <v>Caminhão basculante 14 m³</v>
      </c>
      <c r="C659" s="539"/>
      <c r="D659" s="539"/>
      <c r="E659" s="507"/>
      <c r="F659" s="553" t="str">
        <f>VLOOKUP(B659,EQUIPAMENTOS!$A:$N,12,FALSE)</f>
        <v>Diesel S10</v>
      </c>
      <c r="G659" s="736" t="s">
        <v>415</v>
      </c>
      <c r="H659" s="560">
        <f>VLOOKUP(B659,EQUIPAMENTOS!$A:$N,13,FALSE)</f>
        <v>0</v>
      </c>
      <c r="I659" s="556">
        <f>VLOOKUP(B659,EQUIPAMENTOS!$A:$N,14,FALSE)</f>
        <v>2.5</v>
      </c>
      <c r="J659" s="505">
        <f>H659*I659*E642*F642</f>
        <v>0</v>
      </c>
      <c r="K659" s="471"/>
    </row>
    <row r="660" spans="1:14">
      <c r="A660" s="463"/>
      <c r="B660" s="563" t="s">
        <v>946</v>
      </c>
      <c r="C660" s="539"/>
      <c r="D660" s="539"/>
      <c r="E660" s="539"/>
      <c r="F660" s="536"/>
      <c r="G660" s="539"/>
      <c r="H660" s="564"/>
      <c r="I660" s="565" t="s">
        <v>175</v>
      </c>
      <c r="J660" s="514">
        <f>SUM(J656:J659)</f>
        <v>0</v>
      </c>
      <c r="K660" s="471"/>
    </row>
    <row r="661" spans="1:14">
      <c r="A661" s="463"/>
      <c r="B661" s="566"/>
      <c r="C661" s="539"/>
      <c r="D661" s="539"/>
      <c r="E661" s="567"/>
      <c r="F661" s="568"/>
      <c r="G661" s="519"/>
      <c r="H661" s="519"/>
      <c r="I661" s="542"/>
      <c r="J661" s="567"/>
      <c r="K661" s="471"/>
    </row>
    <row r="662" spans="1:14" ht="20.399999999999999">
      <c r="A662" s="463"/>
      <c r="B662" s="1493" t="s">
        <v>955</v>
      </c>
      <c r="C662" s="1494"/>
      <c r="D662" s="1494"/>
      <c r="E662" s="1494"/>
      <c r="F662" s="1495"/>
      <c r="G662" s="569" t="s">
        <v>372</v>
      </c>
      <c r="H662" s="519" t="s">
        <v>956</v>
      </c>
      <c r="I662" s="570" t="s">
        <v>942</v>
      </c>
      <c r="J662" s="522" t="s">
        <v>363</v>
      </c>
      <c r="K662" s="471"/>
    </row>
    <row r="663" spans="1:14">
      <c r="A663" s="463"/>
      <c r="B663" s="571"/>
      <c r="C663" s="572"/>
      <c r="D663" s="573"/>
      <c r="E663" s="573"/>
      <c r="F663" s="574"/>
      <c r="G663" s="502"/>
      <c r="H663" s="502"/>
      <c r="I663" s="575"/>
      <c r="J663" s="505"/>
      <c r="K663" s="471"/>
    </row>
    <row r="664" spans="1:14">
      <c r="A664" s="463"/>
      <c r="B664" s="576"/>
      <c r="C664" s="577"/>
      <c r="D664" s="578"/>
      <c r="E664" s="578"/>
      <c r="F664" s="579"/>
      <c r="G664" s="502"/>
      <c r="H664" s="502"/>
      <c r="I664" s="575"/>
      <c r="J664" s="505"/>
      <c r="K664" s="471"/>
    </row>
    <row r="665" spans="1:14">
      <c r="A665" s="463"/>
      <c r="B665" s="1496" t="s">
        <v>175</v>
      </c>
      <c r="C665" s="1496"/>
      <c r="D665" s="1496"/>
      <c r="E665" s="1496"/>
      <c r="F665" s="1496"/>
      <c r="G665" s="1496"/>
      <c r="H665" s="1496"/>
      <c r="I665" s="1496"/>
      <c r="J665" s="514">
        <f>SUM(J663:J664)</f>
        <v>0</v>
      </c>
      <c r="K665" s="471"/>
    </row>
    <row r="666" spans="1:14">
      <c r="A666" s="463"/>
      <c r="B666" s="580"/>
      <c r="C666" s="524"/>
      <c r="D666" s="524"/>
      <c r="E666" s="581"/>
      <c r="F666" s="582"/>
      <c r="G666" s="583"/>
      <c r="H666" s="583"/>
      <c r="I666" s="584"/>
      <c r="J666" s="585"/>
      <c r="K666" s="471"/>
    </row>
    <row r="667" spans="1:14">
      <c r="A667" s="463"/>
      <c r="B667" s="586" t="s">
        <v>957</v>
      </c>
      <c r="C667" s="586"/>
      <c r="D667" s="563"/>
      <c r="E667" s="536"/>
      <c r="F667" s="536"/>
      <c r="G667" s="536"/>
      <c r="H667" s="587"/>
      <c r="I667" s="588"/>
      <c r="J667" s="514">
        <f>(J653+J660+J665)/E653</f>
        <v>14.627390852881224</v>
      </c>
      <c r="K667" s="471"/>
      <c r="L667">
        <v>14.627390041213431</v>
      </c>
    </row>
    <row r="668" spans="1:14">
      <c r="A668" s="463"/>
      <c r="B668" s="566"/>
      <c r="C668" s="539"/>
      <c r="D668" s="539"/>
      <c r="E668" s="567"/>
      <c r="F668" s="568"/>
      <c r="G668" s="519"/>
      <c r="H668" s="519"/>
      <c r="I668" s="542"/>
      <c r="J668" s="589"/>
      <c r="K668" s="471"/>
      <c r="N668" s="6"/>
    </row>
    <row r="669" spans="1:14" ht="20.399999999999999">
      <c r="A669" s="463"/>
      <c r="B669" s="1493" t="s">
        <v>958</v>
      </c>
      <c r="C669" s="1494"/>
      <c r="D669" s="1494"/>
      <c r="E669" s="1494"/>
      <c r="F669" s="1495"/>
      <c r="G669" s="569" t="s">
        <v>372</v>
      </c>
      <c r="H669" s="519" t="s">
        <v>956</v>
      </c>
      <c r="I669" s="570" t="s">
        <v>942</v>
      </c>
      <c r="J669" s="522" t="s">
        <v>363</v>
      </c>
      <c r="K669" s="471"/>
      <c r="N669" s="6"/>
    </row>
    <row r="670" spans="1:14">
      <c r="A670" s="463"/>
      <c r="B670" s="571"/>
      <c r="C670" s="572"/>
      <c r="D670" s="573"/>
      <c r="E670" s="573"/>
      <c r="F670" s="574"/>
      <c r="G670" s="502"/>
      <c r="H670" s="502"/>
      <c r="I670" s="575"/>
      <c r="J670" s="505">
        <f>G670*I670</f>
        <v>0</v>
      </c>
      <c r="K670" s="471"/>
    </row>
    <row r="671" spans="1:14">
      <c r="A671" s="463"/>
      <c r="B671" s="576"/>
      <c r="C671" s="577"/>
      <c r="D671" s="578"/>
      <c r="E671" s="578"/>
      <c r="F671" s="579"/>
      <c r="G671" s="502"/>
      <c r="H671" s="502"/>
      <c r="I671" s="575"/>
      <c r="J671" s="505">
        <f>G671*I671</f>
        <v>0</v>
      </c>
      <c r="K671" s="471"/>
    </row>
    <row r="672" spans="1:14">
      <c r="A672" s="463"/>
      <c r="B672" s="576"/>
      <c r="C672" s="577"/>
      <c r="D672" s="578"/>
      <c r="E672" s="578"/>
      <c r="F672" s="579"/>
      <c r="G672" s="502"/>
      <c r="H672" s="502"/>
      <c r="I672" s="575"/>
      <c r="J672" s="505">
        <f>G672*I672</f>
        <v>0</v>
      </c>
      <c r="K672" s="471"/>
    </row>
    <row r="673" spans="1:11">
      <c r="A673" s="463"/>
      <c r="B673" s="590"/>
      <c r="C673" s="591"/>
      <c r="D673" s="592"/>
      <c r="E673" s="592"/>
      <c r="F673" s="593"/>
      <c r="G673" s="502"/>
      <c r="H673" s="502"/>
      <c r="I673" s="575"/>
      <c r="J673" s="505">
        <f>G673*I673</f>
        <v>0</v>
      </c>
      <c r="K673" s="471"/>
    </row>
    <row r="674" spans="1:11">
      <c r="A674" s="463"/>
      <c r="B674" s="594"/>
      <c r="C674" s="536"/>
      <c r="D674" s="536"/>
      <c r="E674" s="595"/>
      <c r="F674" s="596"/>
      <c r="G674" s="545"/>
      <c r="H674" s="545"/>
      <c r="I674" s="537" t="s">
        <v>175</v>
      </c>
      <c r="J674" s="514">
        <f>SUM(J670:J673)</f>
        <v>0</v>
      </c>
      <c r="K674" s="471"/>
    </row>
    <row r="675" spans="1:11">
      <c r="A675" s="463"/>
      <c r="B675" s="597"/>
      <c r="C675" s="536"/>
      <c r="D675" s="536"/>
      <c r="E675" s="595"/>
      <c r="F675" s="596"/>
      <c r="G675" s="545"/>
      <c r="H675" s="545"/>
      <c r="I675" s="537"/>
      <c r="J675" s="595"/>
      <c r="K675" s="471"/>
    </row>
    <row r="676" spans="1:11" ht="20.399999999999999">
      <c r="A676" s="463"/>
      <c r="B676" s="598" t="s">
        <v>959</v>
      </c>
      <c r="C676" s="598"/>
      <c r="D676" s="598"/>
      <c r="E676" s="599"/>
      <c r="F676" s="600" t="s">
        <v>372</v>
      </c>
      <c r="G676" s="569" t="s">
        <v>960</v>
      </c>
      <c r="H676" s="519" t="s">
        <v>942</v>
      </c>
      <c r="I676" s="570" t="s">
        <v>361</v>
      </c>
      <c r="J676" s="522" t="s">
        <v>363</v>
      </c>
      <c r="K676" s="471"/>
    </row>
    <row r="677" spans="1:11">
      <c r="A677" s="463"/>
      <c r="B677" s="571"/>
      <c r="C677" s="572"/>
      <c r="D677" s="573"/>
      <c r="E677" s="574"/>
      <c r="F677" s="502"/>
      <c r="G677" s="502"/>
      <c r="H677" s="624"/>
      <c r="I677" s="575"/>
      <c r="J677" s="505"/>
      <c r="K677" s="471"/>
    </row>
    <row r="678" spans="1:11">
      <c r="A678" s="463"/>
      <c r="B678" s="590" t="s">
        <v>946</v>
      </c>
      <c r="C678" s="591"/>
      <c r="D678" s="592"/>
      <c r="E678" s="593" t="s">
        <v>946</v>
      </c>
      <c r="F678" s="509">
        <v>0</v>
      </c>
      <c r="G678" s="509">
        <v>0</v>
      </c>
      <c r="H678" s="509">
        <v>0</v>
      </c>
      <c r="I678" s="601">
        <v>0</v>
      </c>
      <c r="J678" s="505">
        <f>I678*H678*G678*F678</f>
        <v>0</v>
      </c>
      <c r="K678" s="471"/>
    </row>
    <row r="679" spans="1:11">
      <c r="A679" s="463"/>
      <c r="B679" s="594"/>
      <c r="C679" s="536"/>
      <c r="D679" s="536"/>
      <c r="E679" s="595"/>
      <c r="F679" s="596"/>
      <c r="G679" s="545"/>
      <c r="H679" s="545"/>
      <c r="I679" s="537" t="s">
        <v>175</v>
      </c>
      <c r="J679" s="514">
        <f>SUM(J677:J678)</f>
        <v>0</v>
      </c>
      <c r="K679" s="471"/>
    </row>
    <row r="680" spans="1:11">
      <c r="A680" s="463"/>
      <c r="B680" s="536"/>
      <c r="C680" s="536"/>
      <c r="D680" s="536"/>
      <c r="E680" s="536"/>
      <c r="F680" s="536"/>
      <c r="G680" s="536"/>
      <c r="H680" s="536"/>
      <c r="I680" s="537"/>
      <c r="J680" s="536"/>
      <c r="K680" s="471"/>
    </row>
    <row r="681" spans="1:11">
      <c r="A681" s="463"/>
      <c r="B681" s="1481" t="s">
        <v>963</v>
      </c>
      <c r="C681" s="1482"/>
      <c r="D681" s="1482"/>
      <c r="E681" s="1482"/>
      <c r="F681" s="1482"/>
      <c r="G681" s="1482"/>
      <c r="H681" s="1482"/>
      <c r="I681" s="1483"/>
      <c r="J681" s="586">
        <v>14.627390852881224</v>
      </c>
      <c r="K681" s="471"/>
    </row>
    <row r="682" spans="1:11">
      <c r="A682" s="463"/>
      <c r="B682" s="524"/>
      <c r="C682" s="524"/>
      <c r="D682" s="524"/>
      <c r="E682" s="524"/>
      <c r="F682" s="524"/>
      <c r="G682" s="524"/>
      <c r="H682" s="524"/>
      <c r="I682" s="584"/>
      <c r="J682" s="524"/>
      <c r="K682" s="471"/>
    </row>
    <row r="683" spans="1:11">
      <c r="A683" s="463"/>
      <c r="B683" s="602"/>
      <c r="C683" s="572"/>
      <c r="D683" s="572"/>
      <c r="E683" s="572"/>
      <c r="F683" s="572"/>
      <c r="G683" s="572"/>
      <c r="H683" s="572"/>
      <c r="I683" s="572"/>
      <c r="J683" s="603"/>
      <c r="K683" s="471"/>
    </row>
    <row r="684" spans="1:11">
      <c r="A684" s="463"/>
      <c r="B684" s="604"/>
      <c r="C684" s="605"/>
      <c r="D684" s="606"/>
      <c r="E684" s="606"/>
      <c r="F684" s="607" t="s">
        <v>946</v>
      </c>
      <c r="G684" s="608" t="s">
        <v>946</v>
      </c>
      <c r="H684" s="605"/>
      <c r="I684" s="605"/>
      <c r="J684" s="609"/>
      <c r="K684" s="471"/>
    </row>
    <row r="685" spans="1:11">
      <c r="A685" s="463"/>
      <c r="B685" s="472"/>
      <c r="C685" s="472"/>
      <c r="D685" s="472"/>
      <c r="E685" s="472"/>
      <c r="F685" s="472"/>
      <c r="G685" s="472"/>
      <c r="H685" s="472"/>
      <c r="I685" s="472"/>
      <c r="J685" s="472"/>
      <c r="K685" s="471"/>
    </row>
    <row r="686" spans="1:11">
      <c r="A686" s="463"/>
      <c r="B686" s="610" t="str">
        <f>PLANEJAMENTO!F2</f>
        <v>OPERAÇÃO DE SUPRESSÃO E SUMP</v>
      </c>
      <c r="C686" s="611"/>
      <c r="D686" s="611"/>
      <c r="E686" s="611"/>
      <c r="F686" s="612"/>
      <c r="G686" s="613" t="s">
        <v>363</v>
      </c>
      <c r="H686" s="515"/>
      <c r="I686" s="515"/>
      <c r="J686" s="518"/>
      <c r="K686" s="471"/>
    </row>
    <row r="687" spans="1:11">
      <c r="A687" s="463"/>
      <c r="B687" s="956" t="str">
        <f>PLANEJAMENTO!F3</f>
        <v>MARA ROSA</v>
      </c>
      <c r="C687" s="957"/>
      <c r="D687" s="957"/>
      <c r="E687" s="957"/>
      <c r="F687" s="958"/>
      <c r="G687" s="1484" t="s">
        <v>964</v>
      </c>
      <c r="H687" s="1485"/>
      <c r="I687" s="1485"/>
      <c r="J687" s="1486"/>
      <c r="K687" s="471"/>
    </row>
    <row r="688" spans="1:11">
      <c r="A688" s="463"/>
      <c r="B688" s="1015"/>
      <c r="C688" s="587"/>
      <c r="D688" s="587"/>
      <c r="E688" s="587"/>
      <c r="F688" s="587"/>
      <c r="G688" s="1014"/>
      <c r="H688" s="1014"/>
      <c r="I688" s="1014"/>
      <c r="J688" s="1016"/>
      <c r="K688" s="471"/>
    </row>
    <row r="689" spans="1:11">
      <c r="A689" s="463"/>
      <c r="B689" s="524"/>
      <c r="C689" s="524"/>
      <c r="D689" s="524"/>
      <c r="E689" s="524"/>
      <c r="F689" s="524"/>
      <c r="G689" s="524"/>
      <c r="H689" s="524"/>
      <c r="I689" s="584"/>
      <c r="J689" s="524"/>
      <c r="K689" s="471"/>
    </row>
    <row r="690" spans="1:11">
      <c r="A690" s="463"/>
      <c r="B690" s="472"/>
      <c r="C690" s="472"/>
      <c r="D690" s="472"/>
      <c r="E690" s="472"/>
      <c r="F690" s="472"/>
      <c r="G690" s="472"/>
      <c r="H690" s="472"/>
      <c r="I690" s="472"/>
      <c r="J690" s="472"/>
      <c r="K690" s="471"/>
    </row>
    <row r="691" spans="1:11">
      <c r="A691" s="463"/>
      <c r="B691" s="464" t="s">
        <v>178</v>
      </c>
      <c r="C691" s="465"/>
      <c r="D691" s="466" t="s">
        <v>936</v>
      </c>
      <c r="E691" s="467"/>
      <c r="F691" s="468"/>
      <c r="G691" s="468"/>
      <c r="H691" s="469"/>
      <c r="I691" s="469"/>
      <c r="J691" s="470"/>
      <c r="K691" s="471"/>
    </row>
    <row r="692" spans="1:11">
      <c r="A692" s="463"/>
      <c r="B692" s="472"/>
      <c r="C692" s="472"/>
      <c r="D692" s="472"/>
      <c r="E692" s="472"/>
      <c r="F692" s="472"/>
      <c r="G692" s="472"/>
      <c r="H692" s="472"/>
      <c r="I692" s="472"/>
      <c r="J692" s="472"/>
      <c r="K692" s="471"/>
    </row>
    <row r="693" spans="1:11">
      <c r="A693" s="463"/>
      <c r="B693" s="473" t="s">
        <v>688</v>
      </c>
      <c r="C693" s="474" t="s">
        <v>937</v>
      </c>
      <c r="D693" s="1497" t="s">
        <v>250</v>
      </c>
      <c r="E693" s="1498"/>
      <c r="F693" s="1498"/>
      <c r="G693" s="1498"/>
      <c r="H693" s="1498"/>
      <c r="I693" s="1499"/>
      <c r="J693" s="475" t="s">
        <v>267</v>
      </c>
      <c r="K693" s="471"/>
    </row>
    <row r="694" spans="1:11" ht="22.2" customHeight="1">
      <c r="A694" s="463"/>
      <c r="B694" s="476" t="s">
        <v>3</v>
      </c>
      <c r="C694" s="477">
        <f ca="1">PLANEJAMENTO!F4</f>
        <v>46140</v>
      </c>
      <c r="D694" s="681" t="s">
        <v>1493</v>
      </c>
      <c r="E694" s="479"/>
      <c r="F694" s="479"/>
      <c r="G694" s="479"/>
      <c r="H694" s="479"/>
      <c r="I694" s="480"/>
      <c r="J694" s="481" t="str">
        <f>F712</f>
        <v>m3</v>
      </c>
      <c r="K694" s="471"/>
    </row>
    <row r="695" spans="1:11">
      <c r="A695" s="463"/>
      <c r="B695" s="482"/>
      <c r="C695" s="482"/>
      <c r="D695" s="482"/>
      <c r="E695" s="482"/>
      <c r="F695" s="482"/>
      <c r="G695" s="482"/>
      <c r="H695" s="482"/>
      <c r="I695" s="483"/>
      <c r="J695" s="484"/>
      <c r="K695" s="471"/>
    </row>
    <row r="696" spans="1:11">
      <c r="A696" s="463"/>
      <c r="B696" s="1484" t="s">
        <v>938</v>
      </c>
      <c r="C696" s="1486"/>
      <c r="D696" s="1502" t="s">
        <v>688</v>
      </c>
      <c r="E696" s="1504" t="s">
        <v>939</v>
      </c>
      <c r="F696" s="485" t="s">
        <v>940</v>
      </c>
      <c r="G696" s="486"/>
      <c r="H696" s="485" t="s">
        <v>941</v>
      </c>
      <c r="I696" s="486"/>
      <c r="J696" s="487" t="s">
        <v>942</v>
      </c>
      <c r="K696" s="471"/>
    </row>
    <row r="697" spans="1:11">
      <c r="A697" s="463"/>
      <c r="B697" s="1500"/>
      <c r="C697" s="1501"/>
      <c r="D697" s="1503"/>
      <c r="E697" s="1505"/>
      <c r="F697" s="488" t="s">
        <v>943</v>
      </c>
      <c r="G697" s="488" t="s">
        <v>944</v>
      </c>
      <c r="H697" s="488" t="s">
        <v>943</v>
      </c>
      <c r="I697" s="489" t="s">
        <v>944</v>
      </c>
      <c r="J697" s="490" t="s">
        <v>945</v>
      </c>
      <c r="K697" s="471"/>
    </row>
    <row r="698" spans="1:11">
      <c r="A698" s="463"/>
      <c r="B698" s="491" t="s">
        <v>669</v>
      </c>
      <c r="C698" s="492"/>
      <c r="D698" s="493"/>
      <c r="E698" s="494">
        <v>1</v>
      </c>
      <c r="F698" s="494">
        <v>1</v>
      </c>
      <c r="G698" s="495">
        <f>1-F698</f>
        <v>0</v>
      </c>
      <c r="H698" s="496">
        <f>VLOOKUP(B698,EQUIPAMENTOS!$A:$J,10,FALSE)</f>
        <v>214.36944444444444</v>
      </c>
      <c r="I698" s="497">
        <f>H698</f>
        <v>214.36944444444444</v>
      </c>
      <c r="J698" s="498">
        <f>H698*F698*E698+I698*G698*E698</f>
        <v>214.36944444444444</v>
      </c>
      <c r="K698" s="471"/>
    </row>
    <row r="699" spans="1:11">
      <c r="A699" s="463"/>
      <c r="B699" s="499" t="s">
        <v>954</v>
      </c>
      <c r="C699" s="500"/>
      <c r="D699" s="501"/>
      <c r="E699" s="875">
        <v>1</v>
      </c>
      <c r="F699" s="502">
        <v>1</v>
      </c>
      <c r="G699" s="502">
        <f>1-F699</f>
        <v>0</v>
      </c>
      <c r="H699" s="503">
        <f>VLOOKUP(B699,EQUIPAMENTOS!$A:$J,10,FALSE)</f>
        <v>192.58333333333334</v>
      </c>
      <c r="I699" s="504">
        <f>H699</f>
        <v>192.58333333333334</v>
      </c>
      <c r="J699" s="505">
        <f>H699*F699*E699+I699*G699*E699</f>
        <v>192.58333333333334</v>
      </c>
      <c r="K699" s="471"/>
    </row>
    <row r="700" spans="1:11">
      <c r="A700" s="463"/>
      <c r="B700" s="499" t="s">
        <v>1157</v>
      </c>
      <c r="C700" s="500"/>
      <c r="D700" s="501"/>
      <c r="E700" s="502">
        <v>5</v>
      </c>
      <c r="F700" s="502">
        <v>1</v>
      </c>
      <c r="G700" s="502">
        <f>1-F700</f>
        <v>0</v>
      </c>
      <c r="H700" s="503">
        <f>VLOOKUP(B700,EQUIPAMENTOS!$A:$J,10,FALSE)</f>
        <v>125</v>
      </c>
      <c r="I700" s="504">
        <f>H700</f>
        <v>125</v>
      </c>
      <c r="J700" s="505">
        <f>H700*F700*E700+I700*G700*E700</f>
        <v>625</v>
      </c>
      <c r="K700" s="471"/>
    </row>
    <row r="701" spans="1:11">
      <c r="A701" s="463"/>
      <c r="B701" s="499"/>
      <c r="C701" s="500"/>
      <c r="D701" s="501"/>
      <c r="E701" s="502"/>
      <c r="F701" s="502"/>
      <c r="G701" s="502"/>
      <c r="H701" s="503"/>
      <c r="I701" s="504"/>
      <c r="J701" s="505"/>
      <c r="K701" s="471"/>
    </row>
    <row r="702" spans="1:11">
      <c r="A702" s="463"/>
      <c r="B702" s="506"/>
      <c r="C702" s="507"/>
      <c r="D702" s="508"/>
      <c r="E702" s="509"/>
      <c r="F702" s="509"/>
      <c r="G702" s="509"/>
      <c r="H702" s="510"/>
      <c r="I702" s="511"/>
      <c r="J702" s="505">
        <f>H702*F702*E702+I702*G702*E702</f>
        <v>0</v>
      </c>
      <c r="K702" s="471"/>
    </row>
    <row r="703" spans="1:11">
      <c r="A703" s="463"/>
      <c r="B703" s="512" t="s">
        <v>946</v>
      </c>
      <c r="C703" s="482"/>
      <c r="D703" s="482"/>
      <c r="E703" s="482"/>
      <c r="F703" s="482"/>
      <c r="G703" s="482"/>
      <c r="H703" s="482"/>
      <c r="I703" s="513" t="s">
        <v>175</v>
      </c>
      <c r="J703" s="514">
        <f>SUM(J698:J702)</f>
        <v>1031.9527777777778</v>
      </c>
      <c r="K703" s="471"/>
    </row>
    <row r="704" spans="1:11">
      <c r="A704" s="463"/>
      <c r="B704" s="515"/>
      <c r="C704" s="515"/>
      <c r="D704" s="515"/>
      <c r="E704" s="515"/>
      <c r="F704" s="515"/>
      <c r="G704" s="515"/>
      <c r="H704" s="515"/>
      <c r="I704" s="516"/>
      <c r="J704" s="517"/>
      <c r="K704" s="471"/>
    </row>
    <row r="705" spans="1:11" ht="25.2" customHeight="1">
      <c r="A705" s="463"/>
      <c r="B705" s="1490" t="s">
        <v>947</v>
      </c>
      <c r="C705" s="1491"/>
      <c r="D705" s="1491"/>
      <c r="E705" s="1492"/>
      <c r="F705" s="725" t="s">
        <v>688</v>
      </c>
      <c r="G705" s="853"/>
      <c r="H705" s="520" t="s">
        <v>427</v>
      </c>
      <c r="I705" s="521" t="s">
        <v>948</v>
      </c>
      <c r="J705" s="522" t="s">
        <v>949</v>
      </c>
      <c r="K705" s="471"/>
    </row>
    <row r="706" spans="1:11" ht="14.4" customHeight="1">
      <c r="A706" s="463"/>
      <c r="B706" s="523" t="s">
        <v>950</v>
      </c>
      <c r="C706" s="524"/>
      <c r="D706" s="525"/>
      <c r="E706" s="526"/>
      <c r="F706" s="527"/>
      <c r="G706" s="528"/>
      <c r="H706" s="529">
        <f>E700</f>
        <v>5</v>
      </c>
      <c r="I706" s="534">
        <f>(VLOOKUP(B706,'MÃO DE OBRA'!$A:$E,5,FALSE)/220)</f>
        <v>26.714454545454547</v>
      </c>
      <c r="J706" s="505">
        <f>H706*I706</f>
        <v>133.57227272727275</v>
      </c>
      <c r="K706" s="471"/>
    </row>
    <row r="707" spans="1:11">
      <c r="A707" s="463"/>
      <c r="B707" s="530" t="s">
        <v>976</v>
      </c>
      <c r="C707" s="531"/>
      <c r="D707" s="472"/>
      <c r="E707" s="500"/>
      <c r="F707" s="501"/>
      <c r="G707" s="532"/>
      <c r="H707" s="533">
        <f>E698</f>
        <v>1</v>
      </c>
      <c r="I707" s="534">
        <f>(VLOOKUP(B707,'MÃO DE OBRA'!$A:$E,5,FALSE)/220)</f>
        <v>35.711036363636367</v>
      </c>
      <c r="J707" s="505">
        <f>H707*I707</f>
        <v>35.711036363636367</v>
      </c>
      <c r="K707" s="471"/>
    </row>
    <row r="708" spans="1:11">
      <c r="A708" s="463"/>
      <c r="B708" s="530" t="s">
        <v>472</v>
      </c>
      <c r="C708" s="531"/>
      <c r="D708" s="472"/>
      <c r="E708" s="500"/>
      <c r="F708" s="501"/>
      <c r="G708" s="532"/>
      <c r="H708" s="533">
        <v>3</v>
      </c>
      <c r="I708" s="534">
        <f>(VLOOKUP(B708,'MÃO DE OBRA'!$A:$E,5,FALSE)/220)</f>
        <v>18.377072727272729</v>
      </c>
      <c r="J708" s="505">
        <f>H708*I708</f>
        <v>55.131218181818184</v>
      </c>
      <c r="K708" s="471"/>
    </row>
    <row r="709" spans="1:11">
      <c r="A709" s="463"/>
      <c r="B709" s="530" t="s">
        <v>951</v>
      </c>
      <c r="C709" s="531"/>
      <c r="D709" s="472"/>
      <c r="E709" s="500"/>
      <c r="F709" s="501"/>
      <c r="G709" s="532"/>
      <c r="H709" s="533">
        <f>E699</f>
        <v>1</v>
      </c>
      <c r="I709" s="534">
        <f>(VLOOKUP(B709,'MÃO DE OBRA'!$A:$E,5,FALSE)/220)</f>
        <v>26.270618181818183</v>
      </c>
      <c r="J709" s="505">
        <f>H709*I709</f>
        <v>26.270618181818183</v>
      </c>
      <c r="K709" s="471"/>
    </row>
    <row r="710" spans="1:11">
      <c r="A710" s="463"/>
      <c r="B710" s="512" t="s">
        <v>946</v>
      </c>
      <c r="C710" s="515"/>
      <c r="D710" s="515"/>
      <c r="E710" s="515"/>
      <c r="F710" s="515"/>
      <c r="G710" s="515"/>
      <c r="H710" s="515"/>
      <c r="I710" s="535" t="s">
        <v>175</v>
      </c>
      <c r="J710" s="514">
        <f>SUM(J706:J709)</f>
        <v>250.68514545454548</v>
      </c>
      <c r="K710" s="471"/>
    </row>
    <row r="711" spans="1:11">
      <c r="A711" s="463"/>
      <c r="B711" s="536"/>
      <c r="C711" s="536"/>
      <c r="D711" s="536"/>
      <c r="E711" s="536"/>
      <c r="F711" s="536"/>
      <c r="G711" s="536"/>
      <c r="H711" s="536"/>
      <c r="I711" s="537"/>
      <c r="J711" s="536"/>
      <c r="K711" s="471"/>
    </row>
    <row r="712" spans="1:11">
      <c r="A712" s="463"/>
      <c r="B712" s="538" t="s">
        <v>952</v>
      </c>
      <c r="C712" s="539"/>
      <c r="D712" s="536"/>
      <c r="E712" s="540">
        <v>83.264401304106755</v>
      </c>
      <c r="F712" s="541" t="s">
        <v>931</v>
      </c>
      <c r="G712" s="519"/>
      <c r="H712" s="519"/>
      <c r="I712" s="542" t="s">
        <v>953</v>
      </c>
      <c r="J712" s="514">
        <f>J703+J710</f>
        <v>1282.6379232323234</v>
      </c>
      <c r="K712" s="471"/>
    </row>
    <row r="713" spans="1:11">
      <c r="A713" s="463"/>
      <c r="B713" s="543"/>
      <c r="C713" s="536"/>
      <c r="D713" s="536"/>
      <c r="E713" s="544"/>
      <c r="F713" s="545"/>
      <c r="G713" s="545"/>
      <c r="H713" s="545"/>
      <c r="I713" s="537"/>
      <c r="J713" s="536"/>
      <c r="K713" s="471"/>
    </row>
    <row r="714" spans="1:11" ht="20.399999999999999">
      <c r="A714" s="463"/>
      <c r="B714" s="1493" t="s">
        <v>362</v>
      </c>
      <c r="C714" s="1494"/>
      <c r="D714" s="1494"/>
      <c r="E714" s="1495"/>
      <c r="F714" s="546" t="s">
        <v>688</v>
      </c>
      <c r="G714" s="547" t="s">
        <v>371</v>
      </c>
      <c r="H714" s="520" t="s">
        <v>942</v>
      </c>
      <c r="I714" s="548" t="s">
        <v>361</v>
      </c>
      <c r="J714" s="549" t="s">
        <v>363</v>
      </c>
      <c r="K714" s="471"/>
    </row>
    <row r="715" spans="1:11">
      <c r="A715" s="463"/>
      <c r="B715" s="550" t="str">
        <f>B698</f>
        <v>Trator de esteiras 20T</v>
      </c>
      <c r="C715" s="551"/>
      <c r="D715" s="551"/>
      <c r="E715" s="552"/>
      <c r="F715" s="553" t="str">
        <f>VLOOKUP(B715,EQUIPAMENTOS!$A:$N,12,FALSE)</f>
        <v>Diesel S10</v>
      </c>
      <c r="G715" s="554" t="s">
        <v>415</v>
      </c>
      <c r="H715" s="560">
        <f>VLOOKUP(B715,EQUIPAMENTOS!$A:$N,13,FALSE)</f>
        <v>0</v>
      </c>
      <c r="I715" s="556">
        <f>VLOOKUP(B715,EQUIPAMENTOS!$A:$N,14,FALSE)</f>
        <v>26</v>
      </c>
      <c r="J715" s="498">
        <f>H715*I715*E698*F698</f>
        <v>0</v>
      </c>
      <c r="K715" s="471"/>
    </row>
    <row r="716" spans="1:11">
      <c r="A716" s="463"/>
      <c r="B716" s="557" t="str">
        <f t="shared" ref="B716:B717" si="2">B699</f>
        <v>Pá Carregadeira</v>
      </c>
      <c r="C716" s="531"/>
      <c r="D716" s="531"/>
      <c r="E716" s="500"/>
      <c r="F716" s="553" t="str">
        <f>VLOOKUP(B716,EQUIPAMENTOS!$A:$N,12,FALSE)</f>
        <v>Diesel S10</v>
      </c>
      <c r="G716" s="554" t="s">
        <v>415</v>
      </c>
      <c r="H716" s="560">
        <f>VLOOKUP(B716,EQUIPAMENTOS!$A:$N,13,FALSE)</f>
        <v>0</v>
      </c>
      <c r="I716" s="556">
        <f>VLOOKUP(B716,EQUIPAMENTOS!$A:$N,14,FALSE)</f>
        <v>16</v>
      </c>
      <c r="J716" s="505">
        <f>H716*I716*E699*F699</f>
        <v>0</v>
      </c>
      <c r="K716" s="471"/>
    </row>
    <row r="717" spans="1:11">
      <c r="A717" s="463"/>
      <c r="B717" s="557" t="str">
        <f t="shared" si="2"/>
        <v>Caminhão basculante 14 m³</v>
      </c>
      <c r="C717" s="539"/>
      <c r="D717" s="539"/>
      <c r="E717" s="507"/>
      <c r="F717" s="553" t="str">
        <f>VLOOKUP(B717,EQUIPAMENTOS!$A:$N,12,FALSE)</f>
        <v>Diesel S10</v>
      </c>
      <c r="G717" s="736" t="s">
        <v>415</v>
      </c>
      <c r="H717" s="560">
        <f>VLOOKUP(B717,EQUIPAMENTOS!$A:$N,13,FALSE)</f>
        <v>0</v>
      </c>
      <c r="I717" s="556">
        <f>VLOOKUP(B717,EQUIPAMENTOS!$A:$N,14,FALSE)</f>
        <v>2.5</v>
      </c>
      <c r="J717" s="505">
        <f>H717*I717*E700*F700</f>
        <v>0</v>
      </c>
      <c r="K717" s="471"/>
    </row>
    <row r="718" spans="1:11" ht="14.25" customHeight="1">
      <c r="A718" s="463"/>
      <c r="B718" s="563" t="s">
        <v>946</v>
      </c>
      <c r="C718" s="539"/>
      <c r="D718" s="539"/>
      <c r="E718" s="539"/>
      <c r="F718" s="536"/>
      <c r="G718" s="539"/>
      <c r="H718" s="564"/>
      <c r="I718" s="565" t="s">
        <v>175</v>
      </c>
      <c r="J718" s="514">
        <f>SUM(J715:J717)</f>
        <v>0</v>
      </c>
      <c r="K718" s="471"/>
    </row>
    <row r="719" spans="1:11" ht="14.25" customHeight="1">
      <c r="A719" s="463"/>
      <c r="B719" s="566"/>
      <c r="C719" s="539"/>
      <c r="D719" s="539"/>
      <c r="E719" s="567"/>
      <c r="F719" s="568"/>
      <c r="G719" s="519"/>
      <c r="H719" s="519"/>
      <c r="I719" s="542"/>
      <c r="J719" s="567"/>
      <c r="K719" s="471"/>
    </row>
    <row r="720" spans="1:11" ht="25.95" customHeight="1">
      <c r="A720" s="463"/>
      <c r="B720" s="1493" t="s">
        <v>955</v>
      </c>
      <c r="C720" s="1494"/>
      <c r="D720" s="1494"/>
      <c r="E720" s="1494"/>
      <c r="F720" s="1495"/>
      <c r="G720" s="569" t="s">
        <v>372</v>
      </c>
      <c r="H720" s="519" t="s">
        <v>956</v>
      </c>
      <c r="I720" s="570" t="s">
        <v>942</v>
      </c>
      <c r="J720" s="522" t="s">
        <v>363</v>
      </c>
      <c r="K720" s="471"/>
    </row>
    <row r="721" spans="1:14" ht="14.25" customHeight="1">
      <c r="A721" s="463"/>
      <c r="B721" s="571"/>
      <c r="C721" s="572"/>
      <c r="D721" s="573"/>
      <c r="E721" s="573"/>
      <c r="F721" s="574"/>
      <c r="G721" s="502"/>
      <c r="H721" s="502"/>
      <c r="I721" s="575"/>
      <c r="J721" s="505"/>
      <c r="K721" s="471"/>
    </row>
    <row r="722" spans="1:14" ht="14.25" customHeight="1">
      <c r="A722" s="463"/>
      <c r="B722" s="576"/>
      <c r="C722" s="577"/>
      <c r="D722" s="578"/>
      <c r="E722" s="578"/>
      <c r="F722" s="579"/>
      <c r="G722" s="502"/>
      <c r="H722" s="502"/>
      <c r="I722" s="575"/>
      <c r="J722" s="505"/>
      <c r="K722" s="471"/>
    </row>
    <row r="723" spans="1:14">
      <c r="A723" s="463"/>
      <c r="B723" s="1496" t="s">
        <v>175</v>
      </c>
      <c r="C723" s="1496"/>
      <c r="D723" s="1496"/>
      <c r="E723" s="1496"/>
      <c r="F723" s="1496"/>
      <c r="G723" s="1496"/>
      <c r="H723" s="1496"/>
      <c r="I723" s="1496"/>
      <c r="J723" s="514">
        <f>SUM(J721:J722)</f>
        <v>0</v>
      </c>
      <c r="K723" s="471"/>
      <c r="L723" s="6"/>
    </row>
    <row r="724" spans="1:14">
      <c r="A724" s="463"/>
      <c r="B724" s="580"/>
      <c r="C724" s="524"/>
      <c r="D724" s="524"/>
      <c r="E724" s="581"/>
      <c r="F724" s="582"/>
      <c r="G724" s="583"/>
      <c r="H724" s="583"/>
      <c r="I724" s="584"/>
      <c r="J724" s="585"/>
      <c r="K724" s="471"/>
    </row>
    <row r="725" spans="1:14">
      <c r="A725" s="463"/>
      <c r="B725" s="586" t="s">
        <v>957</v>
      </c>
      <c r="C725" s="586"/>
      <c r="D725" s="563"/>
      <c r="E725" s="536"/>
      <c r="F725" s="536"/>
      <c r="G725" s="536"/>
      <c r="H725" s="587"/>
      <c r="I725" s="588"/>
      <c r="J725" s="514">
        <f>(J712+J718+J723)/E712</f>
        <v>15.404397355212369</v>
      </c>
      <c r="K725" s="471"/>
      <c r="L725">
        <v>15.404364569961487</v>
      </c>
    </row>
    <row r="726" spans="1:14">
      <c r="A726" s="463"/>
      <c r="B726" s="566"/>
      <c r="C726" s="539"/>
      <c r="D726" s="539"/>
      <c r="E726" s="567"/>
      <c r="F726" s="568"/>
      <c r="G726" s="519"/>
      <c r="H726" s="519"/>
      <c r="I726" s="542"/>
      <c r="J726" s="589"/>
      <c r="K726" s="471"/>
    </row>
    <row r="727" spans="1:14" ht="23.4" customHeight="1">
      <c r="A727" s="463"/>
      <c r="B727" s="1493" t="s">
        <v>958</v>
      </c>
      <c r="C727" s="1494"/>
      <c r="D727" s="1494"/>
      <c r="E727" s="1494"/>
      <c r="F727" s="1495"/>
      <c r="G727" s="569" t="s">
        <v>372</v>
      </c>
      <c r="H727" s="519" t="s">
        <v>956</v>
      </c>
      <c r="I727" s="570" t="s">
        <v>942</v>
      </c>
      <c r="J727" s="522" t="s">
        <v>363</v>
      </c>
      <c r="K727" s="471"/>
    </row>
    <row r="728" spans="1:14">
      <c r="A728" s="463"/>
      <c r="B728" s="571"/>
      <c r="C728" s="572"/>
      <c r="D728" s="573"/>
      <c r="E728" s="573"/>
      <c r="F728" s="574"/>
      <c r="G728" s="502"/>
      <c r="H728" s="502"/>
      <c r="I728" s="575"/>
      <c r="J728" s="505">
        <f>G728*I728</f>
        <v>0</v>
      </c>
      <c r="K728" s="471"/>
    </row>
    <row r="729" spans="1:14">
      <c r="A729" s="463"/>
      <c r="B729" s="576"/>
      <c r="C729" s="577"/>
      <c r="D729" s="578"/>
      <c r="E729" s="578"/>
      <c r="F729" s="579"/>
      <c r="G729" s="502"/>
      <c r="H729" s="502"/>
      <c r="I729" s="575"/>
      <c r="J729" s="505">
        <f>G729*I729</f>
        <v>0</v>
      </c>
      <c r="K729" s="471"/>
    </row>
    <row r="730" spans="1:14">
      <c r="A730" s="463"/>
      <c r="B730" s="576"/>
      <c r="C730" s="577"/>
      <c r="D730" s="578"/>
      <c r="E730" s="578"/>
      <c r="F730" s="579"/>
      <c r="G730" s="502"/>
      <c r="H730" s="502"/>
      <c r="I730" s="575"/>
      <c r="J730" s="505">
        <f>G730*I730</f>
        <v>0</v>
      </c>
      <c r="K730" s="471"/>
    </row>
    <row r="731" spans="1:14">
      <c r="A731" s="463"/>
      <c r="B731" s="590"/>
      <c r="C731" s="591"/>
      <c r="D731" s="592"/>
      <c r="E731" s="592"/>
      <c r="F731" s="593"/>
      <c r="G731" s="502"/>
      <c r="H731" s="502"/>
      <c r="I731" s="575"/>
      <c r="J731" s="505">
        <f>G731*I731</f>
        <v>0</v>
      </c>
      <c r="K731" s="471"/>
    </row>
    <row r="732" spans="1:14">
      <c r="A732" s="463"/>
      <c r="B732" s="594"/>
      <c r="C732" s="536"/>
      <c r="D732" s="536"/>
      <c r="E732" s="595"/>
      <c r="F732" s="596"/>
      <c r="G732" s="545"/>
      <c r="H732" s="545"/>
      <c r="I732" s="537" t="s">
        <v>175</v>
      </c>
      <c r="J732" s="514">
        <f>SUM(J728:J731)</f>
        <v>0</v>
      </c>
      <c r="K732" s="471"/>
    </row>
    <row r="733" spans="1:14">
      <c r="A733" s="463"/>
      <c r="B733" s="597"/>
      <c r="C733" s="536"/>
      <c r="D733" s="536"/>
      <c r="E733" s="595"/>
      <c r="F733" s="596"/>
      <c r="G733" s="545"/>
      <c r="H733" s="545"/>
      <c r="I733" s="537"/>
      <c r="J733" s="595"/>
      <c r="K733" s="471"/>
      <c r="L733" s="6"/>
      <c r="N733" s="6"/>
    </row>
    <row r="734" spans="1:14" ht="20.399999999999999">
      <c r="A734" s="463"/>
      <c r="B734" s="598" t="s">
        <v>959</v>
      </c>
      <c r="C734" s="598"/>
      <c r="D734" s="598"/>
      <c r="E734" s="599"/>
      <c r="F734" s="600" t="s">
        <v>372</v>
      </c>
      <c r="G734" s="569" t="s">
        <v>960</v>
      </c>
      <c r="H734" s="519" t="s">
        <v>942</v>
      </c>
      <c r="I734" s="570" t="s">
        <v>361</v>
      </c>
      <c r="J734" s="522" t="s">
        <v>363</v>
      </c>
      <c r="K734" s="471"/>
      <c r="N734" s="6"/>
    </row>
    <row r="735" spans="1:14">
      <c r="A735" s="463"/>
      <c r="B735" s="571"/>
      <c r="C735" s="572"/>
      <c r="D735" s="573"/>
      <c r="E735" s="574"/>
      <c r="F735" s="502"/>
      <c r="G735" s="502"/>
      <c r="H735" s="624"/>
      <c r="I735" s="575"/>
      <c r="J735" s="505"/>
      <c r="K735" s="471"/>
      <c r="N735" s="6"/>
    </row>
    <row r="736" spans="1:14">
      <c r="A736" s="463"/>
      <c r="B736" s="590" t="s">
        <v>946</v>
      </c>
      <c r="C736" s="591"/>
      <c r="D736" s="592"/>
      <c r="E736" s="593" t="s">
        <v>946</v>
      </c>
      <c r="F736" s="509">
        <v>0</v>
      </c>
      <c r="G736" s="509">
        <v>0</v>
      </c>
      <c r="H736" s="509">
        <v>0</v>
      </c>
      <c r="I736" s="601">
        <v>0</v>
      </c>
      <c r="J736" s="505">
        <f>I736*H736*G736*F736</f>
        <v>0</v>
      </c>
      <c r="K736" s="471"/>
      <c r="N736" s="6"/>
    </row>
    <row r="737" spans="1:14">
      <c r="A737" s="463"/>
      <c r="B737" s="594"/>
      <c r="C737" s="536"/>
      <c r="D737" s="536"/>
      <c r="E737" s="595"/>
      <c r="F737" s="596"/>
      <c r="G737" s="545"/>
      <c r="H737" s="545"/>
      <c r="I737" s="537" t="s">
        <v>175</v>
      </c>
      <c r="J737" s="514">
        <f>SUM(J735:J736)</f>
        <v>0</v>
      </c>
      <c r="K737" s="471"/>
      <c r="N737" s="6"/>
    </row>
    <row r="738" spans="1:14">
      <c r="A738" s="463"/>
      <c r="B738" s="536"/>
      <c r="C738" s="536"/>
      <c r="D738" s="536"/>
      <c r="E738" s="536"/>
      <c r="F738" s="536"/>
      <c r="G738" s="536"/>
      <c r="H738" s="536"/>
      <c r="I738" s="537"/>
      <c r="J738" s="536"/>
      <c r="K738" s="471"/>
    </row>
    <row r="739" spans="1:14">
      <c r="A739" s="463"/>
      <c r="B739" s="1481" t="s">
        <v>963</v>
      </c>
      <c r="C739" s="1482"/>
      <c r="D739" s="1482"/>
      <c r="E739" s="1482"/>
      <c r="F739" s="1482"/>
      <c r="G739" s="1482"/>
      <c r="H739" s="1482"/>
      <c r="I739" s="1483"/>
      <c r="J739" s="586">
        <v>15.404397355212369</v>
      </c>
      <c r="K739" s="471"/>
    </row>
    <row r="740" spans="1:14">
      <c r="A740" s="463"/>
      <c r="B740" s="524"/>
      <c r="C740" s="524"/>
      <c r="D740" s="524"/>
      <c r="E740" s="524"/>
      <c r="F740" s="524"/>
      <c r="G740" s="524"/>
      <c r="H740" s="524"/>
      <c r="I740" s="584"/>
      <c r="J740" s="524"/>
      <c r="K740" s="471"/>
    </row>
    <row r="741" spans="1:14">
      <c r="A741" s="463"/>
      <c r="B741" s="602"/>
      <c r="C741" s="572"/>
      <c r="D741" s="572"/>
      <c r="E741" s="572"/>
      <c r="F741" s="572"/>
      <c r="G741" s="572"/>
      <c r="H741" s="572"/>
      <c r="I741" s="572"/>
      <c r="J741" s="603"/>
      <c r="K741" s="471"/>
    </row>
    <row r="742" spans="1:14">
      <c r="A742" s="463"/>
      <c r="B742" s="604"/>
      <c r="C742" s="605"/>
      <c r="D742" s="606"/>
      <c r="E742" s="606"/>
      <c r="F742" s="607" t="s">
        <v>946</v>
      </c>
      <c r="G742" s="608" t="s">
        <v>946</v>
      </c>
      <c r="H742" s="605"/>
      <c r="I742" s="605"/>
      <c r="J742" s="609"/>
      <c r="K742" s="471"/>
    </row>
    <row r="743" spans="1:14">
      <c r="A743" s="463"/>
      <c r="B743" s="472"/>
      <c r="C743" s="472"/>
      <c r="D743" s="472"/>
      <c r="E743" s="472"/>
      <c r="F743" s="472"/>
      <c r="G743" s="472"/>
      <c r="H743" s="472"/>
      <c r="I743" s="472"/>
      <c r="J743" s="472"/>
      <c r="K743" s="471"/>
    </row>
    <row r="744" spans="1:14">
      <c r="A744" s="463"/>
      <c r="B744" s="610" t="str">
        <f>PLANEJAMENTO!F2</f>
        <v>OPERAÇÃO DE SUPRESSÃO E SUMP</v>
      </c>
      <c r="C744" s="611"/>
      <c r="D744" s="611"/>
      <c r="E744" s="611"/>
      <c r="F744" s="612"/>
      <c r="G744" s="613" t="s">
        <v>363</v>
      </c>
      <c r="H744" s="515"/>
      <c r="I744" s="515"/>
      <c r="J744" s="518"/>
      <c r="K744" s="471"/>
    </row>
    <row r="745" spans="1:14">
      <c r="A745" s="463"/>
      <c r="B745" s="956" t="str">
        <f>PLANEJAMENTO!F3</f>
        <v>MARA ROSA</v>
      </c>
      <c r="C745" s="957"/>
      <c r="D745" s="957"/>
      <c r="E745" s="957"/>
      <c r="F745" s="958"/>
      <c r="G745" s="1484" t="s">
        <v>964</v>
      </c>
      <c r="H745" s="1485"/>
      <c r="I745" s="1485"/>
      <c r="J745" s="1486"/>
      <c r="K745" s="471"/>
    </row>
    <row r="746" spans="1:14">
      <c r="A746" s="463"/>
      <c r="B746" s="1015"/>
      <c r="C746" s="587"/>
      <c r="D746" s="587"/>
      <c r="E746" s="587"/>
      <c r="F746" s="587"/>
      <c r="G746" s="1014"/>
      <c r="H746" s="1014"/>
      <c r="I746" s="1014"/>
      <c r="J746" s="1016"/>
      <c r="K746" s="471"/>
    </row>
    <row r="747" spans="1:14" ht="15" thickBot="1">
      <c r="A747" s="463"/>
      <c r="B747" s="524"/>
      <c r="C747" s="524"/>
      <c r="D747" s="524"/>
      <c r="E747" s="524"/>
      <c r="F747" s="524"/>
      <c r="G747" s="524"/>
      <c r="H747" s="524"/>
      <c r="I747" s="584"/>
      <c r="J747" s="524"/>
      <c r="K747" s="471"/>
    </row>
    <row r="748" spans="1:14">
      <c r="A748" s="460"/>
      <c r="B748" s="461"/>
      <c r="C748" s="461"/>
      <c r="D748" s="461"/>
      <c r="E748" s="461"/>
      <c r="F748" s="461"/>
      <c r="G748" s="461"/>
      <c r="H748" s="461"/>
      <c r="I748" s="461"/>
      <c r="J748" s="461"/>
      <c r="K748" s="462"/>
    </row>
    <row r="749" spans="1:14">
      <c r="A749" s="463"/>
      <c r="B749" s="464" t="s">
        <v>178</v>
      </c>
      <c r="C749" s="465"/>
      <c r="D749" s="466" t="s">
        <v>936</v>
      </c>
      <c r="E749" s="467"/>
      <c r="F749" s="468"/>
      <c r="G749" s="468"/>
      <c r="H749" s="469"/>
      <c r="I749" s="469"/>
      <c r="J749" s="470"/>
      <c r="K749" s="471"/>
    </row>
    <row r="750" spans="1:14">
      <c r="A750" s="463"/>
      <c r="B750" s="472"/>
      <c r="C750" s="472"/>
      <c r="D750" s="472"/>
      <c r="E750" s="472"/>
      <c r="F750" s="472"/>
      <c r="G750" s="472"/>
      <c r="H750" s="472"/>
      <c r="I750" s="472"/>
      <c r="J750" s="472"/>
      <c r="K750" s="471"/>
    </row>
    <row r="751" spans="1:14">
      <c r="A751" s="463"/>
      <c r="B751" s="473" t="s">
        <v>688</v>
      </c>
      <c r="C751" s="474" t="s">
        <v>937</v>
      </c>
      <c r="D751" s="1497" t="s">
        <v>250</v>
      </c>
      <c r="E751" s="1498"/>
      <c r="F751" s="1498"/>
      <c r="G751" s="1498"/>
      <c r="H751" s="1498"/>
      <c r="I751" s="1499"/>
      <c r="J751" s="475" t="s">
        <v>267</v>
      </c>
      <c r="K751" s="471"/>
    </row>
    <row r="752" spans="1:14" ht="24.6" customHeight="1">
      <c r="A752" s="463"/>
      <c r="B752" s="476" t="s">
        <v>3</v>
      </c>
      <c r="C752" s="477">
        <f ca="1">PLANEJAMENTO!F4</f>
        <v>46140</v>
      </c>
      <c r="D752" s="681" t="s">
        <v>1494</v>
      </c>
      <c r="E752" s="479"/>
      <c r="F752" s="479"/>
      <c r="G752" s="479"/>
      <c r="H752" s="479"/>
      <c r="I752" s="480"/>
      <c r="J752" s="481" t="str">
        <f>F769</f>
        <v>m3</v>
      </c>
      <c r="K752" s="471"/>
    </row>
    <row r="753" spans="1:16">
      <c r="A753" s="463"/>
      <c r="B753" s="482"/>
      <c r="C753" s="482"/>
      <c r="D753" s="482"/>
      <c r="E753" s="482"/>
      <c r="F753" s="482"/>
      <c r="G753" s="482"/>
      <c r="H753" s="482"/>
      <c r="I753" s="483"/>
      <c r="J753" s="484"/>
      <c r="K753" s="471"/>
    </row>
    <row r="754" spans="1:16">
      <c r="A754" s="463"/>
      <c r="B754" s="1484" t="s">
        <v>938</v>
      </c>
      <c r="C754" s="1486"/>
      <c r="D754" s="1502" t="s">
        <v>688</v>
      </c>
      <c r="E754" s="1504" t="s">
        <v>939</v>
      </c>
      <c r="F754" s="485" t="s">
        <v>940</v>
      </c>
      <c r="G754" s="486"/>
      <c r="H754" s="485" t="s">
        <v>941</v>
      </c>
      <c r="I754" s="486"/>
      <c r="J754" s="487" t="s">
        <v>942</v>
      </c>
      <c r="K754" s="471"/>
    </row>
    <row r="755" spans="1:16">
      <c r="A755" s="463"/>
      <c r="B755" s="1500"/>
      <c r="C755" s="1501"/>
      <c r="D755" s="1503"/>
      <c r="E755" s="1505"/>
      <c r="F755" s="488" t="s">
        <v>943</v>
      </c>
      <c r="G755" s="488" t="s">
        <v>944</v>
      </c>
      <c r="H755" s="488" t="s">
        <v>943</v>
      </c>
      <c r="I755" s="489" t="s">
        <v>944</v>
      </c>
      <c r="J755" s="490" t="s">
        <v>945</v>
      </c>
      <c r="K755" s="471"/>
    </row>
    <row r="756" spans="1:16">
      <c r="A756" s="463"/>
      <c r="B756" s="491" t="s">
        <v>669</v>
      </c>
      <c r="C756" s="492"/>
      <c r="D756" s="493"/>
      <c r="E756" s="494">
        <v>1</v>
      </c>
      <c r="F756" s="494">
        <v>1</v>
      </c>
      <c r="G756" s="495">
        <f>1-F756</f>
        <v>0</v>
      </c>
      <c r="H756" s="496">
        <f>VLOOKUP(B756,EQUIPAMENTOS!$A:$J,10,FALSE)</f>
        <v>214.36944444444444</v>
      </c>
      <c r="I756" s="497">
        <f>H756</f>
        <v>214.36944444444444</v>
      </c>
      <c r="J756" s="498">
        <f>H756*F756*E756+I756*G756*E756</f>
        <v>214.36944444444444</v>
      </c>
      <c r="K756" s="471"/>
    </row>
    <row r="757" spans="1:16" ht="14.25" customHeight="1">
      <c r="A757" s="463"/>
      <c r="B757" s="499" t="s">
        <v>954</v>
      </c>
      <c r="C757" s="500"/>
      <c r="D757" s="501"/>
      <c r="E757" s="875">
        <v>1</v>
      </c>
      <c r="F757" s="502">
        <v>1</v>
      </c>
      <c r="G757" s="502">
        <f>1-F757</f>
        <v>0</v>
      </c>
      <c r="H757" s="503">
        <f>VLOOKUP(B757,EQUIPAMENTOS!$A:$J,10,FALSE)</f>
        <v>192.58333333333334</v>
      </c>
      <c r="I757" s="504">
        <f>H757</f>
        <v>192.58333333333334</v>
      </c>
      <c r="J757" s="505">
        <f>H757*F757*E757+I757*G757*E757</f>
        <v>192.58333333333334</v>
      </c>
      <c r="K757" s="471"/>
    </row>
    <row r="758" spans="1:16" ht="14.4" customHeight="1">
      <c r="A758" s="463"/>
      <c r="B758" s="499" t="s">
        <v>1157</v>
      </c>
      <c r="C758" s="500"/>
      <c r="D758" s="501"/>
      <c r="E758" s="502">
        <v>5</v>
      </c>
      <c r="F758" s="502">
        <v>1</v>
      </c>
      <c r="G758" s="502">
        <f>1-F758</f>
        <v>0</v>
      </c>
      <c r="H758" s="503">
        <f>VLOOKUP(B758,EQUIPAMENTOS!$A:$J,10,FALSE)</f>
        <v>125</v>
      </c>
      <c r="I758" s="504">
        <f>H758</f>
        <v>125</v>
      </c>
      <c r="J758" s="505">
        <f>H758*F758*E758+I758*G758*E758</f>
        <v>625</v>
      </c>
      <c r="K758" s="471"/>
    </row>
    <row r="759" spans="1:16">
      <c r="A759" s="463"/>
      <c r="B759" s="499"/>
      <c r="C759" s="507"/>
      <c r="D759" s="1017"/>
      <c r="E759" s="509"/>
      <c r="F759" s="509"/>
      <c r="G759" s="509"/>
      <c r="H759" s="510"/>
      <c r="I759" s="510"/>
      <c r="J759" s="505"/>
      <c r="K759" s="471"/>
    </row>
    <row r="760" spans="1:16">
      <c r="A760" s="463"/>
      <c r="B760" s="512" t="s">
        <v>946</v>
      </c>
      <c r="C760" s="482"/>
      <c r="D760" s="482"/>
      <c r="E760" s="482"/>
      <c r="F760" s="482"/>
      <c r="G760" s="482"/>
      <c r="H760" s="482"/>
      <c r="I760" s="513" t="s">
        <v>175</v>
      </c>
      <c r="J760" s="514">
        <f>SUM(J756:J759)</f>
        <v>1031.9527777777778</v>
      </c>
      <c r="K760" s="471"/>
    </row>
    <row r="761" spans="1:16" ht="20.399999999999999" customHeight="1">
      <c r="A761" s="463"/>
      <c r="B761" s="515"/>
      <c r="C761" s="515"/>
      <c r="D761" s="515"/>
      <c r="E761" s="515"/>
      <c r="F761" s="515"/>
      <c r="G761" s="515"/>
      <c r="H761" s="515"/>
      <c r="I761" s="516"/>
      <c r="J761" s="517"/>
      <c r="K761" s="471"/>
    </row>
    <row r="762" spans="1:16" ht="20.399999999999999">
      <c r="A762" s="463"/>
      <c r="B762" s="1490" t="s">
        <v>947</v>
      </c>
      <c r="C762" s="1491"/>
      <c r="D762" s="1491"/>
      <c r="E762" s="1492"/>
      <c r="F762" s="725" t="s">
        <v>688</v>
      </c>
      <c r="G762" s="853"/>
      <c r="H762" s="520" t="s">
        <v>427</v>
      </c>
      <c r="I762" s="521" t="s">
        <v>948</v>
      </c>
      <c r="J762" s="522" t="s">
        <v>949</v>
      </c>
      <c r="K762" s="471"/>
      <c r="N762" s="116"/>
      <c r="O762" s="58"/>
      <c r="P762" s="58"/>
    </row>
    <row r="763" spans="1:16">
      <c r="A763" s="463"/>
      <c r="B763" s="523" t="s">
        <v>950</v>
      </c>
      <c r="C763" s="524"/>
      <c r="D763" s="525"/>
      <c r="E763" s="526"/>
      <c r="F763" s="527"/>
      <c r="G763" s="528"/>
      <c r="H763" s="529">
        <f>E758</f>
        <v>5</v>
      </c>
      <c r="I763" s="534">
        <f>(VLOOKUP(B763,'MÃO DE OBRA'!$A:$E,5,FALSE)/220)</f>
        <v>26.714454545454547</v>
      </c>
      <c r="J763" s="505">
        <f>H763*I763</f>
        <v>133.57227272727275</v>
      </c>
      <c r="K763" s="471"/>
    </row>
    <row r="764" spans="1:16" ht="14.4" customHeight="1">
      <c r="A764" s="463"/>
      <c r="B764" s="530" t="s">
        <v>976</v>
      </c>
      <c r="C764" s="531"/>
      <c r="D764" s="472"/>
      <c r="E764" s="500"/>
      <c r="F764" s="501"/>
      <c r="G764" s="532"/>
      <c r="H764" s="533">
        <f>E756</f>
        <v>1</v>
      </c>
      <c r="I764" s="534">
        <f>(VLOOKUP(B764,'MÃO DE OBRA'!$A:$E,5,FALSE)/220)</f>
        <v>35.711036363636367</v>
      </c>
      <c r="J764" s="505">
        <f>H764*I764</f>
        <v>35.711036363636367</v>
      </c>
      <c r="K764" s="471"/>
    </row>
    <row r="765" spans="1:16">
      <c r="A765" s="463"/>
      <c r="B765" s="530" t="s">
        <v>472</v>
      </c>
      <c r="C765" s="531"/>
      <c r="D765" s="472"/>
      <c r="E765" s="500"/>
      <c r="F765" s="501"/>
      <c r="G765" s="532"/>
      <c r="H765" s="533">
        <v>3</v>
      </c>
      <c r="I765" s="534">
        <f>(VLOOKUP(B765,'MÃO DE OBRA'!$A:$E,5,FALSE)/220)</f>
        <v>18.377072727272729</v>
      </c>
      <c r="J765" s="505">
        <f>H765*I765</f>
        <v>55.131218181818184</v>
      </c>
      <c r="K765" s="471"/>
    </row>
    <row r="766" spans="1:16">
      <c r="A766" s="463"/>
      <c r="B766" s="530" t="s">
        <v>951</v>
      </c>
      <c r="C766" s="531"/>
      <c r="D766" s="472"/>
      <c r="E766" s="500"/>
      <c r="F766" s="501"/>
      <c r="G766" s="532"/>
      <c r="H766" s="533">
        <f>E757</f>
        <v>1</v>
      </c>
      <c r="I766" s="534">
        <f>(VLOOKUP(B766,'MÃO DE OBRA'!$A:$E,5,FALSE)/220)</f>
        <v>26.270618181818183</v>
      </c>
      <c r="J766" s="505">
        <f>H766*I766</f>
        <v>26.270618181818183</v>
      </c>
      <c r="K766" s="471"/>
    </row>
    <row r="767" spans="1:16">
      <c r="A767" s="463"/>
      <c r="B767" s="512" t="s">
        <v>946</v>
      </c>
      <c r="C767" s="515"/>
      <c r="D767" s="515"/>
      <c r="E767" s="515"/>
      <c r="F767" s="515"/>
      <c r="G767" s="515"/>
      <c r="H767" s="515"/>
      <c r="I767" s="535" t="s">
        <v>175</v>
      </c>
      <c r="J767" s="514">
        <f>SUM(J763:J766)</f>
        <v>250.68514545454548</v>
      </c>
      <c r="K767" s="471"/>
    </row>
    <row r="768" spans="1:16">
      <c r="A768" s="463"/>
      <c r="B768" s="536"/>
      <c r="C768" s="536"/>
      <c r="D768" s="536"/>
      <c r="E768" s="536"/>
      <c r="F768" s="536"/>
      <c r="G768" s="536"/>
      <c r="H768" s="536"/>
      <c r="I768" s="537"/>
      <c r="J768" s="536"/>
      <c r="K768" s="471"/>
    </row>
    <row r="769" spans="1:14">
      <c r="A769" s="463"/>
      <c r="B769" s="538" t="s">
        <v>952</v>
      </c>
      <c r="C769" s="539"/>
      <c r="D769" s="536"/>
      <c r="E769" s="540">
        <v>78.610035999999994</v>
      </c>
      <c r="F769" s="541" t="s">
        <v>931</v>
      </c>
      <c r="G769" s="519"/>
      <c r="H769" s="519"/>
      <c r="I769" s="542" t="s">
        <v>953</v>
      </c>
      <c r="J769" s="514">
        <f>J760+J767</f>
        <v>1282.6379232323234</v>
      </c>
      <c r="K769" s="471"/>
    </row>
    <row r="770" spans="1:14">
      <c r="A770" s="463"/>
      <c r="B770" s="543"/>
      <c r="C770" s="536"/>
      <c r="D770" s="536"/>
      <c r="E770" s="544"/>
      <c r="F770" s="545"/>
      <c r="G770" s="545"/>
      <c r="H770" s="545"/>
      <c r="I770" s="537"/>
      <c r="J770" s="536"/>
      <c r="K770" s="471"/>
    </row>
    <row r="771" spans="1:14" ht="20.399999999999999">
      <c r="A771" s="463"/>
      <c r="B771" s="1493" t="s">
        <v>362</v>
      </c>
      <c r="C771" s="1494"/>
      <c r="D771" s="1494"/>
      <c r="E771" s="1495"/>
      <c r="F771" s="546" t="s">
        <v>688</v>
      </c>
      <c r="G771" s="547" t="s">
        <v>371</v>
      </c>
      <c r="H771" s="520" t="s">
        <v>942</v>
      </c>
      <c r="I771" s="548" t="s">
        <v>361</v>
      </c>
      <c r="J771" s="549" t="s">
        <v>363</v>
      </c>
      <c r="K771" s="471"/>
    </row>
    <row r="772" spans="1:14" ht="14.4" hidden="1" customHeight="1">
      <c r="A772" s="463"/>
      <c r="B772" s="550" t="str">
        <f>B756</f>
        <v>Trator de esteiras 20T</v>
      </c>
      <c r="C772" s="551"/>
      <c r="D772" s="551"/>
      <c r="E772" s="552"/>
      <c r="F772" s="553" t="str">
        <f>VLOOKUP(B772,EQUIPAMENTOS!$A:$N,12,FALSE)</f>
        <v>Diesel S10</v>
      </c>
      <c r="G772" s="554" t="s">
        <v>415</v>
      </c>
      <c r="H772" s="560">
        <f>VLOOKUP(B772,EQUIPAMENTOS!$A:$N,13,FALSE)</f>
        <v>0</v>
      </c>
      <c r="I772" s="556">
        <f>VLOOKUP(B772,EQUIPAMENTOS!$A:$N,14,FALSE)</f>
        <v>26</v>
      </c>
      <c r="J772" s="498">
        <f>H772*I772*E756*F756</f>
        <v>0</v>
      </c>
      <c r="K772" s="471"/>
    </row>
    <row r="773" spans="1:14">
      <c r="A773" s="463"/>
      <c r="B773" s="557" t="str">
        <f>B756</f>
        <v>Trator de esteiras 20T</v>
      </c>
      <c r="C773" s="531"/>
      <c r="D773" s="531"/>
      <c r="E773" s="500"/>
      <c r="F773" s="553" t="str">
        <f>VLOOKUP(B773,EQUIPAMENTOS!$A:$N,12,FALSE)</f>
        <v>Diesel S10</v>
      </c>
      <c r="G773" s="554" t="s">
        <v>415</v>
      </c>
      <c r="H773" s="560">
        <f>VLOOKUP(B773,EQUIPAMENTOS!$A:$N,13,FALSE)</f>
        <v>0</v>
      </c>
      <c r="I773" s="556">
        <f>VLOOKUP(B773,EQUIPAMENTOS!$A:$N,14,FALSE)</f>
        <v>26</v>
      </c>
      <c r="J773" s="505">
        <f>H773*I773*E756*F756</f>
        <v>0</v>
      </c>
      <c r="K773" s="471"/>
      <c r="L773" s="6"/>
    </row>
    <row r="774" spans="1:14">
      <c r="A774" s="463"/>
      <c r="B774" s="557" t="str">
        <f t="shared" ref="B774:B775" si="3">B757</f>
        <v>Pá Carregadeira</v>
      </c>
      <c r="C774" s="531"/>
      <c r="D774" s="531"/>
      <c r="E774" s="500"/>
      <c r="F774" s="553" t="str">
        <f>VLOOKUP(B774,EQUIPAMENTOS!$A:$N,12,FALSE)</f>
        <v>Diesel S10</v>
      </c>
      <c r="G774" s="554" t="s">
        <v>415</v>
      </c>
      <c r="H774" s="560">
        <f>VLOOKUP(B774,EQUIPAMENTOS!$A:$N,13,FALSE)</f>
        <v>0</v>
      </c>
      <c r="I774" s="556">
        <f>VLOOKUP(B774,EQUIPAMENTOS!$A:$N,14,FALSE)</f>
        <v>16</v>
      </c>
      <c r="J774" s="505">
        <f>H774*I774*E757*F757</f>
        <v>0</v>
      </c>
      <c r="K774" s="471"/>
      <c r="L774" s="6"/>
    </row>
    <row r="775" spans="1:14">
      <c r="A775" s="463"/>
      <c r="B775" s="557" t="str">
        <f t="shared" si="3"/>
        <v>Caminhão basculante 14 m³</v>
      </c>
      <c r="C775" s="539"/>
      <c r="D775" s="539"/>
      <c r="E775" s="507"/>
      <c r="F775" s="553" t="str">
        <f>VLOOKUP(B775,EQUIPAMENTOS!$A:$N,12,FALSE)</f>
        <v>Diesel S10</v>
      </c>
      <c r="G775" s="736" t="s">
        <v>415</v>
      </c>
      <c r="H775" s="560">
        <f>VLOOKUP(B775,EQUIPAMENTOS!$A:$N,13,FALSE)</f>
        <v>0</v>
      </c>
      <c r="I775" s="556">
        <f>VLOOKUP(B775,EQUIPAMENTOS!$A:$N,14,FALSE)</f>
        <v>2.5</v>
      </c>
      <c r="J775" s="505">
        <f>H775*I775*E758*F758</f>
        <v>0</v>
      </c>
      <c r="K775" s="471"/>
    </row>
    <row r="776" spans="1:14">
      <c r="A776" s="463"/>
      <c r="B776" s="563" t="s">
        <v>946</v>
      </c>
      <c r="C776" s="539"/>
      <c r="D776" s="539"/>
      <c r="E776" s="539"/>
      <c r="F776" s="536"/>
      <c r="G776" s="539"/>
      <c r="H776" s="564"/>
      <c r="I776" s="565" t="s">
        <v>175</v>
      </c>
      <c r="J776" s="514">
        <f>SUM(J772:J775)</f>
        <v>0</v>
      </c>
      <c r="K776" s="471"/>
    </row>
    <row r="777" spans="1:14">
      <c r="A777" s="463"/>
      <c r="B777" s="566"/>
      <c r="C777" s="539"/>
      <c r="D777" s="539"/>
      <c r="E777" s="567"/>
      <c r="F777" s="568"/>
      <c r="G777" s="519"/>
      <c r="H777" s="519"/>
      <c r="I777" s="542"/>
      <c r="J777" s="567"/>
      <c r="K777" s="471"/>
    </row>
    <row r="778" spans="1:14" ht="20.399999999999999">
      <c r="A778" s="463"/>
      <c r="B778" s="1493" t="s">
        <v>955</v>
      </c>
      <c r="C778" s="1494"/>
      <c r="D778" s="1494"/>
      <c r="E778" s="1494"/>
      <c r="F778" s="1495"/>
      <c r="G778" s="569" t="s">
        <v>372</v>
      </c>
      <c r="H778" s="519" t="s">
        <v>956</v>
      </c>
      <c r="I778" s="570" t="s">
        <v>942</v>
      </c>
      <c r="J778" s="522" t="s">
        <v>363</v>
      </c>
      <c r="K778" s="471"/>
    </row>
    <row r="779" spans="1:14">
      <c r="A779" s="463"/>
      <c r="B779" s="571"/>
      <c r="C779" s="572"/>
      <c r="D779" s="573"/>
      <c r="E779" s="573"/>
      <c r="F779" s="574"/>
      <c r="G779" s="502"/>
      <c r="H779" s="502"/>
      <c r="I779" s="575"/>
      <c r="J779" s="505"/>
      <c r="K779" s="471"/>
    </row>
    <row r="780" spans="1:14">
      <c r="A780" s="463"/>
      <c r="B780" s="576"/>
      <c r="C780" s="577"/>
      <c r="D780" s="578"/>
      <c r="E780" s="578"/>
      <c r="F780" s="579"/>
      <c r="G780" s="502"/>
      <c r="H780" s="502"/>
      <c r="I780" s="575"/>
      <c r="J780" s="505"/>
      <c r="K780" s="471"/>
    </row>
    <row r="781" spans="1:14">
      <c r="A781" s="463"/>
      <c r="B781" s="1496" t="s">
        <v>175</v>
      </c>
      <c r="C781" s="1496"/>
      <c r="D781" s="1496"/>
      <c r="E781" s="1496"/>
      <c r="F781" s="1496"/>
      <c r="G781" s="1496"/>
      <c r="H781" s="1496"/>
      <c r="I781" s="1496"/>
      <c r="J781" s="514">
        <f>SUM(J779:J780)</f>
        <v>0</v>
      </c>
      <c r="K781" s="471"/>
    </row>
    <row r="782" spans="1:14">
      <c r="A782" s="463"/>
      <c r="B782" s="580"/>
      <c r="C782" s="524"/>
      <c r="D782" s="524"/>
      <c r="E782" s="581"/>
      <c r="F782" s="582"/>
      <c r="G782" s="583"/>
      <c r="H782" s="583"/>
      <c r="I782" s="584"/>
      <c r="J782" s="585"/>
      <c r="K782" s="471"/>
    </row>
    <row r="783" spans="1:14">
      <c r="A783" s="463"/>
      <c r="B783" s="586" t="s">
        <v>957</v>
      </c>
      <c r="C783" s="586"/>
      <c r="D783" s="563"/>
      <c r="E783" s="536"/>
      <c r="F783" s="536"/>
      <c r="G783" s="536"/>
      <c r="H783" s="587"/>
      <c r="I783" s="588"/>
      <c r="J783" s="514">
        <f>(J769+J776+J781)/E769</f>
        <v>16.31646528227418</v>
      </c>
      <c r="K783" s="471"/>
      <c r="L783">
        <v>16.316465103709209</v>
      </c>
    </row>
    <row r="784" spans="1:14">
      <c r="A784" s="463"/>
      <c r="B784" s="566"/>
      <c r="C784" s="539"/>
      <c r="D784" s="539"/>
      <c r="E784" s="567"/>
      <c r="F784" s="568"/>
      <c r="G784" s="519"/>
      <c r="H784" s="519"/>
      <c r="I784" s="542"/>
      <c r="J784" s="589"/>
      <c r="K784" s="471"/>
      <c r="N784" s="6"/>
    </row>
    <row r="785" spans="1:14" ht="20.399999999999999">
      <c r="A785" s="463"/>
      <c r="B785" s="1493" t="s">
        <v>958</v>
      </c>
      <c r="C785" s="1494"/>
      <c r="D785" s="1494"/>
      <c r="E785" s="1494"/>
      <c r="F785" s="1495"/>
      <c r="G785" s="569" t="s">
        <v>372</v>
      </c>
      <c r="H785" s="519" t="s">
        <v>956</v>
      </c>
      <c r="I785" s="570" t="s">
        <v>942</v>
      </c>
      <c r="J785" s="522" t="s">
        <v>363</v>
      </c>
      <c r="K785" s="471"/>
      <c r="N785" s="6"/>
    </row>
    <row r="786" spans="1:14">
      <c r="A786" s="463"/>
      <c r="B786" s="571"/>
      <c r="C786" s="572"/>
      <c r="D786" s="573"/>
      <c r="E786" s="573"/>
      <c r="F786" s="574"/>
      <c r="G786" s="502"/>
      <c r="H786" s="502"/>
      <c r="I786" s="575"/>
      <c r="J786" s="505">
        <f>G786*I786</f>
        <v>0</v>
      </c>
      <c r="K786" s="471"/>
    </row>
    <row r="787" spans="1:14">
      <c r="A787" s="463"/>
      <c r="B787" s="576"/>
      <c r="C787" s="577"/>
      <c r="D787" s="578"/>
      <c r="E787" s="578"/>
      <c r="F787" s="579"/>
      <c r="G787" s="502"/>
      <c r="H787" s="502"/>
      <c r="I787" s="575"/>
      <c r="J787" s="505">
        <f>G787*I787</f>
        <v>0</v>
      </c>
      <c r="K787" s="471"/>
    </row>
    <row r="788" spans="1:14">
      <c r="A788" s="463"/>
      <c r="B788" s="576"/>
      <c r="C788" s="577"/>
      <c r="D788" s="578"/>
      <c r="E788" s="578"/>
      <c r="F788" s="579"/>
      <c r="G788" s="502"/>
      <c r="H788" s="502"/>
      <c r="I788" s="575"/>
      <c r="J788" s="505">
        <f>G788*I788</f>
        <v>0</v>
      </c>
      <c r="K788" s="471"/>
    </row>
    <row r="789" spans="1:14">
      <c r="A789" s="463"/>
      <c r="B789" s="590"/>
      <c r="C789" s="591"/>
      <c r="D789" s="592"/>
      <c r="E789" s="592"/>
      <c r="F789" s="593"/>
      <c r="G789" s="502"/>
      <c r="H789" s="502"/>
      <c r="I789" s="575"/>
      <c r="J789" s="505">
        <f>G789*I789</f>
        <v>0</v>
      </c>
      <c r="K789" s="471"/>
    </row>
    <row r="790" spans="1:14">
      <c r="A790" s="463"/>
      <c r="B790" s="594"/>
      <c r="C790" s="536"/>
      <c r="D790" s="536"/>
      <c r="E790" s="595"/>
      <c r="F790" s="596"/>
      <c r="G790" s="545"/>
      <c r="H790" s="545"/>
      <c r="I790" s="537" t="s">
        <v>175</v>
      </c>
      <c r="J790" s="514">
        <f>SUM(J786:J789)</f>
        <v>0</v>
      </c>
      <c r="K790" s="471"/>
    </row>
    <row r="791" spans="1:14">
      <c r="A791" s="463"/>
      <c r="B791" s="597"/>
      <c r="C791" s="536"/>
      <c r="D791" s="536"/>
      <c r="E791" s="595"/>
      <c r="F791" s="596"/>
      <c r="G791" s="545"/>
      <c r="H791" s="545"/>
      <c r="I791" s="537"/>
      <c r="J791" s="595"/>
      <c r="K791" s="471"/>
    </row>
    <row r="792" spans="1:14" ht="20.399999999999999">
      <c r="A792" s="463"/>
      <c r="B792" s="598" t="s">
        <v>959</v>
      </c>
      <c r="C792" s="598"/>
      <c r="D792" s="598"/>
      <c r="E792" s="599"/>
      <c r="F792" s="600" t="s">
        <v>372</v>
      </c>
      <c r="G792" s="569" t="s">
        <v>960</v>
      </c>
      <c r="H792" s="519" t="s">
        <v>942</v>
      </c>
      <c r="I792" s="570" t="s">
        <v>361</v>
      </c>
      <c r="J792" s="522" t="s">
        <v>363</v>
      </c>
      <c r="K792" s="471"/>
    </row>
    <row r="793" spans="1:14">
      <c r="A793" s="463"/>
      <c r="B793" s="571"/>
      <c r="C793" s="572"/>
      <c r="D793" s="573"/>
      <c r="E793" s="574"/>
      <c r="F793" s="502"/>
      <c r="G793" s="502"/>
      <c r="H793" s="624"/>
      <c r="I793" s="575"/>
      <c r="J793" s="505"/>
      <c r="K793" s="471"/>
    </row>
    <row r="794" spans="1:14">
      <c r="A794" s="463"/>
      <c r="B794" s="590" t="s">
        <v>946</v>
      </c>
      <c r="C794" s="591"/>
      <c r="D794" s="592"/>
      <c r="E794" s="593" t="s">
        <v>946</v>
      </c>
      <c r="F794" s="509">
        <v>0</v>
      </c>
      <c r="G794" s="509">
        <v>0</v>
      </c>
      <c r="H794" s="509">
        <v>0</v>
      </c>
      <c r="I794" s="601">
        <v>0</v>
      </c>
      <c r="J794" s="505">
        <f>I794*H794*G794*F794</f>
        <v>0</v>
      </c>
      <c r="K794" s="471"/>
    </row>
    <row r="795" spans="1:14">
      <c r="A795" s="463"/>
      <c r="B795" s="594"/>
      <c r="C795" s="536"/>
      <c r="D795" s="536"/>
      <c r="E795" s="595"/>
      <c r="F795" s="596"/>
      <c r="G795" s="545"/>
      <c r="H795" s="545"/>
      <c r="I795" s="537" t="s">
        <v>175</v>
      </c>
      <c r="J795" s="514">
        <f>SUM(J793:J794)</f>
        <v>0</v>
      </c>
      <c r="K795" s="471"/>
    </row>
    <row r="796" spans="1:14">
      <c r="A796" s="463"/>
      <c r="B796" s="536"/>
      <c r="C796" s="536"/>
      <c r="D796" s="536"/>
      <c r="E796" s="536"/>
      <c r="F796" s="536"/>
      <c r="G796" s="536"/>
      <c r="H796" s="536"/>
      <c r="I796" s="537"/>
      <c r="J796" s="536"/>
      <c r="K796" s="471"/>
    </row>
    <row r="797" spans="1:14">
      <c r="A797" s="463"/>
      <c r="B797" s="1481" t="s">
        <v>963</v>
      </c>
      <c r="C797" s="1482"/>
      <c r="D797" s="1482"/>
      <c r="E797" s="1482"/>
      <c r="F797" s="1482"/>
      <c r="G797" s="1482"/>
      <c r="H797" s="1482"/>
      <c r="I797" s="1483"/>
      <c r="J797" s="586">
        <v>16.31646528227418</v>
      </c>
      <c r="K797" s="471"/>
    </row>
    <row r="798" spans="1:14">
      <c r="A798" s="463"/>
      <c r="B798" s="524"/>
      <c r="C798" s="524"/>
      <c r="D798" s="524"/>
      <c r="E798" s="524"/>
      <c r="F798" s="524"/>
      <c r="G798" s="524"/>
      <c r="H798" s="524"/>
      <c r="I798" s="584"/>
      <c r="J798" s="524"/>
      <c r="K798" s="471"/>
    </row>
    <row r="799" spans="1:14">
      <c r="A799" s="463"/>
      <c r="B799" s="602"/>
      <c r="C799" s="572"/>
      <c r="D799" s="572"/>
      <c r="E799" s="572"/>
      <c r="F799" s="572"/>
      <c r="G799" s="572"/>
      <c r="H799" s="572"/>
      <c r="I799" s="572"/>
      <c r="J799" s="603"/>
      <c r="K799" s="471"/>
    </row>
    <row r="800" spans="1:14">
      <c r="A800" s="463"/>
      <c r="B800" s="604"/>
      <c r="C800" s="605"/>
      <c r="D800" s="606"/>
      <c r="E800" s="606"/>
      <c r="F800" s="607" t="s">
        <v>946</v>
      </c>
      <c r="G800" s="608" t="s">
        <v>946</v>
      </c>
      <c r="H800" s="605"/>
      <c r="I800" s="605"/>
      <c r="J800" s="609"/>
      <c r="K800" s="471"/>
    </row>
    <row r="801" spans="1:11">
      <c r="A801" s="463"/>
      <c r="B801" s="472"/>
      <c r="C801" s="472"/>
      <c r="D801" s="472"/>
      <c r="E801" s="472"/>
      <c r="F801" s="472"/>
      <c r="G801" s="472"/>
      <c r="H801" s="472"/>
      <c r="I801" s="472"/>
      <c r="J801" s="472"/>
      <c r="K801" s="471"/>
    </row>
    <row r="802" spans="1:11">
      <c r="A802" s="463"/>
      <c r="B802" s="610" t="str">
        <f>PLANEJAMENTO!F2</f>
        <v>OPERAÇÃO DE SUPRESSÃO E SUMP</v>
      </c>
      <c r="C802" s="611"/>
      <c r="D802" s="611"/>
      <c r="E802" s="611"/>
      <c r="F802" s="612"/>
      <c r="G802" s="613" t="s">
        <v>363</v>
      </c>
      <c r="H802" s="515"/>
      <c r="I802" s="515"/>
      <c r="J802" s="518"/>
      <c r="K802" s="471"/>
    </row>
    <row r="803" spans="1:11">
      <c r="A803" s="463"/>
      <c r="B803" s="956" t="str">
        <f>PLANEJAMENTO!F3</f>
        <v>MARA ROSA</v>
      </c>
      <c r="C803" s="957"/>
      <c r="D803" s="957"/>
      <c r="E803" s="957"/>
      <c r="F803" s="958"/>
      <c r="G803" s="1484" t="s">
        <v>964</v>
      </c>
      <c r="H803" s="1485"/>
      <c r="I803" s="1485"/>
      <c r="J803" s="1486"/>
      <c r="K803" s="471"/>
    </row>
    <row r="804" spans="1:11">
      <c r="A804" s="463"/>
      <c r="B804" s="1015"/>
      <c r="C804" s="587"/>
      <c r="D804" s="587"/>
      <c r="E804" s="587"/>
      <c r="F804" s="587"/>
      <c r="G804" s="1014"/>
      <c r="H804" s="1014"/>
      <c r="I804" s="1014"/>
      <c r="J804" s="1016"/>
      <c r="K804" s="471"/>
    </row>
    <row r="805" spans="1:11">
      <c r="A805" s="463"/>
      <c r="B805" s="524"/>
      <c r="C805" s="524"/>
      <c r="D805" s="524"/>
      <c r="E805" s="524"/>
      <c r="F805" s="524"/>
      <c r="G805" s="524"/>
      <c r="H805" s="524"/>
      <c r="I805" s="584"/>
      <c r="J805" s="524"/>
      <c r="K805" s="471"/>
    </row>
    <row r="806" spans="1:11">
      <c r="A806" s="463"/>
      <c r="B806" s="472"/>
      <c r="C806" s="472"/>
      <c r="D806" s="472"/>
      <c r="E806" s="472"/>
      <c r="F806" s="472"/>
      <c r="G806" s="472"/>
      <c r="H806" s="472"/>
      <c r="I806" s="472"/>
      <c r="J806" s="472"/>
      <c r="K806" s="471"/>
    </row>
    <row r="807" spans="1:11">
      <c r="A807" s="463"/>
      <c r="B807" s="464" t="s">
        <v>178</v>
      </c>
      <c r="C807" s="465"/>
      <c r="D807" s="466" t="s">
        <v>936</v>
      </c>
      <c r="E807" s="467"/>
      <c r="F807" s="468"/>
      <c r="G807" s="468"/>
      <c r="H807" s="469"/>
      <c r="I807" s="469"/>
      <c r="J807" s="470"/>
      <c r="K807" s="471"/>
    </row>
    <row r="808" spans="1:11">
      <c r="A808" s="463"/>
      <c r="B808" s="472"/>
      <c r="C808" s="472"/>
      <c r="D808" s="472"/>
      <c r="E808" s="472"/>
      <c r="F808" s="472"/>
      <c r="G808" s="472"/>
      <c r="H808" s="472"/>
      <c r="I808" s="472"/>
      <c r="J808" s="472"/>
      <c r="K808" s="471"/>
    </row>
    <row r="809" spans="1:11">
      <c r="A809" s="463"/>
      <c r="B809" s="473" t="s">
        <v>688</v>
      </c>
      <c r="C809" s="474" t="s">
        <v>937</v>
      </c>
      <c r="D809" s="1497" t="s">
        <v>250</v>
      </c>
      <c r="E809" s="1498"/>
      <c r="F809" s="1498"/>
      <c r="G809" s="1498"/>
      <c r="H809" s="1498"/>
      <c r="I809" s="1499"/>
      <c r="J809" s="475" t="s">
        <v>267</v>
      </c>
      <c r="K809" s="471"/>
    </row>
    <row r="810" spans="1:11" ht="22.2" customHeight="1">
      <c r="A810" s="463"/>
      <c r="B810" s="476" t="s">
        <v>3</v>
      </c>
      <c r="C810" s="477">
        <f ca="1">PLANEJAMENTO!F4</f>
        <v>46140</v>
      </c>
      <c r="D810" s="681" t="s">
        <v>1495</v>
      </c>
      <c r="E810" s="479"/>
      <c r="F810" s="479"/>
      <c r="G810" s="479"/>
      <c r="H810" s="479"/>
      <c r="I810" s="480"/>
      <c r="J810" s="481" t="str">
        <f>F828</f>
        <v>m3</v>
      </c>
      <c r="K810" s="471"/>
    </row>
    <row r="811" spans="1:11">
      <c r="A811" s="463"/>
      <c r="B811" s="482"/>
      <c r="C811" s="482"/>
      <c r="D811" s="482"/>
      <c r="E811" s="482"/>
      <c r="F811" s="482"/>
      <c r="G811" s="482"/>
      <c r="H811" s="482"/>
      <c r="I811" s="483"/>
      <c r="J811" s="484"/>
      <c r="K811" s="471"/>
    </row>
    <row r="812" spans="1:11">
      <c r="A812" s="463"/>
      <c r="B812" s="1484" t="s">
        <v>938</v>
      </c>
      <c r="C812" s="1486"/>
      <c r="D812" s="1502" t="s">
        <v>688</v>
      </c>
      <c r="E812" s="1504" t="s">
        <v>939</v>
      </c>
      <c r="F812" s="485" t="s">
        <v>940</v>
      </c>
      <c r="G812" s="486"/>
      <c r="H812" s="485" t="s">
        <v>941</v>
      </c>
      <c r="I812" s="486"/>
      <c r="J812" s="487" t="s">
        <v>942</v>
      </c>
      <c r="K812" s="471"/>
    </row>
    <row r="813" spans="1:11">
      <c r="A813" s="463"/>
      <c r="B813" s="1500"/>
      <c r="C813" s="1501"/>
      <c r="D813" s="1503"/>
      <c r="E813" s="1505"/>
      <c r="F813" s="488" t="s">
        <v>943</v>
      </c>
      <c r="G813" s="488" t="s">
        <v>944</v>
      </c>
      <c r="H813" s="488" t="s">
        <v>943</v>
      </c>
      <c r="I813" s="489" t="s">
        <v>944</v>
      </c>
      <c r="J813" s="490" t="s">
        <v>945</v>
      </c>
      <c r="K813" s="471"/>
    </row>
    <row r="814" spans="1:11">
      <c r="A814" s="463"/>
      <c r="B814" s="491" t="s">
        <v>669</v>
      </c>
      <c r="C814" s="492"/>
      <c r="D814" s="493"/>
      <c r="E814" s="494">
        <v>1</v>
      </c>
      <c r="F814" s="494">
        <v>1</v>
      </c>
      <c r="G814" s="495">
        <f>1-F814</f>
        <v>0</v>
      </c>
      <c r="H814" s="496">
        <f>VLOOKUP(B814,EQUIPAMENTOS!$A:$J,10,FALSE)</f>
        <v>214.36944444444444</v>
      </c>
      <c r="I814" s="497">
        <f>H814</f>
        <v>214.36944444444444</v>
      </c>
      <c r="J814" s="498">
        <f>H814*F814*E814+I814*G814*E814</f>
        <v>214.36944444444444</v>
      </c>
      <c r="K814" s="471"/>
    </row>
    <row r="815" spans="1:11">
      <c r="A815" s="463"/>
      <c r="B815" s="499" t="s">
        <v>954</v>
      </c>
      <c r="C815" s="500"/>
      <c r="D815" s="501"/>
      <c r="E815" s="875">
        <v>1</v>
      </c>
      <c r="F815" s="502">
        <v>1</v>
      </c>
      <c r="G815" s="502">
        <f>1-F815</f>
        <v>0</v>
      </c>
      <c r="H815" s="503">
        <f>VLOOKUP(B815,EQUIPAMENTOS!$A:$J,10,FALSE)</f>
        <v>192.58333333333334</v>
      </c>
      <c r="I815" s="504">
        <f>H815</f>
        <v>192.58333333333334</v>
      </c>
      <c r="J815" s="505">
        <f>H815*F815*E815+I815*G815*E815</f>
        <v>192.58333333333334</v>
      </c>
      <c r="K815" s="471"/>
    </row>
    <row r="816" spans="1:11">
      <c r="A816" s="463"/>
      <c r="B816" s="499" t="s">
        <v>1157</v>
      </c>
      <c r="C816" s="500"/>
      <c r="D816" s="501"/>
      <c r="E816" s="502">
        <v>5</v>
      </c>
      <c r="F816" s="502">
        <v>1</v>
      </c>
      <c r="G816" s="502">
        <f>1-F816</f>
        <v>0</v>
      </c>
      <c r="H816" s="503">
        <f>VLOOKUP(B816,EQUIPAMENTOS!$A:$J,10,FALSE)</f>
        <v>125</v>
      </c>
      <c r="I816" s="504">
        <f>H816</f>
        <v>125</v>
      </c>
      <c r="J816" s="505">
        <f>H816*F816*E816+I816*G816*E816</f>
        <v>625</v>
      </c>
      <c r="K816" s="471"/>
    </row>
    <row r="817" spans="1:11">
      <c r="A817" s="463"/>
      <c r="B817" s="499"/>
      <c r="C817" s="500"/>
      <c r="D817" s="501"/>
      <c r="E817" s="502"/>
      <c r="F817" s="502"/>
      <c r="G817" s="502"/>
      <c r="H817" s="503"/>
      <c r="I817" s="504"/>
      <c r="J817" s="505"/>
      <c r="K817" s="471"/>
    </row>
    <row r="818" spans="1:11">
      <c r="A818" s="463"/>
      <c r="B818" s="506"/>
      <c r="C818" s="507"/>
      <c r="D818" s="508"/>
      <c r="E818" s="509"/>
      <c r="F818" s="509"/>
      <c r="G818" s="509"/>
      <c r="H818" s="510"/>
      <c r="I818" s="511"/>
      <c r="J818" s="505">
        <f>H818*F818*E818+I818*G818*E818</f>
        <v>0</v>
      </c>
      <c r="K818" s="471"/>
    </row>
    <row r="819" spans="1:11">
      <c r="A819" s="463"/>
      <c r="B819" s="512" t="s">
        <v>946</v>
      </c>
      <c r="C819" s="482"/>
      <c r="D819" s="482"/>
      <c r="E819" s="482"/>
      <c r="F819" s="482"/>
      <c r="G819" s="482"/>
      <c r="H819" s="482"/>
      <c r="I819" s="513" t="s">
        <v>175</v>
      </c>
      <c r="J819" s="514">
        <f>SUM(J814:J818)</f>
        <v>1031.9527777777778</v>
      </c>
      <c r="K819" s="471"/>
    </row>
    <row r="820" spans="1:11">
      <c r="A820" s="463"/>
      <c r="B820" s="515"/>
      <c r="C820" s="515"/>
      <c r="D820" s="515"/>
      <c r="E820" s="515"/>
      <c r="F820" s="515"/>
      <c r="G820" s="515"/>
      <c r="H820" s="515"/>
      <c r="I820" s="516"/>
      <c r="J820" s="517"/>
      <c r="K820" s="471"/>
    </row>
    <row r="821" spans="1:11" ht="25.2" customHeight="1">
      <c r="A821" s="463"/>
      <c r="B821" s="1490" t="s">
        <v>947</v>
      </c>
      <c r="C821" s="1491"/>
      <c r="D821" s="1491"/>
      <c r="E821" s="1492"/>
      <c r="F821" s="725" t="s">
        <v>688</v>
      </c>
      <c r="G821" s="853"/>
      <c r="H821" s="520" t="s">
        <v>427</v>
      </c>
      <c r="I821" s="521" t="s">
        <v>948</v>
      </c>
      <c r="J821" s="522" t="s">
        <v>949</v>
      </c>
      <c r="K821" s="471"/>
    </row>
    <row r="822" spans="1:11" ht="14.4" customHeight="1">
      <c r="A822" s="463"/>
      <c r="B822" s="523" t="s">
        <v>950</v>
      </c>
      <c r="C822" s="524"/>
      <c r="D822" s="525"/>
      <c r="E822" s="526"/>
      <c r="F822" s="527"/>
      <c r="G822" s="528"/>
      <c r="H822" s="529">
        <f>E816</f>
        <v>5</v>
      </c>
      <c r="I822" s="534">
        <f>(VLOOKUP(B822,'MÃO DE OBRA'!$A:$E,5,FALSE)/220)</f>
        <v>26.714454545454547</v>
      </c>
      <c r="J822" s="505">
        <f>H822*I822</f>
        <v>133.57227272727275</v>
      </c>
      <c r="K822" s="471"/>
    </row>
    <row r="823" spans="1:11">
      <c r="A823" s="463"/>
      <c r="B823" s="530" t="s">
        <v>976</v>
      </c>
      <c r="C823" s="531"/>
      <c r="D823" s="472"/>
      <c r="E823" s="500"/>
      <c r="F823" s="501"/>
      <c r="G823" s="532"/>
      <c r="H823" s="533">
        <f>E814</f>
        <v>1</v>
      </c>
      <c r="I823" s="534">
        <f>(VLOOKUP(B823,'MÃO DE OBRA'!$A:$E,5,FALSE)/220)</f>
        <v>35.711036363636367</v>
      </c>
      <c r="J823" s="505">
        <f>H823*I823</f>
        <v>35.711036363636367</v>
      </c>
      <c r="K823" s="471"/>
    </row>
    <row r="824" spans="1:11">
      <c r="A824" s="463"/>
      <c r="B824" s="530" t="s">
        <v>472</v>
      </c>
      <c r="C824" s="531"/>
      <c r="D824" s="472"/>
      <c r="E824" s="500"/>
      <c r="F824" s="501"/>
      <c r="G824" s="532"/>
      <c r="H824" s="533">
        <v>3</v>
      </c>
      <c r="I824" s="534">
        <f>(VLOOKUP(B824,'MÃO DE OBRA'!$A:$E,5,FALSE)/220)</f>
        <v>18.377072727272729</v>
      </c>
      <c r="J824" s="505">
        <f>H824*I824</f>
        <v>55.131218181818184</v>
      </c>
      <c r="K824" s="471"/>
    </row>
    <row r="825" spans="1:11">
      <c r="A825" s="463"/>
      <c r="B825" s="530" t="s">
        <v>951</v>
      </c>
      <c r="C825" s="531"/>
      <c r="D825" s="472"/>
      <c r="E825" s="500"/>
      <c r="F825" s="501"/>
      <c r="G825" s="532"/>
      <c r="H825" s="533">
        <f>E815</f>
        <v>1</v>
      </c>
      <c r="I825" s="534">
        <f>(VLOOKUP(B825,'MÃO DE OBRA'!$A:$E,5,FALSE)/220)</f>
        <v>26.270618181818183</v>
      </c>
      <c r="J825" s="505">
        <f>H825*I825</f>
        <v>26.270618181818183</v>
      </c>
      <c r="K825" s="471"/>
    </row>
    <row r="826" spans="1:11">
      <c r="A826" s="463"/>
      <c r="B826" s="512" t="s">
        <v>946</v>
      </c>
      <c r="C826" s="515"/>
      <c r="D826" s="515"/>
      <c r="E826" s="515"/>
      <c r="F826" s="515"/>
      <c r="G826" s="515"/>
      <c r="H826" s="515"/>
      <c r="I826" s="535" t="s">
        <v>175</v>
      </c>
      <c r="J826" s="514">
        <f>SUM(J822:J825)</f>
        <v>250.68514545454548</v>
      </c>
      <c r="K826" s="471"/>
    </row>
    <row r="827" spans="1:11">
      <c r="A827" s="463"/>
      <c r="B827" s="536"/>
      <c r="C827" s="536"/>
      <c r="D827" s="536"/>
      <c r="E827" s="536"/>
      <c r="F827" s="536"/>
      <c r="G827" s="536"/>
      <c r="H827" s="536"/>
      <c r="I827" s="537"/>
      <c r="J827" s="536"/>
      <c r="K827" s="471"/>
    </row>
    <row r="828" spans="1:11">
      <c r="A828" s="463"/>
      <c r="B828" s="538" t="s">
        <v>952</v>
      </c>
      <c r="C828" s="539"/>
      <c r="D828" s="536"/>
      <c r="E828" s="540">
        <v>71.706601583127295</v>
      </c>
      <c r="F828" s="541" t="s">
        <v>931</v>
      </c>
      <c r="G828" s="519"/>
      <c r="H828" s="519"/>
      <c r="I828" s="542" t="s">
        <v>953</v>
      </c>
      <c r="J828" s="514">
        <f>J819+J826</f>
        <v>1282.6379232323234</v>
      </c>
      <c r="K828" s="471"/>
    </row>
    <row r="829" spans="1:11">
      <c r="A829" s="463"/>
      <c r="B829" s="543"/>
      <c r="C829" s="536"/>
      <c r="D829" s="536"/>
      <c r="E829" s="544"/>
      <c r="F829" s="545"/>
      <c r="G829" s="545"/>
      <c r="H829" s="545"/>
      <c r="I829" s="537"/>
      <c r="J829" s="536"/>
      <c r="K829" s="471"/>
    </row>
    <row r="830" spans="1:11" ht="20.399999999999999">
      <c r="A830" s="463"/>
      <c r="B830" s="1493" t="s">
        <v>362</v>
      </c>
      <c r="C830" s="1494"/>
      <c r="D830" s="1494"/>
      <c r="E830" s="1495"/>
      <c r="F830" s="546" t="s">
        <v>688</v>
      </c>
      <c r="G830" s="547" t="s">
        <v>371</v>
      </c>
      <c r="H830" s="520" t="s">
        <v>942</v>
      </c>
      <c r="I830" s="548" t="s">
        <v>361</v>
      </c>
      <c r="J830" s="549" t="s">
        <v>363</v>
      </c>
      <c r="K830" s="471"/>
    </row>
    <row r="831" spans="1:11">
      <c r="A831" s="463"/>
      <c r="B831" s="550" t="str">
        <f>B814</f>
        <v>Trator de esteiras 20T</v>
      </c>
      <c r="C831" s="551"/>
      <c r="D831" s="551"/>
      <c r="E831" s="552"/>
      <c r="F831" s="553" t="str">
        <f>VLOOKUP(B831,EQUIPAMENTOS!$A:$N,12,FALSE)</f>
        <v>Diesel S10</v>
      </c>
      <c r="G831" s="554" t="s">
        <v>415</v>
      </c>
      <c r="H831" s="560">
        <f>VLOOKUP(B831,EQUIPAMENTOS!$A:$N,13,FALSE)</f>
        <v>0</v>
      </c>
      <c r="I831" s="556">
        <f>VLOOKUP(B831,EQUIPAMENTOS!$A:$N,14,FALSE)</f>
        <v>26</v>
      </c>
      <c r="J831" s="498">
        <f>H831*I831*E814*F814</f>
        <v>0</v>
      </c>
      <c r="K831" s="471"/>
    </row>
    <row r="832" spans="1:11">
      <c r="A832" s="463"/>
      <c r="B832" s="557" t="str">
        <f t="shared" ref="B832:B833" si="4">B815</f>
        <v>Pá Carregadeira</v>
      </c>
      <c r="C832" s="531"/>
      <c r="D832" s="531"/>
      <c r="E832" s="500"/>
      <c r="F832" s="553" t="str">
        <f>VLOOKUP(B832,EQUIPAMENTOS!$A:$N,12,FALSE)</f>
        <v>Diesel S10</v>
      </c>
      <c r="G832" s="554" t="s">
        <v>415</v>
      </c>
      <c r="H832" s="560">
        <f>VLOOKUP(B832,EQUIPAMENTOS!$A:$N,13,FALSE)</f>
        <v>0</v>
      </c>
      <c r="I832" s="556">
        <f>VLOOKUP(B832,EQUIPAMENTOS!$A:$N,14,FALSE)</f>
        <v>16</v>
      </c>
      <c r="J832" s="505">
        <f>H832*I832*E815*F815</f>
        <v>0</v>
      </c>
      <c r="K832" s="471"/>
    </row>
    <row r="833" spans="1:12">
      <c r="A833" s="463"/>
      <c r="B833" s="557" t="str">
        <f t="shared" si="4"/>
        <v>Caminhão basculante 14 m³</v>
      </c>
      <c r="C833" s="539"/>
      <c r="D833" s="539"/>
      <c r="E833" s="507"/>
      <c r="F833" s="553" t="str">
        <f>VLOOKUP(B833,EQUIPAMENTOS!$A:$N,12,FALSE)</f>
        <v>Diesel S10</v>
      </c>
      <c r="G833" s="736" t="s">
        <v>415</v>
      </c>
      <c r="H833" s="560">
        <f>VLOOKUP(B833,EQUIPAMENTOS!$A:$N,13,FALSE)</f>
        <v>0</v>
      </c>
      <c r="I833" s="556">
        <f>VLOOKUP(B833,EQUIPAMENTOS!$A:$N,14,FALSE)</f>
        <v>2.5</v>
      </c>
      <c r="J833" s="505">
        <f>H833*I833*E816*F816</f>
        <v>0</v>
      </c>
      <c r="K833" s="471"/>
    </row>
    <row r="834" spans="1:12" ht="14.25" customHeight="1">
      <c r="A834" s="463"/>
      <c r="B834" s="563" t="s">
        <v>946</v>
      </c>
      <c r="C834" s="539"/>
      <c r="D834" s="539"/>
      <c r="E834" s="539"/>
      <c r="F834" s="536"/>
      <c r="G834" s="539"/>
      <c r="H834" s="564"/>
      <c r="I834" s="565" t="s">
        <v>175</v>
      </c>
      <c r="J834" s="514">
        <f>SUM(J831:J833)</f>
        <v>0</v>
      </c>
      <c r="K834" s="471"/>
    </row>
    <row r="835" spans="1:12" ht="14.25" customHeight="1">
      <c r="A835" s="463"/>
      <c r="B835" s="566"/>
      <c r="C835" s="539"/>
      <c r="D835" s="539"/>
      <c r="E835" s="567"/>
      <c r="F835" s="568"/>
      <c r="G835" s="519"/>
      <c r="H835" s="519"/>
      <c r="I835" s="542"/>
      <c r="J835" s="567"/>
      <c r="K835" s="471"/>
    </row>
    <row r="836" spans="1:12" ht="25.95" customHeight="1">
      <c r="A836" s="463"/>
      <c r="B836" s="1493" t="s">
        <v>955</v>
      </c>
      <c r="C836" s="1494"/>
      <c r="D836" s="1494"/>
      <c r="E836" s="1494"/>
      <c r="F836" s="1495"/>
      <c r="G836" s="569" t="s">
        <v>372</v>
      </c>
      <c r="H836" s="519" t="s">
        <v>956</v>
      </c>
      <c r="I836" s="570" t="s">
        <v>942</v>
      </c>
      <c r="J836" s="522" t="s">
        <v>363</v>
      </c>
      <c r="K836" s="471"/>
    </row>
    <row r="837" spans="1:12" ht="14.25" customHeight="1">
      <c r="A837" s="463"/>
      <c r="B837" s="571"/>
      <c r="C837" s="572"/>
      <c r="D837" s="573"/>
      <c r="E837" s="573"/>
      <c r="F837" s="574"/>
      <c r="G837" s="502"/>
      <c r="H837" s="502"/>
      <c r="I837" s="575"/>
      <c r="J837" s="505"/>
      <c r="K837" s="471"/>
    </row>
    <row r="838" spans="1:12" ht="14.25" customHeight="1">
      <c r="A838" s="463"/>
      <c r="B838" s="576"/>
      <c r="C838" s="577"/>
      <c r="D838" s="578"/>
      <c r="E838" s="578"/>
      <c r="F838" s="579"/>
      <c r="G838" s="502"/>
      <c r="H838" s="502"/>
      <c r="I838" s="575"/>
      <c r="J838" s="505"/>
      <c r="K838" s="471"/>
    </row>
    <row r="839" spans="1:12">
      <c r="A839" s="463"/>
      <c r="B839" s="1496" t="s">
        <v>175</v>
      </c>
      <c r="C839" s="1496"/>
      <c r="D839" s="1496"/>
      <c r="E839" s="1496"/>
      <c r="F839" s="1496"/>
      <c r="G839" s="1496"/>
      <c r="H839" s="1496"/>
      <c r="I839" s="1496"/>
      <c r="J839" s="514">
        <f>SUM(J837:J838)</f>
        <v>0</v>
      </c>
      <c r="K839" s="471"/>
      <c r="L839" s="6"/>
    </row>
    <row r="840" spans="1:12">
      <c r="A840" s="463"/>
      <c r="B840" s="580"/>
      <c r="C840" s="524"/>
      <c r="D840" s="524"/>
      <c r="E840" s="581"/>
      <c r="F840" s="582"/>
      <c r="G840" s="583"/>
      <c r="H840" s="583"/>
      <c r="I840" s="584"/>
      <c r="J840" s="585"/>
      <c r="K840" s="471"/>
    </row>
    <row r="841" spans="1:12">
      <c r="A841" s="463"/>
      <c r="B841" s="586" t="s">
        <v>957</v>
      </c>
      <c r="C841" s="586"/>
      <c r="D841" s="563"/>
      <c r="E841" s="536"/>
      <c r="F841" s="536"/>
      <c r="G841" s="536"/>
      <c r="H841" s="587"/>
      <c r="I841" s="588"/>
      <c r="J841" s="514">
        <f>(J828+J834+J839)/E828</f>
        <v>17.887305979009479</v>
      </c>
      <c r="K841" s="471"/>
      <c r="L841">
        <v>17.887304911830281</v>
      </c>
    </row>
    <row r="842" spans="1:12">
      <c r="A842" s="463"/>
      <c r="B842" s="566"/>
      <c r="C842" s="539"/>
      <c r="D842" s="539"/>
      <c r="E842" s="567"/>
      <c r="F842" s="568"/>
      <c r="G842" s="519"/>
      <c r="H842" s="519"/>
      <c r="I842" s="542"/>
      <c r="J842" s="589"/>
      <c r="K842" s="471"/>
    </row>
    <row r="843" spans="1:12" ht="23.4" customHeight="1">
      <c r="A843" s="463"/>
      <c r="B843" s="1493" t="s">
        <v>958</v>
      </c>
      <c r="C843" s="1494"/>
      <c r="D843" s="1494"/>
      <c r="E843" s="1494"/>
      <c r="F843" s="1495"/>
      <c r="G843" s="569" t="s">
        <v>372</v>
      </c>
      <c r="H843" s="519" t="s">
        <v>956</v>
      </c>
      <c r="I843" s="570" t="s">
        <v>942</v>
      </c>
      <c r="J843" s="522" t="s">
        <v>363</v>
      </c>
      <c r="K843" s="471"/>
    </row>
    <row r="844" spans="1:12">
      <c r="A844" s="463"/>
      <c r="B844" s="571"/>
      <c r="C844" s="572"/>
      <c r="D844" s="573"/>
      <c r="E844" s="573"/>
      <c r="F844" s="574"/>
      <c r="G844" s="502"/>
      <c r="H844" s="502"/>
      <c r="I844" s="575"/>
      <c r="J844" s="505">
        <f>G844*I844</f>
        <v>0</v>
      </c>
      <c r="K844" s="471"/>
    </row>
    <row r="845" spans="1:12">
      <c r="A845" s="463"/>
      <c r="B845" s="576"/>
      <c r="C845" s="577"/>
      <c r="D845" s="578"/>
      <c r="E845" s="578"/>
      <c r="F845" s="579"/>
      <c r="G845" s="502"/>
      <c r="H845" s="502"/>
      <c r="I845" s="575"/>
      <c r="J845" s="505">
        <f>G845*I845</f>
        <v>0</v>
      </c>
      <c r="K845" s="471"/>
    </row>
    <row r="846" spans="1:12">
      <c r="A846" s="463"/>
      <c r="B846" s="576"/>
      <c r="C846" s="577"/>
      <c r="D846" s="578"/>
      <c r="E846" s="578"/>
      <c r="F846" s="579"/>
      <c r="G846" s="502"/>
      <c r="H846" s="502"/>
      <c r="I846" s="575"/>
      <c r="J846" s="505">
        <f>G846*I846</f>
        <v>0</v>
      </c>
      <c r="K846" s="471"/>
    </row>
    <row r="847" spans="1:12">
      <c r="A847" s="463"/>
      <c r="B847" s="590"/>
      <c r="C847" s="591"/>
      <c r="D847" s="592"/>
      <c r="E847" s="592"/>
      <c r="F847" s="593"/>
      <c r="G847" s="502"/>
      <c r="H847" s="502"/>
      <c r="I847" s="575"/>
      <c r="J847" s="505">
        <f>G847*I847</f>
        <v>0</v>
      </c>
      <c r="K847" s="471"/>
    </row>
    <row r="848" spans="1:12">
      <c r="A848" s="463"/>
      <c r="B848" s="594"/>
      <c r="C848" s="536"/>
      <c r="D848" s="536"/>
      <c r="E848" s="595"/>
      <c r="F848" s="596"/>
      <c r="G848" s="545"/>
      <c r="H848" s="545"/>
      <c r="I848" s="537" t="s">
        <v>175</v>
      </c>
      <c r="J848" s="514">
        <f>SUM(J844:J847)</f>
        <v>0</v>
      </c>
      <c r="K848" s="471"/>
    </row>
    <row r="849" spans="1:14">
      <c r="A849" s="463"/>
      <c r="B849" s="597"/>
      <c r="C849" s="536"/>
      <c r="D849" s="536"/>
      <c r="E849" s="595"/>
      <c r="F849" s="596"/>
      <c r="G849" s="545"/>
      <c r="H849" s="545"/>
      <c r="I849" s="537"/>
      <c r="J849" s="595"/>
      <c r="K849" s="471"/>
      <c r="L849" s="6"/>
      <c r="N849" s="6"/>
    </row>
    <row r="850" spans="1:14" ht="20.399999999999999">
      <c r="A850" s="463"/>
      <c r="B850" s="598" t="s">
        <v>959</v>
      </c>
      <c r="C850" s="598"/>
      <c r="D850" s="598"/>
      <c r="E850" s="599"/>
      <c r="F850" s="600" t="s">
        <v>372</v>
      </c>
      <c r="G850" s="569" t="s">
        <v>960</v>
      </c>
      <c r="H850" s="519" t="s">
        <v>942</v>
      </c>
      <c r="I850" s="570" t="s">
        <v>361</v>
      </c>
      <c r="J850" s="522" t="s">
        <v>363</v>
      </c>
      <c r="K850" s="471"/>
      <c r="N850" s="6"/>
    </row>
    <row r="851" spans="1:14">
      <c r="A851" s="463"/>
      <c r="B851" s="571"/>
      <c r="C851" s="572"/>
      <c r="D851" s="573"/>
      <c r="E851" s="574"/>
      <c r="F851" s="502"/>
      <c r="G851" s="502"/>
      <c r="H851" s="624"/>
      <c r="I851" s="575"/>
      <c r="J851" s="505"/>
      <c r="K851" s="471"/>
      <c r="N851" s="6"/>
    </row>
    <row r="852" spans="1:14">
      <c r="A852" s="463"/>
      <c r="B852" s="590" t="s">
        <v>946</v>
      </c>
      <c r="C852" s="591"/>
      <c r="D852" s="592"/>
      <c r="E852" s="593" t="s">
        <v>946</v>
      </c>
      <c r="F852" s="509">
        <v>0</v>
      </c>
      <c r="G852" s="509">
        <v>0</v>
      </c>
      <c r="H852" s="509">
        <v>0</v>
      </c>
      <c r="I852" s="601">
        <v>0</v>
      </c>
      <c r="J852" s="505">
        <f>I852*H852*G852*F852</f>
        <v>0</v>
      </c>
      <c r="K852" s="471"/>
      <c r="N852" s="6"/>
    </row>
    <row r="853" spans="1:14">
      <c r="A853" s="463"/>
      <c r="B853" s="594"/>
      <c r="C853" s="536"/>
      <c r="D853" s="536"/>
      <c r="E853" s="595"/>
      <c r="F853" s="596"/>
      <c r="G853" s="545"/>
      <c r="H853" s="545"/>
      <c r="I853" s="537" t="s">
        <v>175</v>
      </c>
      <c r="J853" s="514">
        <f>SUM(J851:J852)</f>
        <v>0</v>
      </c>
      <c r="K853" s="471"/>
      <c r="N853" s="6"/>
    </row>
    <row r="854" spans="1:14">
      <c r="A854" s="463"/>
      <c r="B854" s="536"/>
      <c r="C854" s="536"/>
      <c r="D854" s="536"/>
      <c r="E854" s="536"/>
      <c r="F854" s="536"/>
      <c r="G854" s="536"/>
      <c r="H854" s="536"/>
      <c r="I854" s="537"/>
      <c r="J854" s="536"/>
      <c r="K854" s="471"/>
    </row>
    <row r="855" spans="1:14">
      <c r="A855" s="463"/>
      <c r="B855" s="1481" t="s">
        <v>963</v>
      </c>
      <c r="C855" s="1482"/>
      <c r="D855" s="1482"/>
      <c r="E855" s="1482"/>
      <c r="F855" s="1482"/>
      <c r="G855" s="1482"/>
      <c r="H855" s="1482"/>
      <c r="I855" s="1483"/>
      <c r="J855" s="586">
        <v>17.887305979009479</v>
      </c>
      <c r="K855" s="471"/>
    </row>
    <row r="856" spans="1:14">
      <c r="A856" s="463"/>
      <c r="B856" s="524"/>
      <c r="C856" s="524"/>
      <c r="D856" s="524"/>
      <c r="E856" s="524"/>
      <c r="F856" s="524"/>
      <c r="G856" s="524"/>
      <c r="H856" s="524"/>
      <c r="I856" s="584"/>
      <c r="J856" s="524"/>
      <c r="K856" s="471"/>
    </row>
    <row r="857" spans="1:14">
      <c r="A857" s="463"/>
      <c r="B857" s="602"/>
      <c r="C857" s="572"/>
      <c r="D857" s="572"/>
      <c r="E857" s="572"/>
      <c r="F857" s="572"/>
      <c r="G857" s="572"/>
      <c r="H857" s="572"/>
      <c r="I857" s="572"/>
      <c r="J857" s="603"/>
      <c r="K857" s="471"/>
    </row>
    <row r="858" spans="1:14">
      <c r="A858" s="463"/>
      <c r="B858" s="604"/>
      <c r="C858" s="605"/>
      <c r="D858" s="606"/>
      <c r="E858" s="606"/>
      <c r="F858" s="607" t="s">
        <v>946</v>
      </c>
      <c r="G858" s="608" t="s">
        <v>946</v>
      </c>
      <c r="H858" s="605"/>
      <c r="I858" s="605"/>
      <c r="J858" s="609"/>
      <c r="K858" s="471"/>
    </row>
    <row r="859" spans="1:14">
      <c r="A859" s="463"/>
      <c r="B859" s="472"/>
      <c r="C859" s="472"/>
      <c r="D859" s="472"/>
      <c r="E859" s="472"/>
      <c r="F859" s="472"/>
      <c r="G859" s="472"/>
      <c r="H859" s="472"/>
      <c r="I859" s="472"/>
      <c r="J859" s="472"/>
      <c r="K859" s="471"/>
    </row>
    <row r="860" spans="1:14">
      <c r="A860" s="463"/>
      <c r="B860" s="610" t="str">
        <f>PLANEJAMENTO!F2</f>
        <v>OPERAÇÃO DE SUPRESSÃO E SUMP</v>
      </c>
      <c r="C860" s="611"/>
      <c r="D860" s="611"/>
      <c r="E860" s="611"/>
      <c r="F860" s="612"/>
      <c r="G860" s="613" t="s">
        <v>363</v>
      </c>
      <c r="H860" s="515"/>
      <c r="I860" s="515"/>
      <c r="J860" s="518"/>
      <c r="K860" s="471"/>
    </row>
    <row r="861" spans="1:14">
      <c r="A861" s="463"/>
      <c r="B861" s="956" t="str">
        <f>PLANEJAMENTO!F3</f>
        <v>MARA ROSA</v>
      </c>
      <c r="C861" s="957"/>
      <c r="D861" s="957"/>
      <c r="E861" s="957"/>
      <c r="F861" s="958"/>
      <c r="G861" s="1484" t="s">
        <v>964</v>
      </c>
      <c r="H861" s="1485"/>
      <c r="I861" s="1485"/>
      <c r="J861" s="1486"/>
      <c r="K861" s="471"/>
    </row>
    <row r="862" spans="1:14">
      <c r="A862" s="463"/>
      <c r="B862" s="1015"/>
      <c r="C862" s="587"/>
      <c r="D862" s="587"/>
      <c r="E862" s="587"/>
      <c r="F862" s="587"/>
      <c r="G862" s="1014"/>
      <c r="H862" s="1014"/>
      <c r="I862" s="1014"/>
      <c r="J862" s="1016"/>
      <c r="K862" s="471"/>
    </row>
    <row r="863" spans="1:14">
      <c r="A863" s="463"/>
      <c r="B863" s="524"/>
      <c r="C863" s="524"/>
      <c r="D863" s="524"/>
      <c r="E863" s="524"/>
      <c r="F863" s="524"/>
      <c r="G863" s="524"/>
      <c r="H863" s="524"/>
      <c r="I863" s="584"/>
      <c r="J863" s="524"/>
      <c r="K863" s="471"/>
    </row>
    <row r="864" spans="1:14">
      <c r="A864" s="463"/>
      <c r="B864" s="472"/>
      <c r="C864" s="472"/>
      <c r="D864" s="472"/>
      <c r="E864" s="472"/>
      <c r="F864" s="472"/>
      <c r="G864" s="472"/>
      <c r="H864" s="472"/>
      <c r="I864" s="472"/>
      <c r="J864" s="472"/>
      <c r="K864" s="471"/>
    </row>
    <row r="865" spans="1:11">
      <c r="A865" s="463"/>
      <c r="B865" s="464" t="s">
        <v>178</v>
      </c>
      <c r="C865" s="465"/>
      <c r="D865" s="466" t="s">
        <v>936</v>
      </c>
      <c r="E865" s="467"/>
      <c r="F865" s="468"/>
      <c r="G865" s="468"/>
      <c r="H865" s="469"/>
      <c r="I865" s="469"/>
      <c r="J865" s="470"/>
      <c r="K865" s="471"/>
    </row>
    <row r="866" spans="1:11">
      <c r="A866" s="463"/>
      <c r="B866" s="472"/>
      <c r="C866" s="472"/>
      <c r="D866" s="472"/>
      <c r="E866" s="472"/>
      <c r="F866" s="472"/>
      <c r="G866" s="472"/>
      <c r="H866" s="472"/>
      <c r="I866" s="472"/>
      <c r="J866" s="472"/>
      <c r="K866" s="471"/>
    </row>
    <row r="867" spans="1:11">
      <c r="A867" s="463"/>
      <c r="B867" s="473" t="s">
        <v>688</v>
      </c>
      <c r="C867" s="474" t="s">
        <v>937</v>
      </c>
      <c r="D867" s="1497" t="s">
        <v>250</v>
      </c>
      <c r="E867" s="1498"/>
      <c r="F867" s="1498"/>
      <c r="G867" s="1498"/>
      <c r="H867" s="1498"/>
      <c r="I867" s="1499"/>
      <c r="J867" s="475" t="s">
        <v>267</v>
      </c>
      <c r="K867" s="471"/>
    </row>
    <row r="868" spans="1:11" ht="22.2" customHeight="1">
      <c r="A868" s="463"/>
      <c r="B868" s="476" t="s">
        <v>3</v>
      </c>
      <c r="C868" s="477">
        <f ca="1">PLANEJAMENTO!F4</f>
        <v>46140</v>
      </c>
      <c r="D868" s="681" t="s">
        <v>1496</v>
      </c>
      <c r="E868" s="479"/>
      <c r="F868" s="479"/>
      <c r="G868" s="479"/>
      <c r="H868" s="479"/>
      <c r="I868" s="480"/>
      <c r="J868" s="481" t="str">
        <f>F886</f>
        <v>m3</v>
      </c>
      <c r="K868" s="471"/>
    </row>
    <row r="869" spans="1:11">
      <c r="A869" s="463"/>
      <c r="B869" s="482"/>
      <c r="C869" s="482"/>
      <c r="D869" s="482"/>
      <c r="E869" s="482"/>
      <c r="F869" s="482"/>
      <c r="G869" s="482"/>
      <c r="H869" s="482"/>
      <c r="I869" s="483"/>
      <c r="J869" s="484"/>
      <c r="K869" s="471"/>
    </row>
    <row r="870" spans="1:11">
      <c r="A870" s="463"/>
      <c r="B870" s="1484" t="s">
        <v>938</v>
      </c>
      <c r="C870" s="1486"/>
      <c r="D870" s="1502" t="s">
        <v>688</v>
      </c>
      <c r="E870" s="1504" t="s">
        <v>939</v>
      </c>
      <c r="F870" s="485" t="s">
        <v>940</v>
      </c>
      <c r="G870" s="486"/>
      <c r="H870" s="485" t="s">
        <v>941</v>
      </c>
      <c r="I870" s="486"/>
      <c r="J870" s="487" t="s">
        <v>942</v>
      </c>
      <c r="K870" s="471"/>
    </row>
    <row r="871" spans="1:11">
      <c r="A871" s="463"/>
      <c r="B871" s="1500"/>
      <c r="C871" s="1501"/>
      <c r="D871" s="1503"/>
      <c r="E871" s="1505"/>
      <c r="F871" s="488" t="s">
        <v>943</v>
      </c>
      <c r="G871" s="488" t="s">
        <v>944</v>
      </c>
      <c r="H871" s="488" t="s">
        <v>943</v>
      </c>
      <c r="I871" s="489" t="s">
        <v>944</v>
      </c>
      <c r="J871" s="490" t="s">
        <v>945</v>
      </c>
      <c r="K871" s="471"/>
    </row>
    <row r="872" spans="1:11">
      <c r="A872" s="463"/>
      <c r="B872" s="491" t="s">
        <v>669</v>
      </c>
      <c r="C872" s="492"/>
      <c r="D872" s="493"/>
      <c r="E872" s="494">
        <v>1</v>
      </c>
      <c r="F872" s="494">
        <v>1</v>
      </c>
      <c r="G872" s="495">
        <f>1-F872</f>
        <v>0</v>
      </c>
      <c r="H872" s="496">
        <f>VLOOKUP(B872,EQUIPAMENTOS!$A:$J,10,FALSE)</f>
        <v>214.36944444444444</v>
      </c>
      <c r="I872" s="497">
        <f>H872</f>
        <v>214.36944444444444</v>
      </c>
      <c r="J872" s="498">
        <f>H872*F872*E872+I872*G872*E872</f>
        <v>214.36944444444444</v>
      </c>
      <c r="K872" s="471"/>
    </row>
    <row r="873" spans="1:11">
      <c r="A873" s="463"/>
      <c r="B873" s="499" t="s">
        <v>954</v>
      </c>
      <c r="C873" s="500"/>
      <c r="D873" s="501"/>
      <c r="E873" s="875">
        <v>1</v>
      </c>
      <c r="F873" s="502">
        <v>1</v>
      </c>
      <c r="G873" s="502">
        <f>1-F873</f>
        <v>0</v>
      </c>
      <c r="H873" s="503">
        <f>VLOOKUP(B873,EQUIPAMENTOS!$A:$J,10,FALSE)</f>
        <v>192.58333333333334</v>
      </c>
      <c r="I873" s="504">
        <f>H873</f>
        <v>192.58333333333334</v>
      </c>
      <c r="J873" s="505">
        <f>H873*F873*E873+I873*G873*E873</f>
        <v>192.58333333333334</v>
      </c>
      <c r="K873" s="471"/>
    </row>
    <row r="874" spans="1:11">
      <c r="A874" s="463"/>
      <c r="B874" s="499" t="s">
        <v>1157</v>
      </c>
      <c r="C874" s="500"/>
      <c r="D874" s="501"/>
      <c r="E874" s="502">
        <v>5</v>
      </c>
      <c r="F874" s="502">
        <v>1</v>
      </c>
      <c r="G874" s="502">
        <f>1-F874</f>
        <v>0</v>
      </c>
      <c r="H874" s="503">
        <f>VLOOKUP(B874,EQUIPAMENTOS!$A:$J,10,FALSE)</f>
        <v>125</v>
      </c>
      <c r="I874" s="504">
        <f>H874</f>
        <v>125</v>
      </c>
      <c r="J874" s="505">
        <f>H874*F874*E874+I874*G874*E874</f>
        <v>625</v>
      </c>
      <c r="K874" s="471"/>
    </row>
    <row r="875" spans="1:11">
      <c r="A875" s="463"/>
      <c r="B875" s="499"/>
      <c r="C875" s="500"/>
      <c r="D875" s="501"/>
      <c r="E875" s="502"/>
      <c r="F875" s="502"/>
      <c r="G875" s="502"/>
      <c r="H875" s="503"/>
      <c r="I875" s="504"/>
      <c r="J875" s="505"/>
      <c r="K875" s="471"/>
    </row>
    <row r="876" spans="1:11">
      <c r="A876" s="463"/>
      <c r="B876" s="506"/>
      <c r="C876" s="507"/>
      <c r="D876" s="508"/>
      <c r="E876" s="509"/>
      <c r="F876" s="509"/>
      <c r="G876" s="509"/>
      <c r="H876" s="510"/>
      <c r="I876" s="511"/>
      <c r="J876" s="505">
        <f>H876*F876*E876+I876*G876*E876</f>
        <v>0</v>
      </c>
      <c r="K876" s="471"/>
    </row>
    <row r="877" spans="1:11">
      <c r="A877" s="463"/>
      <c r="B877" s="512" t="s">
        <v>946</v>
      </c>
      <c r="C877" s="482"/>
      <c r="D877" s="482"/>
      <c r="E877" s="482"/>
      <c r="F877" s="482"/>
      <c r="G877" s="482"/>
      <c r="H877" s="482"/>
      <c r="I877" s="513" t="s">
        <v>175</v>
      </c>
      <c r="J877" s="514">
        <f>SUM(J872:J876)</f>
        <v>1031.9527777777778</v>
      </c>
      <c r="K877" s="471"/>
    </row>
    <row r="878" spans="1:11">
      <c r="A878" s="463"/>
      <c r="B878" s="515"/>
      <c r="C878" s="515"/>
      <c r="D878" s="515"/>
      <c r="E878" s="515"/>
      <c r="F878" s="515"/>
      <c r="G878" s="515"/>
      <c r="H878" s="515"/>
      <c r="I878" s="516"/>
      <c r="J878" s="517"/>
      <c r="K878" s="471"/>
    </row>
    <row r="879" spans="1:11" ht="25.2" customHeight="1">
      <c r="A879" s="463"/>
      <c r="B879" s="1490" t="s">
        <v>947</v>
      </c>
      <c r="C879" s="1491"/>
      <c r="D879" s="1491"/>
      <c r="E879" s="1492"/>
      <c r="F879" s="725" t="s">
        <v>688</v>
      </c>
      <c r="G879" s="853"/>
      <c r="H879" s="520" t="s">
        <v>427</v>
      </c>
      <c r="I879" s="521" t="s">
        <v>948</v>
      </c>
      <c r="J879" s="522" t="s">
        <v>949</v>
      </c>
      <c r="K879" s="471"/>
    </row>
    <row r="880" spans="1:11" ht="14.4" customHeight="1">
      <c r="A880" s="463"/>
      <c r="B880" s="523" t="s">
        <v>950</v>
      </c>
      <c r="C880" s="524"/>
      <c r="D880" s="525"/>
      <c r="E880" s="526"/>
      <c r="F880" s="527"/>
      <c r="G880" s="528"/>
      <c r="H880" s="529">
        <f>E874</f>
        <v>5</v>
      </c>
      <c r="I880" s="534">
        <f>(VLOOKUP(B880,'MÃO DE OBRA'!$A:$E,5,FALSE)/220)</f>
        <v>26.714454545454547</v>
      </c>
      <c r="J880" s="505">
        <f>H880*I880</f>
        <v>133.57227272727275</v>
      </c>
      <c r="K880" s="471"/>
    </row>
    <row r="881" spans="1:11">
      <c r="A881" s="463"/>
      <c r="B881" s="530" t="s">
        <v>976</v>
      </c>
      <c r="C881" s="531"/>
      <c r="D881" s="472"/>
      <c r="E881" s="500"/>
      <c r="F881" s="501"/>
      <c r="G881" s="532"/>
      <c r="H881" s="533">
        <f>E872</f>
        <v>1</v>
      </c>
      <c r="I881" s="534">
        <f>(VLOOKUP(B881,'MÃO DE OBRA'!$A:$E,5,FALSE)/220)</f>
        <v>35.711036363636367</v>
      </c>
      <c r="J881" s="505">
        <f>H881*I881</f>
        <v>35.711036363636367</v>
      </c>
      <c r="K881" s="471"/>
    </row>
    <row r="882" spans="1:11">
      <c r="A882" s="463"/>
      <c r="B882" s="530" t="s">
        <v>472</v>
      </c>
      <c r="C882" s="531"/>
      <c r="D882" s="472"/>
      <c r="E882" s="500"/>
      <c r="F882" s="501"/>
      <c r="G882" s="532"/>
      <c r="H882" s="533">
        <v>3</v>
      </c>
      <c r="I882" s="534">
        <f>(VLOOKUP(B882,'MÃO DE OBRA'!$A:$E,5,FALSE)/220)</f>
        <v>18.377072727272729</v>
      </c>
      <c r="J882" s="505">
        <f>H882*I882</f>
        <v>55.131218181818184</v>
      </c>
      <c r="K882" s="471"/>
    </row>
    <row r="883" spans="1:11">
      <c r="A883" s="463"/>
      <c r="B883" s="530" t="s">
        <v>951</v>
      </c>
      <c r="C883" s="531"/>
      <c r="D883" s="472"/>
      <c r="E883" s="500"/>
      <c r="F883" s="501"/>
      <c r="G883" s="532"/>
      <c r="H883" s="533">
        <f>E873</f>
        <v>1</v>
      </c>
      <c r="I883" s="534">
        <f>(VLOOKUP(B883,'MÃO DE OBRA'!$A:$E,5,FALSE)/220)</f>
        <v>26.270618181818183</v>
      </c>
      <c r="J883" s="505">
        <f>H883*I883</f>
        <v>26.270618181818183</v>
      </c>
      <c r="K883" s="471"/>
    </row>
    <row r="884" spans="1:11">
      <c r="A884" s="463"/>
      <c r="B884" s="512" t="s">
        <v>946</v>
      </c>
      <c r="C884" s="515"/>
      <c r="D884" s="515"/>
      <c r="E884" s="515"/>
      <c r="F884" s="515"/>
      <c r="G884" s="515"/>
      <c r="H884" s="515"/>
      <c r="I884" s="535" t="s">
        <v>175</v>
      </c>
      <c r="J884" s="514">
        <f>SUM(J880:J883)</f>
        <v>250.68514545454548</v>
      </c>
      <c r="K884" s="471"/>
    </row>
    <row r="885" spans="1:11">
      <c r="A885" s="463"/>
      <c r="B885" s="536"/>
      <c r="C885" s="536"/>
      <c r="D885" s="536"/>
      <c r="E885" s="536"/>
      <c r="F885" s="536"/>
      <c r="G885" s="536"/>
      <c r="H885" s="536"/>
      <c r="I885" s="537"/>
      <c r="J885" s="536"/>
      <c r="K885" s="471"/>
    </row>
    <row r="886" spans="1:11">
      <c r="A886" s="463"/>
      <c r="B886" s="538" t="s">
        <v>952</v>
      </c>
      <c r="C886" s="539"/>
      <c r="D886" s="536"/>
      <c r="E886" s="540">
        <v>67.55986</v>
      </c>
      <c r="F886" s="541" t="s">
        <v>931</v>
      </c>
      <c r="G886" s="519"/>
      <c r="H886" s="519"/>
      <c r="I886" s="542" t="s">
        <v>953</v>
      </c>
      <c r="J886" s="514">
        <f>J877+J884</f>
        <v>1282.6379232323234</v>
      </c>
      <c r="K886" s="471"/>
    </row>
    <row r="887" spans="1:11">
      <c r="A887" s="463"/>
      <c r="B887" s="543"/>
      <c r="C887" s="536"/>
      <c r="D887" s="536"/>
      <c r="E887" s="544"/>
      <c r="F887" s="545"/>
      <c r="G887" s="545"/>
      <c r="H887" s="545"/>
      <c r="I887" s="537"/>
      <c r="J887" s="536"/>
      <c r="K887" s="471"/>
    </row>
    <row r="888" spans="1:11" ht="20.399999999999999">
      <c r="A888" s="463"/>
      <c r="B888" s="1493" t="s">
        <v>362</v>
      </c>
      <c r="C888" s="1494"/>
      <c r="D888" s="1494"/>
      <c r="E888" s="1495"/>
      <c r="F888" s="546" t="s">
        <v>688</v>
      </c>
      <c r="G888" s="547" t="s">
        <v>371</v>
      </c>
      <c r="H888" s="520" t="s">
        <v>942</v>
      </c>
      <c r="I888" s="548" t="s">
        <v>361</v>
      </c>
      <c r="J888" s="549" t="s">
        <v>363</v>
      </c>
      <c r="K888" s="471"/>
    </row>
    <row r="889" spans="1:11">
      <c r="A889" s="463"/>
      <c r="B889" s="550" t="str">
        <f>B872</f>
        <v>Trator de esteiras 20T</v>
      </c>
      <c r="C889" s="551"/>
      <c r="D889" s="551"/>
      <c r="E889" s="552"/>
      <c r="F889" s="553" t="str">
        <f>VLOOKUP(B889,EQUIPAMENTOS!$A:$N,12,FALSE)</f>
        <v>Diesel S10</v>
      </c>
      <c r="G889" s="554" t="s">
        <v>415</v>
      </c>
      <c r="H889" s="560">
        <f>VLOOKUP(B889,EQUIPAMENTOS!$A:$N,13,FALSE)</f>
        <v>0</v>
      </c>
      <c r="I889" s="556">
        <f>VLOOKUP(B889,EQUIPAMENTOS!$A:$N,14,FALSE)</f>
        <v>26</v>
      </c>
      <c r="J889" s="498">
        <f>H889*I889*E872*F872</f>
        <v>0</v>
      </c>
      <c r="K889" s="471"/>
    </row>
    <row r="890" spans="1:11">
      <c r="A890" s="463"/>
      <c r="B890" s="557" t="str">
        <f t="shared" ref="B890:B891" si="5">B873</f>
        <v>Pá Carregadeira</v>
      </c>
      <c r="C890" s="531"/>
      <c r="D890" s="531"/>
      <c r="E890" s="500"/>
      <c r="F890" s="553" t="str">
        <f>VLOOKUP(B890,EQUIPAMENTOS!$A:$N,12,FALSE)</f>
        <v>Diesel S10</v>
      </c>
      <c r="G890" s="554" t="s">
        <v>415</v>
      </c>
      <c r="H890" s="560">
        <f>VLOOKUP(B890,EQUIPAMENTOS!$A:$N,13,FALSE)</f>
        <v>0</v>
      </c>
      <c r="I890" s="556">
        <f>VLOOKUP(B890,EQUIPAMENTOS!$A:$N,14,FALSE)</f>
        <v>16</v>
      </c>
      <c r="J890" s="505">
        <f>H890*I890*E873*F873</f>
        <v>0</v>
      </c>
      <c r="K890" s="471"/>
    </row>
    <row r="891" spans="1:11">
      <c r="A891" s="463"/>
      <c r="B891" s="557" t="str">
        <f t="shared" si="5"/>
        <v>Caminhão basculante 14 m³</v>
      </c>
      <c r="C891" s="539"/>
      <c r="D891" s="539"/>
      <c r="E891" s="507"/>
      <c r="F891" s="553" t="str">
        <f>VLOOKUP(B891,EQUIPAMENTOS!$A:$N,12,FALSE)</f>
        <v>Diesel S10</v>
      </c>
      <c r="G891" s="736" t="s">
        <v>415</v>
      </c>
      <c r="H891" s="560">
        <f>VLOOKUP(B891,EQUIPAMENTOS!$A:$N,13,FALSE)</f>
        <v>0</v>
      </c>
      <c r="I891" s="556">
        <f>VLOOKUP(B891,EQUIPAMENTOS!$A:$N,14,FALSE)</f>
        <v>2.5</v>
      </c>
      <c r="J891" s="505">
        <f>H891*I891*E874*F874</f>
        <v>0</v>
      </c>
      <c r="K891" s="471"/>
    </row>
    <row r="892" spans="1:11" ht="14.25" customHeight="1">
      <c r="A892" s="463"/>
      <c r="B892" s="563" t="s">
        <v>946</v>
      </c>
      <c r="C892" s="539"/>
      <c r="D892" s="539"/>
      <c r="E892" s="539"/>
      <c r="F892" s="536"/>
      <c r="G892" s="539"/>
      <c r="H892" s="564"/>
      <c r="I892" s="565" t="s">
        <v>175</v>
      </c>
      <c r="J892" s="514">
        <f>SUM(J889:J891)</f>
        <v>0</v>
      </c>
      <c r="K892" s="471"/>
    </row>
    <row r="893" spans="1:11" ht="14.25" customHeight="1">
      <c r="A893" s="463"/>
      <c r="B893" s="566"/>
      <c r="C893" s="539"/>
      <c r="D893" s="539"/>
      <c r="E893" s="567"/>
      <c r="F893" s="568"/>
      <c r="G893" s="519"/>
      <c r="H893" s="519"/>
      <c r="I893" s="542"/>
      <c r="J893" s="567"/>
      <c r="K893" s="471"/>
    </row>
    <row r="894" spans="1:11" ht="25.95" customHeight="1">
      <c r="A894" s="463"/>
      <c r="B894" s="1493" t="s">
        <v>955</v>
      </c>
      <c r="C894" s="1494"/>
      <c r="D894" s="1494"/>
      <c r="E894" s="1494"/>
      <c r="F894" s="1495"/>
      <c r="G894" s="569" t="s">
        <v>372</v>
      </c>
      <c r="H894" s="519" t="s">
        <v>956</v>
      </c>
      <c r="I894" s="570" t="s">
        <v>942</v>
      </c>
      <c r="J894" s="522" t="s">
        <v>363</v>
      </c>
      <c r="K894" s="471"/>
    </row>
    <row r="895" spans="1:11" ht="14.25" customHeight="1">
      <c r="A895" s="463"/>
      <c r="B895" s="571"/>
      <c r="C895" s="572"/>
      <c r="D895" s="573"/>
      <c r="E895" s="573"/>
      <c r="F895" s="574"/>
      <c r="G895" s="502"/>
      <c r="H895" s="502"/>
      <c r="I895" s="575"/>
      <c r="J895" s="505"/>
      <c r="K895" s="471"/>
    </row>
    <row r="896" spans="1:11" ht="14.25" customHeight="1">
      <c r="A896" s="463"/>
      <c r="B896" s="576"/>
      <c r="C896" s="577"/>
      <c r="D896" s="578"/>
      <c r="E896" s="578"/>
      <c r="F896" s="579"/>
      <c r="G896" s="502"/>
      <c r="H896" s="502"/>
      <c r="I896" s="575"/>
      <c r="J896" s="505"/>
      <c r="K896" s="471"/>
    </row>
    <row r="897" spans="1:14">
      <c r="A897" s="463"/>
      <c r="B897" s="1496" t="s">
        <v>175</v>
      </c>
      <c r="C897" s="1496"/>
      <c r="D897" s="1496"/>
      <c r="E897" s="1496"/>
      <c r="F897" s="1496"/>
      <c r="G897" s="1496"/>
      <c r="H897" s="1496"/>
      <c r="I897" s="1496"/>
      <c r="J897" s="514">
        <f>SUM(J895:J896)</f>
        <v>0</v>
      </c>
      <c r="K897" s="471"/>
      <c r="L897" s="6"/>
    </row>
    <row r="898" spans="1:14">
      <c r="A898" s="463"/>
      <c r="B898" s="580"/>
      <c r="C898" s="524"/>
      <c r="D898" s="524"/>
      <c r="E898" s="581"/>
      <c r="F898" s="582"/>
      <c r="G898" s="583"/>
      <c r="H898" s="583"/>
      <c r="I898" s="584"/>
      <c r="J898" s="585"/>
      <c r="K898" s="471"/>
    </row>
    <row r="899" spans="1:14">
      <c r="A899" s="463"/>
      <c r="B899" s="586" t="s">
        <v>957</v>
      </c>
      <c r="C899" s="586"/>
      <c r="D899" s="563"/>
      <c r="E899" s="536"/>
      <c r="F899" s="536"/>
      <c r="G899" s="536"/>
      <c r="H899" s="587"/>
      <c r="I899" s="588"/>
      <c r="J899" s="514">
        <f>(J886+J892+J897)/E886</f>
        <v>18.985206944364943</v>
      </c>
      <c r="K899" s="471"/>
      <c r="L899">
        <v>18.985203702452537</v>
      </c>
    </row>
    <row r="900" spans="1:14">
      <c r="A900" s="463"/>
      <c r="B900" s="566"/>
      <c r="C900" s="539"/>
      <c r="D900" s="539"/>
      <c r="E900" s="567"/>
      <c r="F900" s="568"/>
      <c r="G900" s="519"/>
      <c r="H900" s="519"/>
      <c r="I900" s="542"/>
      <c r="J900" s="589"/>
      <c r="K900" s="471"/>
    </row>
    <row r="901" spans="1:14" ht="23.4" customHeight="1">
      <c r="A901" s="463"/>
      <c r="B901" s="1493" t="s">
        <v>958</v>
      </c>
      <c r="C901" s="1494"/>
      <c r="D901" s="1494"/>
      <c r="E901" s="1494"/>
      <c r="F901" s="1495"/>
      <c r="G901" s="569" t="s">
        <v>372</v>
      </c>
      <c r="H901" s="519" t="s">
        <v>956</v>
      </c>
      <c r="I901" s="570" t="s">
        <v>942</v>
      </c>
      <c r="J901" s="522" t="s">
        <v>363</v>
      </c>
      <c r="K901" s="471"/>
    </row>
    <row r="902" spans="1:14">
      <c r="A902" s="463"/>
      <c r="B902" s="571"/>
      <c r="C902" s="572"/>
      <c r="D902" s="573"/>
      <c r="E902" s="573"/>
      <c r="F902" s="574"/>
      <c r="G902" s="502"/>
      <c r="H902" s="502"/>
      <c r="I902" s="575"/>
      <c r="J902" s="505">
        <f>G902*I902</f>
        <v>0</v>
      </c>
      <c r="K902" s="471"/>
    </row>
    <row r="903" spans="1:14">
      <c r="A903" s="463"/>
      <c r="B903" s="576"/>
      <c r="C903" s="577"/>
      <c r="D903" s="578"/>
      <c r="E903" s="578"/>
      <c r="F903" s="579"/>
      <c r="G903" s="502"/>
      <c r="H903" s="502"/>
      <c r="I903" s="575"/>
      <c r="J903" s="505">
        <f>G903*I903</f>
        <v>0</v>
      </c>
      <c r="K903" s="471"/>
    </row>
    <row r="904" spans="1:14">
      <c r="A904" s="463"/>
      <c r="B904" s="576"/>
      <c r="C904" s="577"/>
      <c r="D904" s="578"/>
      <c r="E904" s="578"/>
      <c r="F904" s="579"/>
      <c r="G904" s="502"/>
      <c r="H904" s="502"/>
      <c r="I904" s="575"/>
      <c r="J904" s="505">
        <f>G904*I904</f>
        <v>0</v>
      </c>
      <c r="K904" s="471"/>
    </row>
    <row r="905" spans="1:14">
      <c r="A905" s="463"/>
      <c r="B905" s="590"/>
      <c r="C905" s="591"/>
      <c r="D905" s="592"/>
      <c r="E905" s="592"/>
      <c r="F905" s="593"/>
      <c r="G905" s="502"/>
      <c r="H905" s="502"/>
      <c r="I905" s="575"/>
      <c r="J905" s="505">
        <f>G905*I905</f>
        <v>0</v>
      </c>
      <c r="K905" s="471"/>
    </row>
    <row r="906" spans="1:14">
      <c r="A906" s="463"/>
      <c r="B906" s="594"/>
      <c r="C906" s="536"/>
      <c r="D906" s="536"/>
      <c r="E906" s="595"/>
      <c r="F906" s="596"/>
      <c r="G906" s="545"/>
      <c r="H906" s="545"/>
      <c r="I906" s="537" t="s">
        <v>175</v>
      </c>
      <c r="J906" s="514">
        <f>SUM(J902:J905)</f>
        <v>0</v>
      </c>
      <c r="K906" s="471"/>
    </row>
    <row r="907" spans="1:14">
      <c r="A907" s="463"/>
      <c r="B907" s="597"/>
      <c r="C907" s="536"/>
      <c r="D907" s="536"/>
      <c r="E907" s="595"/>
      <c r="F907" s="596"/>
      <c r="G907" s="545"/>
      <c r="H907" s="545"/>
      <c r="I907" s="537"/>
      <c r="J907" s="595"/>
      <c r="K907" s="471"/>
      <c r="L907" s="6"/>
      <c r="N907" s="6"/>
    </row>
    <row r="908" spans="1:14" ht="20.399999999999999">
      <c r="A908" s="463"/>
      <c r="B908" s="598" t="s">
        <v>959</v>
      </c>
      <c r="C908" s="598"/>
      <c r="D908" s="598"/>
      <c r="E908" s="599"/>
      <c r="F908" s="600" t="s">
        <v>372</v>
      </c>
      <c r="G908" s="569" t="s">
        <v>960</v>
      </c>
      <c r="H908" s="519" t="s">
        <v>942</v>
      </c>
      <c r="I908" s="570" t="s">
        <v>361</v>
      </c>
      <c r="J908" s="522" t="s">
        <v>363</v>
      </c>
      <c r="K908" s="471"/>
      <c r="N908" s="6"/>
    </row>
    <row r="909" spans="1:14">
      <c r="A909" s="463"/>
      <c r="B909" s="571"/>
      <c r="C909" s="572"/>
      <c r="D909" s="573"/>
      <c r="E909" s="574"/>
      <c r="F909" s="502"/>
      <c r="G909" s="502"/>
      <c r="H909" s="624"/>
      <c r="I909" s="575"/>
      <c r="J909" s="505"/>
      <c r="K909" s="471"/>
      <c r="N909" s="6"/>
    </row>
    <row r="910" spans="1:14">
      <c r="A910" s="463"/>
      <c r="B910" s="590" t="s">
        <v>946</v>
      </c>
      <c r="C910" s="591"/>
      <c r="D910" s="592"/>
      <c r="E910" s="593" t="s">
        <v>946</v>
      </c>
      <c r="F910" s="509">
        <v>0</v>
      </c>
      <c r="G910" s="509">
        <v>0</v>
      </c>
      <c r="H910" s="509">
        <v>0</v>
      </c>
      <c r="I910" s="601">
        <v>0</v>
      </c>
      <c r="J910" s="505">
        <f>I910*H910*G910*F910</f>
        <v>0</v>
      </c>
      <c r="K910" s="471"/>
      <c r="N910" s="6"/>
    </row>
    <row r="911" spans="1:14">
      <c r="A911" s="463"/>
      <c r="B911" s="594"/>
      <c r="C911" s="536"/>
      <c r="D911" s="536"/>
      <c r="E911" s="595"/>
      <c r="F911" s="596"/>
      <c r="G911" s="545"/>
      <c r="H911" s="545"/>
      <c r="I911" s="537" t="s">
        <v>175</v>
      </c>
      <c r="J911" s="514">
        <f>SUM(J909:J910)</f>
        <v>0</v>
      </c>
      <c r="K911" s="471"/>
      <c r="N911" s="6"/>
    </row>
    <row r="912" spans="1:14">
      <c r="A912" s="463"/>
      <c r="B912" s="536"/>
      <c r="C912" s="536"/>
      <c r="D912" s="536"/>
      <c r="E912" s="536"/>
      <c r="F912" s="536"/>
      <c r="G912" s="536"/>
      <c r="H912" s="536"/>
      <c r="I912" s="537"/>
      <c r="J912" s="536"/>
      <c r="K912" s="471"/>
    </row>
    <row r="913" spans="1:11">
      <c r="A913" s="463"/>
      <c r="B913" s="1481" t="s">
        <v>963</v>
      </c>
      <c r="C913" s="1482"/>
      <c r="D913" s="1482"/>
      <c r="E913" s="1482"/>
      <c r="F913" s="1482"/>
      <c r="G913" s="1482"/>
      <c r="H913" s="1482"/>
      <c r="I913" s="1483"/>
      <c r="J913" s="586">
        <v>18.985206944364943</v>
      </c>
      <c r="K913" s="471"/>
    </row>
    <row r="914" spans="1:11">
      <c r="A914" s="463"/>
      <c r="B914" s="524"/>
      <c r="C914" s="524"/>
      <c r="D914" s="524"/>
      <c r="E914" s="524"/>
      <c r="F914" s="524"/>
      <c r="G914" s="524"/>
      <c r="H914" s="524"/>
      <c r="I914" s="584"/>
      <c r="J914" s="524"/>
      <c r="K914" s="471"/>
    </row>
    <row r="915" spans="1:11">
      <c r="A915" s="463"/>
      <c r="B915" s="602"/>
      <c r="C915" s="572"/>
      <c r="D915" s="572"/>
      <c r="E915" s="572"/>
      <c r="F915" s="572"/>
      <c r="G915" s="572"/>
      <c r="H915" s="572"/>
      <c r="I915" s="572"/>
      <c r="J915" s="603"/>
      <c r="K915" s="471"/>
    </row>
    <row r="916" spans="1:11">
      <c r="A916" s="463"/>
      <c r="B916" s="604"/>
      <c r="C916" s="605"/>
      <c r="D916" s="606"/>
      <c r="E916" s="606"/>
      <c r="F916" s="607" t="s">
        <v>946</v>
      </c>
      <c r="G916" s="608" t="s">
        <v>946</v>
      </c>
      <c r="H916" s="605"/>
      <c r="I916" s="605"/>
      <c r="J916" s="609"/>
      <c r="K916" s="471"/>
    </row>
    <row r="917" spans="1:11">
      <c r="A917" s="463"/>
      <c r="B917" s="472"/>
      <c r="C917" s="472"/>
      <c r="D917" s="472"/>
      <c r="E917" s="472"/>
      <c r="F917" s="472"/>
      <c r="G917" s="472"/>
      <c r="H917" s="472"/>
      <c r="I917" s="472"/>
      <c r="J917" s="472"/>
      <c r="K917" s="471"/>
    </row>
    <row r="918" spans="1:11">
      <c r="A918" s="463"/>
      <c r="B918" s="610" t="str">
        <f>PLANEJAMENTO!F2</f>
        <v>OPERAÇÃO DE SUPRESSÃO E SUMP</v>
      </c>
      <c r="C918" s="611"/>
      <c r="D918" s="611"/>
      <c r="E918" s="611"/>
      <c r="F918" s="612"/>
      <c r="G918" s="613" t="s">
        <v>363</v>
      </c>
      <c r="H918" s="515"/>
      <c r="I918" s="515"/>
      <c r="J918" s="518"/>
      <c r="K918" s="471"/>
    </row>
    <row r="919" spans="1:11">
      <c r="A919" s="463"/>
      <c r="B919" s="956" t="str">
        <f>PLANEJAMENTO!F3</f>
        <v>MARA ROSA</v>
      </c>
      <c r="C919" s="957"/>
      <c r="D919" s="957"/>
      <c r="E919" s="957"/>
      <c r="F919" s="958"/>
      <c r="G919" s="1484" t="s">
        <v>964</v>
      </c>
      <c r="H919" s="1485"/>
      <c r="I919" s="1485"/>
      <c r="J919" s="1486"/>
      <c r="K919" s="471"/>
    </row>
    <row r="920" spans="1:11">
      <c r="A920" s="463"/>
      <c r="B920" s="1015"/>
      <c r="C920" s="587"/>
      <c r="D920" s="587"/>
      <c r="E920" s="587"/>
      <c r="F920" s="587"/>
      <c r="G920" s="1014"/>
      <c r="H920" s="1014"/>
      <c r="I920" s="1014"/>
      <c r="J920" s="1016"/>
      <c r="K920" s="471"/>
    </row>
    <row r="921" spans="1:11" ht="15" thickBot="1">
      <c r="A921" s="463"/>
      <c r="B921" s="524"/>
      <c r="C921" s="524"/>
      <c r="D921" s="524"/>
      <c r="E921" s="524"/>
      <c r="F921" s="524"/>
      <c r="G921" s="524"/>
      <c r="H921" s="524"/>
      <c r="I921" s="584"/>
      <c r="J921" s="524"/>
      <c r="K921" s="471"/>
    </row>
    <row r="922" spans="1:11">
      <c r="A922" s="460"/>
      <c r="B922" s="461"/>
      <c r="C922" s="461"/>
      <c r="D922" s="461"/>
      <c r="E922" s="461"/>
      <c r="F922" s="461"/>
      <c r="G922" s="461"/>
      <c r="H922" s="461"/>
      <c r="I922" s="461"/>
      <c r="J922" s="461"/>
      <c r="K922" s="462"/>
    </row>
    <row r="923" spans="1:11">
      <c r="A923" s="463"/>
      <c r="B923" s="464" t="s">
        <v>178</v>
      </c>
      <c r="C923" s="465"/>
      <c r="D923" s="466" t="s">
        <v>936</v>
      </c>
      <c r="E923" s="467"/>
      <c r="F923" s="468"/>
      <c r="G923" s="468"/>
      <c r="H923" s="469"/>
      <c r="I923" s="469"/>
      <c r="J923" s="470"/>
      <c r="K923" s="471"/>
    </row>
    <row r="924" spans="1:11">
      <c r="A924" s="463"/>
      <c r="B924" s="472"/>
      <c r="C924" s="472"/>
      <c r="D924" s="472"/>
      <c r="E924" s="472"/>
      <c r="F924" s="472"/>
      <c r="G924" s="472"/>
      <c r="H924" s="472"/>
      <c r="I924" s="472"/>
      <c r="J924" s="472"/>
      <c r="K924" s="471"/>
    </row>
    <row r="925" spans="1:11">
      <c r="A925" s="463"/>
      <c r="B925" s="473" t="s">
        <v>688</v>
      </c>
      <c r="C925" s="474" t="s">
        <v>937</v>
      </c>
      <c r="D925" s="1497" t="s">
        <v>250</v>
      </c>
      <c r="E925" s="1498"/>
      <c r="F925" s="1498"/>
      <c r="G925" s="1498"/>
      <c r="H925" s="1498"/>
      <c r="I925" s="1499"/>
      <c r="J925" s="475" t="s">
        <v>267</v>
      </c>
      <c r="K925" s="471"/>
    </row>
    <row r="926" spans="1:11" ht="24.6" customHeight="1">
      <c r="A926" s="463"/>
      <c r="B926" s="476" t="s">
        <v>3</v>
      </c>
      <c r="C926" s="477">
        <f ca="1">PLANEJAMENTO!F4</f>
        <v>46140</v>
      </c>
      <c r="D926" s="681" t="s">
        <v>1497</v>
      </c>
      <c r="E926" s="479"/>
      <c r="F926" s="479"/>
      <c r="G926" s="479"/>
      <c r="H926" s="479"/>
      <c r="I926" s="480"/>
      <c r="J926" s="481" t="str">
        <f>F943</f>
        <v>m3</v>
      </c>
      <c r="K926" s="471"/>
    </row>
    <row r="927" spans="1:11">
      <c r="A927" s="463"/>
      <c r="B927" s="482"/>
      <c r="C927" s="482"/>
      <c r="D927" s="482"/>
      <c r="E927" s="482"/>
      <c r="F927" s="482"/>
      <c r="G927" s="482"/>
      <c r="H927" s="482"/>
      <c r="I927" s="483"/>
      <c r="J927" s="484"/>
      <c r="K927" s="471"/>
    </row>
    <row r="928" spans="1:11">
      <c r="A928" s="463"/>
      <c r="B928" s="1484" t="s">
        <v>938</v>
      </c>
      <c r="C928" s="1486"/>
      <c r="D928" s="1502" t="s">
        <v>688</v>
      </c>
      <c r="E928" s="1504" t="s">
        <v>939</v>
      </c>
      <c r="F928" s="485" t="s">
        <v>940</v>
      </c>
      <c r="G928" s="486"/>
      <c r="H928" s="485" t="s">
        <v>941</v>
      </c>
      <c r="I928" s="486"/>
      <c r="J928" s="487" t="s">
        <v>942</v>
      </c>
      <c r="K928" s="471"/>
    </row>
    <row r="929" spans="1:16">
      <c r="A929" s="463"/>
      <c r="B929" s="1500"/>
      <c r="C929" s="1501"/>
      <c r="D929" s="1503"/>
      <c r="E929" s="1505"/>
      <c r="F929" s="488" t="s">
        <v>943</v>
      </c>
      <c r="G929" s="488" t="s">
        <v>944</v>
      </c>
      <c r="H929" s="488" t="s">
        <v>943</v>
      </c>
      <c r="I929" s="489" t="s">
        <v>944</v>
      </c>
      <c r="J929" s="490" t="s">
        <v>945</v>
      </c>
      <c r="K929" s="471"/>
    </row>
    <row r="930" spans="1:16">
      <c r="A930" s="463"/>
      <c r="B930" s="491" t="s">
        <v>669</v>
      </c>
      <c r="C930" s="492"/>
      <c r="D930" s="493"/>
      <c r="E930" s="494">
        <v>1</v>
      </c>
      <c r="F930" s="494">
        <v>1</v>
      </c>
      <c r="G930" s="495">
        <f>1-F930</f>
        <v>0</v>
      </c>
      <c r="H930" s="496">
        <f>VLOOKUP(B930,EQUIPAMENTOS!$A:$J,10,FALSE)</f>
        <v>214.36944444444444</v>
      </c>
      <c r="I930" s="497">
        <f>H930</f>
        <v>214.36944444444444</v>
      </c>
      <c r="J930" s="498">
        <f>H930*F930*E930+I930*G930*E930</f>
        <v>214.36944444444444</v>
      </c>
      <c r="K930" s="471"/>
    </row>
    <row r="931" spans="1:16" ht="14.25" customHeight="1">
      <c r="A931" s="463"/>
      <c r="B931" s="499" t="s">
        <v>954</v>
      </c>
      <c r="C931" s="500"/>
      <c r="D931" s="501"/>
      <c r="E931" s="875">
        <v>1</v>
      </c>
      <c r="F931" s="502">
        <v>1</v>
      </c>
      <c r="G931" s="502">
        <f>1-F931</f>
        <v>0</v>
      </c>
      <c r="H931" s="503">
        <f>VLOOKUP(B931,EQUIPAMENTOS!$A:$J,10,FALSE)</f>
        <v>192.58333333333334</v>
      </c>
      <c r="I931" s="504">
        <f>H931</f>
        <v>192.58333333333334</v>
      </c>
      <c r="J931" s="505">
        <f>H931*F931*E931+I931*G931*E931</f>
        <v>192.58333333333334</v>
      </c>
      <c r="K931" s="471"/>
    </row>
    <row r="932" spans="1:16" ht="14.4" customHeight="1">
      <c r="A932" s="463"/>
      <c r="B932" s="499" t="s">
        <v>1157</v>
      </c>
      <c r="C932" s="500"/>
      <c r="D932" s="501"/>
      <c r="E932" s="502">
        <v>5</v>
      </c>
      <c r="F932" s="502">
        <v>1</v>
      </c>
      <c r="G932" s="502">
        <f>1-F932</f>
        <v>0</v>
      </c>
      <c r="H932" s="503">
        <f>VLOOKUP(B932,EQUIPAMENTOS!$A:$J,10,FALSE)</f>
        <v>125</v>
      </c>
      <c r="I932" s="504">
        <f>H932</f>
        <v>125</v>
      </c>
      <c r="J932" s="505">
        <f>H932*F932*E932+I932*G932*E932</f>
        <v>625</v>
      </c>
      <c r="K932" s="471"/>
    </row>
    <row r="933" spans="1:16">
      <c r="A933" s="463"/>
      <c r="B933" s="499"/>
      <c r="C933" s="507"/>
      <c r="D933" s="1017"/>
      <c r="E933" s="509"/>
      <c r="F933" s="509"/>
      <c r="G933" s="509"/>
      <c r="H933" s="510"/>
      <c r="I933" s="510"/>
      <c r="J933" s="505"/>
      <c r="K933" s="471"/>
    </row>
    <row r="934" spans="1:16">
      <c r="A934" s="463"/>
      <c r="B934" s="512" t="s">
        <v>946</v>
      </c>
      <c r="C934" s="482"/>
      <c r="D934" s="482"/>
      <c r="E934" s="482"/>
      <c r="F934" s="482"/>
      <c r="G934" s="482"/>
      <c r="H934" s="482"/>
      <c r="I934" s="513" t="s">
        <v>175</v>
      </c>
      <c r="J934" s="514">
        <f>SUM(J930:J933)</f>
        <v>1031.9527777777778</v>
      </c>
      <c r="K934" s="471"/>
    </row>
    <row r="935" spans="1:16" ht="20.399999999999999" customHeight="1">
      <c r="A935" s="463"/>
      <c r="B935" s="515"/>
      <c r="C935" s="515"/>
      <c r="D935" s="515"/>
      <c r="E935" s="515"/>
      <c r="F935" s="515"/>
      <c r="G935" s="515"/>
      <c r="H935" s="515"/>
      <c r="I935" s="516"/>
      <c r="J935" s="517"/>
      <c r="K935" s="471"/>
    </row>
    <row r="936" spans="1:16" ht="20.399999999999999">
      <c r="A936" s="463"/>
      <c r="B936" s="1490" t="s">
        <v>947</v>
      </c>
      <c r="C936" s="1491"/>
      <c r="D936" s="1491"/>
      <c r="E936" s="1492"/>
      <c r="F936" s="725" t="s">
        <v>688</v>
      </c>
      <c r="G936" s="853"/>
      <c r="H936" s="520" t="s">
        <v>427</v>
      </c>
      <c r="I936" s="521" t="s">
        <v>948</v>
      </c>
      <c r="J936" s="522" t="s">
        <v>949</v>
      </c>
      <c r="K936" s="471"/>
      <c r="N936" s="116"/>
      <c r="O936" s="58"/>
      <c r="P936" s="58"/>
    </row>
    <row r="937" spans="1:16">
      <c r="A937" s="463"/>
      <c r="B937" s="523" t="s">
        <v>950</v>
      </c>
      <c r="C937" s="524"/>
      <c r="D937" s="525"/>
      <c r="E937" s="526"/>
      <c r="F937" s="527"/>
      <c r="G937" s="528"/>
      <c r="H937" s="529">
        <f>E932</f>
        <v>5</v>
      </c>
      <c r="I937" s="534">
        <f>(VLOOKUP(B937,'MÃO DE OBRA'!$A:$E,5,FALSE)/220)</f>
        <v>26.714454545454547</v>
      </c>
      <c r="J937" s="505">
        <f>H937*I937</f>
        <v>133.57227272727275</v>
      </c>
      <c r="K937" s="471"/>
    </row>
    <row r="938" spans="1:16" ht="14.4" customHeight="1">
      <c r="A938" s="463"/>
      <c r="B938" s="530" t="s">
        <v>976</v>
      </c>
      <c r="C938" s="531"/>
      <c r="D938" s="472"/>
      <c r="E938" s="500"/>
      <c r="F938" s="501"/>
      <c r="G938" s="532"/>
      <c r="H938" s="533">
        <f>E930</f>
        <v>1</v>
      </c>
      <c r="I938" s="534">
        <f>(VLOOKUP(B938,'MÃO DE OBRA'!$A:$E,5,FALSE)/220)</f>
        <v>35.711036363636367</v>
      </c>
      <c r="J938" s="505">
        <f>H938*I938</f>
        <v>35.711036363636367</v>
      </c>
      <c r="K938" s="471"/>
    </row>
    <row r="939" spans="1:16">
      <c r="A939" s="463"/>
      <c r="B939" s="530" t="s">
        <v>472</v>
      </c>
      <c r="C939" s="531"/>
      <c r="D939" s="472"/>
      <c r="E939" s="500"/>
      <c r="F939" s="501"/>
      <c r="G939" s="532"/>
      <c r="H939" s="533">
        <v>3</v>
      </c>
      <c r="I939" s="534">
        <f>(VLOOKUP(B939,'MÃO DE OBRA'!$A:$E,5,FALSE)/220)</f>
        <v>18.377072727272729</v>
      </c>
      <c r="J939" s="505">
        <f>H939*I939</f>
        <v>55.131218181818184</v>
      </c>
      <c r="K939" s="471"/>
    </row>
    <row r="940" spans="1:16">
      <c r="A940" s="463"/>
      <c r="B940" s="530" t="s">
        <v>951</v>
      </c>
      <c r="C940" s="531"/>
      <c r="D940" s="472"/>
      <c r="E940" s="500"/>
      <c r="F940" s="501"/>
      <c r="G940" s="532"/>
      <c r="H940" s="533">
        <f>E931</f>
        <v>1</v>
      </c>
      <c r="I940" s="534">
        <f>(VLOOKUP(B940,'MÃO DE OBRA'!$A:$E,5,FALSE)/220)</f>
        <v>26.270618181818183</v>
      </c>
      <c r="J940" s="505">
        <f>H940*I940</f>
        <v>26.270618181818183</v>
      </c>
      <c r="K940" s="471"/>
    </row>
    <row r="941" spans="1:16">
      <c r="A941" s="463"/>
      <c r="B941" s="512" t="s">
        <v>946</v>
      </c>
      <c r="C941" s="515"/>
      <c r="D941" s="515"/>
      <c r="E941" s="515"/>
      <c r="F941" s="515"/>
      <c r="G941" s="515"/>
      <c r="H941" s="515"/>
      <c r="I941" s="535" t="s">
        <v>175</v>
      </c>
      <c r="J941" s="514">
        <f>SUM(J937:J940)</f>
        <v>250.68514545454548</v>
      </c>
      <c r="K941" s="471"/>
    </row>
    <row r="942" spans="1:16">
      <c r="A942" s="463"/>
      <c r="B942" s="536"/>
      <c r="C942" s="536"/>
      <c r="D942" s="536"/>
      <c r="E942" s="536"/>
      <c r="F942" s="536"/>
      <c r="G942" s="536"/>
      <c r="H942" s="536"/>
      <c r="I942" s="537"/>
      <c r="J942" s="536"/>
      <c r="K942" s="471"/>
    </row>
    <row r="943" spans="1:16">
      <c r="A943" s="463"/>
      <c r="B943" s="538" t="s">
        <v>952</v>
      </c>
      <c r="C943" s="539"/>
      <c r="D943" s="536"/>
      <c r="E943" s="540">
        <v>64.028073996360007</v>
      </c>
      <c r="F943" s="541" t="s">
        <v>931</v>
      </c>
      <c r="G943" s="519"/>
      <c r="H943" s="519"/>
      <c r="I943" s="542" t="s">
        <v>953</v>
      </c>
      <c r="J943" s="514">
        <f>J934+J941</f>
        <v>1282.6379232323234</v>
      </c>
      <c r="K943" s="471"/>
    </row>
    <row r="944" spans="1:16">
      <c r="A944" s="463"/>
      <c r="B944" s="543"/>
      <c r="C944" s="536"/>
      <c r="D944" s="536"/>
      <c r="E944" s="544"/>
      <c r="F944" s="545"/>
      <c r="G944" s="545"/>
      <c r="H944" s="545"/>
      <c r="I944" s="537"/>
      <c r="J944" s="536"/>
      <c r="K944" s="471"/>
    </row>
    <row r="945" spans="1:14" ht="20.399999999999999">
      <c r="A945" s="463"/>
      <c r="B945" s="1493" t="s">
        <v>362</v>
      </c>
      <c r="C945" s="1494"/>
      <c r="D945" s="1494"/>
      <c r="E945" s="1495"/>
      <c r="F945" s="546" t="s">
        <v>688</v>
      </c>
      <c r="G945" s="547" t="s">
        <v>371</v>
      </c>
      <c r="H945" s="520" t="s">
        <v>942</v>
      </c>
      <c r="I945" s="548" t="s">
        <v>361</v>
      </c>
      <c r="J945" s="549" t="s">
        <v>363</v>
      </c>
      <c r="K945" s="471"/>
    </row>
    <row r="946" spans="1:14" ht="14.4" hidden="1" customHeight="1">
      <c r="A946" s="463"/>
      <c r="B946" s="550" t="str">
        <f>B930</f>
        <v>Trator de esteiras 20T</v>
      </c>
      <c r="C946" s="551"/>
      <c r="D946" s="551"/>
      <c r="E946" s="552"/>
      <c r="F946" s="553" t="str">
        <f>VLOOKUP(B946,EQUIPAMENTOS!$A:$N,12,FALSE)</f>
        <v>Diesel S10</v>
      </c>
      <c r="G946" s="554" t="s">
        <v>415</v>
      </c>
      <c r="H946" s="560">
        <f>VLOOKUP(B946,EQUIPAMENTOS!$A:$N,13,FALSE)</f>
        <v>0</v>
      </c>
      <c r="I946" s="556">
        <f>VLOOKUP(B946,EQUIPAMENTOS!$A:$N,14,FALSE)</f>
        <v>26</v>
      </c>
      <c r="J946" s="498">
        <f>H946*I946*E930*F930</f>
        <v>0</v>
      </c>
      <c r="K946" s="471"/>
    </row>
    <row r="947" spans="1:14">
      <c r="A947" s="463"/>
      <c r="B947" s="557" t="str">
        <f>B930</f>
        <v>Trator de esteiras 20T</v>
      </c>
      <c r="C947" s="531"/>
      <c r="D947" s="531"/>
      <c r="E947" s="500"/>
      <c r="F947" s="553" t="str">
        <f>VLOOKUP(B947,EQUIPAMENTOS!$A:$N,12,FALSE)</f>
        <v>Diesel S10</v>
      </c>
      <c r="G947" s="554" t="s">
        <v>415</v>
      </c>
      <c r="H947" s="560">
        <f>VLOOKUP(B947,EQUIPAMENTOS!$A:$N,13,FALSE)</f>
        <v>0</v>
      </c>
      <c r="I947" s="556">
        <f>VLOOKUP(B947,EQUIPAMENTOS!$A:$N,14,FALSE)</f>
        <v>26</v>
      </c>
      <c r="J947" s="505">
        <f>H947*I947*E930*F930</f>
        <v>0</v>
      </c>
      <c r="K947" s="471"/>
      <c r="L947" s="6"/>
    </row>
    <row r="948" spans="1:14">
      <c r="A948" s="463"/>
      <c r="B948" s="557" t="str">
        <f t="shared" ref="B948:B949" si="6">B931</f>
        <v>Pá Carregadeira</v>
      </c>
      <c r="C948" s="531"/>
      <c r="D948" s="531"/>
      <c r="E948" s="500"/>
      <c r="F948" s="553" t="str">
        <f>VLOOKUP(B948,EQUIPAMENTOS!$A:$N,12,FALSE)</f>
        <v>Diesel S10</v>
      </c>
      <c r="G948" s="554" t="s">
        <v>415</v>
      </c>
      <c r="H948" s="560">
        <f>VLOOKUP(B948,EQUIPAMENTOS!$A:$N,13,FALSE)</f>
        <v>0</v>
      </c>
      <c r="I948" s="556">
        <f>VLOOKUP(B948,EQUIPAMENTOS!$A:$N,14,FALSE)</f>
        <v>16</v>
      </c>
      <c r="J948" s="505">
        <f>H948*I948*E931*F931</f>
        <v>0</v>
      </c>
      <c r="K948" s="471"/>
      <c r="L948" s="6"/>
    </row>
    <row r="949" spans="1:14">
      <c r="A949" s="463"/>
      <c r="B949" s="557" t="str">
        <f t="shared" si="6"/>
        <v>Caminhão basculante 14 m³</v>
      </c>
      <c r="C949" s="539"/>
      <c r="D949" s="539"/>
      <c r="E949" s="507"/>
      <c r="F949" s="553" t="str">
        <f>VLOOKUP(B949,EQUIPAMENTOS!$A:$N,12,FALSE)</f>
        <v>Diesel S10</v>
      </c>
      <c r="G949" s="736" t="s">
        <v>415</v>
      </c>
      <c r="H949" s="560">
        <f>VLOOKUP(B949,EQUIPAMENTOS!$A:$N,13,FALSE)</f>
        <v>0</v>
      </c>
      <c r="I949" s="556">
        <f>VLOOKUP(B949,EQUIPAMENTOS!$A:$N,14,FALSE)</f>
        <v>2.5</v>
      </c>
      <c r="J949" s="505">
        <f>H949*I949*E932*F932</f>
        <v>0</v>
      </c>
      <c r="K949" s="471"/>
    </row>
    <row r="950" spans="1:14">
      <c r="A950" s="463"/>
      <c r="B950" s="563" t="s">
        <v>946</v>
      </c>
      <c r="C950" s="539"/>
      <c r="D950" s="539"/>
      <c r="E950" s="539"/>
      <c r="F950" s="536"/>
      <c r="G950" s="539"/>
      <c r="H950" s="564"/>
      <c r="I950" s="565" t="s">
        <v>175</v>
      </c>
      <c r="J950" s="514">
        <f>SUM(J946:J949)</f>
        <v>0</v>
      </c>
      <c r="K950" s="471"/>
    </row>
    <row r="951" spans="1:14">
      <c r="A951" s="463"/>
      <c r="B951" s="566"/>
      <c r="C951" s="539"/>
      <c r="D951" s="539"/>
      <c r="E951" s="567"/>
      <c r="F951" s="568"/>
      <c r="G951" s="519"/>
      <c r="H951" s="519"/>
      <c r="I951" s="542"/>
      <c r="J951" s="567"/>
      <c r="K951" s="471"/>
    </row>
    <row r="952" spans="1:14" ht="20.399999999999999">
      <c r="A952" s="463"/>
      <c r="B952" s="1493" t="s">
        <v>955</v>
      </c>
      <c r="C952" s="1494"/>
      <c r="D952" s="1494"/>
      <c r="E952" s="1494"/>
      <c r="F952" s="1495"/>
      <c r="G952" s="569" t="s">
        <v>372</v>
      </c>
      <c r="H952" s="519" t="s">
        <v>956</v>
      </c>
      <c r="I952" s="570" t="s">
        <v>942</v>
      </c>
      <c r="J952" s="522" t="s">
        <v>363</v>
      </c>
      <c r="K952" s="471"/>
    </row>
    <row r="953" spans="1:14">
      <c r="A953" s="463"/>
      <c r="B953" s="571"/>
      <c r="C953" s="572"/>
      <c r="D953" s="573"/>
      <c r="E953" s="573"/>
      <c r="F953" s="574"/>
      <c r="G953" s="502"/>
      <c r="H953" s="502"/>
      <c r="I953" s="575"/>
      <c r="J953" s="505"/>
      <c r="K953" s="471"/>
    </row>
    <row r="954" spans="1:14">
      <c r="A954" s="463"/>
      <c r="B954" s="576"/>
      <c r="C954" s="577"/>
      <c r="D954" s="578"/>
      <c r="E954" s="578"/>
      <c r="F954" s="579"/>
      <c r="G954" s="502"/>
      <c r="H954" s="502"/>
      <c r="I954" s="575"/>
      <c r="J954" s="505"/>
      <c r="K954" s="471"/>
    </row>
    <row r="955" spans="1:14">
      <c r="A955" s="463"/>
      <c r="B955" s="1496" t="s">
        <v>175</v>
      </c>
      <c r="C955" s="1496"/>
      <c r="D955" s="1496"/>
      <c r="E955" s="1496"/>
      <c r="F955" s="1496"/>
      <c r="G955" s="1496"/>
      <c r="H955" s="1496"/>
      <c r="I955" s="1496"/>
      <c r="J955" s="514">
        <f>SUM(J953:J954)</f>
        <v>0</v>
      </c>
      <c r="K955" s="471"/>
    </row>
    <row r="956" spans="1:14">
      <c r="A956" s="463"/>
      <c r="B956" s="580"/>
      <c r="C956" s="524"/>
      <c r="D956" s="524"/>
      <c r="E956" s="581"/>
      <c r="F956" s="582"/>
      <c r="G956" s="583"/>
      <c r="H956" s="583"/>
      <c r="I956" s="584"/>
      <c r="J956" s="585"/>
      <c r="K956" s="471"/>
    </row>
    <row r="957" spans="1:14">
      <c r="A957" s="463"/>
      <c r="B957" s="586" t="s">
        <v>957</v>
      </c>
      <c r="C957" s="586"/>
      <c r="D957" s="563"/>
      <c r="E957" s="536"/>
      <c r="F957" s="536"/>
      <c r="G957" s="536"/>
      <c r="H957" s="587"/>
      <c r="I957" s="588"/>
      <c r="J957" s="514">
        <f>(J943+J950+J955)/E943</f>
        <v>20.032430200934066</v>
      </c>
      <c r="K957" s="471"/>
      <c r="L957">
        <v>20.032430241199918</v>
      </c>
    </row>
    <row r="958" spans="1:14">
      <c r="A958" s="463"/>
      <c r="B958" s="566"/>
      <c r="C958" s="539"/>
      <c r="D958" s="539"/>
      <c r="E958" s="567"/>
      <c r="F958" s="568"/>
      <c r="G958" s="519"/>
      <c r="H958" s="519"/>
      <c r="I958" s="542"/>
      <c r="J958" s="589"/>
      <c r="K958" s="471"/>
      <c r="N958" s="6"/>
    </row>
    <row r="959" spans="1:14" ht="20.399999999999999">
      <c r="A959" s="463"/>
      <c r="B959" s="1493" t="s">
        <v>958</v>
      </c>
      <c r="C959" s="1494"/>
      <c r="D959" s="1494"/>
      <c r="E959" s="1494"/>
      <c r="F959" s="1495"/>
      <c r="G959" s="569" t="s">
        <v>372</v>
      </c>
      <c r="H959" s="519" t="s">
        <v>956</v>
      </c>
      <c r="I959" s="570" t="s">
        <v>942</v>
      </c>
      <c r="J959" s="522" t="s">
        <v>363</v>
      </c>
      <c r="K959" s="471"/>
      <c r="N959" s="6"/>
    </row>
    <row r="960" spans="1:14">
      <c r="A960" s="463"/>
      <c r="B960" s="571"/>
      <c r="C960" s="572"/>
      <c r="D960" s="573"/>
      <c r="E960" s="573"/>
      <c r="F960" s="574"/>
      <c r="G960" s="502"/>
      <c r="H960" s="502"/>
      <c r="I960" s="575"/>
      <c r="J960" s="505">
        <f>G960*I960</f>
        <v>0</v>
      </c>
      <c r="K960" s="471"/>
    </row>
    <row r="961" spans="1:11">
      <c r="A961" s="463"/>
      <c r="B961" s="576"/>
      <c r="C961" s="577"/>
      <c r="D961" s="578"/>
      <c r="E961" s="578"/>
      <c r="F961" s="579"/>
      <c r="G961" s="502"/>
      <c r="H961" s="502"/>
      <c r="I961" s="575"/>
      <c r="J961" s="505">
        <f>G961*I961</f>
        <v>0</v>
      </c>
      <c r="K961" s="471"/>
    </row>
    <row r="962" spans="1:11">
      <c r="A962" s="463"/>
      <c r="B962" s="576"/>
      <c r="C962" s="577"/>
      <c r="D962" s="578"/>
      <c r="E962" s="578"/>
      <c r="F962" s="579"/>
      <c r="G962" s="502"/>
      <c r="H962" s="502"/>
      <c r="I962" s="575"/>
      <c r="J962" s="505">
        <f>G962*I962</f>
        <v>0</v>
      </c>
      <c r="K962" s="471"/>
    </row>
    <row r="963" spans="1:11">
      <c r="A963" s="463"/>
      <c r="B963" s="590"/>
      <c r="C963" s="591"/>
      <c r="D963" s="592"/>
      <c r="E963" s="592"/>
      <c r="F963" s="593"/>
      <c r="G963" s="502"/>
      <c r="H963" s="502"/>
      <c r="I963" s="575"/>
      <c r="J963" s="505">
        <f>G963*I963</f>
        <v>0</v>
      </c>
      <c r="K963" s="471"/>
    </row>
    <row r="964" spans="1:11">
      <c r="A964" s="463"/>
      <c r="B964" s="594"/>
      <c r="C964" s="536"/>
      <c r="D964" s="536"/>
      <c r="E964" s="595"/>
      <c r="F964" s="596"/>
      <c r="G964" s="545"/>
      <c r="H964" s="545"/>
      <c r="I964" s="537" t="s">
        <v>175</v>
      </c>
      <c r="J964" s="514">
        <f>SUM(J960:J963)</f>
        <v>0</v>
      </c>
      <c r="K964" s="471"/>
    </row>
    <row r="965" spans="1:11">
      <c r="A965" s="463"/>
      <c r="B965" s="597"/>
      <c r="C965" s="536"/>
      <c r="D965" s="536"/>
      <c r="E965" s="595"/>
      <c r="F965" s="596"/>
      <c r="G965" s="545"/>
      <c r="H965" s="545"/>
      <c r="I965" s="537"/>
      <c r="J965" s="595"/>
      <c r="K965" s="471"/>
    </row>
    <row r="966" spans="1:11" ht="20.399999999999999">
      <c r="A966" s="463"/>
      <c r="B966" s="598" t="s">
        <v>959</v>
      </c>
      <c r="C966" s="598"/>
      <c r="D966" s="598"/>
      <c r="E966" s="599"/>
      <c r="F966" s="600" t="s">
        <v>372</v>
      </c>
      <c r="G966" s="569" t="s">
        <v>960</v>
      </c>
      <c r="H966" s="519" t="s">
        <v>942</v>
      </c>
      <c r="I966" s="570" t="s">
        <v>361</v>
      </c>
      <c r="J966" s="522" t="s">
        <v>363</v>
      </c>
      <c r="K966" s="471"/>
    </row>
    <row r="967" spans="1:11">
      <c r="A967" s="463"/>
      <c r="B967" s="571"/>
      <c r="C967" s="572"/>
      <c r="D967" s="573"/>
      <c r="E967" s="574"/>
      <c r="F967" s="502"/>
      <c r="G967" s="502"/>
      <c r="H967" s="624"/>
      <c r="I967" s="575"/>
      <c r="J967" s="505"/>
      <c r="K967" s="471"/>
    </row>
    <row r="968" spans="1:11">
      <c r="A968" s="463"/>
      <c r="B968" s="590" t="s">
        <v>946</v>
      </c>
      <c r="C968" s="591"/>
      <c r="D968" s="592"/>
      <c r="E968" s="593" t="s">
        <v>946</v>
      </c>
      <c r="F968" s="509">
        <v>0</v>
      </c>
      <c r="G968" s="509">
        <v>0</v>
      </c>
      <c r="H968" s="509">
        <v>0</v>
      </c>
      <c r="I968" s="601">
        <v>0</v>
      </c>
      <c r="J968" s="505">
        <f>I968*H968*G968*F968</f>
        <v>0</v>
      </c>
      <c r="K968" s="471"/>
    </row>
    <row r="969" spans="1:11">
      <c r="A969" s="463"/>
      <c r="B969" s="594"/>
      <c r="C969" s="536"/>
      <c r="D969" s="536"/>
      <c r="E969" s="595"/>
      <c r="F969" s="596"/>
      <c r="G969" s="545"/>
      <c r="H969" s="545"/>
      <c r="I969" s="537" t="s">
        <v>175</v>
      </c>
      <c r="J969" s="514">
        <f>SUM(J967:J968)</f>
        <v>0</v>
      </c>
      <c r="K969" s="471"/>
    </row>
    <row r="970" spans="1:11">
      <c r="A970" s="463"/>
      <c r="B970" s="536"/>
      <c r="C970" s="536"/>
      <c r="D970" s="536"/>
      <c r="E970" s="536"/>
      <c r="F970" s="536"/>
      <c r="G970" s="536"/>
      <c r="H970" s="536"/>
      <c r="I970" s="537"/>
      <c r="J970" s="536"/>
      <c r="K970" s="471"/>
    </row>
    <row r="971" spans="1:11">
      <c r="A971" s="463"/>
      <c r="B971" s="1481" t="s">
        <v>963</v>
      </c>
      <c r="C971" s="1482"/>
      <c r="D971" s="1482"/>
      <c r="E971" s="1482"/>
      <c r="F971" s="1482"/>
      <c r="G971" s="1482"/>
      <c r="H971" s="1482"/>
      <c r="I971" s="1483"/>
      <c r="J971" s="586">
        <v>20.032430200934066</v>
      </c>
      <c r="K971" s="471"/>
    </row>
    <row r="972" spans="1:11">
      <c r="A972" s="463"/>
      <c r="B972" s="524"/>
      <c r="C972" s="524"/>
      <c r="D972" s="524"/>
      <c r="E972" s="524"/>
      <c r="F972" s="524"/>
      <c r="G972" s="524"/>
      <c r="H972" s="524"/>
      <c r="I972" s="584"/>
      <c r="J972" s="524"/>
      <c r="K972" s="471"/>
    </row>
    <row r="973" spans="1:11">
      <c r="A973" s="463"/>
      <c r="B973" s="602"/>
      <c r="C973" s="572"/>
      <c r="D973" s="572"/>
      <c r="E973" s="572"/>
      <c r="F973" s="572"/>
      <c r="G973" s="572"/>
      <c r="H973" s="572"/>
      <c r="I973" s="572"/>
      <c r="J973" s="603"/>
      <c r="K973" s="471"/>
    </row>
    <row r="974" spans="1:11">
      <c r="A974" s="463"/>
      <c r="B974" s="604"/>
      <c r="C974" s="605"/>
      <c r="D974" s="606"/>
      <c r="E974" s="606"/>
      <c r="F974" s="607" t="s">
        <v>946</v>
      </c>
      <c r="G974" s="608" t="s">
        <v>946</v>
      </c>
      <c r="H974" s="605"/>
      <c r="I974" s="605"/>
      <c r="J974" s="609"/>
      <c r="K974" s="471"/>
    </row>
    <row r="975" spans="1:11">
      <c r="A975" s="463"/>
      <c r="B975" s="472"/>
      <c r="C975" s="472"/>
      <c r="D975" s="472"/>
      <c r="E975" s="472"/>
      <c r="F975" s="472"/>
      <c r="G975" s="472"/>
      <c r="H975" s="472"/>
      <c r="I975" s="472"/>
      <c r="J975" s="472"/>
      <c r="K975" s="471"/>
    </row>
    <row r="976" spans="1:11">
      <c r="A976" s="463"/>
      <c r="B976" s="610" t="str">
        <f>PLANEJAMENTO!F2</f>
        <v>OPERAÇÃO DE SUPRESSÃO E SUMP</v>
      </c>
      <c r="C976" s="611"/>
      <c r="D976" s="611"/>
      <c r="E976" s="611"/>
      <c r="F976" s="612"/>
      <c r="G976" s="613" t="s">
        <v>363</v>
      </c>
      <c r="H976" s="515"/>
      <c r="I976" s="515"/>
      <c r="J976" s="518"/>
      <c r="K976" s="471"/>
    </row>
    <row r="977" spans="1:11">
      <c r="A977" s="463"/>
      <c r="B977" s="956" t="str">
        <f>PLANEJAMENTO!F3</f>
        <v>MARA ROSA</v>
      </c>
      <c r="C977" s="957"/>
      <c r="D977" s="957"/>
      <c r="E977" s="957"/>
      <c r="F977" s="958"/>
      <c r="G977" s="1484" t="s">
        <v>964</v>
      </c>
      <c r="H977" s="1485"/>
      <c r="I977" s="1485"/>
      <c r="J977" s="1486"/>
      <c r="K977" s="471"/>
    </row>
    <row r="978" spans="1:11">
      <c r="A978" s="463"/>
      <c r="B978" s="1015"/>
      <c r="C978" s="587"/>
      <c r="D978" s="587"/>
      <c r="E978" s="587"/>
      <c r="F978" s="587"/>
      <c r="G978" s="1014"/>
      <c r="H978" s="1014"/>
      <c r="I978" s="1014"/>
      <c r="J978" s="1016"/>
      <c r="K978" s="471"/>
    </row>
    <row r="979" spans="1:11">
      <c r="A979" s="463"/>
      <c r="B979" s="524"/>
      <c r="C979" s="524"/>
      <c r="D979" s="524"/>
      <c r="E979" s="524"/>
      <c r="F979" s="524"/>
      <c r="G979" s="524"/>
      <c r="H979" s="524"/>
      <c r="I979" s="584"/>
      <c r="J979" s="524"/>
      <c r="K979" s="471"/>
    </row>
    <row r="980" spans="1:11">
      <c r="A980" s="463"/>
      <c r="B980" s="472"/>
      <c r="C980" s="472"/>
      <c r="D980" s="472"/>
      <c r="E980" s="472"/>
      <c r="F980" s="472"/>
      <c r="G980" s="472"/>
      <c r="H980" s="472"/>
      <c r="I980" s="472"/>
      <c r="J980" s="472"/>
      <c r="K980" s="471"/>
    </row>
    <row r="981" spans="1:11">
      <c r="A981" s="463"/>
      <c r="B981" s="464" t="s">
        <v>178</v>
      </c>
      <c r="C981" s="465"/>
      <c r="D981" s="466" t="s">
        <v>936</v>
      </c>
      <c r="E981" s="467"/>
      <c r="F981" s="468"/>
      <c r="G981" s="468"/>
      <c r="H981" s="469"/>
      <c r="I981" s="469"/>
      <c r="J981" s="470"/>
      <c r="K981" s="471"/>
    </row>
    <row r="982" spans="1:11">
      <c r="A982" s="463"/>
      <c r="B982" s="472"/>
      <c r="C982" s="472"/>
      <c r="D982" s="472"/>
      <c r="E982" s="472"/>
      <c r="F982" s="472"/>
      <c r="G982" s="472"/>
      <c r="H982" s="472"/>
      <c r="I982" s="472"/>
      <c r="J982" s="472"/>
      <c r="K982" s="471"/>
    </row>
    <row r="983" spans="1:11">
      <c r="A983" s="463"/>
      <c r="B983" s="473" t="s">
        <v>688</v>
      </c>
      <c r="C983" s="474" t="s">
        <v>937</v>
      </c>
      <c r="D983" s="1497" t="s">
        <v>250</v>
      </c>
      <c r="E983" s="1498"/>
      <c r="F983" s="1498"/>
      <c r="G983" s="1498"/>
      <c r="H983" s="1498"/>
      <c r="I983" s="1499"/>
      <c r="J983" s="475" t="s">
        <v>267</v>
      </c>
      <c r="K983" s="471"/>
    </row>
    <row r="984" spans="1:11" ht="22.2" customHeight="1">
      <c r="A984" s="463"/>
      <c r="B984" s="476" t="s">
        <v>3</v>
      </c>
      <c r="C984" s="477">
        <f ca="1">PLANEJAMENTO!F4</f>
        <v>46140</v>
      </c>
      <c r="D984" s="681" t="s">
        <v>1498</v>
      </c>
      <c r="E984" s="479"/>
      <c r="F984" s="479"/>
      <c r="G984" s="479"/>
      <c r="H984" s="479"/>
      <c r="I984" s="480"/>
      <c r="J984" s="481" t="str">
        <f>F1002</f>
        <v>m3</v>
      </c>
      <c r="K984" s="471"/>
    </row>
    <row r="985" spans="1:11">
      <c r="A985" s="463"/>
      <c r="B985" s="482"/>
      <c r="C985" s="482"/>
      <c r="D985" s="482"/>
      <c r="E985" s="482"/>
      <c r="F985" s="482"/>
      <c r="G985" s="482"/>
      <c r="H985" s="482"/>
      <c r="I985" s="483"/>
      <c r="J985" s="484"/>
      <c r="K985" s="471"/>
    </row>
    <row r="986" spans="1:11">
      <c r="A986" s="463"/>
      <c r="B986" s="1484" t="s">
        <v>938</v>
      </c>
      <c r="C986" s="1486"/>
      <c r="D986" s="1502" t="s">
        <v>688</v>
      </c>
      <c r="E986" s="1504" t="s">
        <v>939</v>
      </c>
      <c r="F986" s="485" t="s">
        <v>940</v>
      </c>
      <c r="G986" s="486"/>
      <c r="H986" s="485" t="s">
        <v>941</v>
      </c>
      <c r="I986" s="486"/>
      <c r="J986" s="487" t="s">
        <v>942</v>
      </c>
      <c r="K986" s="471"/>
    </row>
    <row r="987" spans="1:11">
      <c r="A987" s="463"/>
      <c r="B987" s="1500"/>
      <c r="C987" s="1501"/>
      <c r="D987" s="1503"/>
      <c r="E987" s="1505"/>
      <c r="F987" s="488" t="s">
        <v>943</v>
      </c>
      <c r="G987" s="488" t="s">
        <v>944</v>
      </c>
      <c r="H987" s="488" t="s">
        <v>943</v>
      </c>
      <c r="I987" s="489" t="s">
        <v>944</v>
      </c>
      <c r="J987" s="490" t="s">
        <v>945</v>
      </c>
      <c r="K987" s="471"/>
    </row>
    <row r="988" spans="1:11">
      <c r="A988" s="463"/>
      <c r="B988" s="491" t="s">
        <v>669</v>
      </c>
      <c r="C988" s="492"/>
      <c r="D988" s="493"/>
      <c r="E988" s="494">
        <v>1</v>
      </c>
      <c r="F988" s="494">
        <v>1</v>
      </c>
      <c r="G988" s="495">
        <f>1-F988</f>
        <v>0</v>
      </c>
      <c r="H988" s="496">
        <f>VLOOKUP(B988,EQUIPAMENTOS!$A:$J,10,FALSE)</f>
        <v>214.36944444444444</v>
      </c>
      <c r="I988" s="497">
        <f>H988</f>
        <v>214.36944444444444</v>
      </c>
      <c r="J988" s="498">
        <f>H988*F988*E988+I988*G988*E988</f>
        <v>214.36944444444444</v>
      </c>
      <c r="K988" s="471"/>
    </row>
    <row r="989" spans="1:11">
      <c r="A989" s="463"/>
      <c r="B989" s="499" t="s">
        <v>954</v>
      </c>
      <c r="C989" s="500"/>
      <c r="D989" s="501"/>
      <c r="E989" s="875">
        <v>1</v>
      </c>
      <c r="F989" s="502">
        <v>1</v>
      </c>
      <c r="G989" s="502">
        <f>1-F989</f>
        <v>0</v>
      </c>
      <c r="H989" s="503">
        <f>VLOOKUP(B989,EQUIPAMENTOS!$A:$J,10,FALSE)</f>
        <v>192.58333333333334</v>
      </c>
      <c r="I989" s="504">
        <f>H989</f>
        <v>192.58333333333334</v>
      </c>
      <c r="J989" s="505">
        <f>H989*F989*E989+I989*G989*E989</f>
        <v>192.58333333333334</v>
      </c>
      <c r="K989" s="471"/>
    </row>
    <row r="990" spans="1:11">
      <c r="A990" s="463"/>
      <c r="B990" s="499" t="s">
        <v>1157</v>
      </c>
      <c r="C990" s="500"/>
      <c r="D990" s="501"/>
      <c r="E990" s="502">
        <v>7</v>
      </c>
      <c r="F990" s="502">
        <v>1</v>
      </c>
      <c r="G990" s="502">
        <f>1-F990</f>
        <v>0</v>
      </c>
      <c r="H990" s="503">
        <f>VLOOKUP(B990,EQUIPAMENTOS!$A:$J,10,FALSE)</f>
        <v>125</v>
      </c>
      <c r="I990" s="504">
        <f>H990</f>
        <v>125</v>
      </c>
      <c r="J990" s="505">
        <f>H990*F990*E990+I990*G990*E990</f>
        <v>875</v>
      </c>
      <c r="K990" s="471"/>
    </row>
    <row r="991" spans="1:11">
      <c r="A991" s="463"/>
      <c r="B991" s="499"/>
      <c r="C991" s="500"/>
      <c r="D991" s="501"/>
      <c r="E991" s="502"/>
      <c r="F991" s="502"/>
      <c r="G991" s="502"/>
      <c r="H991" s="503"/>
      <c r="I991" s="504"/>
      <c r="J991" s="505"/>
      <c r="K991" s="471"/>
    </row>
    <row r="992" spans="1:11">
      <c r="A992" s="463"/>
      <c r="B992" s="506"/>
      <c r="C992" s="507"/>
      <c r="D992" s="508"/>
      <c r="E992" s="509"/>
      <c r="F992" s="509"/>
      <c r="G992" s="509"/>
      <c r="H992" s="510"/>
      <c r="I992" s="511"/>
      <c r="J992" s="505">
        <f>H992*F992*E992+I992*G992*E992</f>
        <v>0</v>
      </c>
      <c r="K992" s="471"/>
    </row>
    <row r="993" spans="1:11">
      <c r="A993" s="463"/>
      <c r="B993" s="512" t="s">
        <v>946</v>
      </c>
      <c r="C993" s="482"/>
      <c r="D993" s="482"/>
      <c r="E993" s="482"/>
      <c r="F993" s="482"/>
      <c r="G993" s="482"/>
      <c r="H993" s="482"/>
      <c r="I993" s="513" t="s">
        <v>175</v>
      </c>
      <c r="J993" s="514">
        <f>SUM(J988:J992)</f>
        <v>1281.9527777777778</v>
      </c>
      <c r="K993" s="471"/>
    </row>
    <row r="994" spans="1:11">
      <c r="A994" s="463"/>
      <c r="B994" s="515"/>
      <c r="C994" s="515"/>
      <c r="D994" s="515"/>
      <c r="E994" s="515"/>
      <c r="F994" s="515"/>
      <c r="G994" s="515"/>
      <c r="H994" s="515"/>
      <c r="I994" s="516"/>
      <c r="J994" s="517"/>
      <c r="K994" s="471"/>
    </row>
    <row r="995" spans="1:11" ht="25.2" customHeight="1">
      <c r="A995" s="463"/>
      <c r="B995" s="1490" t="s">
        <v>947</v>
      </c>
      <c r="C995" s="1491"/>
      <c r="D995" s="1491"/>
      <c r="E995" s="1492"/>
      <c r="F995" s="725" t="s">
        <v>688</v>
      </c>
      <c r="G995" s="853"/>
      <c r="H995" s="520" t="s">
        <v>427</v>
      </c>
      <c r="I995" s="521" t="s">
        <v>948</v>
      </c>
      <c r="J995" s="522" t="s">
        <v>949</v>
      </c>
      <c r="K995" s="471"/>
    </row>
    <row r="996" spans="1:11" ht="14.4" customHeight="1">
      <c r="A996" s="463"/>
      <c r="B996" s="523" t="s">
        <v>950</v>
      </c>
      <c r="C996" s="524"/>
      <c r="D996" s="525"/>
      <c r="E996" s="526"/>
      <c r="F996" s="527"/>
      <c r="G996" s="528"/>
      <c r="H996" s="529">
        <f>E990</f>
        <v>7</v>
      </c>
      <c r="I996" s="534">
        <f>(VLOOKUP(B996,'MÃO DE OBRA'!$A:$E,5,FALSE)/220)</f>
        <v>26.714454545454547</v>
      </c>
      <c r="J996" s="505">
        <f>H996*I996</f>
        <v>187.00118181818183</v>
      </c>
      <c r="K996" s="471"/>
    </row>
    <row r="997" spans="1:11">
      <c r="A997" s="463"/>
      <c r="B997" s="530" t="s">
        <v>976</v>
      </c>
      <c r="C997" s="531"/>
      <c r="D997" s="472"/>
      <c r="E997" s="500"/>
      <c r="F997" s="501"/>
      <c r="G997" s="532"/>
      <c r="H997" s="533">
        <f>E988</f>
        <v>1</v>
      </c>
      <c r="I997" s="534">
        <f>(VLOOKUP(B997,'MÃO DE OBRA'!$A:$E,5,FALSE)/220)</f>
        <v>35.711036363636367</v>
      </c>
      <c r="J997" s="505">
        <f>H997*I997</f>
        <v>35.711036363636367</v>
      </c>
      <c r="K997" s="471"/>
    </row>
    <row r="998" spans="1:11">
      <c r="A998" s="463"/>
      <c r="B998" s="530" t="s">
        <v>472</v>
      </c>
      <c r="C998" s="531"/>
      <c r="D998" s="472"/>
      <c r="E998" s="500"/>
      <c r="F998" s="501"/>
      <c r="G998" s="532"/>
      <c r="H998" s="533">
        <v>5</v>
      </c>
      <c r="I998" s="534">
        <f>(VLOOKUP(B998,'MÃO DE OBRA'!$A:$E,5,FALSE)/220)</f>
        <v>18.377072727272729</v>
      </c>
      <c r="J998" s="505">
        <f>H998*I998</f>
        <v>91.88536363636365</v>
      </c>
      <c r="K998" s="471"/>
    </row>
    <row r="999" spans="1:11">
      <c r="A999" s="463"/>
      <c r="B999" s="530" t="s">
        <v>951</v>
      </c>
      <c r="C999" s="531"/>
      <c r="D999" s="472"/>
      <c r="E999" s="500"/>
      <c r="F999" s="501"/>
      <c r="G999" s="532"/>
      <c r="H999" s="533">
        <f>E989</f>
        <v>1</v>
      </c>
      <c r="I999" s="534">
        <f>(VLOOKUP(B999,'MÃO DE OBRA'!$A:$E,5,FALSE)/220)</f>
        <v>26.270618181818183</v>
      </c>
      <c r="J999" s="505">
        <f>H999*I999</f>
        <v>26.270618181818183</v>
      </c>
      <c r="K999" s="471"/>
    </row>
    <row r="1000" spans="1:11">
      <c r="A1000" s="463"/>
      <c r="B1000" s="512" t="s">
        <v>946</v>
      </c>
      <c r="C1000" s="515"/>
      <c r="D1000" s="515"/>
      <c r="E1000" s="515"/>
      <c r="F1000" s="515"/>
      <c r="G1000" s="515"/>
      <c r="H1000" s="515"/>
      <c r="I1000" s="535" t="s">
        <v>175</v>
      </c>
      <c r="J1000" s="514">
        <f>SUM(J996:J999)</f>
        <v>340.86820000000006</v>
      </c>
      <c r="K1000" s="471"/>
    </row>
    <row r="1001" spans="1:11">
      <c r="A1001" s="463"/>
      <c r="B1001" s="536"/>
      <c r="C1001" s="536"/>
      <c r="D1001" s="536"/>
      <c r="E1001" s="536"/>
      <c r="F1001" s="536"/>
      <c r="G1001" s="536"/>
      <c r="H1001" s="536"/>
      <c r="I1001" s="537"/>
      <c r="J1001" s="536"/>
      <c r="K1001" s="471"/>
    </row>
    <row r="1002" spans="1:11">
      <c r="A1002" s="463"/>
      <c r="B1002" s="538" t="s">
        <v>952</v>
      </c>
      <c r="C1002" s="539"/>
      <c r="D1002" s="536"/>
      <c r="E1002" s="540">
        <v>67.281206455631391</v>
      </c>
      <c r="F1002" s="541" t="s">
        <v>931</v>
      </c>
      <c r="G1002" s="519"/>
      <c r="H1002" s="519"/>
      <c r="I1002" s="542" t="s">
        <v>953</v>
      </c>
      <c r="J1002" s="514">
        <f>J993+J1000</f>
        <v>1622.8209777777779</v>
      </c>
      <c r="K1002" s="471"/>
    </row>
    <row r="1003" spans="1:11">
      <c r="A1003" s="463"/>
      <c r="B1003" s="543"/>
      <c r="C1003" s="536"/>
      <c r="D1003" s="536"/>
      <c r="E1003" s="544"/>
      <c r="F1003" s="545"/>
      <c r="G1003" s="545"/>
      <c r="H1003" s="545"/>
      <c r="I1003" s="537"/>
      <c r="J1003" s="536"/>
      <c r="K1003" s="471"/>
    </row>
    <row r="1004" spans="1:11" ht="20.399999999999999">
      <c r="A1004" s="463"/>
      <c r="B1004" s="1493" t="s">
        <v>362</v>
      </c>
      <c r="C1004" s="1494"/>
      <c r="D1004" s="1494"/>
      <c r="E1004" s="1495"/>
      <c r="F1004" s="546" t="s">
        <v>688</v>
      </c>
      <c r="G1004" s="547" t="s">
        <v>371</v>
      </c>
      <c r="H1004" s="520" t="s">
        <v>942</v>
      </c>
      <c r="I1004" s="548" t="s">
        <v>361</v>
      </c>
      <c r="J1004" s="549" t="s">
        <v>363</v>
      </c>
      <c r="K1004" s="471"/>
    </row>
    <row r="1005" spans="1:11">
      <c r="A1005" s="463"/>
      <c r="B1005" s="550" t="str">
        <f>B988</f>
        <v>Trator de esteiras 20T</v>
      </c>
      <c r="C1005" s="551"/>
      <c r="D1005" s="551"/>
      <c r="E1005" s="552"/>
      <c r="F1005" s="553" t="str">
        <f>VLOOKUP(B1005,EQUIPAMENTOS!$A:$N,12,FALSE)</f>
        <v>Diesel S10</v>
      </c>
      <c r="G1005" s="554" t="s">
        <v>415</v>
      </c>
      <c r="H1005" s="560">
        <f>VLOOKUP(B1005,EQUIPAMENTOS!$A:$N,13,FALSE)</f>
        <v>0</v>
      </c>
      <c r="I1005" s="556">
        <f>VLOOKUP(B1005,EQUIPAMENTOS!$A:$N,14,FALSE)</f>
        <v>26</v>
      </c>
      <c r="J1005" s="498">
        <f>H1005*I1005*E988*F988</f>
        <v>0</v>
      </c>
      <c r="K1005" s="471"/>
    </row>
    <row r="1006" spans="1:11">
      <c r="A1006" s="463"/>
      <c r="B1006" s="557" t="str">
        <f t="shared" ref="B1006:B1007" si="7">B989</f>
        <v>Pá Carregadeira</v>
      </c>
      <c r="C1006" s="531"/>
      <c r="D1006" s="531"/>
      <c r="E1006" s="500"/>
      <c r="F1006" s="553" t="str">
        <f>VLOOKUP(B1006,EQUIPAMENTOS!$A:$N,12,FALSE)</f>
        <v>Diesel S10</v>
      </c>
      <c r="G1006" s="554" t="s">
        <v>415</v>
      </c>
      <c r="H1006" s="560">
        <f>VLOOKUP(B1006,EQUIPAMENTOS!$A:$N,13,FALSE)</f>
        <v>0</v>
      </c>
      <c r="I1006" s="556">
        <f>VLOOKUP(B1006,EQUIPAMENTOS!$A:$N,14,FALSE)</f>
        <v>16</v>
      </c>
      <c r="J1006" s="505">
        <f>H1006*I1006*E989*F989</f>
        <v>0</v>
      </c>
      <c r="K1006" s="471"/>
    </row>
    <row r="1007" spans="1:11">
      <c r="A1007" s="463"/>
      <c r="B1007" s="557" t="str">
        <f t="shared" si="7"/>
        <v>Caminhão basculante 14 m³</v>
      </c>
      <c r="C1007" s="539"/>
      <c r="D1007" s="539"/>
      <c r="E1007" s="507"/>
      <c r="F1007" s="553" t="str">
        <f>VLOOKUP(B1007,EQUIPAMENTOS!$A:$N,12,FALSE)</f>
        <v>Diesel S10</v>
      </c>
      <c r="G1007" s="736" t="s">
        <v>415</v>
      </c>
      <c r="H1007" s="560">
        <f>VLOOKUP(B1007,EQUIPAMENTOS!$A:$N,13,FALSE)</f>
        <v>0</v>
      </c>
      <c r="I1007" s="556">
        <f>VLOOKUP(B1007,EQUIPAMENTOS!$A:$N,14,FALSE)</f>
        <v>2.5</v>
      </c>
      <c r="J1007" s="505">
        <f>H1007*I1007*E990*F990</f>
        <v>0</v>
      </c>
      <c r="K1007" s="471"/>
    </row>
    <row r="1008" spans="1:11" ht="14.25" customHeight="1">
      <c r="A1008" s="463"/>
      <c r="B1008" s="563" t="s">
        <v>946</v>
      </c>
      <c r="C1008" s="539"/>
      <c r="D1008" s="539"/>
      <c r="E1008" s="539"/>
      <c r="F1008" s="536"/>
      <c r="G1008" s="539"/>
      <c r="H1008" s="564"/>
      <c r="I1008" s="565" t="s">
        <v>175</v>
      </c>
      <c r="J1008" s="514">
        <f>SUM(J1005:J1007)</f>
        <v>0</v>
      </c>
      <c r="K1008" s="471"/>
    </row>
    <row r="1009" spans="1:14" ht="14.25" customHeight="1">
      <c r="A1009" s="463"/>
      <c r="B1009" s="566"/>
      <c r="C1009" s="539"/>
      <c r="D1009" s="539"/>
      <c r="E1009" s="567"/>
      <c r="F1009" s="568"/>
      <c r="G1009" s="519"/>
      <c r="H1009" s="519"/>
      <c r="I1009" s="542"/>
      <c r="J1009" s="567"/>
      <c r="K1009" s="471"/>
    </row>
    <row r="1010" spans="1:14" ht="25.95" customHeight="1">
      <c r="A1010" s="463"/>
      <c r="B1010" s="1493" t="s">
        <v>955</v>
      </c>
      <c r="C1010" s="1494"/>
      <c r="D1010" s="1494"/>
      <c r="E1010" s="1494"/>
      <c r="F1010" s="1495"/>
      <c r="G1010" s="569" t="s">
        <v>372</v>
      </c>
      <c r="H1010" s="519" t="s">
        <v>956</v>
      </c>
      <c r="I1010" s="570" t="s">
        <v>942</v>
      </c>
      <c r="J1010" s="522" t="s">
        <v>363</v>
      </c>
      <c r="K1010" s="471"/>
    </row>
    <row r="1011" spans="1:14" ht="14.25" customHeight="1">
      <c r="A1011" s="463"/>
      <c r="B1011" s="571"/>
      <c r="C1011" s="572"/>
      <c r="D1011" s="573"/>
      <c r="E1011" s="573"/>
      <c r="F1011" s="574"/>
      <c r="G1011" s="502"/>
      <c r="H1011" s="502"/>
      <c r="I1011" s="575"/>
      <c r="J1011" s="505"/>
      <c r="K1011" s="471"/>
    </row>
    <row r="1012" spans="1:14" ht="14.25" customHeight="1">
      <c r="A1012" s="463"/>
      <c r="B1012" s="576"/>
      <c r="C1012" s="577"/>
      <c r="D1012" s="578"/>
      <c r="E1012" s="578"/>
      <c r="F1012" s="579"/>
      <c r="G1012" s="502"/>
      <c r="H1012" s="502"/>
      <c r="I1012" s="575"/>
      <c r="J1012" s="505"/>
      <c r="K1012" s="471"/>
    </row>
    <row r="1013" spans="1:14">
      <c r="A1013" s="463"/>
      <c r="B1013" s="1496" t="s">
        <v>175</v>
      </c>
      <c r="C1013" s="1496"/>
      <c r="D1013" s="1496"/>
      <c r="E1013" s="1496"/>
      <c r="F1013" s="1496"/>
      <c r="G1013" s="1496"/>
      <c r="H1013" s="1496"/>
      <c r="I1013" s="1496"/>
      <c r="J1013" s="514">
        <f>SUM(J1011:J1012)</f>
        <v>0</v>
      </c>
      <c r="K1013" s="471"/>
      <c r="L1013" s="6"/>
    </row>
    <row r="1014" spans="1:14">
      <c r="A1014" s="463"/>
      <c r="B1014" s="580"/>
      <c r="C1014" s="524"/>
      <c r="D1014" s="524"/>
      <c r="E1014" s="581"/>
      <c r="F1014" s="582"/>
      <c r="G1014" s="583"/>
      <c r="H1014" s="583"/>
      <c r="I1014" s="584"/>
      <c r="J1014" s="585"/>
      <c r="K1014" s="471"/>
    </row>
    <row r="1015" spans="1:14">
      <c r="A1015" s="463"/>
      <c r="B1015" s="586" t="s">
        <v>957</v>
      </c>
      <c r="C1015" s="586"/>
      <c r="D1015" s="563"/>
      <c r="E1015" s="536"/>
      <c r="F1015" s="536"/>
      <c r="G1015" s="536"/>
      <c r="H1015" s="587"/>
      <c r="I1015" s="588"/>
      <c r="J1015" s="514">
        <f>(J1002+J1008+J1013)/E1002</f>
        <v>24.11997440693855</v>
      </c>
      <c r="K1015" s="471"/>
      <c r="L1015">
        <v>24.1199918924397</v>
      </c>
    </row>
    <row r="1016" spans="1:14">
      <c r="A1016" s="463"/>
      <c r="B1016" s="566"/>
      <c r="C1016" s="539"/>
      <c r="D1016" s="539"/>
      <c r="E1016" s="567"/>
      <c r="F1016" s="568"/>
      <c r="G1016" s="519"/>
      <c r="H1016" s="519"/>
      <c r="I1016" s="542"/>
      <c r="J1016" s="589"/>
      <c r="K1016" s="471"/>
    </row>
    <row r="1017" spans="1:14" ht="23.4" customHeight="1">
      <c r="A1017" s="463"/>
      <c r="B1017" s="1493" t="s">
        <v>958</v>
      </c>
      <c r="C1017" s="1494"/>
      <c r="D1017" s="1494"/>
      <c r="E1017" s="1494"/>
      <c r="F1017" s="1495"/>
      <c r="G1017" s="569" t="s">
        <v>372</v>
      </c>
      <c r="H1017" s="519" t="s">
        <v>956</v>
      </c>
      <c r="I1017" s="570" t="s">
        <v>942</v>
      </c>
      <c r="J1017" s="522" t="s">
        <v>363</v>
      </c>
      <c r="K1017" s="471"/>
    </row>
    <row r="1018" spans="1:14">
      <c r="A1018" s="463"/>
      <c r="B1018" s="571"/>
      <c r="C1018" s="572"/>
      <c r="D1018" s="573"/>
      <c r="E1018" s="573"/>
      <c r="F1018" s="574"/>
      <c r="G1018" s="502"/>
      <c r="H1018" s="502"/>
      <c r="I1018" s="575"/>
      <c r="J1018" s="505">
        <f>G1018*I1018</f>
        <v>0</v>
      </c>
      <c r="K1018" s="471"/>
    </row>
    <row r="1019" spans="1:14">
      <c r="A1019" s="463"/>
      <c r="B1019" s="576"/>
      <c r="C1019" s="577"/>
      <c r="D1019" s="578"/>
      <c r="E1019" s="578"/>
      <c r="F1019" s="579"/>
      <c r="G1019" s="502"/>
      <c r="H1019" s="502"/>
      <c r="I1019" s="575"/>
      <c r="J1019" s="505">
        <f>G1019*I1019</f>
        <v>0</v>
      </c>
      <c r="K1019" s="471"/>
    </row>
    <row r="1020" spans="1:14">
      <c r="A1020" s="463"/>
      <c r="B1020" s="576"/>
      <c r="C1020" s="577"/>
      <c r="D1020" s="578"/>
      <c r="E1020" s="578"/>
      <c r="F1020" s="579"/>
      <c r="G1020" s="502"/>
      <c r="H1020" s="502"/>
      <c r="I1020" s="575"/>
      <c r="J1020" s="505">
        <f>G1020*I1020</f>
        <v>0</v>
      </c>
      <c r="K1020" s="471"/>
    </row>
    <row r="1021" spans="1:14">
      <c r="A1021" s="463"/>
      <c r="B1021" s="590"/>
      <c r="C1021" s="591"/>
      <c r="D1021" s="592"/>
      <c r="E1021" s="592"/>
      <c r="F1021" s="593"/>
      <c r="G1021" s="502"/>
      <c r="H1021" s="502"/>
      <c r="I1021" s="575"/>
      <c r="J1021" s="505">
        <f>G1021*I1021</f>
        <v>0</v>
      </c>
      <c r="K1021" s="471"/>
    </row>
    <row r="1022" spans="1:14">
      <c r="A1022" s="463"/>
      <c r="B1022" s="594"/>
      <c r="C1022" s="536"/>
      <c r="D1022" s="536"/>
      <c r="E1022" s="595"/>
      <c r="F1022" s="596"/>
      <c r="G1022" s="545"/>
      <c r="H1022" s="545"/>
      <c r="I1022" s="537" t="s">
        <v>175</v>
      </c>
      <c r="J1022" s="514">
        <f>SUM(J1018:J1021)</f>
        <v>0</v>
      </c>
      <c r="K1022" s="471"/>
    </row>
    <row r="1023" spans="1:14">
      <c r="A1023" s="463"/>
      <c r="B1023" s="597"/>
      <c r="C1023" s="536"/>
      <c r="D1023" s="536"/>
      <c r="E1023" s="595"/>
      <c r="F1023" s="596"/>
      <c r="G1023" s="545"/>
      <c r="H1023" s="545"/>
      <c r="I1023" s="537"/>
      <c r="J1023" s="595"/>
      <c r="K1023" s="471"/>
      <c r="L1023" s="6"/>
      <c r="N1023" s="6"/>
    </row>
    <row r="1024" spans="1:14" ht="20.399999999999999">
      <c r="A1024" s="463"/>
      <c r="B1024" s="598" t="s">
        <v>959</v>
      </c>
      <c r="C1024" s="598"/>
      <c r="D1024" s="598"/>
      <c r="E1024" s="599"/>
      <c r="F1024" s="600" t="s">
        <v>372</v>
      </c>
      <c r="G1024" s="569" t="s">
        <v>960</v>
      </c>
      <c r="H1024" s="519" t="s">
        <v>942</v>
      </c>
      <c r="I1024" s="570" t="s">
        <v>361</v>
      </c>
      <c r="J1024" s="522" t="s">
        <v>363</v>
      </c>
      <c r="K1024" s="471"/>
      <c r="N1024" s="6"/>
    </row>
    <row r="1025" spans="1:14">
      <c r="A1025" s="463"/>
      <c r="B1025" s="571"/>
      <c r="C1025" s="572"/>
      <c r="D1025" s="573"/>
      <c r="E1025" s="574"/>
      <c r="F1025" s="502"/>
      <c r="G1025" s="502"/>
      <c r="H1025" s="624"/>
      <c r="I1025" s="575"/>
      <c r="J1025" s="505"/>
      <c r="K1025" s="471"/>
      <c r="N1025" s="6"/>
    </row>
    <row r="1026" spans="1:14">
      <c r="A1026" s="463"/>
      <c r="B1026" s="590" t="s">
        <v>946</v>
      </c>
      <c r="C1026" s="591"/>
      <c r="D1026" s="592"/>
      <c r="E1026" s="593" t="s">
        <v>946</v>
      </c>
      <c r="F1026" s="509">
        <v>0</v>
      </c>
      <c r="G1026" s="509">
        <v>0</v>
      </c>
      <c r="H1026" s="509">
        <v>0</v>
      </c>
      <c r="I1026" s="601">
        <v>0</v>
      </c>
      <c r="J1026" s="505">
        <f>I1026*H1026*G1026*F1026</f>
        <v>0</v>
      </c>
      <c r="K1026" s="471"/>
      <c r="N1026" s="6"/>
    </row>
    <row r="1027" spans="1:14">
      <c r="A1027" s="463"/>
      <c r="B1027" s="594"/>
      <c r="C1027" s="536"/>
      <c r="D1027" s="536"/>
      <c r="E1027" s="595"/>
      <c r="F1027" s="596"/>
      <c r="G1027" s="545"/>
      <c r="H1027" s="545"/>
      <c r="I1027" s="537" t="s">
        <v>175</v>
      </c>
      <c r="J1027" s="514">
        <f>SUM(J1025:J1026)</f>
        <v>0</v>
      </c>
      <c r="K1027" s="471"/>
      <c r="N1027" s="6"/>
    </row>
    <row r="1028" spans="1:14">
      <c r="A1028" s="463"/>
      <c r="B1028" s="536"/>
      <c r="C1028" s="536"/>
      <c r="D1028" s="536"/>
      <c r="E1028" s="536"/>
      <c r="F1028" s="536"/>
      <c r="G1028" s="536"/>
      <c r="H1028" s="536"/>
      <c r="I1028" s="537"/>
      <c r="J1028" s="536"/>
      <c r="K1028" s="471"/>
    </row>
    <row r="1029" spans="1:14">
      <c r="A1029" s="463"/>
      <c r="B1029" s="1481" t="s">
        <v>963</v>
      </c>
      <c r="C1029" s="1482"/>
      <c r="D1029" s="1482"/>
      <c r="E1029" s="1482"/>
      <c r="F1029" s="1482"/>
      <c r="G1029" s="1482"/>
      <c r="H1029" s="1482"/>
      <c r="I1029" s="1483"/>
      <c r="J1029" s="586">
        <v>24.11997440693855</v>
      </c>
      <c r="K1029" s="471"/>
    </row>
    <row r="1030" spans="1:14">
      <c r="A1030" s="463"/>
      <c r="B1030" s="524"/>
      <c r="C1030" s="524"/>
      <c r="D1030" s="524"/>
      <c r="E1030" s="524"/>
      <c r="F1030" s="524"/>
      <c r="G1030" s="524"/>
      <c r="H1030" s="524"/>
      <c r="I1030" s="584"/>
      <c r="J1030" s="524"/>
      <c r="K1030" s="471"/>
    </row>
    <row r="1031" spans="1:14">
      <c r="A1031" s="463"/>
      <c r="B1031" s="602"/>
      <c r="C1031" s="572"/>
      <c r="D1031" s="572"/>
      <c r="E1031" s="572"/>
      <c r="F1031" s="572"/>
      <c r="G1031" s="572"/>
      <c r="H1031" s="572"/>
      <c r="I1031" s="572"/>
      <c r="J1031" s="603"/>
      <c r="K1031" s="471"/>
    </row>
    <row r="1032" spans="1:14">
      <c r="A1032" s="463"/>
      <c r="B1032" s="604"/>
      <c r="C1032" s="605"/>
      <c r="D1032" s="606"/>
      <c r="E1032" s="606"/>
      <c r="F1032" s="607" t="s">
        <v>946</v>
      </c>
      <c r="G1032" s="608" t="s">
        <v>946</v>
      </c>
      <c r="H1032" s="605"/>
      <c r="I1032" s="605"/>
      <c r="J1032" s="609"/>
      <c r="K1032" s="471"/>
    </row>
    <row r="1033" spans="1:14">
      <c r="A1033" s="463"/>
      <c r="B1033" s="472"/>
      <c r="C1033" s="472"/>
      <c r="D1033" s="472"/>
      <c r="E1033" s="472"/>
      <c r="F1033" s="472"/>
      <c r="G1033" s="472"/>
      <c r="H1033" s="472"/>
      <c r="I1033" s="472"/>
      <c r="J1033" s="472"/>
      <c r="K1033" s="471"/>
    </row>
    <row r="1034" spans="1:14">
      <c r="A1034" s="463"/>
      <c r="B1034" s="610" t="str">
        <f>PLANEJAMENTO!F2</f>
        <v>OPERAÇÃO DE SUPRESSÃO E SUMP</v>
      </c>
      <c r="C1034" s="611"/>
      <c r="D1034" s="611"/>
      <c r="E1034" s="611"/>
      <c r="F1034" s="612"/>
      <c r="G1034" s="613" t="s">
        <v>363</v>
      </c>
      <c r="H1034" s="515"/>
      <c r="I1034" s="515"/>
      <c r="J1034" s="518"/>
      <c r="K1034" s="471"/>
    </row>
    <row r="1035" spans="1:14">
      <c r="A1035" s="463"/>
      <c r="B1035" s="956" t="str">
        <f>PLANEJAMENTO!F3</f>
        <v>MARA ROSA</v>
      </c>
      <c r="C1035" s="957"/>
      <c r="D1035" s="957"/>
      <c r="E1035" s="957"/>
      <c r="F1035" s="958"/>
      <c r="G1035" s="1484" t="s">
        <v>964</v>
      </c>
      <c r="H1035" s="1485"/>
      <c r="I1035" s="1485"/>
      <c r="J1035" s="1486"/>
      <c r="K1035" s="471"/>
    </row>
    <row r="1036" spans="1:14">
      <c r="A1036" s="463"/>
      <c r="B1036" s="1015"/>
      <c r="C1036" s="587"/>
      <c r="D1036" s="587"/>
      <c r="E1036" s="587"/>
      <c r="F1036" s="587"/>
      <c r="G1036" s="1014"/>
      <c r="H1036" s="1014"/>
      <c r="I1036" s="1014"/>
      <c r="J1036" s="1016"/>
      <c r="K1036" s="471"/>
    </row>
    <row r="1037" spans="1:14" ht="15" thickBot="1">
      <c r="A1037" s="463"/>
      <c r="B1037" s="524"/>
      <c r="C1037" s="524"/>
      <c r="D1037" s="524"/>
      <c r="E1037" s="524"/>
      <c r="F1037" s="524"/>
      <c r="G1037" s="524"/>
      <c r="H1037" s="524"/>
      <c r="I1037" s="584"/>
      <c r="J1037" s="524"/>
      <c r="K1037" s="471"/>
    </row>
    <row r="1038" spans="1:14">
      <c r="A1038" s="460"/>
      <c r="B1038" s="461"/>
      <c r="C1038" s="461"/>
      <c r="D1038" s="461"/>
      <c r="E1038" s="461"/>
      <c r="F1038" s="461"/>
      <c r="G1038" s="461"/>
      <c r="H1038" s="461"/>
      <c r="I1038" s="461"/>
      <c r="J1038" s="461"/>
      <c r="K1038" s="462"/>
    </row>
    <row r="1039" spans="1:14">
      <c r="A1039" s="463"/>
      <c r="B1039" s="464" t="s">
        <v>178</v>
      </c>
      <c r="C1039" s="465"/>
      <c r="D1039" s="466" t="s">
        <v>936</v>
      </c>
      <c r="E1039" s="467"/>
      <c r="F1039" s="468"/>
      <c r="G1039" s="468"/>
      <c r="H1039" s="469"/>
      <c r="I1039" s="469"/>
      <c r="J1039" s="470"/>
      <c r="K1039" s="471"/>
    </row>
    <row r="1040" spans="1:14">
      <c r="A1040" s="463"/>
      <c r="B1040" s="472"/>
      <c r="C1040" s="472"/>
      <c r="D1040" s="472"/>
      <c r="E1040" s="472"/>
      <c r="F1040" s="472"/>
      <c r="G1040" s="472"/>
      <c r="H1040" s="472"/>
      <c r="I1040" s="472"/>
      <c r="J1040" s="472"/>
      <c r="K1040" s="471"/>
    </row>
    <row r="1041" spans="1:11">
      <c r="A1041" s="463"/>
      <c r="B1041" s="473" t="s">
        <v>688</v>
      </c>
      <c r="C1041" s="474" t="s">
        <v>937</v>
      </c>
      <c r="D1041" s="1497" t="s">
        <v>250</v>
      </c>
      <c r="E1041" s="1498"/>
      <c r="F1041" s="1498"/>
      <c r="G1041" s="1498"/>
      <c r="H1041" s="1498"/>
      <c r="I1041" s="1499"/>
      <c r="J1041" s="475" t="s">
        <v>267</v>
      </c>
      <c r="K1041" s="471"/>
    </row>
    <row r="1042" spans="1:11" ht="22.95" customHeight="1">
      <c r="A1042" s="463"/>
      <c r="B1042" s="476" t="s">
        <v>3</v>
      </c>
      <c r="C1042" s="477">
        <f ca="1">PLANEJAMENTO!F4</f>
        <v>46140</v>
      </c>
      <c r="D1042" s="681" t="s">
        <v>1478</v>
      </c>
      <c r="E1042" s="479"/>
      <c r="F1042" s="479"/>
      <c r="G1042" s="479"/>
      <c r="H1042" s="479"/>
      <c r="I1042" s="480"/>
      <c r="J1042" s="481" t="str">
        <f>F1058</f>
        <v>m3</v>
      </c>
      <c r="K1042" s="471"/>
    </row>
    <row r="1043" spans="1:11">
      <c r="A1043" s="463"/>
      <c r="B1043" s="482"/>
      <c r="C1043" s="482"/>
      <c r="D1043" s="482"/>
      <c r="E1043" s="482"/>
      <c r="F1043" s="482"/>
      <c r="G1043" s="482"/>
      <c r="H1043" s="482"/>
      <c r="I1043" s="483"/>
      <c r="J1043" s="484"/>
      <c r="K1043" s="471"/>
    </row>
    <row r="1044" spans="1:11">
      <c r="A1044" s="463"/>
      <c r="B1044" s="1484" t="s">
        <v>938</v>
      </c>
      <c r="C1044" s="1486"/>
      <c r="D1044" s="1502" t="s">
        <v>688</v>
      </c>
      <c r="E1044" s="1504" t="s">
        <v>939</v>
      </c>
      <c r="F1044" s="485" t="s">
        <v>940</v>
      </c>
      <c r="G1044" s="486"/>
      <c r="H1044" s="485" t="s">
        <v>941</v>
      </c>
      <c r="I1044" s="486"/>
      <c r="J1044" s="487" t="s">
        <v>942</v>
      </c>
      <c r="K1044" s="471"/>
    </row>
    <row r="1045" spans="1:11">
      <c r="A1045" s="463"/>
      <c r="B1045" s="1500"/>
      <c r="C1045" s="1501"/>
      <c r="D1045" s="1503"/>
      <c r="E1045" s="1505"/>
      <c r="F1045" s="488" t="s">
        <v>943</v>
      </c>
      <c r="G1045" s="488" t="s">
        <v>944</v>
      </c>
      <c r="H1045" s="488" t="s">
        <v>943</v>
      </c>
      <c r="I1045" s="489" t="s">
        <v>944</v>
      </c>
      <c r="J1045" s="490" t="s">
        <v>945</v>
      </c>
      <c r="K1045" s="471"/>
    </row>
    <row r="1046" spans="1:11">
      <c r="A1046" s="463"/>
      <c r="B1046" s="499" t="s">
        <v>631</v>
      </c>
      <c r="C1046" s="500"/>
      <c r="D1046" s="501"/>
      <c r="E1046" s="875">
        <v>1</v>
      </c>
      <c r="F1046" s="502">
        <v>1</v>
      </c>
      <c r="G1046" s="502">
        <f>1-F1046</f>
        <v>0</v>
      </c>
      <c r="H1046" s="503">
        <f>VLOOKUP(B1046,EQUIPAMENTOS!$A:$J,10,FALSE)</f>
        <v>175</v>
      </c>
      <c r="I1046" s="504">
        <f>H1046</f>
        <v>175</v>
      </c>
      <c r="J1046" s="505">
        <f>H1046*F1046*E1046+I1046*G1046*E1046</f>
        <v>175</v>
      </c>
      <c r="K1046" s="471"/>
    </row>
    <row r="1047" spans="1:11">
      <c r="A1047" s="463"/>
      <c r="B1047" s="499" t="s">
        <v>1157</v>
      </c>
      <c r="C1047" s="500"/>
      <c r="D1047" s="501"/>
      <c r="E1047" s="502">
        <v>4</v>
      </c>
      <c r="F1047" s="502">
        <v>1</v>
      </c>
      <c r="G1047" s="502">
        <f>1-F1047</f>
        <v>0</v>
      </c>
      <c r="H1047" s="503">
        <f>VLOOKUP(B1047,EQUIPAMENTOS!$A:$J,10,FALSE)</f>
        <v>125</v>
      </c>
      <c r="I1047" s="504">
        <f>H1047</f>
        <v>125</v>
      </c>
      <c r="J1047" s="505">
        <f>H1047*F1047*E1047+I1047*G1047*E1047</f>
        <v>500</v>
      </c>
      <c r="K1047" s="471"/>
    </row>
    <row r="1048" spans="1:11">
      <c r="A1048" s="463"/>
      <c r="B1048" s="499"/>
      <c r="C1048" s="500"/>
      <c r="D1048" s="501"/>
      <c r="E1048" s="502"/>
      <c r="F1048" s="502"/>
      <c r="G1048" s="502"/>
      <c r="H1048" s="503"/>
      <c r="I1048" s="504"/>
      <c r="J1048" s="505"/>
      <c r="K1048" s="471"/>
    </row>
    <row r="1049" spans="1:11">
      <c r="A1049" s="463"/>
      <c r="B1049" s="506"/>
      <c r="C1049" s="507"/>
      <c r="D1049" s="508"/>
      <c r="E1049" s="509"/>
      <c r="F1049" s="509"/>
      <c r="G1049" s="509"/>
      <c r="H1049" s="510"/>
      <c r="I1049" s="511"/>
      <c r="J1049" s="505">
        <f>H1049*F1049*E1049+I1049*G1049*E1049</f>
        <v>0</v>
      </c>
      <c r="K1049" s="471"/>
    </row>
    <row r="1050" spans="1:11">
      <c r="A1050" s="463"/>
      <c r="B1050" s="512" t="s">
        <v>946</v>
      </c>
      <c r="C1050" s="482"/>
      <c r="D1050" s="482"/>
      <c r="E1050" s="482"/>
      <c r="F1050" s="482"/>
      <c r="G1050" s="482"/>
      <c r="H1050" s="482"/>
      <c r="I1050" s="513" t="s">
        <v>175</v>
      </c>
      <c r="J1050" s="514">
        <f>SUM(J1046:J1049)</f>
        <v>675</v>
      </c>
      <c r="K1050" s="471"/>
    </row>
    <row r="1051" spans="1:11">
      <c r="A1051" s="463"/>
      <c r="B1051" s="515"/>
      <c r="C1051" s="515"/>
      <c r="D1051" s="515"/>
      <c r="E1051" s="515"/>
      <c r="F1051" s="515"/>
      <c r="G1051" s="515"/>
      <c r="H1051" s="515"/>
      <c r="I1051" s="516"/>
      <c r="J1051" s="517"/>
      <c r="K1051" s="471"/>
    </row>
    <row r="1052" spans="1:11" ht="20.399999999999999" customHeight="1">
      <c r="A1052" s="463"/>
      <c r="B1052" s="1490" t="s">
        <v>947</v>
      </c>
      <c r="C1052" s="1491"/>
      <c r="D1052" s="1491"/>
      <c r="E1052" s="1492"/>
      <c r="F1052" s="725" t="s">
        <v>688</v>
      </c>
      <c r="G1052" s="853"/>
      <c r="H1052" s="520" t="s">
        <v>427</v>
      </c>
      <c r="I1052" s="521" t="s">
        <v>948</v>
      </c>
      <c r="J1052" s="522" t="s">
        <v>949</v>
      </c>
      <c r="K1052" s="471"/>
    </row>
    <row r="1053" spans="1:11">
      <c r="A1053" s="463"/>
      <c r="B1053" s="523" t="s">
        <v>950</v>
      </c>
      <c r="C1053" s="524"/>
      <c r="D1053" s="525"/>
      <c r="E1053" s="526"/>
      <c r="F1053" s="527"/>
      <c r="G1053" s="528"/>
      <c r="H1053" s="529">
        <f>E1047</f>
        <v>4</v>
      </c>
      <c r="I1053" s="534">
        <f>(VLOOKUP(B1053,'MÃO DE OBRA'!$A:$E,5,FALSE)/220)</f>
        <v>26.714454545454547</v>
      </c>
      <c r="J1053" s="505">
        <f>H1053*I1053</f>
        <v>106.85781818181819</v>
      </c>
      <c r="K1053" s="471"/>
    </row>
    <row r="1054" spans="1:11">
      <c r="A1054" s="463"/>
      <c r="B1054" s="530" t="s">
        <v>472</v>
      </c>
      <c r="C1054" s="531"/>
      <c r="D1054" s="472"/>
      <c r="E1054" s="500"/>
      <c r="F1054" s="501"/>
      <c r="G1054" s="532"/>
      <c r="H1054" s="533">
        <v>3</v>
      </c>
      <c r="I1054" s="534">
        <f>(VLOOKUP(B1054,'MÃO DE OBRA'!$A:$E,5,FALSE)/220)</f>
        <v>18.377072727272729</v>
      </c>
      <c r="J1054" s="505">
        <f>H1054*I1054</f>
        <v>55.131218181818184</v>
      </c>
      <c r="K1054" s="471"/>
    </row>
    <row r="1055" spans="1:11">
      <c r="A1055" s="463"/>
      <c r="B1055" s="530" t="s">
        <v>556</v>
      </c>
      <c r="C1055" s="531"/>
      <c r="D1055" s="472"/>
      <c r="E1055" s="500"/>
      <c r="F1055" s="501"/>
      <c r="G1055" s="532"/>
      <c r="H1055" s="533">
        <f>E1046</f>
        <v>1</v>
      </c>
      <c r="I1055" s="534">
        <f>(VLOOKUP(B1055,'MÃO DE OBRA'!$A:$E,5,FALSE)/220)</f>
        <v>35.988199999999999</v>
      </c>
      <c r="J1055" s="505">
        <f>H1055*I1055</f>
        <v>35.988199999999999</v>
      </c>
      <c r="K1055" s="471"/>
    </row>
    <row r="1056" spans="1:11">
      <c r="A1056" s="463"/>
      <c r="B1056" s="512" t="s">
        <v>946</v>
      </c>
      <c r="C1056" s="515"/>
      <c r="D1056" s="515"/>
      <c r="E1056" s="515"/>
      <c r="F1056" s="515"/>
      <c r="G1056" s="515"/>
      <c r="H1056" s="515"/>
      <c r="I1056" s="535" t="s">
        <v>175</v>
      </c>
      <c r="J1056" s="514">
        <f>SUM(J1053:J1055)</f>
        <v>197.97723636363639</v>
      </c>
      <c r="K1056" s="471"/>
    </row>
    <row r="1057" spans="1:12">
      <c r="A1057" s="463"/>
      <c r="B1057" s="536"/>
      <c r="C1057" s="536"/>
      <c r="D1057" s="536"/>
      <c r="E1057" s="536"/>
      <c r="F1057" s="536"/>
      <c r="G1057" s="536"/>
      <c r="H1057" s="536"/>
      <c r="I1057" s="537"/>
      <c r="J1057" s="536"/>
      <c r="K1057" s="471"/>
    </row>
    <row r="1058" spans="1:12">
      <c r="A1058" s="463"/>
      <c r="B1058" s="538" t="s">
        <v>952</v>
      </c>
      <c r="C1058" s="539"/>
      <c r="D1058" s="536"/>
      <c r="E1058" s="540">
        <v>62.646977038929997</v>
      </c>
      <c r="F1058" s="541" t="s">
        <v>931</v>
      </c>
      <c r="G1058" s="519"/>
      <c r="H1058" s="519"/>
      <c r="I1058" s="542" t="s">
        <v>953</v>
      </c>
      <c r="J1058" s="514">
        <f>J1050+J1056</f>
        <v>872.97723636363639</v>
      </c>
      <c r="K1058" s="471"/>
    </row>
    <row r="1059" spans="1:12">
      <c r="A1059" s="463"/>
      <c r="B1059" s="543"/>
      <c r="C1059" s="536"/>
      <c r="D1059" s="536"/>
      <c r="E1059" s="544"/>
      <c r="F1059" s="545"/>
      <c r="G1059" s="545"/>
      <c r="H1059" s="545"/>
      <c r="I1059" s="537"/>
      <c r="J1059" s="536"/>
      <c r="K1059" s="471"/>
    </row>
    <row r="1060" spans="1:12" ht="20.399999999999999">
      <c r="A1060" s="463"/>
      <c r="B1060" s="1493" t="s">
        <v>362</v>
      </c>
      <c r="C1060" s="1494"/>
      <c r="D1060" s="1494"/>
      <c r="E1060" s="1495"/>
      <c r="F1060" s="546" t="s">
        <v>688</v>
      </c>
      <c r="G1060" s="547" t="s">
        <v>371</v>
      </c>
      <c r="H1060" s="520" t="s">
        <v>942</v>
      </c>
      <c r="I1060" s="548" t="s">
        <v>361</v>
      </c>
      <c r="J1060" s="549" t="s">
        <v>363</v>
      </c>
      <c r="K1060" s="471"/>
    </row>
    <row r="1061" spans="1:12">
      <c r="A1061" s="463"/>
      <c r="B1061" s="557" t="str">
        <f>B1046</f>
        <v>Escavadeira hidráulica sobre esteira 22T</v>
      </c>
      <c r="C1061" s="531"/>
      <c r="D1061" s="531"/>
      <c r="E1061" s="500"/>
      <c r="F1061" s="553" t="str">
        <f>VLOOKUP(B1061,EQUIPAMENTOS!$A:$N,12,FALSE)</f>
        <v>Diesel S10</v>
      </c>
      <c r="G1061" s="554" t="s">
        <v>415</v>
      </c>
      <c r="H1061" s="560">
        <f>VLOOKUP(B1061,EQUIPAMENTOS!$A:$N,13,FALSE)</f>
        <v>0</v>
      </c>
      <c r="I1061" s="556">
        <f>VLOOKUP(B1061,EQUIPAMENTOS!$A:$N,14,FALSE)</f>
        <v>22</v>
      </c>
      <c r="J1061" s="505">
        <f>H1061*I1061*E1046*F1046</f>
        <v>0</v>
      </c>
      <c r="K1061" s="471"/>
    </row>
    <row r="1062" spans="1:12">
      <c r="A1062" s="463"/>
      <c r="B1062" s="557" t="str">
        <f>B1047</f>
        <v>Caminhão basculante 14 m³</v>
      </c>
      <c r="C1062" s="539"/>
      <c r="D1062" s="539"/>
      <c r="E1062" s="507"/>
      <c r="F1062" s="553" t="str">
        <f>VLOOKUP(B1062,EQUIPAMENTOS!$A:$N,12,FALSE)</f>
        <v>Diesel S10</v>
      </c>
      <c r="G1062" s="736" t="s">
        <v>415</v>
      </c>
      <c r="H1062" s="560">
        <f>VLOOKUP(B1062,EQUIPAMENTOS!$A:$N,13,FALSE)</f>
        <v>0</v>
      </c>
      <c r="I1062" s="556">
        <f>VLOOKUP(B1062,EQUIPAMENTOS!$A:$N,14,FALSE)</f>
        <v>2.5</v>
      </c>
      <c r="J1062" s="505">
        <f>H1062*I1062*E1047*F1047</f>
        <v>0</v>
      </c>
      <c r="K1062" s="471"/>
    </row>
    <row r="1063" spans="1:12">
      <c r="A1063" s="463"/>
      <c r="B1063" s="563" t="s">
        <v>946</v>
      </c>
      <c r="C1063" s="539"/>
      <c r="D1063" s="539"/>
      <c r="E1063" s="539"/>
      <c r="F1063" s="536"/>
      <c r="G1063" s="539"/>
      <c r="H1063" s="564"/>
      <c r="I1063" s="565" t="s">
        <v>175</v>
      </c>
      <c r="J1063" s="514">
        <f>SUM(J1061:J1062)</f>
        <v>0</v>
      </c>
      <c r="K1063" s="471"/>
    </row>
    <row r="1064" spans="1:12">
      <c r="A1064" s="463"/>
      <c r="B1064" s="566"/>
      <c r="C1064" s="539"/>
      <c r="D1064" s="539"/>
      <c r="E1064" s="567"/>
      <c r="F1064" s="568"/>
      <c r="G1064" s="519"/>
      <c r="H1064" s="519"/>
      <c r="I1064" s="542"/>
      <c r="J1064" s="567"/>
      <c r="K1064" s="471"/>
    </row>
    <row r="1065" spans="1:12" ht="20.399999999999999">
      <c r="A1065" s="463"/>
      <c r="B1065" s="1493" t="s">
        <v>955</v>
      </c>
      <c r="C1065" s="1494"/>
      <c r="D1065" s="1494"/>
      <c r="E1065" s="1494"/>
      <c r="F1065" s="1495"/>
      <c r="G1065" s="569" t="s">
        <v>372</v>
      </c>
      <c r="H1065" s="519" t="s">
        <v>956</v>
      </c>
      <c r="I1065" s="570" t="s">
        <v>942</v>
      </c>
      <c r="J1065" s="522" t="s">
        <v>363</v>
      </c>
      <c r="K1065" s="471"/>
      <c r="L1065" s="6"/>
    </row>
    <row r="1066" spans="1:12">
      <c r="A1066" s="463"/>
      <c r="B1066" s="571"/>
      <c r="C1066" s="572"/>
      <c r="D1066" s="573"/>
      <c r="E1066" s="573"/>
      <c r="F1066" s="574"/>
      <c r="G1066" s="502"/>
      <c r="H1066" s="502"/>
      <c r="I1066" s="575"/>
      <c r="J1066" s="505"/>
      <c r="K1066" s="471"/>
    </row>
    <row r="1067" spans="1:12">
      <c r="A1067" s="463"/>
      <c r="B1067" s="576"/>
      <c r="C1067" s="577"/>
      <c r="D1067" s="578"/>
      <c r="E1067" s="578"/>
      <c r="F1067" s="579"/>
      <c r="G1067" s="502"/>
      <c r="H1067" s="502"/>
      <c r="I1067" s="575"/>
      <c r="J1067" s="505"/>
      <c r="K1067" s="471"/>
    </row>
    <row r="1068" spans="1:12">
      <c r="A1068" s="463"/>
      <c r="B1068" s="1496" t="s">
        <v>175</v>
      </c>
      <c r="C1068" s="1496"/>
      <c r="D1068" s="1496"/>
      <c r="E1068" s="1496"/>
      <c r="F1068" s="1496"/>
      <c r="G1068" s="1496"/>
      <c r="H1068" s="1496"/>
      <c r="I1068" s="1496"/>
      <c r="J1068" s="514">
        <f>SUM(J1066:J1067)</f>
        <v>0</v>
      </c>
      <c r="K1068" s="471"/>
    </row>
    <row r="1069" spans="1:12">
      <c r="A1069" s="463"/>
      <c r="B1069" s="580"/>
      <c r="C1069" s="524"/>
      <c r="D1069" s="524"/>
      <c r="E1069" s="581"/>
      <c r="F1069" s="582"/>
      <c r="G1069" s="583"/>
      <c r="H1069" s="583"/>
      <c r="I1069" s="584"/>
      <c r="J1069" s="585"/>
      <c r="K1069" s="471"/>
    </row>
    <row r="1070" spans="1:12">
      <c r="A1070" s="463"/>
      <c r="B1070" s="586" t="s">
        <v>957</v>
      </c>
      <c r="C1070" s="586"/>
      <c r="D1070" s="563"/>
      <c r="E1070" s="536"/>
      <c r="F1070" s="536"/>
      <c r="G1070" s="536"/>
      <c r="H1070" s="587"/>
      <c r="I1070" s="588"/>
      <c r="J1070" s="514">
        <f>(J1058+J1063+J1068)/E1058</f>
        <v>13.934866096111104</v>
      </c>
      <c r="K1070" s="471"/>
      <c r="L1070">
        <v>13.934869265590162</v>
      </c>
    </row>
    <row r="1071" spans="1:12">
      <c r="A1071" s="463"/>
      <c r="B1071" s="566"/>
      <c r="C1071" s="539"/>
      <c r="D1071" s="539"/>
      <c r="E1071" s="567"/>
      <c r="F1071" s="568"/>
      <c r="G1071" s="519"/>
      <c r="H1071" s="519"/>
      <c r="I1071" s="542"/>
      <c r="J1071" s="589"/>
      <c r="K1071" s="471"/>
    </row>
    <row r="1072" spans="1:12" ht="20.399999999999999">
      <c r="A1072" s="463"/>
      <c r="B1072" s="1493" t="s">
        <v>958</v>
      </c>
      <c r="C1072" s="1494"/>
      <c r="D1072" s="1494"/>
      <c r="E1072" s="1494"/>
      <c r="F1072" s="1495"/>
      <c r="G1072" s="569" t="s">
        <v>372</v>
      </c>
      <c r="H1072" s="519" t="s">
        <v>956</v>
      </c>
      <c r="I1072" s="570" t="s">
        <v>942</v>
      </c>
      <c r="J1072" s="522" t="s">
        <v>363</v>
      </c>
      <c r="K1072" s="471"/>
    </row>
    <row r="1073" spans="1:11">
      <c r="A1073" s="463"/>
      <c r="B1073" s="571"/>
      <c r="C1073" s="572"/>
      <c r="D1073" s="573"/>
      <c r="E1073" s="573"/>
      <c r="F1073" s="574"/>
      <c r="G1073" s="502"/>
      <c r="H1073" s="502"/>
      <c r="I1073" s="575"/>
      <c r="J1073" s="505">
        <f>G1073*I1073</f>
        <v>0</v>
      </c>
      <c r="K1073" s="471"/>
    </row>
    <row r="1074" spans="1:11">
      <c r="A1074" s="463"/>
      <c r="B1074" s="576"/>
      <c r="C1074" s="577"/>
      <c r="D1074" s="578"/>
      <c r="E1074" s="578"/>
      <c r="F1074" s="579"/>
      <c r="G1074" s="502"/>
      <c r="H1074" s="502"/>
      <c r="I1074" s="575"/>
      <c r="J1074" s="505">
        <f>G1074*I1074</f>
        <v>0</v>
      </c>
      <c r="K1074" s="471"/>
    </row>
    <row r="1075" spans="1:11">
      <c r="A1075" s="463"/>
      <c r="B1075" s="576"/>
      <c r="C1075" s="577"/>
      <c r="D1075" s="578"/>
      <c r="E1075" s="578"/>
      <c r="F1075" s="579"/>
      <c r="G1075" s="502"/>
      <c r="H1075" s="502"/>
      <c r="I1075" s="575"/>
      <c r="J1075" s="505">
        <f>G1075*I1075</f>
        <v>0</v>
      </c>
      <c r="K1075" s="471"/>
    </row>
    <row r="1076" spans="1:11">
      <c r="A1076" s="463"/>
      <c r="B1076" s="590"/>
      <c r="C1076" s="591"/>
      <c r="D1076" s="592"/>
      <c r="E1076" s="592"/>
      <c r="F1076" s="593"/>
      <c r="G1076" s="502"/>
      <c r="H1076" s="502"/>
      <c r="I1076" s="575"/>
      <c r="J1076" s="505">
        <f>G1076*I1076</f>
        <v>0</v>
      </c>
      <c r="K1076" s="471"/>
    </row>
    <row r="1077" spans="1:11">
      <c r="A1077" s="463"/>
      <c r="B1077" s="594"/>
      <c r="C1077" s="536"/>
      <c r="D1077" s="536"/>
      <c r="E1077" s="595"/>
      <c r="F1077" s="596"/>
      <c r="G1077" s="545"/>
      <c r="H1077" s="545"/>
      <c r="I1077" s="537" t="s">
        <v>175</v>
      </c>
      <c r="J1077" s="514">
        <f>SUM(J1073:J1076)</f>
        <v>0</v>
      </c>
      <c r="K1077" s="471"/>
    </row>
    <row r="1078" spans="1:11">
      <c r="A1078" s="463"/>
      <c r="B1078" s="597"/>
      <c r="C1078" s="536"/>
      <c r="D1078" s="536"/>
      <c r="E1078" s="595"/>
      <c r="F1078" s="596"/>
      <c r="G1078" s="545"/>
      <c r="H1078" s="545"/>
      <c r="I1078" s="537"/>
      <c r="J1078" s="595"/>
      <c r="K1078" s="471"/>
    </row>
    <row r="1079" spans="1:11" ht="20.399999999999999">
      <c r="A1079" s="463"/>
      <c r="B1079" s="598" t="s">
        <v>959</v>
      </c>
      <c r="C1079" s="598"/>
      <c r="D1079" s="598"/>
      <c r="E1079" s="599"/>
      <c r="F1079" s="600" t="s">
        <v>372</v>
      </c>
      <c r="G1079" s="569" t="s">
        <v>960</v>
      </c>
      <c r="H1079" s="519" t="s">
        <v>942</v>
      </c>
      <c r="I1079" s="570" t="s">
        <v>361</v>
      </c>
      <c r="J1079" s="522" t="s">
        <v>363</v>
      </c>
      <c r="K1079" s="471"/>
    </row>
    <row r="1080" spans="1:11">
      <c r="A1080" s="463"/>
      <c r="B1080" s="571"/>
      <c r="C1080" s="572"/>
      <c r="D1080" s="573"/>
      <c r="E1080" s="574"/>
      <c r="F1080" s="502"/>
      <c r="G1080" s="502"/>
      <c r="H1080" s="624"/>
      <c r="I1080" s="575"/>
      <c r="J1080" s="505"/>
      <c r="K1080" s="471"/>
    </row>
    <row r="1081" spans="1:11">
      <c r="A1081" s="463"/>
      <c r="B1081" s="590" t="s">
        <v>946</v>
      </c>
      <c r="C1081" s="591"/>
      <c r="D1081" s="592"/>
      <c r="E1081" s="593" t="s">
        <v>946</v>
      </c>
      <c r="F1081" s="509">
        <v>0</v>
      </c>
      <c r="G1081" s="509">
        <v>0</v>
      </c>
      <c r="H1081" s="509">
        <v>0</v>
      </c>
      <c r="I1081" s="601">
        <v>0</v>
      </c>
      <c r="J1081" s="505">
        <f>I1081*H1081*G1081*F1081</f>
        <v>0</v>
      </c>
      <c r="K1081" s="471"/>
    </row>
    <row r="1082" spans="1:11">
      <c r="A1082" s="463"/>
      <c r="B1082" s="594"/>
      <c r="C1082" s="536"/>
      <c r="D1082" s="536"/>
      <c r="E1082" s="595"/>
      <c r="F1082" s="596"/>
      <c r="G1082" s="545"/>
      <c r="H1082" s="545"/>
      <c r="I1082" s="537" t="s">
        <v>175</v>
      </c>
      <c r="J1082" s="514">
        <f>SUM(J1080:J1081)</f>
        <v>0</v>
      </c>
      <c r="K1082" s="471"/>
    </row>
    <row r="1083" spans="1:11">
      <c r="A1083" s="463"/>
      <c r="B1083" s="536"/>
      <c r="C1083" s="536"/>
      <c r="D1083" s="536"/>
      <c r="E1083" s="536"/>
      <c r="F1083" s="536"/>
      <c r="G1083" s="536"/>
      <c r="H1083" s="536"/>
      <c r="I1083" s="537"/>
      <c r="J1083" s="536"/>
      <c r="K1083" s="471"/>
    </row>
    <row r="1084" spans="1:11">
      <c r="A1084" s="463"/>
      <c r="B1084" s="1481" t="s">
        <v>963</v>
      </c>
      <c r="C1084" s="1482"/>
      <c r="D1084" s="1482"/>
      <c r="E1084" s="1482"/>
      <c r="F1084" s="1482"/>
      <c r="G1084" s="1482"/>
      <c r="H1084" s="1482"/>
      <c r="I1084" s="1483"/>
      <c r="J1084" s="586">
        <v>13.934866096111104</v>
      </c>
      <c r="K1084" s="471"/>
    </row>
    <row r="1085" spans="1:11">
      <c r="A1085" s="463"/>
      <c r="B1085" s="524"/>
      <c r="C1085" s="524"/>
      <c r="D1085" s="524"/>
      <c r="E1085" s="524"/>
      <c r="F1085" s="524"/>
      <c r="G1085" s="524"/>
      <c r="H1085" s="524"/>
      <c r="I1085" s="584"/>
      <c r="J1085" s="524"/>
      <c r="K1085" s="471"/>
    </row>
    <row r="1086" spans="1:11">
      <c r="A1086" s="463"/>
      <c r="B1086" s="602"/>
      <c r="C1086" s="572"/>
      <c r="D1086" s="572"/>
      <c r="E1086" s="572"/>
      <c r="F1086" s="572"/>
      <c r="G1086" s="572"/>
      <c r="H1086" s="572"/>
      <c r="I1086" s="572"/>
      <c r="J1086" s="603"/>
      <c r="K1086" s="471"/>
    </row>
    <row r="1087" spans="1:11">
      <c r="A1087" s="463"/>
      <c r="B1087" s="604"/>
      <c r="C1087" s="605"/>
      <c r="D1087" s="606"/>
      <c r="E1087" s="606"/>
      <c r="F1087" s="607" t="s">
        <v>946</v>
      </c>
      <c r="G1087" s="608" t="s">
        <v>946</v>
      </c>
      <c r="H1087" s="605"/>
      <c r="I1087" s="605"/>
      <c r="J1087" s="609"/>
      <c r="K1087" s="471"/>
    </row>
    <row r="1088" spans="1:11">
      <c r="A1088" s="463"/>
      <c r="B1088" s="472"/>
      <c r="C1088" s="472"/>
      <c r="D1088" s="472"/>
      <c r="E1088" s="472"/>
      <c r="F1088" s="472"/>
      <c r="G1088" s="472"/>
      <c r="H1088" s="472"/>
      <c r="I1088" s="472"/>
      <c r="J1088" s="472"/>
      <c r="K1088" s="471"/>
    </row>
    <row r="1089" spans="1:11">
      <c r="A1089" s="463"/>
      <c r="B1089" s="610" t="str">
        <f>PLANEJAMENTO!F2</f>
        <v>OPERAÇÃO DE SUPRESSÃO E SUMP</v>
      </c>
      <c r="C1089" s="611"/>
      <c r="D1089" s="611"/>
      <c r="E1089" s="611"/>
      <c r="F1089" s="612"/>
      <c r="G1089" s="613" t="s">
        <v>363</v>
      </c>
      <c r="H1089" s="515"/>
      <c r="I1089" s="515"/>
      <c r="J1089" s="518"/>
      <c r="K1089" s="471"/>
    </row>
    <row r="1090" spans="1:11">
      <c r="A1090" s="463"/>
      <c r="B1090" s="956" t="str">
        <f>PLANEJAMENTO!F3</f>
        <v>MARA ROSA</v>
      </c>
      <c r="C1090" s="957"/>
      <c r="D1090" s="957"/>
      <c r="E1090" s="957"/>
      <c r="F1090" s="958"/>
      <c r="G1090" s="1484" t="s">
        <v>964</v>
      </c>
      <c r="H1090" s="1485"/>
      <c r="I1090" s="1485"/>
      <c r="J1090" s="1486"/>
      <c r="K1090" s="471"/>
    </row>
    <row r="1091" spans="1:11">
      <c r="A1091" s="463"/>
      <c r="B1091" s="1015"/>
      <c r="C1091" s="587"/>
      <c r="D1091" s="587"/>
      <c r="E1091" s="587"/>
      <c r="F1091" s="587"/>
      <c r="G1091" s="1014"/>
      <c r="H1091" s="1014"/>
      <c r="I1091" s="1014"/>
      <c r="J1091" s="1016"/>
      <c r="K1091" s="471"/>
    </row>
    <row r="1092" spans="1:11" ht="15" thickBot="1">
      <c r="A1092" s="621"/>
      <c r="B1092" s="622"/>
      <c r="C1092" s="622"/>
      <c r="D1092" s="622"/>
      <c r="E1092" s="622"/>
      <c r="F1092" s="622"/>
      <c r="G1092" s="622"/>
      <c r="H1092" s="622"/>
      <c r="I1092" s="622"/>
      <c r="J1092" s="622"/>
      <c r="K1092" s="623"/>
    </row>
    <row r="1093" spans="1:11">
      <c r="A1093" s="460"/>
      <c r="B1093" s="461"/>
      <c r="C1093" s="461"/>
      <c r="D1093" s="461"/>
      <c r="E1093" s="461"/>
      <c r="F1093" s="461"/>
      <c r="G1093" s="461"/>
      <c r="H1093" s="461"/>
      <c r="I1093" s="461"/>
      <c r="J1093" s="461"/>
      <c r="K1093" s="462"/>
    </row>
    <row r="1094" spans="1:11">
      <c r="A1094" s="463"/>
      <c r="B1094" s="464" t="s">
        <v>178</v>
      </c>
      <c r="C1094" s="465"/>
      <c r="D1094" s="466" t="s">
        <v>936</v>
      </c>
      <c r="E1094" s="467"/>
      <c r="F1094" s="468"/>
      <c r="G1094" s="468"/>
      <c r="H1094" s="469"/>
      <c r="I1094" s="469"/>
      <c r="J1094" s="470"/>
      <c r="K1094" s="471"/>
    </row>
    <row r="1095" spans="1:11">
      <c r="A1095" s="463"/>
      <c r="B1095" s="472"/>
      <c r="C1095" s="472"/>
      <c r="D1095" s="472"/>
      <c r="E1095" s="472"/>
      <c r="F1095" s="472"/>
      <c r="G1095" s="472"/>
      <c r="H1095" s="472"/>
      <c r="I1095" s="472"/>
      <c r="J1095" s="472"/>
      <c r="K1095" s="471"/>
    </row>
    <row r="1096" spans="1:11">
      <c r="A1096" s="463"/>
      <c r="B1096" s="473" t="s">
        <v>688</v>
      </c>
      <c r="C1096" s="474" t="s">
        <v>937</v>
      </c>
      <c r="D1096" s="1497" t="s">
        <v>250</v>
      </c>
      <c r="E1096" s="1498"/>
      <c r="F1096" s="1498"/>
      <c r="G1096" s="1498"/>
      <c r="H1096" s="1498"/>
      <c r="I1096" s="1499"/>
      <c r="J1096" s="475" t="s">
        <v>267</v>
      </c>
      <c r="K1096" s="471"/>
    </row>
    <row r="1097" spans="1:11" ht="20.399999999999999">
      <c r="A1097" s="463"/>
      <c r="B1097" s="476" t="s">
        <v>3</v>
      </c>
      <c r="C1097" s="477">
        <f ca="1">PLANEJAMENTO!F4</f>
        <v>46140</v>
      </c>
      <c r="D1097" s="681" t="s">
        <v>1479</v>
      </c>
      <c r="E1097" s="479"/>
      <c r="F1097" s="479"/>
      <c r="G1097" s="479"/>
      <c r="H1097" s="479"/>
      <c r="I1097" s="480"/>
      <c r="J1097" s="481" t="str">
        <f>F1113</f>
        <v>m3</v>
      </c>
      <c r="K1097" s="471"/>
    </row>
    <row r="1098" spans="1:11">
      <c r="A1098" s="463"/>
      <c r="B1098" s="482"/>
      <c r="C1098" s="482"/>
      <c r="D1098" s="482"/>
      <c r="E1098" s="482"/>
      <c r="F1098" s="482"/>
      <c r="G1098" s="482"/>
      <c r="H1098" s="482"/>
      <c r="I1098" s="483"/>
      <c r="J1098" s="484"/>
      <c r="K1098" s="471"/>
    </row>
    <row r="1099" spans="1:11">
      <c r="A1099" s="463"/>
      <c r="B1099" s="1484" t="s">
        <v>938</v>
      </c>
      <c r="C1099" s="1486"/>
      <c r="D1099" s="1502" t="s">
        <v>688</v>
      </c>
      <c r="E1099" s="1504" t="s">
        <v>939</v>
      </c>
      <c r="F1099" s="485" t="s">
        <v>940</v>
      </c>
      <c r="G1099" s="486"/>
      <c r="H1099" s="485" t="s">
        <v>941</v>
      </c>
      <c r="I1099" s="486"/>
      <c r="J1099" s="487" t="s">
        <v>942</v>
      </c>
      <c r="K1099" s="471"/>
    </row>
    <row r="1100" spans="1:11">
      <c r="A1100" s="463"/>
      <c r="B1100" s="1500"/>
      <c r="C1100" s="1501"/>
      <c r="D1100" s="1503"/>
      <c r="E1100" s="1505"/>
      <c r="F1100" s="488" t="s">
        <v>943</v>
      </c>
      <c r="G1100" s="488" t="s">
        <v>944</v>
      </c>
      <c r="H1100" s="488" t="s">
        <v>943</v>
      </c>
      <c r="I1100" s="489" t="s">
        <v>944</v>
      </c>
      <c r="J1100" s="490" t="s">
        <v>945</v>
      </c>
      <c r="K1100" s="471"/>
    </row>
    <row r="1101" spans="1:11">
      <c r="A1101" s="463"/>
      <c r="B1101" s="499" t="s">
        <v>631</v>
      </c>
      <c r="C1101" s="500"/>
      <c r="D1101" s="501"/>
      <c r="E1101" s="875">
        <v>1</v>
      </c>
      <c r="F1101" s="502">
        <v>1</v>
      </c>
      <c r="G1101" s="502">
        <f>1-F1101</f>
        <v>0</v>
      </c>
      <c r="H1101" s="503">
        <f>VLOOKUP(B1101,EQUIPAMENTOS!$A:$J,10,FALSE)</f>
        <v>175</v>
      </c>
      <c r="I1101" s="504">
        <f>H1101</f>
        <v>175</v>
      </c>
      <c r="J1101" s="505">
        <f>H1101*F1101*E1101+I1101*G1101*E1101</f>
        <v>175</v>
      </c>
      <c r="K1101" s="471"/>
    </row>
    <row r="1102" spans="1:11">
      <c r="A1102" s="463"/>
      <c r="B1102" s="499" t="s">
        <v>1157</v>
      </c>
      <c r="C1102" s="500"/>
      <c r="D1102" s="501"/>
      <c r="E1102" s="502">
        <v>5</v>
      </c>
      <c r="F1102" s="502">
        <v>1</v>
      </c>
      <c r="G1102" s="502">
        <f>1-F1102</f>
        <v>0</v>
      </c>
      <c r="H1102" s="503">
        <f>VLOOKUP(B1102,EQUIPAMENTOS!$A:$J,10,FALSE)</f>
        <v>125</v>
      </c>
      <c r="I1102" s="504">
        <f>H1102</f>
        <v>125</v>
      </c>
      <c r="J1102" s="505">
        <f>H1102*F1102*E1102+I1102*G1102*E1102</f>
        <v>625</v>
      </c>
      <c r="K1102" s="471"/>
    </row>
    <row r="1103" spans="1:11">
      <c r="A1103" s="463"/>
      <c r="B1103" s="499"/>
      <c r="C1103" s="500"/>
      <c r="D1103" s="501"/>
      <c r="E1103" s="502"/>
      <c r="F1103" s="502"/>
      <c r="G1103" s="502"/>
      <c r="H1103" s="503"/>
      <c r="I1103" s="504"/>
      <c r="J1103" s="505"/>
      <c r="K1103" s="471"/>
    </row>
    <row r="1104" spans="1:11">
      <c r="A1104" s="463"/>
      <c r="B1104" s="506"/>
      <c r="C1104" s="507"/>
      <c r="D1104" s="508"/>
      <c r="E1104" s="509"/>
      <c r="F1104" s="509"/>
      <c r="G1104" s="509"/>
      <c r="H1104" s="510"/>
      <c r="I1104" s="511"/>
      <c r="J1104" s="505">
        <f>H1104*F1104*E1104+I1104*G1104*E1104</f>
        <v>0</v>
      </c>
      <c r="K1104" s="471"/>
    </row>
    <row r="1105" spans="1:12">
      <c r="A1105" s="463"/>
      <c r="B1105" s="512" t="s">
        <v>946</v>
      </c>
      <c r="C1105" s="482"/>
      <c r="D1105" s="482"/>
      <c r="E1105" s="482"/>
      <c r="F1105" s="482"/>
      <c r="G1105" s="482"/>
      <c r="H1105" s="482"/>
      <c r="I1105" s="513" t="s">
        <v>175</v>
      </c>
      <c r="J1105" s="514">
        <f>SUM(J1101:J1104)</f>
        <v>800</v>
      </c>
      <c r="K1105" s="471"/>
    </row>
    <row r="1106" spans="1:12">
      <c r="A1106" s="463"/>
      <c r="B1106" s="515"/>
      <c r="C1106" s="515"/>
      <c r="D1106" s="515"/>
      <c r="E1106" s="515"/>
      <c r="F1106" s="515"/>
      <c r="G1106" s="515"/>
      <c r="H1106" s="515"/>
      <c r="I1106" s="516"/>
      <c r="J1106" s="517"/>
      <c r="K1106" s="471"/>
    </row>
    <row r="1107" spans="1:12" ht="20.399999999999999" customHeight="1">
      <c r="A1107" s="463"/>
      <c r="B1107" s="1490" t="s">
        <v>947</v>
      </c>
      <c r="C1107" s="1491"/>
      <c r="D1107" s="1491"/>
      <c r="E1107" s="1492"/>
      <c r="F1107" s="725" t="s">
        <v>688</v>
      </c>
      <c r="G1107" s="853"/>
      <c r="H1107" s="520" t="s">
        <v>427</v>
      </c>
      <c r="I1107" s="521" t="s">
        <v>948</v>
      </c>
      <c r="J1107" s="522" t="s">
        <v>949</v>
      </c>
      <c r="K1107" s="471"/>
    </row>
    <row r="1108" spans="1:12">
      <c r="A1108" s="463"/>
      <c r="B1108" s="523" t="s">
        <v>950</v>
      </c>
      <c r="C1108" s="524"/>
      <c r="D1108" s="525"/>
      <c r="E1108" s="526"/>
      <c r="F1108" s="527"/>
      <c r="G1108" s="528"/>
      <c r="H1108" s="529">
        <f>E1102</f>
        <v>5</v>
      </c>
      <c r="I1108" s="534">
        <f>(VLOOKUP(B1108,'MÃO DE OBRA'!$A:$E,5,FALSE)/220)</f>
        <v>26.714454545454547</v>
      </c>
      <c r="J1108" s="505">
        <f>H1108*I1108</f>
        <v>133.57227272727275</v>
      </c>
      <c r="K1108" s="471"/>
    </row>
    <row r="1109" spans="1:12">
      <c r="A1109" s="463"/>
      <c r="B1109" s="530" t="s">
        <v>472</v>
      </c>
      <c r="C1109" s="531"/>
      <c r="D1109" s="472"/>
      <c r="E1109" s="500"/>
      <c r="F1109" s="501"/>
      <c r="G1109" s="532"/>
      <c r="H1109" s="533">
        <v>3</v>
      </c>
      <c r="I1109" s="534">
        <f>(VLOOKUP(B1109,'MÃO DE OBRA'!$A:$E,5,FALSE)/220)</f>
        <v>18.377072727272729</v>
      </c>
      <c r="J1109" s="505">
        <f>H1109*I1109</f>
        <v>55.131218181818184</v>
      </c>
      <c r="K1109" s="471"/>
    </row>
    <row r="1110" spans="1:12">
      <c r="A1110" s="463"/>
      <c r="B1110" s="530" t="s">
        <v>556</v>
      </c>
      <c r="C1110" s="531"/>
      <c r="D1110" s="472"/>
      <c r="E1110" s="500"/>
      <c r="F1110" s="501"/>
      <c r="G1110" s="532"/>
      <c r="H1110" s="533">
        <f>E1101</f>
        <v>1</v>
      </c>
      <c r="I1110" s="534">
        <f>(VLOOKUP(B1110,'MÃO DE OBRA'!$A:$E,5,FALSE)/220)</f>
        <v>35.988199999999999</v>
      </c>
      <c r="J1110" s="505">
        <f>H1110*I1110</f>
        <v>35.988199999999999</v>
      </c>
      <c r="K1110" s="471"/>
    </row>
    <row r="1111" spans="1:12">
      <c r="A1111" s="463"/>
      <c r="B1111" s="512" t="s">
        <v>946</v>
      </c>
      <c r="C1111" s="515"/>
      <c r="D1111" s="515"/>
      <c r="E1111" s="515"/>
      <c r="F1111" s="515"/>
      <c r="G1111" s="515"/>
      <c r="H1111" s="515"/>
      <c r="I1111" s="535" t="s">
        <v>175</v>
      </c>
      <c r="J1111" s="514">
        <f>SUM(J1108:J1110)</f>
        <v>224.69169090909094</v>
      </c>
      <c r="K1111" s="471"/>
    </row>
    <row r="1112" spans="1:12">
      <c r="A1112" s="463"/>
      <c r="B1112" s="536"/>
      <c r="C1112" s="536"/>
      <c r="D1112" s="536"/>
      <c r="E1112" s="536"/>
      <c r="F1112" s="536"/>
      <c r="G1112" s="536"/>
      <c r="H1112" s="536"/>
      <c r="I1112" s="537"/>
      <c r="J1112" s="536"/>
      <c r="K1112" s="471"/>
    </row>
    <row r="1113" spans="1:12">
      <c r="A1113" s="463"/>
      <c r="B1113" s="538" t="s">
        <v>952</v>
      </c>
      <c r="C1113" s="539"/>
      <c r="D1113" s="536"/>
      <c r="E1113" s="540">
        <v>71.037290200000001</v>
      </c>
      <c r="F1113" s="541" t="s">
        <v>931</v>
      </c>
      <c r="G1113" s="519"/>
      <c r="H1113" s="519"/>
      <c r="I1113" s="542" t="s">
        <v>953</v>
      </c>
      <c r="J1113" s="514">
        <f>J1105+J1111</f>
        <v>1024.691690909091</v>
      </c>
      <c r="K1113" s="471"/>
    </row>
    <row r="1114" spans="1:12">
      <c r="A1114" s="463"/>
      <c r="B1114" s="543"/>
      <c r="C1114" s="536"/>
      <c r="D1114" s="536"/>
      <c r="E1114" s="544"/>
      <c r="F1114" s="545"/>
      <c r="G1114" s="545"/>
      <c r="H1114" s="545"/>
      <c r="I1114" s="537"/>
      <c r="J1114" s="536"/>
      <c r="K1114" s="471"/>
    </row>
    <row r="1115" spans="1:12" ht="20.399999999999999">
      <c r="A1115" s="463"/>
      <c r="B1115" s="1493" t="s">
        <v>362</v>
      </c>
      <c r="C1115" s="1494"/>
      <c r="D1115" s="1494"/>
      <c r="E1115" s="1495"/>
      <c r="F1115" s="546" t="s">
        <v>688</v>
      </c>
      <c r="G1115" s="547" t="s">
        <v>371</v>
      </c>
      <c r="H1115" s="520" t="s">
        <v>942</v>
      </c>
      <c r="I1115" s="548" t="s">
        <v>361</v>
      </c>
      <c r="J1115" s="549" t="s">
        <v>363</v>
      </c>
      <c r="K1115" s="471"/>
    </row>
    <row r="1116" spans="1:12">
      <c r="A1116" s="463"/>
      <c r="B1116" s="557" t="str">
        <f>B1101</f>
        <v>Escavadeira hidráulica sobre esteira 22T</v>
      </c>
      <c r="C1116" s="531"/>
      <c r="D1116" s="531"/>
      <c r="E1116" s="500"/>
      <c r="F1116" s="553" t="str">
        <f>VLOOKUP(B1116,EQUIPAMENTOS!$A:$N,12,FALSE)</f>
        <v>Diesel S10</v>
      </c>
      <c r="G1116" s="554" t="s">
        <v>415</v>
      </c>
      <c r="H1116" s="560">
        <f>VLOOKUP(B1116,EQUIPAMENTOS!$A:$N,13,FALSE)</f>
        <v>0</v>
      </c>
      <c r="I1116" s="556">
        <f>VLOOKUP(B1116,EQUIPAMENTOS!$A:$N,14,FALSE)</f>
        <v>22</v>
      </c>
      <c r="J1116" s="505">
        <f>H1116*I1116*E1101*F1101</f>
        <v>0</v>
      </c>
      <c r="K1116" s="471"/>
    </row>
    <row r="1117" spans="1:12">
      <c r="A1117" s="463"/>
      <c r="B1117" s="557" t="str">
        <f>B1102</f>
        <v>Caminhão basculante 14 m³</v>
      </c>
      <c r="C1117" s="539"/>
      <c r="D1117" s="539"/>
      <c r="E1117" s="507"/>
      <c r="F1117" s="553" t="str">
        <f>VLOOKUP(B1117,EQUIPAMENTOS!$A:$N,12,FALSE)</f>
        <v>Diesel S10</v>
      </c>
      <c r="G1117" s="736" t="s">
        <v>415</v>
      </c>
      <c r="H1117" s="560">
        <f>VLOOKUP(B1117,EQUIPAMENTOS!$A:$N,13,FALSE)</f>
        <v>0</v>
      </c>
      <c r="I1117" s="556">
        <f>VLOOKUP(B1117,EQUIPAMENTOS!$A:$N,14,FALSE)</f>
        <v>2.5</v>
      </c>
      <c r="J1117" s="505">
        <f>H1117*I1117*E1102*F1102</f>
        <v>0</v>
      </c>
      <c r="K1117" s="471"/>
    </row>
    <row r="1118" spans="1:12">
      <c r="A1118" s="463"/>
      <c r="B1118" s="563" t="s">
        <v>946</v>
      </c>
      <c r="C1118" s="539"/>
      <c r="D1118" s="539"/>
      <c r="E1118" s="539"/>
      <c r="F1118" s="536"/>
      <c r="G1118" s="539"/>
      <c r="H1118" s="564"/>
      <c r="I1118" s="565" t="s">
        <v>175</v>
      </c>
      <c r="J1118" s="514">
        <f>SUM(J1116:J1117)</f>
        <v>0</v>
      </c>
      <c r="K1118" s="471"/>
    </row>
    <row r="1119" spans="1:12">
      <c r="A1119" s="463"/>
      <c r="B1119" s="566"/>
      <c r="C1119" s="539"/>
      <c r="D1119" s="539"/>
      <c r="E1119" s="567"/>
      <c r="F1119" s="568"/>
      <c r="G1119" s="519"/>
      <c r="H1119" s="519"/>
      <c r="I1119" s="542"/>
      <c r="J1119" s="567"/>
      <c r="K1119" s="471"/>
      <c r="L1119" s="6"/>
    </row>
    <row r="1120" spans="1:12" ht="20.399999999999999">
      <c r="A1120" s="463"/>
      <c r="B1120" s="1493" t="s">
        <v>955</v>
      </c>
      <c r="C1120" s="1494"/>
      <c r="D1120" s="1494"/>
      <c r="E1120" s="1494"/>
      <c r="F1120" s="1495"/>
      <c r="G1120" s="569" t="s">
        <v>372</v>
      </c>
      <c r="H1120" s="519" t="s">
        <v>956</v>
      </c>
      <c r="I1120" s="570" t="s">
        <v>942</v>
      </c>
      <c r="J1120" s="522" t="s">
        <v>363</v>
      </c>
      <c r="K1120" s="471"/>
    </row>
    <row r="1121" spans="1:13">
      <c r="A1121" s="463"/>
      <c r="B1121" s="571"/>
      <c r="C1121" s="572"/>
      <c r="D1121" s="573"/>
      <c r="E1121" s="573"/>
      <c r="F1121" s="574"/>
      <c r="G1121" s="502"/>
      <c r="H1121" s="502"/>
      <c r="I1121" s="575"/>
      <c r="J1121" s="505"/>
      <c r="K1121" s="471"/>
    </row>
    <row r="1122" spans="1:13">
      <c r="A1122" s="463"/>
      <c r="B1122" s="576"/>
      <c r="C1122" s="577"/>
      <c r="D1122" s="578"/>
      <c r="E1122" s="578"/>
      <c r="F1122" s="579"/>
      <c r="G1122" s="502"/>
      <c r="H1122" s="502"/>
      <c r="I1122" s="575"/>
      <c r="J1122" s="505"/>
      <c r="K1122" s="471"/>
    </row>
    <row r="1123" spans="1:13">
      <c r="A1123" s="463"/>
      <c r="B1123" s="1496" t="s">
        <v>175</v>
      </c>
      <c r="C1123" s="1496"/>
      <c r="D1123" s="1496"/>
      <c r="E1123" s="1496"/>
      <c r="F1123" s="1496"/>
      <c r="G1123" s="1496"/>
      <c r="H1123" s="1496"/>
      <c r="I1123" s="1496"/>
      <c r="J1123" s="514">
        <f>SUM(J1121:J1122)</f>
        <v>0</v>
      </c>
      <c r="K1123" s="471"/>
    </row>
    <row r="1124" spans="1:13">
      <c r="A1124" s="463"/>
      <c r="B1124" s="580"/>
      <c r="C1124" s="524"/>
      <c r="D1124" s="524"/>
      <c r="E1124" s="581"/>
      <c r="F1124" s="582"/>
      <c r="G1124" s="583"/>
      <c r="H1124" s="583"/>
      <c r="I1124" s="584"/>
      <c r="J1124" s="585"/>
      <c r="K1124" s="471"/>
    </row>
    <row r="1125" spans="1:13">
      <c r="A1125" s="463"/>
      <c r="B1125" s="586" t="s">
        <v>957</v>
      </c>
      <c r="C1125" s="586"/>
      <c r="D1125" s="563"/>
      <c r="E1125" s="536"/>
      <c r="F1125" s="536"/>
      <c r="G1125" s="536"/>
      <c r="H1125" s="587"/>
      <c r="I1125" s="588"/>
      <c r="J1125" s="514">
        <f>(J1113+J1118+J1123)/E1113</f>
        <v>14.424701280470451</v>
      </c>
      <c r="K1125" s="471"/>
      <c r="L1125">
        <v>14.424701033713937</v>
      </c>
    </row>
    <row r="1126" spans="1:13">
      <c r="A1126" s="463"/>
      <c r="B1126" s="566"/>
      <c r="C1126" s="539"/>
      <c r="D1126" s="539"/>
      <c r="E1126" s="567"/>
      <c r="F1126" s="568"/>
      <c r="G1126" s="519"/>
      <c r="H1126" s="519"/>
      <c r="I1126" s="542"/>
      <c r="J1126" s="589"/>
      <c r="K1126" s="471"/>
    </row>
    <row r="1127" spans="1:13" ht="20.399999999999999">
      <c r="A1127" s="463"/>
      <c r="B1127" s="1493" t="s">
        <v>958</v>
      </c>
      <c r="C1127" s="1494"/>
      <c r="D1127" s="1494"/>
      <c r="E1127" s="1494"/>
      <c r="F1127" s="1495"/>
      <c r="G1127" s="569" t="s">
        <v>372</v>
      </c>
      <c r="H1127" s="519" t="s">
        <v>956</v>
      </c>
      <c r="I1127" s="570" t="s">
        <v>942</v>
      </c>
      <c r="J1127" s="522" t="s">
        <v>363</v>
      </c>
      <c r="K1127" s="471"/>
    </row>
    <row r="1128" spans="1:13">
      <c r="A1128" s="463"/>
      <c r="B1128" s="571"/>
      <c r="C1128" s="572"/>
      <c r="D1128" s="573"/>
      <c r="E1128" s="573"/>
      <c r="F1128" s="574"/>
      <c r="G1128" s="502"/>
      <c r="H1128" s="502"/>
      <c r="I1128" s="575"/>
      <c r="J1128" s="505">
        <f>G1128*I1128</f>
        <v>0</v>
      </c>
      <c r="K1128" s="471"/>
    </row>
    <row r="1129" spans="1:13" ht="14.4" hidden="1" customHeight="1">
      <c r="A1129" s="463"/>
      <c r="B1129" s="576"/>
      <c r="C1129" s="577"/>
      <c r="D1129" s="578"/>
      <c r="E1129" s="578"/>
      <c r="F1129" s="579"/>
      <c r="G1129" s="502"/>
      <c r="H1129" s="502"/>
      <c r="I1129" s="575"/>
      <c r="J1129" s="505">
        <f>G1129*I1129</f>
        <v>0</v>
      </c>
      <c r="K1129" s="471"/>
      <c r="M1129" s="6"/>
    </row>
    <row r="1130" spans="1:13">
      <c r="A1130" s="463"/>
      <c r="B1130" s="576"/>
      <c r="C1130" s="577"/>
      <c r="D1130" s="578"/>
      <c r="E1130" s="578"/>
      <c r="F1130" s="579"/>
      <c r="G1130" s="502"/>
      <c r="H1130" s="502"/>
      <c r="I1130" s="575"/>
      <c r="J1130" s="505">
        <f>G1130*I1130</f>
        <v>0</v>
      </c>
      <c r="K1130" s="471"/>
    </row>
    <row r="1131" spans="1:13">
      <c r="A1131" s="463"/>
      <c r="B1131" s="590"/>
      <c r="C1131" s="591"/>
      <c r="D1131" s="592"/>
      <c r="E1131" s="592"/>
      <c r="F1131" s="593"/>
      <c r="G1131" s="502"/>
      <c r="H1131" s="502"/>
      <c r="I1131" s="575"/>
      <c r="J1131" s="505">
        <f>G1131*I1131</f>
        <v>0</v>
      </c>
      <c r="K1131" s="471"/>
    </row>
    <row r="1132" spans="1:13">
      <c r="A1132" s="463"/>
      <c r="B1132" s="594"/>
      <c r="C1132" s="536"/>
      <c r="D1132" s="536"/>
      <c r="E1132" s="595"/>
      <c r="F1132" s="596"/>
      <c r="G1132" s="545"/>
      <c r="H1132" s="545"/>
      <c r="I1132" s="537" t="s">
        <v>175</v>
      </c>
      <c r="J1132" s="514">
        <f>SUM(J1128:J1131)</f>
        <v>0</v>
      </c>
      <c r="K1132" s="471"/>
    </row>
    <row r="1133" spans="1:13">
      <c r="A1133" s="463"/>
      <c r="B1133" s="597"/>
      <c r="C1133" s="536"/>
      <c r="D1133" s="536"/>
      <c r="E1133" s="595"/>
      <c r="F1133" s="596"/>
      <c r="G1133" s="545"/>
      <c r="H1133" s="545"/>
      <c r="I1133" s="537"/>
      <c r="J1133" s="595"/>
      <c r="K1133" s="471"/>
    </row>
    <row r="1134" spans="1:13" ht="20.399999999999999">
      <c r="A1134" s="463"/>
      <c r="B1134" s="598" t="s">
        <v>959</v>
      </c>
      <c r="C1134" s="598"/>
      <c r="D1134" s="598"/>
      <c r="E1134" s="599"/>
      <c r="F1134" s="600" t="s">
        <v>372</v>
      </c>
      <c r="G1134" s="569" t="s">
        <v>960</v>
      </c>
      <c r="H1134" s="519" t="s">
        <v>942</v>
      </c>
      <c r="I1134" s="570" t="s">
        <v>361</v>
      </c>
      <c r="J1134" s="522" t="s">
        <v>363</v>
      </c>
      <c r="K1134" s="471"/>
    </row>
    <row r="1135" spans="1:13">
      <c r="A1135" s="463"/>
      <c r="B1135" s="571"/>
      <c r="C1135" s="572"/>
      <c r="D1135" s="573"/>
      <c r="E1135" s="574"/>
      <c r="F1135" s="502"/>
      <c r="G1135" s="502"/>
      <c r="H1135" s="624"/>
      <c r="I1135" s="575"/>
      <c r="J1135" s="505"/>
      <c r="K1135" s="471"/>
    </row>
    <row r="1136" spans="1:13">
      <c r="A1136" s="463"/>
      <c r="B1136" s="590" t="s">
        <v>946</v>
      </c>
      <c r="C1136" s="591"/>
      <c r="D1136" s="592"/>
      <c r="E1136" s="593" t="s">
        <v>946</v>
      </c>
      <c r="F1136" s="509">
        <v>0</v>
      </c>
      <c r="G1136" s="509">
        <v>0</v>
      </c>
      <c r="H1136" s="509">
        <v>0</v>
      </c>
      <c r="I1136" s="601">
        <v>0</v>
      </c>
      <c r="J1136" s="505">
        <f>I1136*H1136*G1136*F1136</f>
        <v>0</v>
      </c>
      <c r="K1136" s="471"/>
    </row>
    <row r="1137" spans="1:11">
      <c r="A1137" s="463"/>
      <c r="B1137" s="594"/>
      <c r="C1137" s="536"/>
      <c r="D1137" s="536"/>
      <c r="E1137" s="595"/>
      <c r="F1137" s="596"/>
      <c r="G1137" s="545"/>
      <c r="H1137" s="545"/>
      <c r="I1137" s="537" t="s">
        <v>175</v>
      </c>
      <c r="J1137" s="514">
        <f>SUM(J1135:J1136)</f>
        <v>0</v>
      </c>
      <c r="K1137" s="471"/>
    </row>
    <row r="1138" spans="1:11">
      <c r="A1138" s="463"/>
      <c r="B1138" s="536"/>
      <c r="C1138" s="536"/>
      <c r="D1138" s="536"/>
      <c r="E1138" s="536"/>
      <c r="F1138" s="536"/>
      <c r="G1138" s="536"/>
      <c r="H1138" s="536"/>
      <c r="I1138" s="537"/>
      <c r="J1138" s="536"/>
      <c r="K1138" s="471"/>
    </row>
    <row r="1139" spans="1:11">
      <c r="A1139" s="463"/>
      <c r="B1139" s="1481" t="s">
        <v>963</v>
      </c>
      <c r="C1139" s="1482"/>
      <c r="D1139" s="1482"/>
      <c r="E1139" s="1482"/>
      <c r="F1139" s="1482"/>
      <c r="G1139" s="1482"/>
      <c r="H1139" s="1482"/>
      <c r="I1139" s="1483"/>
      <c r="J1139" s="586">
        <v>14.424701280470451</v>
      </c>
      <c r="K1139" s="471"/>
    </row>
    <row r="1140" spans="1:11">
      <c r="A1140" s="463"/>
      <c r="B1140" s="524"/>
      <c r="C1140" s="524"/>
      <c r="D1140" s="524"/>
      <c r="E1140" s="524"/>
      <c r="F1140" s="524"/>
      <c r="G1140" s="524"/>
      <c r="H1140" s="524"/>
      <c r="I1140" s="584"/>
      <c r="J1140" s="524"/>
      <c r="K1140" s="471"/>
    </row>
    <row r="1141" spans="1:11">
      <c r="A1141" s="463"/>
      <c r="B1141" s="602"/>
      <c r="C1141" s="572"/>
      <c r="D1141" s="572"/>
      <c r="E1141" s="572"/>
      <c r="F1141" s="572"/>
      <c r="G1141" s="572"/>
      <c r="H1141" s="572"/>
      <c r="I1141" s="572"/>
      <c r="J1141" s="603"/>
      <c r="K1141" s="471"/>
    </row>
    <row r="1142" spans="1:11">
      <c r="A1142" s="463"/>
      <c r="B1142" s="604"/>
      <c r="C1142" s="605"/>
      <c r="D1142" s="606"/>
      <c r="E1142" s="606"/>
      <c r="F1142" s="607" t="s">
        <v>946</v>
      </c>
      <c r="G1142" s="608" t="s">
        <v>946</v>
      </c>
      <c r="H1142" s="605"/>
      <c r="I1142" s="605"/>
      <c r="J1142" s="609"/>
      <c r="K1142" s="471"/>
    </row>
    <row r="1143" spans="1:11">
      <c r="A1143" s="463"/>
      <c r="B1143" s="472"/>
      <c r="C1143" s="472"/>
      <c r="D1143" s="472"/>
      <c r="E1143" s="472"/>
      <c r="F1143" s="472"/>
      <c r="G1143" s="472"/>
      <c r="H1143" s="472"/>
      <c r="I1143" s="472"/>
      <c r="J1143" s="472"/>
      <c r="K1143" s="471"/>
    </row>
    <row r="1144" spans="1:11">
      <c r="A1144" s="463"/>
      <c r="B1144" s="610" t="str">
        <f>PLANEJAMENTO!F2</f>
        <v>OPERAÇÃO DE SUPRESSÃO E SUMP</v>
      </c>
      <c r="C1144" s="611"/>
      <c r="D1144" s="611"/>
      <c r="E1144" s="611"/>
      <c r="F1144" s="612"/>
      <c r="G1144" s="613" t="s">
        <v>363</v>
      </c>
      <c r="H1144" s="515"/>
      <c r="I1144" s="515"/>
      <c r="J1144" s="518"/>
      <c r="K1144" s="471"/>
    </row>
    <row r="1145" spans="1:11">
      <c r="A1145" s="463"/>
      <c r="B1145" s="956" t="str">
        <f>PLANEJAMENTO!F3</f>
        <v>MARA ROSA</v>
      </c>
      <c r="C1145" s="957"/>
      <c r="D1145" s="957"/>
      <c r="E1145" s="957"/>
      <c r="F1145" s="958"/>
      <c r="G1145" s="1484" t="s">
        <v>964</v>
      </c>
      <c r="H1145" s="1485"/>
      <c r="I1145" s="1485"/>
      <c r="J1145" s="1486"/>
      <c r="K1145" s="471"/>
    </row>
    <row r="1146" spans="1:11">
      <c r="A1146" s="463"/>
      <c r="B1146" s="1015"/>
      <c r="C1146" s="587"/>
      <c r="D1146" s="587"/>
      <c r="E1146" s="587"/>
      <c r="F1146" s="587"/>
      <c r="G1146" s="1014"/>
      <c r="H1146" s="1014"/>
      <c r="I1146" s="1014"/>
      <c r="J1146" s="1016"/>
      <c r="K1146" s="471"/>
    </row>
    <row r="1147" spans="1:11" ht="15" thickBot="1">
      <c r="A1147" s="621"/>
      <c r="B1147" s="622"/>
      <c r="C1147" s="622"/>
      <c r="D1147" s="622"/>
      <c r="E1147" s="622"/>
      <c r="F1147" s="622"/>
      <c r="G1147" s="622"/>
      <c r="H1147" s="622"/>
      <c r="I1147" s="622"/>
      <c r="J1147" s="622"/>
      <c r="K1147" s="623"/>
    </row>
    <row r="1148" spans="1:11">
      <c r="A1148" s="460"/>
      <c r="B1148" s="461"/>
      <c r="C1148" s="461"/>
      <c r="D1148" s="461"/>
      <c r="E1148" s="461"/>
      <c r="F1148" s="461"/>
      <c r="G1148" s="461"/>
      <c r="H1148" s="461"/>
      <c r="I1148" s="461"/>
      <c r="J1148" s="461"/>
      <c r="K1148" s="462"/>
    </row>
    <row r="1149" spans="1:11">
      <c r="A1149" s="463"/>
      <c r="B1149" s="464" t="s">
        <v>178</v>
      </c>
      <c r="C1149" s="465"/>
      <c r="D1149" s="466" t="s">
        <v>936</v>
      </c>
      <c r="E1149" s="467"/>
      <c r="F1149" s="468"/>
      <c r="G1149" s="468"/>
      <c r="H1149" s="469"/>
      <c r="I1149" s="469"/>
      <c r="J1149" s="470"/>
      <c r="K1149" s="471"/>
    </row>
    <row r="1150" spans="1:11">
      <c r="A1150" s="463"/>
      <c r="B1150" s="472"/>
      <c r="C1150" s="472"/>
      <c r="D1150" s="472"/>
      <c r="E1150" s="472"/>
      <c r="F1150" s="472"/>
      <c r="G1150" s="472"/>
      <c r="H1150" s="472"/>
      <c r="I1150" s="472"/>
      <c r="J1150" s="472"/>
      <c r="K1150" s="471"/>
    </row>
    <row r="1151" spans="1:11">
      <c r="A1151" s="463"/>
      <c r="B1151" s="473" t="s">
        <v>688</v>
      </c>
      <c r="C1151" s="474" t="s">
        <v>937</v>
      </c>
      <c r="D1151" s="1497" t="s">
        <v>250</v>
      </c>
      <c r="E1151" s="1498"/>
      <c r="F1151" s="1498"/>
      <c r="G1151" s="1498"/>
      <c r="H1151" s="1498"/>
      <c r="I1151" s="1499"/>
      <c r="J1151" s="475" t="s">
        <v>267</v>
      </c>
      <c r="K1151" s="471"/>
    </row>
    <row r="1152" spans="1:11" ht="20.399999999999999">
      <c r="A1152" s="463"/>
      <c r="B1152" s="476" t="s">
        <v>3</v>
      </c>
      <c r="C1152" s="477">
        <f ca="1">PLANEJAMENTO!F4</f>
        <v>46140</v>
      </c>
      <c r="D1152" s="681" t="s">
        <v>1480</v>
      </c>
      <c r="E1152" s="479"/>
      <c r="F1152" s="479"/>
      <c r="G1152" s="479"/>
      <c r="H1152" s="479"/>
      <c r="I1152" s="480"/>
      <c r="J1152" s="481" t="str">
        <f>F1168</f>
        <v>m3</v>
      </c>
      <c r="K1152" s="471"/>
    </row>
    <row r="1153" spans="1:11">
      <c r="A1153" s="463"/>
      <c r="B1153" s="482"/>
      <c r="C1153" s="482"/>
      <c r="D1153" s="482"/>
      <c r="E1153" s="482"/>
      <c r="F1153" s="482"/>
      <c r="G1153" s="482"/>
      <c r="H1153" s="482"/>
      <c r="I1153" s="483"/>
      <c r="J1153" s="484"/>
      <c r="K1153" s="471"/>
    </row>
    <row r="1154" spans="1:11">
      <c r="A1154" s="463"/>
      <c r="B1154" s="1484" t="s">
        <v>938</v>
      </c>
      <c r="C1154" s="1486"/>
      <c r="D1154" s="1502" t="s">
        <v>688</v>
      </c>
      <c r="E1154" s="1504" t="s">
        <v>939</v>
      </c>
      <c r="F1154" s="485" t="s">
        <v>940</v>
      </c>
      <c r="G1154" s="486"/>
      <c r="H1154" s="485" t="s">
        <v>941</v>
      </c>
      <c r="I1154" s="486"/>
      <c r="J1154" s="487" t="s">
        <v>942</v>
      </c>
      <c r="K1154" s="471"/>
    </row>
    <row r="1155" spans="1:11">
      <c r="A1155" s="463"/>
      <c r="B1155" s="1500"/>
      <c r="C1155" s="1501"/>
      <c r="D1155" s="1503"/>
      <c r="E1155" s="1505"/>
      <c r="F1155" s="488" t="s">
        <v>943</v>
      </c>
      <c r="G1155" s="488" t="s">
        <v>944</v>
      </c>
      <c r="H1155" s="488" t="s">
        <v>943</v>
      </c>
      <c r="I1155" s="489" t="s">
        <v>944</v>
      </c>
      <c r="J1155" s="490" t="s">
        <v>945</v>
      </c>
      <c r="K1155" s="471"/>
    </row>
    <row r="1156" spans="1:11">
      <c r="A1156" s="463"/>
      <c r="B1156" s="499" t="s">
        <v>631</v>
      </c>
      <c r="C1156" s="500"/>
      <c r="D1156" s="501"/>
      <c r="E1156" s="875">
        <v>1</v>
      </c>
      <c r="F1156" s="502">
        <v>1</v>
      </c>
      <c r="G1156" s="502">
        <f>1-F1156</f>
        <v>0</v>
      </c>
      <c r="H1156" s="503">
        <f>VLOOKUP(B1156,EQUIPAMENTOS!$A:$J,10,FALSE)</f>
        <v>175</v>
      </c>
      <c r="I1156" s="504">
        <f>H1156</f>
        <v>175</v>
      </c>
      <c r="J1156" s="505">
        <f>H1156*F1156*E1156+I1156*G1156*E1156</f>
        <v>175</v>
      </c>
      <c r="K1156" s="471"/>
    </row>
    <row r="1157" spans="1:11">
      <c r="A1157" s="463"/>
      <c r="B1157" s="499" t="s">
        <v>1157</v>
      </c>
      <c r="C1157" s="500"/>
      <c r="D1157" s="501"/>
      <c r="E1157" s="502">
        <v>5</v>
      </c>
      <c r="F1157" s="502">
        <v>1</v>
      </c>
      <c r="G1157" s="502">
        <f>1-F1157</f>
        <v>0</v>
      </c>
      <c r="H1157" s="503">
        <f>VLOOKUP(B1157,EQUIPAMENTOS!$A:$J,10,FALSE)</f>
        <v>125</v>
      </c>
      <c r="I1157" s="504">
        <f>H1157</f>
        <v>125</v>
      </c>
      <c r="J1157" s="505">
        <f>H1157*F1157*E1157+I1157*G1157*E1157</f>
        <v>625</v>
      </c>
      <c r="K1157" s="471"/>
    </row>
    <row r="1158" spans="1:11">
      <c r="A1158" s="463"/>
      <c r="B1158" s="499"/>
      <c r="C1158" s="500"/>
      <c r="D1158" s="501"/>
      <c r="E1158" s="502"/>
      <c r="F1158" s="502"/>
      <c r="G1158" s="502"/>
      <c r="H1158" s="503"/>
      <c r="I1158" s="504"/>
      <c r="J1158" s="505"/>
      <c r="K1158" s="471"/>
    </row>
    <row r="1159" spans="1:11">
      <c r="A1159" s="463"/>
      <c r="B1159" s="506"/>
      <c r="C1159" s="507"/>
      <c r="D1159" s="508"/>
      <c r="E1159" s="509"/>
      <c r="F1159" s="509"/>
      <c r="G1159" s="509"/>
      <c r="H1159" s="510"/>
      <c r="I1159" s="511"/>
      <c r="J1159" s="505">
        <f>H1159*F1159*E1159+I1159*G1159*E1159</f>
        <v>0</v>
      </c>
      <c r="K1159" s="471"/>
    </row>
    <row r="1160" spans="1:11">
      <c r="A1160" s="463"/>
      <c r="B1160" s="512" t="s">
        <v>946</v>
      </c>
      <c r="C1160" s="482"/>
      <c r="D1160" s="482"/>
      <c r="E1160" s="482"/>
      <c r="F1160" s="482"/>
      <c r="G1160" s="482"/>
      <c r="H1160" s="482"/>
      <c r="I1160" s="513" t="s">
        <v>175</v>
      </c>
      <c r="J1160" s="514">
        <f>SUM(J1156:J1159)</f>
        <v>800</v>
      </c>
      <c r="K1160" s="471"/>
    </row>
    <row r="1161" spans="1:11" ht="20.399999999999999" customHeight="1">
      <c r="A1161" s="463"/>
      <c r="B1161" s="515"/>
      <c r="C1161" s="515"/>
      <c r="D1161" s="515"/>
      <c r="E1161" s="515"/>
      <c r="F1161" s="515"/>
      <c r="G1161" s="515"/>
      <c r="H1161" s="515"/>
      <c r="I1161" s="516"/>
      <c r="J1161" s="517"/>
      <c r="K1161" s="471"/>
    </row>
    <row r="1162" spans="1:11" ht="20.399999999999999">
      <c r="A1162" s="463"/>
      <c r="B1162" s="1490" t="s">
        <v>947</v>
      </c>
      <c r="C1162" s="1491"/>
      <c r="D1162" s="1491"/>
      <c r="E1162" s="1492"/>
      <c r="F1162" s="725" t="s">
        <v>688</v>
      </c>
      <c r="G1162" s="853"/>
      <c r="H1162" s="520" t="s">
        <v>427</v>
      </c>
      <c r="I1162" s="521" t="s">
        <v>948</v>
      </c>
      <c r="J1162" s="522" t="s">
        <v>949</v>
      </c>
      <c r="K1162" s="471"/>
    </row>
    <row r="1163" spans="1:11">
      <c r="A1163" s="463"/>
      <c r="B1163" s="523" t="s">
        <v>950</v>
      </c>
      <c r="C1163" s="524"/>
      <c r="D1163" s="525"/>
      <c r="E1163" s="526"/>
      <c r="F1163" s="527"/>
      <c r="G1163" s="528"/>
      <c r="H1163" s="529">
        <f>E1157</f>
        <v>5</v>
      </c>
      <c r="I1163" s="534">
        <f>(VLOOKUP(B1163,'MÃO DE OBRA'!$A:$E,5,FALSE)/220)</f>
        <v>26.714454545454547</v>
      </c>
      <c r="J1163" s="505">
        <f>H1163*I1163</f>
        <v>133.57227272727275</v>
      </c>
      <c r="K1163" s="471"/>
    </row>
    <row r="1164" spans="1:11">
      <c r="A1164" s="463"/>
      <c r="B1164" s="530" t="s">
        <v>472</v>
      </c>
      <c r="C1164" s="531"/>
      <c r="D1164" s="472"/>
      <c r="E1164" s="500"/>
      <c r="F1164" s="501"/>
      <c r="G1164" s="532"/>
      <c r="H1164" s="533">
        <v>3</v>
      </c>
      <c r="I1164" s="534">
        <f>(VLOOKUP(B1164,'MÃO DE OBRA'!$A:$E,5,FALSE)/220)</f>
        <v>18.377072727272729</v>
      </c>
      <c r="J1164" s="505">
        <f>H1164*I1164</f>
        <v>55.131218181818184</v>
      </c>
      <c r="K1164" s="471"/>
    </row>
    <row r="1165" spans="1:11">
      <c r="A1165" s="463"/>
      <c r="B1165" s="530" t="s">
        <v>556</v>
      </c>
      <c r="C1165" s="531"/>
      <c r="D1165" s="472"/>
      <c r="E1165" s="500"/>
      <c r="F1165" s="501"/>
      <c r="G1165" s="532"/>
      <c r="H1165" s="533">
        <f>E1156</f>
        <v>1</v>
      </c>
      <c r="I1165" s="534">
        <f>(VLOOKUP(B1165,'MÃO DE OBRA'!$A:$E,5,FALSE)/220)</f>
        <v>35.988199999999999</v>
      </c>
      <c r="J1165" s="505">
        <f>H1165*I1165</f>
        <v>35.988199999999999</v>
      </c>
      <c r="K1165" s="471"/>
    </row>
    <row r="1166" spans="1:11">
      <c r="A1166" s="463"/>
      <c r="B1166" s="512" t="s">
        <v>946</v>
      </c>
      <c r="C1166" s="515"/>
      <c r="D1166" s="515"/>
      <c r="E1166" s="515"/>
      <c r="F1166" s="515"/>
      <c r="G1166" s="515"/>
      <c r="H1166" s="515"/>
      <c r="I1166" s="535" t="s">
        <v>175</v>
      </c>
      <c r="J1166" s="514">
        <f>SUM(J1163:J1165)</f>
        <v>224.69169090909094</v>
      </c>
      <c r="K1166" s="471"/>
    </row>
    <row r="1167" spans="1:11">
      <c r="A1167" s="463"/>
      <c r="B1167" s="536"/>
      <c r="C1167" s="536"/>
      <c r="D1167" s="536"/>
      <c r="E1167" s="536"/>
      <c r="F1167" s="536"/>
      <c r="G1167" s="536"/>
      <c r="H1167" s="536"/>
      <c r="I1167" s="537"/>
      <c r="J1167" s="536"/>
      <c r="K1167" s="471"/>
    </row>
    <row r="1168" spans="1:11">
      <c r="A1168" s="463"/>
      <c r="B1168" s="538" t="s">
        <v>952</v>
      </c>
      <c r="C1168" s="539"/>
      <c r="D1168" s="536"/>
      <c r="E1168" s="540">
        <v>67.631936400248705</v>
      </c>
      <c r="F1168" s="541" t="s">
        <v>931</v>
      </c>
      <c r="G1168" s="519"/>
      <c r="H1168" s="519"/>
      <c r="I1168" s="542" t="s">
        <v>953</v>
      </c>
      <c r="J1168" s="514">
        <f>J1160+J1166</f>
        <v>1024.691690909091</v>
      </c>
      <c r="K1168" s="471"/>
    </row>
    <row r="1169" spans="1:13">
      <c r="A1169" s="463"/>
      <c r="B1169" s="543"/>
      <c r="C1169" s="536"/>
      <c r="D1169" s="536"/>
      <c r="E1169" s="544"/>
      <c r="F1169" s="545"/>
      <c r="G1169" s="545"/>
      <c r="H1169" s="545"/>
      <c r="I1169" s="537"/>
      <c r="J1169" s="536"/>
      <c r="K1169" s="471"/>
    </row>
    <row r="1170" spans="1:13" ht="20.399999999999999">
      <c r="A1170" s="463"/>
      <c r="B1170" s="1493" t="s">
        <v>362</v>
      </c>
      <c r="C1170" s="1494"/>
      <c r="D1170" s="1494"/>
      <c r="E1170" s="1495"/>
      <c r="F1170" s="546" t="s">
        <v>688</v>
      </c>
      <c r="G1170" s="547" t="s">
        <v>371</v>
      </c>
      <c r="H1170" s="520" t="s">
        <v>942</v>
      </c>
      <c r="I1170" s="548" t="s">
        <v>361</v>
      </c>
      <c r="J1170" s="549" t="s">
        <v>363</v>
      </c>
      <c r="K1170" s="471"/>
    </row>
    <row r="1171" spans="1:13">
      <c r="A1171" s="463"/>
      <c r="B1171" s="557" t="str">
        <f>B1156</f>
        <v>Escavadeira hidráulica sobre esteira 22T</v>
      </c>
      <c r="C1171" s="531"/>
      <c r="D1171" s="531"/>
      <c r="E1171" s="500"/>
      <c r="F1171" s="553" t="str">
        <f>VLOOKUP(B1171,EQUIPAMENTOS!$A:$N,12,FALSE)</f>
        <v>Diesel S10</v>
      </c>
      <c r="G1171" s="554" t="s">
        <v>415</v>
      </c>
      <c r="H1171" s="560">
        <f>VLOOKUP(B1171,EQUIPAMENTOS!$A:$N,13,FALSE)</f>
        <v>0</v>
      </c>
      <c r="I1171" s="556">
        <f>VLOOKUP(B1171,EQUIPAMENTOS!$A:$N,14,FALSE)</f>
        <v>22</v>
      </c>
      <c r="J1171" s="505">
        <f>H1171*I1171*E1156*F1156</f>
        <v>0</v>
      </c>
      <c r="K1171" s="471"/>
    </row>
    <row r="1172" spans="1:13">
      <c r="A1172" s="463"/>
      <c r="B1172" s="557" t="str">
        <f>B1157</f>
        <v>Caminhão basculante 14 m³</v>
      </c>
      <c r="C1172" s="539"/>
      <c r="D1172" s="539"/>
      <c r="E1172" s="507"/>
      <c r="F1172" s="553" t="str">
        <f>VLOOKUP(B1172,EQUIPAMENTOS!$A:$N,12,FALSE)</f>
        <v>Diesel S10</v>
      </c>
      <c r="G1172" s="736" t="s">
        <v>415</v>
      </c>
      <c r="H1172" s="560">
        <f>VLOOKUP(B1172,EQUIPAMENTOS!$A:$N,13,FALSE)</f>
        <v>0</v>
      </c>
      <c r="I1172" s="556">
        <f>VLOOKUP(B1172,EQUIPAMENTOS!$A:$N,14,FALSE)</f>
        <v>2.5</v>
      </c>
      <c r="J1172" s="505">
        <f>H1172*I1172*E1157*F1157</f>
        <v>0</v>
      </c>
      <c r="K1172" s="471"/>
    </row>
    <row r="1173" spans="1:13">
      <c r="A1173" s="463"/>
      <c r="B1173" s="563" t="s">
        <v>946</v>
      </c>
      <c r="C1173" s="539"/>
      <c r="D1173" s="539"/>
      <c r="E1173" s="539"/>
      <c r="F1173" s="536"/>
      <c r="G1173" s="539"/>
      <c r="H1173" s="564"/>
      <c r="I1173" s="565" t="s">
        <v>175</v>
      </c>
      <c r="J1173" s="514">
        <f>SUM(J1171:J1172)</f>
        <v>0</v>
      </c>
      <c r="K1173" s="471"/>
    </row>
    <row r="1174" spans="1:13">
      <c r="A1174" s="463"/>
      <c r="B1174" s="566"/>
      <c r="C1174" s="539"/>
      <c r="D1174" s="539"/>
      <c r="E1174" s="567"/>
      <c r="F1174" s="568"/>
      <c r="G1174" s="519"/>
      <c r="H1174" s="519"/>
      <c r="I1174" s="542"/>
      <c r="J1174" s="567"/>
      <c r="K1174" s="471"/>
      <c r="L1174" s="6">
        <f>J1174/E1168</f>
        <v>0</v>
      </c>
    </row>
    <row r="1175" spans="1:13" ht="20.399999999999999">
      <c r="A1175" s="463"/>
      <c r="B1175" s="1493" t="s">
        <v>955</v>
      </c>
      <c r="C1175" s="1494"/>
      <c r="D1175" s="1494"/>
      <c r="E1175" s="1494"/>
      <c r="F1175" s="1495"/>
      <c r="G1175" s="569" t="s">
        <v>372</v>
      </c>
      <c r="H1175" s="519" t="s">
        <v>956</v>
      </c>
      <c r="I1175" s="570" t="s">
        <v>942</v>
      </c>
      <c r="J1175" s="522" t="s">
        <v>363</v>
      </c>
      <c r="K1175" s="471"/>
    </row>
    <row r="1176" spans="1:13">
      <c r="A1176" s="463"/>
      <c r="B1176" s="571"/>
      <c r="C1176" s="572"/>
      <c r="D1176" s="573"/>
      <c r="E1176" s="573"/>
      <c r="F1176" s="574"/>
      <c r="G1176" s="502"/>
      <c r="H1176" s="502"/>
      <c r="I1176" s="575"/>
      <c r="J1176" s="505"/>
      <c r="K1176" s="471"/>
    </row>
    <row r="1177" spans="1:13">
      <c r="A1177" s="463"/>
      <c r="B1177" s="576"/>
      <c r="C1177" s="577"/>
      <c r="D1177" s="578"/>
      <c r="E1177" s="578"/>
      <c r="F1177" s="579"/>
      <c r="G1177" s="502"/>
      <c r="H1177" s="502"/>
      <c r="I1177" s="575"/>
      <c r="J1177" s="505"/>
      <c r="K1177" s="471"/>
    </row>
    <row r="1178" spans="1:13">
      <c r="A1178" s="463"/>
      <c r="B1178" s="1496" t="s">
        <v>175</v>
      </c>
      <c r="C1178" s="1496"/>
      <c r="D1178" s="1496"/>
      <c r="E1178" s="1496"/>
      <c r="F1178" s="1496"/>
      <c r="G1178" s="1496"/>
      <c r="H1178" s="1496"/>
      <c r="I1178" s="1496"/>
      <c r="J1178" s="514">
        <f>SUM(J1176:J1177)</f>
        <v>0</v>
      </c>
      <c r="K1178" s="471"/>
    </row>
    <row r="1179" spans="1:13">
      <c r="A1179" s="463"/>
      <c r="B1179" s="580"/>
      <c r="C1179" s="524"/>
      <c r="D1179" s="524"/>
      <c r="E1179" s="581"/>
      <c r="F1179" s="582"/>
      <c r="G1179" s="583"/>
      <c r="H1179" s="583"/>
      <c r="I1179" s="584"/>
      <c r="J1179" s="585"/>
      <c r="K1179" s="471"/>
    </row>
    <row r="1180" spans="1:13">
      <c r="A1180" s="463"/>
      <c r="B1180" s="586" t="s">
        <v>957</v>
      </c>
      <c r="C1180" s="586"/>
      <c r="D1180" s="563"/>
      <c r="E1180" s="536"/>
      <c r="F1180" s="536"/>
      <c r="G1180" s="536"/>
      <c r="H1180" s="587"/>
      <c r="I1180" s="588"/>
      <c r="J1180" s="514">
        <f>(J1168+J1173+J1178)/E1168</f>
        <v>15.151003289997814</v>
      </c>
      <c r="K1180" s="471"/>
      <c r="L1180">
        <v>15.151003310587123</v>
      </c>
    </row>
    <row r="1181" spans="1:13">
      <c r="A1181" s="463"/>
      <c r="B1181" s="566"/>
      <c r="C1181" s="539"/>
      <c r="D1181" s="539"/>
      <c r="E1181" s="567"/>
      <c r="F1181" s="568"/>
      <c r="G1181" s="519"/>
      <c r="H1181" s="519"/>
      <c r="I1181" s="542"/>
      <c r="J1181" s="589"/>
      <c r="K1181" s="471"/>
    </row>
    <row r="1182" spans="1:13" ht="20.399999999999999">
      <c r="A1182" s="463"/>
      <c r="B1182" s="1493" t="s">
        <v>958</v>
      </c>
      <c r="C1182" s="1494"/>
      <c r="D1182" s="1494"/>
      <c r="E1182" s="1494"/>
      <c r="F1182" s="1495"/>
      <c r="G1182" s="569" t="s">
        <v>372</v>
      </c>
      <c r="H1182" s="519" t="s">
        <v>956</v>
      </c>
      <c r="I1182" s="570" t="s">
        <v>942</v>
      </c>
      <c r="J1182" s="522" t="s">
        <v>363</v>
      </c>
      <c r="K1182" s="471"/>
    </row>
    <row r="1183" spans="1:13">
      <c r="A1183" s="463"/>
      <c r="B1183" s="571"/>
      <c r="C1183" s="572"/>
      <c r="D1183" s="573"/>
      <c r="E1183" s="573"/>
      <c r="F1183" s="574"/>
      <c r="G1183" s="502"/>
      <c r="H1183" s="502"/>
      <c r="I1183" s="575"/>
      <c r="J1183" s="505">
        <f>G1183*I1183</f>
        <v>0</v>
      </c>
      <c r="K1183" s="471"/>
    </row>
    <row r="1184" spans="1:13">
      <c r="A1184" s="463"/>
      <c r="B1184" s="576"/>
      <c r="C1184" s="577"/>
      <c r="D1184" s="578"/>
      <c r="E1184" s="578"/>
      <c r="F1184" s="579"/>
      <c r="G1184" s="502"/>
      <c r="H1184" s="502"/>
      <c r="I1184" s="575"/>
      <c r="J1184" s="505">
        <f>G1184*I1184</f>
        <v>0</v>
      </c>
      <c r="K1184" s="471"/>
      <c r="L1184" s="6"/>
      <c r="M1184" s="6"/>
    </row>
    <row r="1185" spans="1:13">
      <c r="A1185" s="463"/>
      <c r="B1185" s="576"/>
      <c r="C1185" s="577"/>
      <c r="D1185" s="578"/>
      <c r="E1185" s="578"/>
      <c r="F1185" s="579"/>
      <c r="G1185" s="502"/>
      <c r="H1185" s="502"/>
      <c r="I1185" s="575"/>
      <c r="J1185" s="505">
        <f>G1185*I1185</f>
        <v>0</v>
      </c>
      <c r="K1185" s="471"/>
      <c r="M1185" s="6"/>
    </row>
    <row r="1186" spans="1:13">
      <c r="A1186" s="463"/>
      <c r="B1186" s="590"/>
      <c r="C1186" s="591"/>
      <c r="D1186" s="592"/>
      <c r="E1186" s="592"/>
      <c r="F1186" s="593"/>
      <c r="G1186" s="502"/>
      <c r="H1186" s="502"/>
      <c r="I1186" s="575"/>
      <c r="J1186" s="505">
        <f>G1186*I1186</f>
        <v>0</v>
      </c>
      <c r="K1186" s="471"/>
    </row>
    <row r="1187" spans="1:13">
      <c r="A1187" s="463"/>
      <c r="B1187" s="594"/>
      <c r="C1187" s="536"/>
      <c r="D1187" s="536"/>
      <c r="E1187" s="595"/>
      <c r="F1187" s="596"/>
      <c r="G1187" s="545"/>
      <c r="H1187" s="545"/>
      <c r="I1187" s="537" t="s">
        <v>175</v>
      </c>
      <c r="J1187" s="514">
        <f>SUM(J1183:J1186)</f>
        <v>0</v>
      </c>
      <c r="K1187" s="471"/>
    </row>
    <row r="1188" spans="1:13">
      <c r="A1188" s="463"/>
      <c r="B1188" s="597"/>
      <c r="C1188" s="536"/>
      <c r="D1188" s="536"/>
      <c r="E1188" s="595"/>
      <c r="F1188" s="596"/>
      <c r="G1188" s="545"/>
      <c r="H1188" s="545"/>
      <c r="I1188" s="537"/>
      <c r="J1188" s="595"/>
      <c r="K1188" s="471"/>
    </row>
    <row r="1189" spans="1:13" ht="20.399999999999999">
      <c r="A1189" s="463"/>
      <c r="B1189" s="598" t="s">
        <v>959</v>
      </c>
      <c r="C1189" s="598"/>
      <c r="D1189" s="598"/>
      <c r="E1189" s="599"/>
      <c r="F1189" s="600" t="s">
        <v>372</v>
      </c>
      <c r="G1189" s="569" t="s">
        <v>960</v>
      </c>
      <c r="H1189" s="519" t="s">
        <v>942</v>
      </c>
      <c r="I1189" s="570" t="s">
        <v>361</v>
      </c>
      <c r="J1189" s="522" t="s">
        <v>363</v>
      </c>
      <c r="K1189" s="471"/>
    </row>
    <row r="1190" spans="1:13">
      <c r="A1190" s="463"/>
      <c r="B1190" s="571"/>
      <c r="C1190" s="572"/>
      <c r="D1190" s="573"/>
      <c r="E1190" s="574"/>
      <c r="F1190" s="502"/>
      <c r="G1190" s="502"/>
      <c r="H1190" s="624"/>
      <c r="I1190" s="575"/>
      <c r="J1190" s="505"/>
      <c r="K1190" s="471"/>
    </row>
    <row r="1191" spans="1:13">
      <c r="A1191" s="463"/>
      <c r="B1191" s="590" t="s">
        <v>946</v>
      </c>
      <c r="C1191" s="591"/>
      <c r="D1191" s="592"/>
      <c r="E1191" s="593" t="s">
        <v>946</v>
      </c>
      <c r="F1191" s="509">
        <v>0</v>
      </c>
      <c r="G1191" s="509">
        <v>0</v>
      </c>
      <c r="H1191" s="509">
        <v>0</v>
      </c>
      <c r="I1191" s="601">
        <v>0</v>
      </c>
      <c r="J1191" s="505">
        <f>I1191*H1191*G1191*F1191</f>
        <v>0</v>
      </c>
      <c r="K1191" s="471"/>
    </row>
    <row r="1192" spans="1:13">
      <c r="A1192" s="463"/>
      <c r="B1192" s="594"/>
      <c r="C1192" s="536"/>
      <c r="D1192" s="536"/>
      <c r="E1192" s="595"/>
      <c r="F1192" s="596"/>
      <c r="G1192" s="545"/>
      <c r="H1192" s="545"/>
      <c r="I1192" s="537" t="s">
        <v>175</v>
      </c>
      <c r="J1192" s="514">
        <f>SUM(J1190:J1191)</f>
        <v>0</v>
      </c>
      <c r="K1192" s="471"/>
    </row>
    <row r="1193" spans="1:13">
      <c r="A1193" s="463"/>
      <c r="B1193" s="536"/>
      <c r="C1193" s="536"/>
      <c r="D1193" s="536"/>
      <c r="E1193" s="536"/>
      <c r="F1193" s="536"/>
      <c r="G1193" s="536"/>
      <c r="H1193" s="536"/>
      <c r="I1193" s="537"/>
      <c r="J1193" s="536"/>
      <c r="K1193" s="471"/>
    </row>
    <row r="1194" spans="1:13">
      <c r="A1194" s="463"/>
      <c r="B1194" s="1481" t="s">
        <v>963</v>
      </c>
      <c r="C1194" s="1482"/>
      <c r="D1194" s="1482"/>
      <c r="E1194" s="1482"/>
      <c r="F1194" s="1482"/>
      <c r="G1194" s="1482"/>
      <c r="H1194" s="1482"/>
      <c r="I1194" s="1483"/>
      <c r="J1194" s="586">
        <v>15.151003289997814</v>
      </c>
      <c r="K1194" s="471"/>
    </row>
    <row r="1195" spans="1:13">
      <c r="A1195" s="463"/>
      <c r="B1195" s="524"/>
      <c r="C1195" s="524"/>
      <c r="D1195" s="524"/>
      <c r="E1195" s="524"/>
      <c r="F1195" s="524"/>
      <c r="G1195" s="524"/>
      <c r="H1195" s="524"/>
      <c r="I1195" s="584"/>
      <c r="J1195" s="524"/>
      <c r="K1195" s="471"/>
    </row>
    <row r="1196" spans="1:13">
      <c r="A1196" s="463"/>
      <c r="B1196" s="602"/>
      <c r="C1196" s="572"/>
      <c r="D1196" s="572"/>
      <c r="E1196" s="572"/>
      <c r="F1196" s="572"/>
      <c r="G1196" s="572"/>
      <c r="H1196" s="572"/>
      <c r="I1196" s="572"/>
      <c r="J1196" s="603"/>
      <c r="K1196" s="471"/>
    </row>
    <row r="1197" spans="1:13">
      <c r="A1197" s="463"/>
      <c r="B1197" s="604"/>
      <c r="C1197" s="605"/>
      <c r="D1197" s="606"/>
      <c r="E1197" s="606"/>
      <c r="F1197" s="607" t="s">
        <v>946</v>
      </c>
      <c r="G1197" s="608" t="s">
        <v>946</v>
      </c>
      <c r="H1197" s="605"/>
      <c r="I1197" s="605"/>
      <c r="J1197" s="609"/>
      <c r="K1197" s="471"/>
    </row>
    <row r="1198" spans="1:13">
      <c r="A1198" s="463"/>
      <c r="B1198" s="472"/>
      <c r="C1198" s="472"/>
      <c r="D1198" s="472"/>
      <c r="E1198" s="472"/>
      <c r="F1198" s="472"/>
      <c r="G1198" s="472"/>
      <c r="H1198" s="472"/>
      <c r="I1198" s="472"/>
      <c r="J1198" s="472"/>
      <c r="K1198" s="471"/>
    </row>
    <row r="1199" spans="1:13">
      <c r="A1199" s="463"/>
      <c r="B1199" s="610" t="str">
        <f>PLANEJAMENTO!F2</f>
        <v>OPERAÇÃO DE SUPRESSÃO E SUMP</v>
      </c>
      <c r="C1199" s="611"/>
      <c r="D1199" s="611"/>
      <c r="E1199" s="611"/>
      <c r="F1199" s="612"/>
      <c r="G1199" s="613" t="s">
        <v>363</v>
      </c>
      <c r="H1199" s="515"/>
      <c r="I1199" s="515"/>
      <c r="J1199" s="518"/>
      <c r="K1199" s="471"/>
    </row>
    <row r="1200" spans="1:13">
      <c r="A1200" s="463"/>
      <c r="B1200" s="956" t="str">
        <f>PLANEJAMENTO!F3</f>
        <v>MARA ROSA</v>
      </c>
      <c r="C1200" s="957"/>
      <c r="D1200" s="957"/>
      <c r="E1200" s="957"/>
      <c r="F1200" s="958"/>
      <c r="G1200" s="1484" t="s">
        <v>964</v>
      </c>
      <c r="H1200" s="1485"/>
      <c r="I1200" s="1485"/>
      <c r="J1200" s="1486"/>
      <c r="K1200" s="471"/>
    </row>
    <row r="1201" spans="1:11">
      <c r="A1201" s="463"/>
      <c r="B1201" s="1015"/>
      <c r="C1201" s="587"/>
      <c r="D1201" s="587"/>
      <c r="E1201" s="587"/>
      <c r="F1201" s="587"/>
      <c r="G1201" s="1014"/>
      <c r="H1201" s="1014"/>
      <c r="I1201" s="1014"/>
      <c r="J1201" s="1016"/>
      <c r="K1201" s="471"/>
    </row>
    <row r="1202" spans="1:11" ht="15" thickBot="1">
      <c r="A1202" s="621"/>
      <c r="B1202" s="622"/>
      <c r="C1202" s="622"/>
      <c r="D1202" s="622"/>
      <c r="E1202" s="622"/>
      <c r="F1202" s="622"/>
      <c r="G1202" s="622"/>
      <c r="H1202" s="622"/>
      <c r="I1202" s="622"/>
      <c r="J1202" s="622"/>
      <c r="K1202" s="623"/>
    </row>
    <row r="1203" spans="1:11">
      <c r="A1203" s="460"/>
      <c r="B1203" s="461"/>
      <c r="C1203" s="461"/>
      <c r="D1203" s="461"/>
      <c r="E1203" s="461"/>
      <c r="F1203" s="461"/>
      <c r="G1203" s="461"/>
      <c r="H1203" s="461"/>
      <c r="I1203" s="461"/>
      <c r="J1203" s="461"/>
      <c r="K1203" s="462"/>
    </row>
    <row r="1204" spans="1:11">
      <c r="A1204" s="463"/>
      <c r="B1204" s="464" t="s">
        <v>178</v>
      </c>
      <c r="C1204" s="465"/>
      <c r="D1204" s="466" t="s">
        <v>936</v>
      </c>
      <c r="E1204" s="467"/>
      <c r="F1204" s="468"/>
      <c r="G1204" s="468"/>
      <c r="H1204" s="469"/>
      <c r="I1204" s="469"/>
      <c r="J1204" s="470"/>
      <c r="K1204" s="471"/>
    </row>
    <row r="1205" spans="1:11">
      <c r="A1205" s="463"/>
      <c r="B1205" s="472"/>
      <c r="C1205" s="472"/>
      <c r="D1205" s="472"/>
      <c r="E1205" s="472"/>
      <c r="F1205" s="472"/>
      <c r="G1205" s="472"/>
      <c r="H1205" s="472"/>
      <c r="I1205" s="472"/>
      <c r="J1205" s="472"/>
      <c r="K1205" s="471"/>
    </row>
    <row r="1206" spans="1:11">
      <c r="A1206" s="463"/>
      <c r="B1206" s="473" t="s">
        <v>688</v>
      </c>
      <c r="C1206" s="474" t="s">
        <v>937</v>
      </c>
      <c r="D1206" s="1497" t="s">
        <v>250</v>
      </c>
      <c r="E1206" s="1498"/>
      <c r="F1206" s="1498"/>
      <c r="G1206" s="1498"/>
      <c r="H1206" s="1498"/>
      <c r="I1206" s="1499"/>
      <c r="J1206" s="475" t="s">
        <v>267</v>
      </c>
      <c r="K1206" s="471"/>
    </row>
    <row r="1207" spans="1:11" ht="20.399999999999999">
      <c r="A1207" s="463"/>
      <c r="B1207" s="476" t="s">
        <v>3</v>
      </c>
      <c r="C1207" s="477">
        <f ca="1">PLANEJAMENTO!F4</f>
        <v>46140</v>
      </c>
      <c r="D1207" s="681" t="s">
        <v>1481</v>
      </c>
      <c r="E1207" s="479"/>
      <c r="F1207" s="479"/>
      <c r="G1207" s="479"/>
      <c r="H1207" s="479"/>
      <c r="I1207" s="480"/>
      <c r="J1207" s="481" t="str">
        <f>F1223</f>
        <v>m3</v>
      </c>
      <c r="K1207" s="471"/>
    </row>
    <row r="1208" spans="1:11">
      <c r="A1208" s="463"/>
      <c r="B1208" s="482"/>
      <c r="C1208" s="482"/>
      <c r="D1208" s="482"/>
      <c r="E1208" s="482"/>
      <c r="F1208" s="482"/>
      <c r="G1208" s="482"/>
      <c r="H1208" s="482"/>
      <c r="I1208" s="483"/>
      <c r="J1208" s="484"/>
      <c r="K1208" s="471"/>
    </row>
    <row r="1209" spans="1:11">
      <c r="A1209" s="463"/>
      <c r="B1209" s="1484" t="s">
        <v>938</v>
      </c>
      <c r="C1209" s="1486"/>
      <c r="D1209" s="1502" t="s">
        <v>688</v>
      </c>
      <c r="E1209" s="1504" t="s">
        <v>939</v>
      </c>
      <c r="F1209" s="485" t="s">
        <v>940</v>
      </c>
      <c r="G1209" s="486"/>
      <c r="H1209" s="485" t="s">
        <v>941</v>
      </c>
      <c r="I1209" s="486"/>
      <c r="J1209" s="487" t="s">
        <v>942</v>
      </c>
      <c r="K1209" s="471"/>
    </row>
    <row r="1210" spans="1:11">
      <c r="A1210" s="463"/>
      <c r="B1210" s="1500"/>
      <c r="C1210" s="1501"/>
      <c r="D1210" s="1503"/>
      <c r="E1210" s="1505"/>
      <c r="F1210" s="488" t="s">
        <v>943</v>
      </c>
      <c r="G1210" s="488" t="s">
        <v>944</v>
      </c>
      <c r="H1210" s="488" t="s">
        <v>943</v>
      </c>
      <c r="I1210" s="489" t="s">
        <v>944</v>
      </c>
      <c r="J1210" s="490" t="s">
        <v>945</v>
      </c>
      <c r="K1210" s="471"/>
    </row>
    <row r="1211" spans="1:11">
      <c r="A1211" s="463"/>
      <c r="B1211" s="499" t="s">
        <v>631</v>
      </c>
      <c r="C1211" s="500"/>
      <c r="D1211" s="501"/>
      <c r="E1211" s="875">
        <v>1</v>
      </c>
      <c r="F1211" s="502">
        <v>1</v>
      </c>
      <c r="G1211" s="502">
        <f>1-F1211</f>
        <v>0</v>
      </c>
      <c r="H1211" s="503">
        <f>VLOOKUP(B1211,EQUIPAMENTOS!$A:$J,10,FALSE)</f>
        <v>175</v>
      </c>
      <c r="I1211" s="504">
        <f>H1211</f>
        <v>175</v>
      </c>
      <c r="J1211" s="505">
        <f>H1211*F1211*E1211+I1211*G1211*E1211</f>
        <v>175</v>
      </c>
      <c r="K1211" s="471"/>
    </row>
    <row r="1212" spans="1:11">
      <c r="A1212" s="463"/>
      <c r="B1212" s="499" t="s">
        <v>1157</v>
      </c>
      <c r="C1212" s="500"/>
      <c r="D1212" s="501"/>
      <c r="E1212" s="502">
        <v>6</v>
      </c>
      <c r="F1212" s="502">
        <v>1</v>
      </c>
      <c r="G1212" s="502">
        <f>1-F1212</f>
        <v>0</v>
      </c>
      <c r="H1212" s="503">
        <f>VLOOKUP(B1212,EQUIPAMENTOS!$A:$J,10,FALSE)</f>
        <v>125</v>
      </c>
      <c r="I1212" s="504">
        <f>H1212</f>
        <v>125</v>
      </c>
      <c r="J1212" s="505">
        <f>H1212*F1212*E1212+I1212*G1212*E1212</f>
        <v>750</v>
      </c>
      <c r="K1212" s="471"/>
    </row>
    <row r="1213" spans="1:11">
      <c r="A1213" s="463"/>
      <c r="B1213" s="499"/>
      <c r="C1213" s="500"/>
      <c r="D1213" s="501"/>
      <c r="E1213" s="502"/>
      <c r="F1213" s="502"/>
      <c r="G1213" s="502"/>
      <c r="H1213" s="503"/>
      <c r="I1213" s="504"/>
      <c r="J1213" s="505"/>
      <c r="K1213" s="471"/>
    </row>
    <row r="1214" spans="1:11">
      <c r="A1214" s="463"/>
      <c r="B1214" s="506"/>
      <c r="C1214" s="507"/>
      <c r="D1214" s="508"/>
      <c r="E1214" s="509"/>
      <c r="F1214" s="509"/>
      <c r="G1214" s="509"/>
      <c r="H1214" s="510"/>
      <c r="I1214" s="511"/>
      <c r="J1214" s="505">
        <f>H1214*F1214*E1214+I1214*G1214*E1214</f>
        <v>0</v>
      </c>
      <c r="K1214" s="471"/>
    </row>
    <row r="1215" spans="1:11">
      <c r="A1215" s="463"/>
      <c r="B1215" s="512" t="s">
        <v>946</v>
      </c>
      <c r="C1215" s="482"/>
      <c r="D1215" s="482"/>
      <c r="E1215" s="482"/>
      <c r="F1215" s="482"/>
      <c r="G1215" s="482"/>
      <c r="H1215" s="482"/>
      <c r="I1215" s="513" t="s">
        <v>175</v>
      </c>
      <c r="J1215" s="514">
        <f>SUM(J1211:J1214)</f>
        <v>925</v>
      </c>
      <c r="K1215" s="471"/>
    </row>
    <row r="1216" spans="1:11">
      <c r="A1216" s="463"/>
      <c r="B1216" s="515"/>
      <c r="C1216" s="515"/>
      <c r="D1216" s="515"/>
      <c r="E1216" s="515"/>
      <c r="F1216" s="515"/>
      <c r="G1216" s="515"/>
      <c r="H1216" s="515"/>
      <c r="I1216" s="516"/>
      <c r="J1216" s="517"/>
      <c r="K1216" s="471"/>
    </row>
    <row r="1217" spans="1:12" ht="20.399999999999999" customHeight="1">
      <c r="A1217" s="463"/>
      <c r="B1217" s="1490" t="s">
        <v>947</v>
      </c>
      <c r="C1217" s="1491"/>
      <c r="D1217" s="1491"/>
      <c r="E1217" s="1492"/>
      <c r="F1217" s="725" t="s">
        <v>688</v>
      </c>
      <c r="G1217" s="853"/>
      <c r="H1217" s="520" t="s">
        <v>427</v>
      </c>
      <c r="I1217" s="521" t="s">
        <v>948</v>
      </c>
      <c r="J1217" s="522" t="s">
        <v>949</v>
      </c>
      <c r="K1217" s="471"/>
    </row>
    <row r="1218" spans="1:12">
      <c r="A1218" s="463"/>
      <c r="B1218" s="523" t="s">
        <v>950</v>
      </c>
      <c r="C1218" s="524"/>
      <c r="D1218" s="525"/>
      <c r="E1218" s="526"/>
      <c r="F1218" s="527"/>
      <c r="G1218" s="528"/>
      <c r="H1218" s="529">
        <f>E1212</f>
        <v>6</v>
      </c>
      <c r="I1218" s="534">
        <f>(VLOOKUP(B1218,'MÃO DE OBRA'!$A:$E,5,FALSE)/220)</f>
        <v>26.714454545454547</v>
      </c>
      <c r="J1218" s="505">
        <f>H1218*I1218</f>
        <v>160.28672727272729</v>
      </c>
      <c r="K1218" s="471"/>
    </row>
    <row r="1219" spans="1:12">
      <c r="A1219" s="463"/>
      <c r="B1219" s="530" t="s">
        <v>472</v>
      </c>
      <c r="C1219" s="531"/>
      <c r="D1219" s="472"/>
      <c r="E1219" s="500"/>
      <c r="F1219" s="501"/>
      <c r="G1219" s="532"/>
      <c r="H1219" s="533">
        <v>3</v>
      </c>
      <c r="I1219" s="534">
        <f>(VLOOKUP(B1219,'MÃO DE OBRA'!$A:$E,5,FALSE)/220)</f>
        <v>18.377072727272729</v>
      </c>
      <c r="J1219" s="505">
        <f>H1219*I1219</f>
        <v>55.131218181818184</v>
      </c>
      <c r="K1219" s="471"/>
    </row>
    <row r="1220" spans="1:12">
      <c r="A1220" s="463"/>
      <c r="B1220" s="530" t="s">
        <v>556</v>
      </c>
      <c r="C1220" s="531"/>
      <c r="D1220" s="472"/>
      <c r="E1220" s="500"/>
      <c r="F1220" s="501"/>
      <c r="G1220" s="532"/>
      <c r="H1220" s="533">
        <f>E1211</f>
        <v>1</v>
      </c>
      <c r="I1220" s="534">
        <f>(VLOOKUP(B1220,'MÃO DE OBRA'!$A:$E,5,FALSE)/220)</f>
        <v>35.988199999999999</v>
      </c>
      <c r="J1220" s="505">
        <f>H1220*I1220</f>
        <v>35.988199999999999</v>
      </c>
      <c r="K1220" s="471"/>
    </row>
    <row r="1221" spans="1:12">
      <c r="A1221" s="463"/>
      <c r="B1221" s="512" t="s">
        <v>946</v>
      </c>
      <c r="C1221" s="515"/>
      <c r="D1221" s="515"/>
      <c r="E1221" s="515"/>
      <c r="F1221" s="515"/>
      <c r="G1221" s="515"/>
      <c r="H1221" s="515"/>
      <c r="I1221" s="535" t="s">
        <v>175</v>
      </c>
      <c r="J1221" s="514">
        <f>SUM(J1218:J1220)</f>
        <v>251.40614545454548</v>
      </c>
      <c r="K1221" s="471"/>
    </row>
    <row r="1222" spans="1:12">
      <c r="A1222" s="463"/>
      <c r="B1222" s="536"/>
      <c r="C1222" s="536"/>
      <c r="D1222" s="536"/>
      <c r="E1222" s="536"/>
      <c r="F1222" s="536"/>
      <c r="G1222" s="536"/>
      <c r="H1222" s="536"/>
      <c r="I1222" s="537"/>
      <c r="J1222" s="536"/>
      <c r="K1222" s="471"/>
    </row>
    <row r="1223" spans="1:12">
      <c r="A1223" s="463"/>
      <c r="B1223" s="538" t="s">
        <v>952</v>
      </c>
      <c r="C1223" s="539"/>
      <c r="D1223" s="536"/>
      <c r="E1223" s="540">
        <v>74.810029052102166</v>
      </c>
      <c r="F1223" s="541" t="s">
        <v>931</v>
      </c>
      <c r="G1223" s="519"/>
      <c r="H1223" s="519"/>
      <c r="I1223" s="542" t="s">
        <v>953</v>
      </c>
      <c r="J1223" s="514">
        <f>J1215+J1221</f>
        <v>1176.4061454545454</v>
      </c>
      <c r="K1223" s="471"/>
    </row>
    <row r="1224" spans="1:12">
      <c r="A1224" s="463"/>
      <c r="B1224" s="543"/>
      <c r="C1224" s="536"/>
      <c r="D1224" s="536"/>
      <c r="E1224" s="544"/>
      <c r="F1224" s="545"/>
      <c r="G1224" s="545"/>
      <c r="H1224" s="545"/>
      <c r="I1224" s="537"/>
      <c r="J1224" s="536"/>
      <c r="K1224" s="471"/>
    </row>
    <row r="1225" spans="1:12" ht="20.399999999999999">
      <c r="A1225" s="463"/>
      <c r="B1225" s="1493" t="s">
        <v>362</v>
      </c>
      <c r="C1225" s="1494"/>
      <c r="D1225" s="1494"/>
      <c r="E1225" s="1495"/>
      <c r="F1225" s="546" t="s">
        <v>688</v>
      </c>
      <c r="G1225" s="547" t="s">
        <v>371</v>
      </c>
      <c r="H1225" s="520" t="s">
        <v>942</v>
      </c>
      <c r="I1225" s="548" t="s">
        <v>361</v>
      </c>
      <c r="J1225" s="549" t="s">
        <v>363</v>
      </c>
      <c r="K1225" s="471"/>
    </row>
    <row r="1226" spans="1:12">
      <c r="A1226" s="463"/>
      <c r="B1226" s="557" t="str">
        <f>B1211</f>
        <v>Escavadeira hidráulica sobre esteira 22T</v>
      </c>
      <c r="C1226" s="531"/>
      <c r="D1226" s="531"/>
      <c r="E1226" s="500"/>
      <c r="F1226" s="553" t="str">
        <f>VLOOKUP(B1226,EQUIPAMENTOS!$A:$N,12,FALSE)</f>
        <v>Diesel S10</v>
      </c>
      <c r="G1226" s="554" t="s">
        <v>415</v>
      </c>
      <c r="H1226" s="560">
        <f>VLOOKUP(B1226,EQUIPAMENTOS!$A:$N,13,FALSE)</f>
        <v>0</v>
      </c>
      <c r="I1226" s="556">
        <f>VLOOKUP(B1226,EQUIPAMENTOS!$A:$N,14,FALSE)</f>
        <v>22</v>
      </c>
      <c r="J1226" s="505">
        <f>H1226*I1226*E1211*F1211</f>
        <v>0</v>
      </c>
      <c r="K1226" s="471"/>
    </row>
    <row r="1227" spans="1:12">
      <c r="A1227" s="463"/>
      <c r="B1227" s="557" t="str">
        <f>B1212</f>
        <v>Caminhão basculante 14 m³</v>
      </c>
      <c r="C1227" s="539"/>
      <c r="D1227" s="539"/>
      <c r="E1227" s="507"/>
      <c r="F1227" s="553" t="str">
        <f>VLOOKUP(B1227,EQUIPAMENTOS!$A:$N,12,FALSE)</f>
        <v>Diesel S10</v>
      </c>
      <c r="G1227" s="736" t="s">
        <v>415</v>
      </c>
      <c r="H1227" s="560">
        <f>VLOOKUP(B1227,EQUIPAMENTOS!$A:$N,13,FALSE)</f>
        <v>0</v>
      </c>
      <c r="I1227" s="556">
        <f>VLOOKUP(B1227,EQUIPAMENTOS!$A:$N,14,FALSE)</f>
        <v>2.5</v>
      </c>
      <c r="J1227" s="505">
        <f>H1227*I1227*E1212*F1212</f>
        <v>0</v>
      </c>
      <c r="K1227" s="471"/>
    </row>
    <row r="1228" spans="1:12">
      <c r="A1228" s="463"/>
      <c r="B1228" s="563" t="s">
        <v>946</v>
      </c>
      <c r="C1228" s="539"/>
      <c r="D1228" s="539"/>
      <c r="E1228" s="539"/>
      <c r="F1228" s="536"/>
      <c r="G1228" s="539"/>
      <c r="H1228" s="564"/>
      <c r="I1228" s="565" t="s">
        <v>175</v>
      </c>
      <c r="J1228" s="514">
        <f>SUM(J1226:J1227)</f>
        <v>0</v>
      </c>
      <c r="K1228" s="471"/>
    </row>
    <row r="1229" spans="1:12">
      <c r="A1229" s="463"/>
      <c r="B1229" s="566"/>
      <c r="C1229" s="539"/>
      <c r="D1229" s="539"/>
      <c r="E1229" s="567"/>
      <c r="F1229" s="568"/>
      <c r="G1229" s="519"/>
      <c r="H1229" s="519"/>
      <c r="I1229" s="542"/>
      <c r="J1229" s="567"/>
      <c r="K1229" s="471"/>
    </row>
    <row r="1230" spans="1:12" ht="20.399999999999999">
      <c r="A1230" s="463"/>
      <c r="B1230" s="1493" t="s">
        <v>955</v>
      </c>
      <c r="C1230" s="1494"/>
      <c r="D1230" s="1494"/>
      <c r="E1230" s="1494"/>
      <c r="F1230" s="1495"/>
      <c r="G1230" s="569" t="s">
        <v>372</v>
      </c>
      <c r="H1230" s="519" t="s">
        <v>956</v>
      </c>
      <c r="I1230" s="570" t="s">
        <v>942</v>
      </c>
      <c r="J1230" s="522" t="s">
        <v>363</v>
      </c>
      <c r="K1230" s="471"/>
      <c r="L1230" s="6"/>
    </row>
    <row r="1231" spans="1:12">
      <c r="A1231" s="463"/>
      <c r="B1231" s="571"/>
      <c r="C1231" s="572"/>
      <c r="D1231" s="573"/>
      <c r="E1231" s="573"/>
      <c r="F1231" s="574"/>
      <c r="G1231" s="502"/>
      <c r="H1231" s="502"/>
      <c r="I1231" s="575"/>
      <c r="J1231" s="505"/>
      <c r="K1231" s="471"/>
    </row>
    <row r="1232" spans="1:12">
      <c r="A1232" s="463"/>
      <c r="B1232" s="576"/>
      <c r="C1232" s="577"/>
      <c r="D1232" s="578"/>
      <c r="E1232" s="578"/>
      <c r="F1232" s="579"/>
      <c r="G1232" s="502"/>
      <c r="H1232" s="502"/>
      <c r="I1232" s="575"/>
      <c r="J1232" s="505"/>
      <c r="K1232" s="471"/>
    </row>
    <row r="1233" spans="1:19">
      <c r="A1233" s="463"/>
      <c r="B1233" s="1496" t="s">
        <v>175</v>
      </c>
      <c r="C1233" s="1496"/>
      <c r="D1233" s="1496"/>
      <c r="E1233" s="1496"/>
      <c r="F1233" s="1496"/>
      <c r="G1233" s="1496"/>
      <c r="H1233" s="1496"/>
      <c r="I1233" s="1496"/>
      <c r="J1233" s="514">
        <f>SUM(J1231:J1232)</f>
        <v>0</v>
      </c>
      <c r="K1233" s="471"/>
    </row>
    <row r="1234" spans="1:19">
      <c r="A1234" s="463"/>
      <c r="B1234" s="580"/>
      <c r="C1234" s="524"/>
      <c r="D1234" s="524"/>
      <c r="E1234" s="581"/>
      <c r="F1234" s="582"/>
      <c r="G1234" s="583"/>
      <c r="H1234" s="583"/>
      <c r="I1234" s="584"/>
      <c r="J1234" s="585"/>
      <c r="K1234" s="471"/>
    </row>
    <row r="1235" spans="1:19">
      <c r="A1235" s="463"/>
      <c r="B1235" s="586" t="s">
        <v>957</v>
      </c>
      <c r="C1235" s="586"/>
      <c r="D1235" s="563"/>
      <c r="E1235" s="536"/>
      <c r="F1235" s="536"/>
      <c r="G1235" s="536"/>
      <c r="H1235" s="587"/>
      <c r="I1235" s="588"/>
      <c r="J1235" s="514">
        <f>(J1223+J1228+J1233)/E1223</f>
        <v>15.725246472437886</v>
      </c>
      <c r="K1235" s="471"/>
      <c r="L1235">
        <v>15.725288831835687</v>
      </c>
    </row>
    <row r="1236" spans="1:19">
      <c r="A1236" s="463"/>
      <c r="B1236" s="566"/>
      <c r="C1236" s="539"/>
      <c r="D1236" s="539"/>
      <c r="E1236" s="567"/>
      <c r="F1236" s="568"/>
      <c r="G1236" s="519"/>
      <c r="H1236" s="519"/>
      <c r="I1236" s="542"/>
      <c r="J1236" s="589"/>
      <c r="K1236" s="471"/>
    </row>
    <row r="1237" spans="1:19" ht="20.399999999999999">
      <c r="A1237" s="463"/>
      <c r="B1237" s="1493" t="s">
        <v>958</v>
      </c>
      <c r="C1237" s="1494"/>
      <c r="D1237" s="1494"/>
      <c r="E1237" s="1494"/>
      <c r="F1237" s="1495"/>
      <c r="G1237" s="569" t="s">
        <v>372</v>
      </c>
      <c r="H1237" s="519" t="s">
        <v>956</v>
      </c>
      <c r="I1237" s="570" t="s">
        <v>942</v>
      </c>
      <c r="J1237" s="522" t="s">
        <v>363</v>
      </c>
      <c r="K1237" s="471"/>
      <c r="S1237" s="15"/>
    </row>
    <row r="1238" spans="1:19">
      <c r="A1238" s="463"/>
      <c r="B1238" s="571"/>
      <c r="C1238" s="572"/>
      <c r="D1238" s="573"/>
      <c r="E1238" s="573"/>
      <c r="F1238" s="574"/>
      <c r="G1238" s="502"/>
      <c r="H1238" s="502"/>
      <c r="I1238" s="575"/>
      <c r="J1238" s="505">
        <f>G1238*I1238</f>
        <v>0</v>
      </c>
      <c r="K1238" s="471"/>
      <c r="S1238" s="15"/>
    </row>
    <row r="1239" spans="1:19">
      <c r="A1239" s="463"/>
      <c r="B1239" s="576"/>
      <c r="C1239" s="577"/>
      <c r="D1239" s="578"/>
      <c r="E1239" s="578"/>
      <c r="F1239" s="579"/>
      <c r="G1239" s="502"/>
      <c r="H1239" s="502"/>
      <c r="I1239" s="575"/>
      <c r="J1239" s="505">
        <f>G1239*I1239</f>
        <v>0</v>
      </c>
      <c r="K1239" s="471"/>
      <c r="S1239" s="15"/>
    </row>
    <row r="1240" spans="1:19">
      <c r="A1240" s="463"/>
      <c r="B1240" s="576"/>
      <c r="C1240" s="577"/>
      <c r="D1240" s="578"/>
      <c r="E1240" s="578"/>
      <c r="F1240" s="579"/>
      <c r="G1240" s="502"/>
      <c r="H1240" s="502"/>
      <c r="I1240" s="575"/>
      <c r="J1240" s="505">
        <f>G1240*I1240</f>
        <v>0</v>
      </c>
      <c r="K1240" s="471"/>
    </row>
    <row r="1241" spans="1:19">
      <c r="A1241" s="463"/>
      <c r="B1241" s="590"/>
      <c r="C1241" s="591"/>
      <c r="D1241" s="592"/>
      <c r="E1241" s="592"/>
      <c r="F1241" s="593"/>
      <c r="G1241" s="502"/>
      <c r="H1241" s="502"/>
      <c r="I1241" s="575"/>
      <c r="J1241" s="505">
        <f>G1241*I1241</f>
        <v>0</v>
      </c>
      <c r="K1241" s="471"/>
    </row>
    <row r="1242" spans="1:19">
      <c r="A1242" s="463"/>
      <c r="B1242" s="594"/>
      <c r="C1242" s="536"/>
      <c r="D1242" s="536"/>
      <c r="E1242" s="595"/>
      <c r="F1242" s="596"/>
      <c r="G1242" s="545"/>
      <c r="H1242" s="545"/>
      <c r="I1242" s="537" t="s">
        <v>175</v>
      </c>
      <c r="J1242" s="514">
        <f>SUM(J1238:J1241)</f>
        <v>0</v>
      </c>
      <c r="K1242" s="471"/>
    </row>
    <row r="1243" spans="1:19">
      <c r="A1243" s="463"/>
      <c r="B1243" s="597"/>
      <c r="C1243" s="536"/>
      <c r="D1243" s="536"/>
      <c r="E1243" s="595"/>
      <c r="F1243" s="596"/>
      <c r="G1243" s="545"/>
      <c r="H1243" s="545"/>
      <c r="I1243" s="537"/>
      <c r="J1243" s="595"/>
      <c r="K1243" s="471"/>
    </row>
    <row r="1244" spans="1:19" ht="20.399999999999999">
      <c r="A1244" s="463"/>
      <c r="B1244" s="598" t="s">
        <v>959</v>
      </c>
      <c r="C1244" s="598"/>
      <c r="D1244" s="598"/>
      <c r="E1244" s="599"/>
      <c r="F1244" s="600" t="s">
        <v>372</v>
      </c>
      <c r="G1244" s="569" t="s">
        <v>960</v>
      </c>
      <c r="H1244" s="519" t="s">
        <v>942</v>
      </c>
      <c r="I1244" s="570" t="s">
        <v>361</v>
      </c>
      <c r="J1244" s="522" t="s">
        <v>363</v>
      </c>
      <c r="K1244" s="471"/>
    </row>
    <row r="1245" spans="1:19">
      <c r="A1245" s="463"/>
      <c r="B1245" s="571"/>
      <c r="C1245" s="572"/>
      <c r="D1245" s="573"/>
      <c r="E1245" s="574"/>
      <c r="F1245" s="502"/>
      <c r="G1245" s="502"/>
      <c r="H1245" s="624"/>
      <c r="I1245" s="575"/>
      <c r="J1245" s="505"/>
      <c r="K1245" s="471"/>
    </row>
    <row r="1246" spans="1:19">
      <c r="A1246" s="463"/>
      <c r="B1246" s="590" t="s">
        <v>946</v>
      </c>
      <c r="C1246" s="591"/>
      <c r="D1246" s="592"/>
      <c r="E1246" s="593" t="s">
        <v>946</v>
      </c>
      <c r="F1246" s="509">
        <v>0</v>
      </c>
      <c r="G1246" s="509">
        <v>0</v>
      </c>
      <c r="H1246" s="509">
        <v>0</v>
      </c>
      <c r="I1246" s="601">
        <v>0</v>
      </c>
      <c r="J1246" s="505">
        <f>I1246*H1246*G1246*F1246</f>
        <v>0</v>
      </c>
      <c r="K1246" s="471"/>
    </row>
    <row r="1247" spans="1:19">
      <c r="A1247" s="463"/>
      <c r="B1247" s="594"/>
      <c r="C1247" s="536"/>
      <c r="D1247" s="536"/>
      <c r="E1247" s="595"/>
      <c r="F1247" s="596"/>
      <c r="G1247" s="545"/>
      <c r="H1247" s="545"/>
      <c r="I1247" s="537" t="s">
        <v>175</v>
      </c>
      <c r="J1247" s="514">
        <f>SUM(J1245:J1246)</f>
        <v>0</v>
      </c>
      <c r="K1247" s="471"/>
    </row>
    <row r="1248" spans="1:19">
      <c r="A1248" s="463"/>
      <c r="B1248" s="536"/>
      <c r="C1248" s="536"/>
      <c r="D1248" s="536"/>
      <c r="E1248" s="536"/>
      <c r="F1248" s="536"/>
      <c r="G1248" s="536"/>
      <c r="H1248" s="536"/>
      <c r="I1248" s="537"/>
      <c r="J1248" s="536"/>
      <c r="K1248" s="471"/>
    </row>
    <row r="1249" spans="1:11">
      <c r="A1249" s="463"/>
      <c r="B1249" s="1481" t="s">
        <v>963</v>
      </c>
      <c r="C1249" s="1482"/>
      <c r="D1249" s="1482"/>
      <c r="E1249" s="1482"/>
      <c r="F1249" s="1482"/>
      <c r="G1249" s="1482"/>
      <c r="H1249" s="1482"/>
      <c r="I1249" s="1483"/>
      <c r="J1249" s="586">
        <v>15.725246472437886</v>
      </c>
      <c r="K1249" s="471"/>
    </row>
    <row r="1250" spans="1:11">
      <c r="A1250" s="463"/>
      <c r="B1250" s="524"/>
      <c r="C1250" s="524"/>
      <c r="D1250" s="524"/>
      <c r="E1250" s="524"/>
      <c r="F1250" s="524"/>
      <c r="G1250" s="524"/>
      <c r="H1250" s="524"/>
      <c r="I1250" s="584"/>
      <c r="J1250" s="524"/>
      <c r="K1250" s="471"/>
    </row>
    <row r="1251" spans="1:11">
      <c r="A1251" s="463"/>
      <c r="B1251" s="602"/>
      <c r="C1251" s="572"/>
      <c r="D1251" s="572"/>
      <c r="E1251" s="572"/>
      <c r="F1251" s="572"/>
      <c r="G1251" s="572"/>
      <c r="H1251" s="572"/>
      <c r="I1251" s="572"/>
      <c r="J1251" s="603"/>
      <c r="K1251" s="471"/>
    </row>
    <row r="1252" spans="1:11">
      <c r="A1252" s="463"/>
      <c r="B1252" s="604"/>
      <c r="C1252" s="605"/>
      <c r="D1252" s="606"/>
      <c r="E1252" s="606"/>
      <c r="F1252" s="607" t="s">
        <v>946</v>
      </c>
      <c r="G1252" s="608" t="s">
        <v>946</v>
      </c>
      <c r="H1252" s="605"/>
      <c r="I1252" s="605"/>
      <c r="J1252" s="609"/>
      <c r="K1252" s="471"/>
    </row>
    <row r="1253" spans="1:11">
      <c r="A1253" s="463"/>
      <c r="B1253" s="472"/>
      <c r="C1253" s="472"/>
      <c r="D1253" s="472"/>
      <c r="E1253" s="472"/>
      <c r="F1253" s="472"/>
      <c r="G1253" s="472"/>
      <c r="H1253" s="472"/>
      <c r="I1253" s="472"/>
      <c r="J1253" s="472"/>
      <c r="K1253" s="471"/>
    </row>
    <row r="1254" spans="1:11">
      <c r="A1254" s="463"/>
      <c r="B1254" s="610" t="str">
        <f>PLANEJAMENTO!F2</f>
        <v>OPERAÇÃO DE SUPRESSÃO E SUMP</v>
      </c>
      <c r="C1254" s="611"/>
      <c r="D1254" s="611"/>
      <c r="E1254" s="611"/>
      <c r="F1254" s="612"/>
      <c r="G1254" s="613" t="s">
        <v>363</v>
      </c>
      <c r="H1254" s="515"/>
      <c r="I1254" s="515"/>
      <c r="J1254" s="518"/>
      <c r="K1254" s="471"/>
    </row>
    <row r="1255" spans="1:11">
      <c r="A1255" s="463"/>
      <c r="B1255" s="956" t="str">
        <f>PLANEJAMENTO!F3</f>
        <v>MARA ROSA</v>
      </c>
      <c r="C1255" s="957"/>
      <c r="D1255" s="957"/>
      <c r="E1255" s="957"/>
      <c r="F1255" s="958"/>
      <c r="G1255" s="1484" t="s">
        <v>964</v>
      </c>
      <c r="H1255" s="1485"/>
      <c r="I1255" s="1485"/>
      <c r="J1255" s="1486"/>
      <c r="K1255" s="471"/>
    </row>
    <row r="1256" spans="1:11">
      <c r="A1256" s="463"/>
      <c r="B1256" s="1015"/>
      <c r="C1256" s="587"/>
      <c r="D1256" s="587"/>
      <c r="E1256" s="587"/>
      <c r="F1256" s="587"/>
      <c r="G1256" s="1014"/>
      <c r="H1256" s="1014"/>
      <c r="I1256" s="1014"/>
      <c r="J1256" s="1016"/>
      <c r="K1256" s="471"/>
    </row>
    <row r="1257" spans="1:11" ht="15" thickBot="1">
      <c r="A1257" s="621"/>
      <c r="B1257" s="622"/>
      <c r="C1257" s="622"/>
      <c r="D1257" s="622"/>
      <c r="E1257" s="622"/>
      <c r="F1257" s="622"/>
      <c r="G1257" s="622"/>
      <c r="H1257" s="622"/>
      <c r="I1257" s="622"/>
      <c r="J1257" s="622"/>
      <c r="K1257" s="623"/>
    </row>
    <row r="1258" spans="1:11">
      <c r="A1258" s="460"/>
      <c r="B1258" s="461"/>
      <c r="C1258" s="461"/>
      <c r="D1258" s="461"/>
      <c r="E1258" s="461"/>
      <c r="F1258" s="461"/>
      <c r="G1258" s="461"/>
      <c r="H1258" s="461"/>
      <c r="I1258" s="461"/>
      <c r="J1258" s="461"/>
      <c r="K1258" s="462"/>
    </row>
    <row r="1259" spans="1:11">
      <c r="A1259" s="463"/>
      <c r="B1259" s="464" t="s">
        <v>178</v>
      </c>
      <c r="C1259" s="465"/>
      <c r="D1259" s="466" t="s">
        <v>936</v>
      </c>
      <c r="E1259" s="467"/>
      <c r="F1259" s="468"/>
      <c r="G1259" s="468"/>
      <c r="H1259" s="469"/>
      <c r="I1259" s="469"/>
      <c r="J1259" s="470"/>
      <c r="K1259" s="471"/>
    </row>
    <row r="1260" spans="1:11">
      <c r="A1260" s="463"/>
      <c r="B1260" s="472"/>
      <c r="C1260" s="472"/>
      <c r="D1260" s="472"/>
      <c r="E1260" s="472"/>
      <c r="F1260" s="472"/>
      <c r="G1260" s="472"/>
      <c r="H1260" s="472"/>
      <c r="I1260" s="472"/>
      <c r="J1260" s="472"/>
      <c r="K1260" s="471"/>
    </row>
    <row r="1261" spans="1:11">
      <c r="A1261" s="463"/>
      <c r="B1261" s="473" t="s">
        <v>688</v>
      </c>
      <c r="C1261" s="474" t="s">
        <v>937</v>
      </c>
      <c r="D1261" s="1497" t="s">
        <v>250</v>
      </c>
      <c r="E1261" s="1498"/>
      <c r="F1261" s="1498"/>
      <c r="G1261" s="1498"/>
      <c r="H1261" s="1498"/>
      <c r="I1261" s="1499"/>
      <c r="J1261" s="475" t="s">
        <v>267</v>
      </c>
      <c r="K1261" s="471"/>
    </row>
    <row r="1262" spans="1:11" ht="22.95" customHeight="1">
      <c r="A1262" s="463"/>
      <c r="B1262" s="476" t="s">
        <v>3</v>
      </c>
      <c r="C1262" s="477">
        <f ca="1">PLANEJAMENTO!F4</f>
        <v>46140</v>
      </c>
      <c r="D1262" s="681" t="s">
        <v>1482</v>
      </c>
      <c r="E1262" s="479"/>
      <c r="F1262" s="479"/>
      <c r="G1262" s="479"/>
      <c r="H1262" s="479"/>
      <c r="I1262" s="480"/>
      <c r="J1262" s="481" t="str">
        <f>F1278</f>
        <v>m3</v>
      </c>
      <c r="K1262" s="471"/>
    </row>
    <row r="1263" spans="1:11">
      <c r="A1263" s="463"/>
      <c r="B1263" s="482"/>
      <c r="C1263" s="482"/>
      <c r="D1263" s="482"/>
      <c r="E1263" s="482"/>
      <c r="F1263" s="482"/>
      <c r="G1263" s="482"/>
      <c r="H1263" s="482"/>
      <c r="I1263" s="483"/>
      <c r="J1263" s="484"/>
      <c r="K1263" s="471"/>
    </row>
    <row r="1264" spans="1:11">
      <c r="A1264" s="463"/>
      <c r="B1264" s="1484" t="s">
        <v>938</v>
      </c>
      <c r="C1264" s="1486"/>
      <c r="D1264" s="1502" t="s">
        <v>688</v>
      </c>
      <c r="E1264" s="1504" t="s">
        <v>939</v>
      </c>
      <c r="F1264" s="485" t="s">
        <v>940</v>
      </c>
      <c r="G1264" s="486"/>
      <c r="H1264" s="485" t="s">
        <v>941</v>
      </c>
      <c r="I1264" s="486"/>
      <c r="J1264" s="487" t="s">
        <v>942</v>
      </c>
      <c r="K1264" s="471"/>
    </row>
    <row r="1265" spans="1:11" ht="16.5" customHeight="1">
      <c r="A1265" s="463"/>
      <c r="B1265" s="1500"/>
      <c r="C1265" s="1501"/>
      <c r="D1265" s="1503"/>
      <c r="E1265" s="1505"/>
      <c r="F1265" s="488" t="s">
        <v>943</v>
      </c>
      <c r="G1265" s="488" t="s">
        <v>944</v>
      </c>
      <c r="H1265" s="488" t="s">
        <v>943</v>
      </c>
      <c r="I1265" s="489" t="s">
        <v>944</v>
      </c>
      <c r="J1265" s="490" t="s">
        <v>945</v>
      </c>
      <c r="K1265" s="471"/>
    </row>
    <row r="1266" spans="1:11">
      <c r="A1266" s="463"/>
      <c r="B1266" s="499" t="s">
        <v>631</v>
      </c>
      <c r="C1266" s="500"/>
      <c r="D1266" s="501"/>
      <c r="E1266" s="875">
        <v>1</v>
      </c>
      <c r="F1266" s="502">
        <v>1</v>
      </c>
      <c r="G1266" s="502">
        <f>1-F1266</f>
        <v>0</v>
      </c>
      <c r="H1266" s="503">
        <f>VLOOKUP(B1266,EQUIPAMENTOS!$A:$J,10,FALSE)</f>
        <v>175</v>
      </c>
      <c r="I1266" s="504">
        <f>H1266</f>
        <v>175</v>
      </c>
      <c r="J1266" s="505">
        <f>H1266*F1266*E1266+I1266*G1266*E1266</f>
        <v>175</v>
      </c>
      <c r="K1266" s="471"/>
    </row>
    <row r="1267" spans="1:11">
      <c r="A1267" s="463"/>
      <c r="B1267" s="499" t="s">
        <v>1157</v>
      </c>
      <c r="C1267" s="500"/>
      <c r="D1267" s="501"/>
      <c r="E1267" s="502">
        <v>7</v>
      </c>
      <c r="F1267" s="502">
        <v>1</v>
      </c>
      <c r="G1267" s="502">
        <f>1-F1267</f>
        <v>0</v>
      </c>
      <c r="H1267" s="503">
        <f>VLOOKUP(B1267,EQUIPAMENTOS!$A:$J,10,FALSE)</f>
        <v>125</v>
      </c>
      <c r="I1267" s="504">
        <f>H1267</f>
        <v>125</v>
      </c>
      <c r="J1267" s="505">
        <f>H1267*F1267*E1267+I1267*G1267*E1267</f>
        <v>875</v>
      </c>
      <c r="K1267" s="471"/>
    </row>
    <row r="1268" spans="1:11">
      <c r="A1268" s="463"/>
      <c r="B1268" s="499"/>
      <c r="C1268" s="500"/>
      <c r="D1268" s="501"/>
      <c r="E1268" s="502"/>
      <c r="F1268" s="502"/>
      <c r="G1268" s="502"/>
      <c r="H1268" s="503"/>
      <c r="I1268" s="504"/>
      <c r="J1268" s="505"/>
      <c r="K1268" s="471"/>
    </row>
    <row r="1269" spans="1:11">
      <c r="A1269" s="463"/>
      <c r="B1269" s="506"/>
      <c r="C1269" s="507"/>
      <c r="D1269" s="508"/>
      <c r="E1269" s="509"/>
      <c r="F1269" s="509"/>
      <c r="G1269" s="509"/>
      <c r="H1269" s="510"/>
      <c r="I1269" s="511"/>
      <c r="J1269" s="505">
        <f>H1269*F1269*E1269+I1269*G1269*E1269</f>
        <v>0</v>
      </c>
      <c r="K1269" s="471"/>
    </row>
    <row r="1270" spans="1:11">
      <c r="A1270" s="463"/>
      <c r="B1270" s="512" t="s">
        <v>946</v>
      </c>
      <c r="C1270" s="482"/>
      <c r="D1270" s="482"/>
      <c r="E1270" s="482"/>
      <c r="F1270" s="482"/>
      <c r="G1270" s="482"/>
      <c r="H1270" s="482"/>
      <c r="I1270" s="513" t="s">
        <v>175</v>
      </c>
      <c r="J1270" s="514">
        <f>SUM(J1266:J1269)</f>
        <v>1050</v>
      </c>
      <c r="K1270" s="471"/>
    </row>
    <row r="1271" spans="1:11">
      <c r="A1271" s="463"/>
      <c r="B1271" s="515"/>
      <c r="C1271" s="515"/>
      <c r="D1271" s="515"/>
      <c r="E1271" s="515"/>
      <c r="F1271" s="515"/>
      <c r="G1271" s="515"/>
      <c r="H1271" s="515"/>
      <c r="I1271" s="516"/>
      <c r="J1271" s="517"/>
      <c r="K1271" s="471"/>
    </row>
    <row r="1272" spans="1:11" ht="20.399999999999999" customHeight="1">
      <c r="A1272" s="463"/>
      <c r="B1272" s="1490" t="s">
        <v>947</v>
      </c>
      <c r="C1272" s="1491"/>
      <c r="D1272" s="1491"/>
      <c r="E1272" s="1492"/>
      <c r="F1272" s="725" t="s">
        <v>688</v>
      </c>
      <c r="G1272" s="853"/>
      <c r="H1272" s="520" t="s">
        <v>427</v>
      </c>
      <c r="I1272" s="521" t="s">
        <v>948</v>
      </c>
      <c r="J1272" s="522" t="s">
        <v>949</v>
      </c>
      <c r="K1272" s="471"/>
    </row>
    <row r="1273" spans="1:11">
      <c r="A1273" s="463"/>
      <c r="B1273" s="523" t="s">
        <v>950</v>
      </c>
      <c r="C1273" s="524"/>
      <c r="D1273" s="525"/>
      <c r="E1273" s="526"/>
      <c r="F1273" s="527"/>
      <c r="G1273" s="528"/>
      <c r="H1273" s="529">
        <f>E1267</f>
        <v>7</v>
      </c>
      <c r="I1273" s="534">
        <f>(VLOOKUP(B1273,'MÃO DE OBRA'!$A:$E,5,FALSE)/220)</f>
        <v>26.714454545454547</v>
      </c>
      <c r="J1273" s="505">
        <f>H1273*I1273</f>
        <v>187.00118181818183</v>
      </c>
      <c r="K1273" s="471"/>
    </row>
    <row r="1274" spans="1:11">
      <c r="A1274" s="463"/>
      <c r="B1274" s="530" t="s">
        <v>472</v>
      </c>
      <c r="C1274" s="531"/>
      <c r="D1274" s="472"/>
      <c r="E1274" s="500"/>
      <c r="F1274" s="501"/>
      <c r="G1274" s="532"/>
      <c r="H1274" s="533">
        <v>3</v>
      </c>
      <c r="I1274" s="534">
        <f>(VLOOKUP(B1274,'MÃO DE OBRA'!$A:$E,5,FALSE)/220)</f>
        <v>18.377072727272729</v>
      </c>
      <c r="J1274" s="505">
        <f>H1274*I1274</f>
        <v>55.131218181818184</v>
      </c>
      <c r="K1274" s="471"/>
    </row>
    <row r="1275" spans="1:11">
      <c r="A1275" s="463"/>
      <c r="B1275" s="530" t="s">
        <v>556</v>
      </c>
      <c r="C1275" s="531"/>
      <c r="D1275" s="472"/>
      <c r="E1275" s="500"/>
      <c r="F1275" s="501"/>
      <c r="G1275" s="532"/>
      <c r="H1275" s="533">
        <f>E1266</f>
        <v>1</v>
      </c>
      <c r="I1275" s="534">
        <f>(VLOOKUP(B1275,'MÃO DE OBRA'!$A:$E,5,FALSE)/220)</f>
        <v>35.988199999999999</v>
      </c>
      <c r="J1275" s="505">
        <f>H1275*I1275</f>
        <v>35.988199999999999</v>
      </c>
      <c r="K1275" s="471"/>
    </row>
    <row r="1276" spans="1:11">
      <c r="A1276" s="463"/>
      <c r="B1276" s="512" t="s">
        <v>946</v>
      </c>
      <c r="C1276" s="515"/>
      <c r="D1276" s="515"/>
      <c r="E1276" s="515"/>
      <c r="F1276" s="515"/>
      <c r="G1276" s="515"/>
      <c r="H1276" s="515"/>
      <c r="I1276" s="535" t="s">
        <v>175</v>
      </c>
      <c r="J1276" s="514">
        <f>SUM(J1273:J1275)</f>
        <v>278.12060000000002</v>
      </c>
      <c r="K1276" s="471"/>
    </row>
    <row r="1277" spans="1:11">
      <c r="A1277" s="463"/>
      <c r="B1277" s="536"/>
      <c r="C1277" s="536"/>
      <c r="D1277" s="536"/>
      <c r="E1277" s="536"/>
      <c r="F1277" s="536"/>
      <c r="G1277" s="536"/>
      <c r="H1277" s="536"/>
      <c r="I1277" s="537"/>
      <c r="J1277" s="536"/>
      <c r="K1277" s="471"/>
    </row>
    <row r="1278" spans="1:11">
      <c r="A1278" s="463"/>
      <c r="B1278" s="538" t="s">
        <v>952</v>
      </c>
      <c r="C1278" s="539"/>
      <c r="D1278" s="536"/>
      <c r="E1278" s="540">
        <v>81.397548344289888</v>
      </c>
      <c r="F1278" s="541" t="s">
        <v>931</v>
      </c>
      <c r="G1278" s="519"/>
      <c r="H1278" s="519"/>
      <c r="I1278" s="542" t="s">
        <v>953</v>
      </c>
      <c r="J1278" s="514">
        <f>J1270+J1276</f>
        <v>1328.1206</v>
      </c>
      <c r="K1278" s="471"/>
    </row>
    <row r="1279" spans="1:11">
      <c r="A1279" s="463"/>
      <c r="B1279" s="543"/>
      <c r="C1279" s="536"/>
      <c r="D1279" s="536"/>
      <c r="E1279" s="544"/>
      <c r="F1279" s="545"/>
      <c r="G1279" s="545"/>
      <c r="H1279" s="545"/>
      <c r="I1279" s="537"/>
      <c r="J1279" s="536"/>
      <c r="K1279" s="471"/>
    </row>
    <row r="1280" spans="1:11" ht="20.399999999999999">
      <c r="A1280" s="463"/>
      <c r="B1280" s="1493" t="s">
        <v>362</v>
      </c>
      <c r="C1280" s="1494"/>
      <c r="D1280" s="1494"/>
      <c r="E1280" s="1495"/>
      <c r="F1280" s="546" t="s">
        <v>688</v>
      </c>
      <c r="G1280" s="547" t="s">
        <v>371</v>
      </c>
      <c r="H1280" s="520" t="s">
        <v>942</v>
      </c>
      <c r="I1280" s="548" t="s">
        <v>361</v>
      </c>
      <c r="J1280" s="549" t="s">
        <v>363</v>
      </c>
      <c r="K1280" s="471"/>
    </row>
    <row r="1281" spans="1:13">
      <c r="A1281" s="463"/>
      <c r="B1281" s="557" t="str">
        <f>B1266</f>
        <v>Escavadeira hidráulica sobre esteira 22T</v>
      </c>
      <c r="C1281" s="531"/>
      <c r="D1281" s="531"/>
      <c r="E1281" s="500"/>
      <c r="F1281" s="553" t="str">
        <f>VLOOKUP(B1281,EQUIPAMENTOS!$A:$N,12,FALSE)</f>
        <v>Diesel S10</v>
      </c>
      <c r="G1281" s="554" t="s">
        <v>415</v>
      </c>
      <c r="H1281" s="560">
        <f>VLOOKUP(B1281,EQUIPAMENTOS!$A:$N,13,FALSE)</f>
        <v>0</v>
      </c>
      <c r="I1281" s="556">
        <f>VLOOKUP(B1281,EQUIPAMENTOS!$A:$N,14,FALSE)</f>
        <v>22</v>
      </c>
      <c r="J1281" s="505">
        <f>H1281*I1281*E1266*F1266</f>
        <v>0</v>
      </c>
      <c r="K1281" s="471"/>
    </row>
    <row r="1282" spans="1:13">
      <c r="A1282" s="463"/>
      <c r="B1282" s="557" t="str">
        <f>B1267</f>
        <v>Caminhão basculante 14 m³</v>
      </c>
      <c r="C1282" s="539"/>
      <c r="D1282" s="539"/>
      <c r="E1282" s="507"/>
      <c r="F1282" s="553" t="str">
        <f>VLOOKUP(B1282,EQUIPAMENTOS!$A:$N,12,FALSE)</f>
        <v>Diesel S10</v>
      </c>
      <c r="G1282" s="736" t="s">
        <v>415</v>
      </c>
      <c r="H1282" s="560">
        <f>VLOOKUP(B1282,EQUIPAMENTOS!$A:$N,13,FALSE)</f>
        <v>0</v>
      </c>
      <c r="I1282" s="556">
        <f>VLOOKUP(B1282,EQUIPAMENTOS!$A:$N,14,FALSE)</f>
        <v>2.5</v>
      </c>
      <c r="J1282" s="505">
        <f>H1282*I1282*E1267*F1267</f>
        <v>0</v>
      </c>
      <c r="K1282" s="471"/>
    </row>
    <row r="1283" spans="1:13">
      <c r="A1283" s="463"/>
      <c r="B1283" s="563" t="s">
        <v>946</v>
      </c>
      <c r="C1283" s="539"/>
      <c r="D1283" s="539"/>
      <c r="E1283" s="539"/>
      <c r="F1283" s="536"/>
      <c r="G1283" s="539"/>
      <c r="H1283" s="564"/>
      <c r="I1283" s="565" t="s">
        <v>175</v>
      </c>
      <c r="J1283" s="514">
        <f>SUM(J1281:J1282)</f>
        <v>0</v>
      </c>
      <c r="K1283" s="471"/>
    </row>
    <row r="1284" spans="1:13">
      <c r="A1284" s="463"/>
      <c r="B1284" s="566"/>
      <c r="C1284" s="539"/>
      <c r="D1284" s="539"/>
      <c r="E1284" s="567"/>
      <c r="F1284" s="568"/>
      <c r="G1284" s="519"/>
      <c r="H1284" s="519"/>
      <c r="I1284" s="542"/>
      <c r="J1284" s="567"/>
      <c r="K1284" s="471"/>
      <c r="L1284" s="6">
        <f>J1284/E1278</f>
        <v>0</v>
      </c>
      <c r="M1284" s="6"/>
    </row>
    <row r="1285" spans="1:13" ht="20.399999999999999">
      <c r="A1285" s="463"/>
      <c r="B1285" s="1493" t="s">
        <v>955</v>
      </c>
      <c r="C1285" s="1494"/>
      <c r="D1285" s="1494"/>
      <c r="E1285" s="1494"/>
      <c r="F1285" s="1495"/>
      <c r="G1285" s="569" t="s">
        <v>372</v>
      </c>
      <c r="H1285" s="519" t="s">
        <v>956</v>
      </c>
      <c r="I1285" s="570" t="s">
        <v>942</v>
      </c>
      <c r="J1285" s="522" t="s">
        <v>363</v>
      </c>
      <c r="K1285" s="471"/>
    </row>
    <row r="1286" spans="1:13">
      <c r="A1286" s="463"/>
      <c r="B1286" s="571"/>
      <c r="C1286" s="572"/>
      <c r="D1286" s="573"/>
      <c r="E1286" s="573"/>
      <c r="F1286" s="574"/>
      <c r="G1286" s="502"/>
      <c r="H1286" s="502"/>
      <c r="I1286" s="575"/>
      <c r="J1286" s="505"/>
      <c r="K1286" s="471"/>
    </row>
    <row r="1287" spans="1:13">
      <c r="A1287" s="463"/>
      <c r="B1287" s="576"/>
      <c r="C1287" s="577"/>
      <c r="D1287" s="578"/>
      <c r="E1287" s="578"/>
      <c r="F1287" s="579"/>
      <c r="G1287" s="502"/>
      <c r="H1287" s="502"/>
      <c r="I1287" s="575"/>
      <c r="J1287" s="505"/>
      <c r="K1287" s="471"/>
    </row>
    <row r="1288" spans="1:13">
      <c r="A1288" s="463"/>
      <c r="B1288" s="1496" t="s">
        <v>175</v>
      </c>
      <c r="C1288" s="1496"/>
      <c r="D1288" s="1496"/>
      <c r="E1288" s="1496"/>
      <c r="F1288" s="1496"/>
      <c r="G1288" s="1496"/>
      <c r="H1288" s="1496"/>
      <c r="I1288" s="1496"/>
      <c r="J1288" s="514">
        <f>SUM(J1286:J1287)</f>
        <v>0</v>
      </c>
      <c r="K1288" s="471"/>
    </row>
    <row r="1289" spans="1:13">
      <c r="A1289" s="463"/>
      <c r="B1289" s="580"/>
      <c r="C1289" s="524"/>
      <c r="D1289" s="524"/>
      <c r="E1289" s="581"/>
      <c r="F1289" s="582"/>
      <c r="G1289" s="583"/>
      <c r="H1289" s="583"/>
      <c r="I1289" s="584"/>
      <c r="J1289" s="585"/>
      <c r="K1289" s="471"/>
    </row>
    <row r="1290" spans="1:13">
      <c r="A1290" s="463"/>
      <c r="B1290" s="586" t="s">
        <v>957</v>
      </c>
      <c r="C1290" s="586"/>
      <c r="D1290" s="563"/>
      <c r="E1290" s="536"/>
      <c r="F1290" s="536"/>
      <c r="G1290" s="536"/>
      <c r="H1290" s="587"/>
      <c r="I1290" s="588"/>
      <c r="J1290" s="514">
        <f>(J1278+J1283+J1288)/E1278</f>
        <v>16.316469316525414</v>
      </c>
      <c r="K1290" s="471"/>
      <c r="L1290">
        <v>16.316465103709209</v>
      </c>
    </row>
    <row r="1291" spans="1:13">
      <c r="A1291" s="463"/>
      <c r="B1291" s="566"/>
      <c r="C1291" s="539"/>
      <c r="D1291" s="539"/>
      <c r="E1291" s="567"/>
      <c r="F1291" s="568"/>
      <c r="G1291" s="519"/>
      <c r="H1291" s="519"/>
      <c r="I1291" s="542"/>
      <c r="J1291" s="589"/>
      <c r="K1291" s="471"/>
    </row>
    <row r="1292" spans="1:13" ht="20.399999999999999">
      <c r="A1292" s="463"/>
      <c r="B1292" s="1493" t="s">
        <v>958</v>
      </c>
      <c r="C1292" s="1494"/>
      <c r="D1292" s="1494"/>
      <c r="E1292" s="1494"/>
      <c r="F1292" s="1495"/>
      <c r="G1292" s="569" t="s">
        <v>372</v>
      </c>
      <c r="H1292" s="519" t="s">
        <v>956</v>
      </c>
      <c r="I1292" s="570" t="s">
        <v>942</v>
      </c>
      <c r="J1292" s="522" t="s">
        <v>363</v>
      </c>
      <c r="K1292" s="471"/>
    </row>
    <row r="1293" spans="1:13">
      <c r="A1293" s="463"/>
      <c r="B1293" s="571"/>
      <c r="C1293" s="572"/>
      <c r="D1293" s="573"/>
      <c r="E1293" s="573"/>
      <c r="F1293" s="574"/>
      <c r="G1293" s="502"/>
      <c r="H1293" s="502"/>
      <c r="I1293" s="575"/>
      <c r="J1293" s="505">
        <f>G1293*I1293</f>
        <v>0</v>
      </c>
      <c r="K1293" s="471"/>
    </row>
    <row r="1294" spans="1:13">
      <c r="A1294" s="463"/>
      <c r="B1294" s="576"/>
      <c r="C1294" s="577"/>
      <c r="D1294" s="578"/>
      <c r="E1294" s="578"/>
      <c r="F1294" s="579"/>
      <c r="G1294" s="502"/>
      <c r="H1294" s="502"/>
      <c r="I1294" s="575"/>
      <c r="J1294" s="505">
        <f>G1294*I1294</f>
        <v>0</v>
      </c>
      <c r="K1294" s="471"/>
    </row>
    <row r="1295" spans="1:13">
      <c r="A1295" s="463"/>
      <c r="B1295" s="576"/>
      <c r="C1295" s="577"/>
      <c r="D1295" s="578"/>
      <c r="E1295" s="578"/>
      <c r="F1295" s="579"/>
      <c r="G1295" s="502"/>
      <c r="H1295" s="502"/>
      <c r="I1295" s="575"/>
      <c r="J1295" s="505">
        <f>G1295*I1295</f>
        <v>0</v>
      </c>
      <c r="K1295" s="471"/>
    </row>
    <row r="1296" spans="1:13">
      <c r="A1296" s="463"/>
      <c r="B1296" s="590"/>
      <c r="C1296" s="591"/>
      <c r="D1296" s="592"/>
      <c r="E1296" s="592"/>
      <c r="F1296" s="593"/>
      <c r="G1296" s="502"/>
      <c r="H1296" s="502"/>
      <c r="I1296" s="575"/>
      <c r="J1296" s="505">
        <f>G1296*I1296</f>
        <v>0</v>
      </c>
      <c r="K1296" s="471"/>
    </row>
    <row r="1297" spans="1:11">
      <c r="A1297" s="463"/>
      <c r="B1297" s="594"/>
      <c r="C1297" s="536"/>
      <c r="D1297" s="536"/>
      <c r="E1297" s="595"/>
      <c r="F1297" s="596"/>
      <c r="G1297" s="545"/>
      <c r="H1297" s="545"/>
      <c r="I1297" s="537" t="s">
        <v>175</v>
      </c>
      <c r="J1297" s="514">
        <f>SUM(J1293:J1296)</f>
        <v>0</v>
      </c>
      <c r="K1297" s="471"/>
    </row>
    <row r="1298" spans="1:11">
      <c r="A1298" s="463"/>
      <c r="B1298" s="597"/>
      <c r="C1298" s="536"/>
      <c r="D1298" s="536"/>
      <c r="E1298" s="595"/>
      <c r="F1298" s="596"/>
      <c r="G1298" s="545"/>
      <c r="H1298" s="545"/>
      <c r="I1298" s="537"/>
      <c r="J1298" s="595"/>
      <c r="K1298" s="471"/>
    </row>
    <row r="1299" spans="1:11" ht="20.399999999999999">
      <c r="A1299" s="463"/>
      <c r="B1299" s="598" t="s">
        <v>959</v>
      </c>
      <c r="C1299" s="598"/>
      <c r="D1299" s="598"/>
      <c r="E1299" s="599"/>
      <c r="F1299" s="600" t="s">
        <v>372</v>
      </c>
      <c r="G1299" s="569" t="s">
        <v>960</v>
      </c>
      <c r="H1299" s="519" t="s">
        <v>942</v>
      </c>
      <c r="I1299" s="570" t="s">
        <v>361</v>
      </c>
      <c r="J1299" s="522" t="s">
        <v>363</v>
      </c>
      <c r="K1299" s="471"/>
    </row>
    <row r="1300" spans="1:11">
      <c r="A1300" s="463"/>
      <c r="B1300" s="571"/>
      <c r="C1300" s="572"/>
      <c r="D1300" s="573"/>
      <c r="E1300" s="574"/>
      <c r="F1300" s="502"/>
      <c r="G1300" s="502"/>
      <c r="H1300" s="624"/>
      <c r="I1300" s="575"/>
      <c r="J1300" s="505"/>
      <c r="K1300" s="471"/>
    </row>
    <row r="1301" spans="1:11">
      <c r="A1301" s="463"/>
      <c r="B1301" s="590" t="s">
        <v>946</v>
      </c>
      <c r="C1301" s="591"/>
      <c r="D1301" s="592"/>
      <c r="E1301" s="593" t="s">
        <v>946</v>
      </c>
      <c r="F1301" s="509">
        <v>0</v>
      </c>
      <c r="G1301" s="509">
        <v>0</v>
      </c>
      <c r="H1301" s="509">
        <v>0</v>
      </c>
      <c r="I1301" s="601">
        <v>0</v>
      </c>
      <c r="J1301" s="505">
        <f>I1301*H1301*G1301*F1301</f>
        <v>0</v>
      </c>
      <c r="K1301" s="471"/>
    </row>
    <row r="1302" spans="1:11">
      <c r="A1302" s="463"/>
      <c r="B1302" s="594"/>
      <c r="C1302" s="536"/>
      <c r="D1302" s="536"/>
      <c r="E1302" s="595"/>
      <c r="F1302" s="596"/>
      <c r="G1302" s="545"/>
      <c r="H1302" s="545"/>
      <c r="I1302" s="537" t="s">
        <v>175</v>
      </c>
      <c r="J1302" s="514">
        <f>SUM(J1300:J1301)</f>
        <v>0</v>
      </c>
      <c r="K1302" s="471"/>
    </row>
    <row r="1303" spans="1:11">
      <c r="A1303" s="463"/>
      <c r="B1303" s="536"/>
      <c r="C1303" s="536"/>
      <c r="D1303" s="536"/>
      <c r="E1303" s="536"/>
      <c r="F1303" s="536"/>
      <c r="G1303" s="536"/>
      <c r="H1303" s="536"/>
      <c r="I1303" s="537"/>
      <c r="J1303" s="536"/>
      <c r="K1303" s="471"/>
    </row>
    <row r="1304" spans="1:11">
      <c r="A1304" s="463"/>
      <c r="B1304" s="1481" t="s">
        <v>963</v>
      </c>
      <c r="C1304" s="1482"/>
      <c r="D1304" s="1482"/>
      <c r="E1304" s="1482"/>
      <c r="F1304" s="1482"/>
      <c r="G1304" s="1482"/>
      <c r="H1304" s="1482"/>
      <c r="I1304" s="1483"/>
      <c r="J1304" s="586">
        <v>16.316469316525414</v>
      </c>
      <c r="K1304" s="471"/>
    </row>
    <row r="1305" spans="1:11">
      <c r="A1305" s="463"/>
      <c r="B1305" s="524"/>
      <c r="C1305" s="524"/>
      <c r="D1305" s="524"/>
      <c r="E1305" s="524"/>
      <c r="F1305" s="524"/>
      <c r="G1305" s="524"/>
      <c r="H1305" s="524"/>
      <c r="I1305" s="584"/>
      <c r="J1305" s="524"/>
      <c r="K1305" s="471"/>
    </row>
    <row r="1306" spans="1:11">
      <c r="A1306" s="463"/>
      <c r="B1306" s="602"/>
      <c r="C1306" s="572"/>
      <c r="D1306" s="572"/>
      <c r="E1306" s="572"/>
      <c r="F1306" s="572"/>
      <c r="G1306" s="572"/>
      <c r="H1306" s="572"/>
      <c r="I1306" s="572"/>
      <c r="J1306" s="603"/>
      <c r="K1306" s="471"/>
    </row>
    <row r="1307" spans="1:11">
      <c r="A1307" s="463"/>
      <c r="B1307" s="604"/>
      <c r="C1307" s="605"/>
      <c r="D1307" s="606"/>
      <c r="E1307" s="606"/>
      <c r="F1307" s="607" t="s">
        <v>946</v>
      </c>
      <c r="G1307" s="608" t="s">
        <v>946</v>
      </c>
      <c r="H1307" s="605"/>
      <c r="I1307" s="605"/>
      <c r="J1307" s="609"/>
      <c r="K1307" s="471"/>
    </row>
    <row r="1308" spans="1:11">
      <c r="A1308" s="463"/>
      <c r="B1308" s="472"/>
      <c r="C1308" s="472"/>
      <c r="D1308" s="472"/>
      <c r="E1308" s="472"/>
      <c r="F1308" s="472"/>
      <c r="G1308" s="472"/>
      <c r="H1308" s="472"/>
      <c r="I1308" s="472"/>
      <c r="J1308" s="472"/>
      <c r="K1308" s="471"/>
    </row>
    <row r="1309" spans="1:11">
      <c r="A1309" s="463"/>
      <c r="B1309" s="610" t="str">
        <f>PLANEJAMENTO!F2</f>
        <v>OPERAÇÃO DE SUPRESSÃO E SUMP</v>
      </c>
      <c r="C1309" s="611"/>
      <c r="D1309" s="611"/>
      <c r="E1309" s="611"/>
      <c r="F1309" s="612"/>
      <c r="G1309" s="613" t="s">
        <v>363</v>
      </c>
      <c r="H1309" s="515"/>
      <c r="I1309" s="515"/>
      <c r="J1309" s="518"/>
      <c r="K1309" s="471"/>
    </row>
    <row r="1310" spans="1:11">
      <c r="A1310" s="463"/>
      <c r="B1310" s="956" t="str">
        <f>PLANEJAMENTO!F3</f>
        <v>MARA ROSA</v>
      </c>
      <c r="C1310" s="957"/>
      <c r="D1310" s="957"/>
      <c r="E1310" s="957"/>
      <c r="F1310" s="958"/>
      <c r="G1310" s="1484" t="s">
        <v>964</v>
      </c>
      <c r="H1310" s="1485"/>
      <c r="I1310" s="1485"/>
      <c r="J1310" s="1486"/>
      <c r="K1310" s="471"/>
    </row>
    <row r="1311" spans="1:11">
      <c r="A1311" s="463"/>
      <c r="B1311" s="1015"/>
      <c r="C1311" s="587"/>
      <c r="D1311" s="587"/>
      <c r="E1311" s="587"/>
      <c r="F1311" s="587"/>
      <c r="G1311" s="1014"/>
      <c r="H1311" s="1014"/>
      <c r="I1311" s="1014"/>
      <c r="J1311" s="1016"/>
      <c r="K1311" s="471"/>
    </row>
    <row r="1312" spans="1:11" ht="15" thickBot="1">
      <c r="A1312" s="621"/>
      <c r="B1312" s="622"/>
      <c r="C1312" s="622"/>
      <c r="D1312" s="622"/>
      <c r="E1312" s="622"/>
      <c r="F1312" s="622"/>
      <c r="G1312" s="622"/>
      <c r="H1312" s="622"/>
      <c r="I1312" s="622"/>
      <c r="J1312" s="622"/>
      <c r="K1312" s="623"/>
    </row>
    <row r="1313" spans="1:11">
      <c r="A1313" s="460"/>
      <c r="B1313" s="461"/>
      <c r="C1313" s="461"/>
      <c r="D1313" s="461"/>
      <c r="E1313" s="461"/>
      <c r="F1313" s="461"/>
      <c r="G1313" s="461"/>
      <c r="H1313" s="461"/>
      <c r="I1313" s="461"/>
      <c r="J1313" s="461"/>
      <c r="K1313" s="462"/>
    </row>
    <row r="1314" spans="1:11">
      <c r="A1314" s="463"/>
      <c r="B1314" s="464" t="s">
        <v>178</v>
      </c>
      <c r="C1314" s="465"/>
      <c r="D1314" s="466" t="s">
        <v>936</v>
      </c>
      <c r="E1314" s="467"/>
      <c r="F1314" s="468"/>
      <c r="G1314" s="468"/>
      <c r="H1314" s="469"/>
      <c r="I1314" s="469"/>
      <c r="J1314" s="470"/>
      <c r="K1314" s="471"/>
    </row>
    <row r="1315" spans="1:11">
      <c r="A1315" s="463"/>
      <c r="B1315" s="472"/>
      <c r="C1315" s="472"/>
      <c r="D1315" s="472"/>
      <c r="E1315" s="472"/>
      <c r="F1315" s="472"/>
      <c r="G1315" s="472"/>
      <c r="H1315" s="472"/>
      <c r="I1315" s="472"/>
      <c r="J1315" s="472"/>
      <c r="K1315" s="471"/>
    </row>
    <row r="1316" spans="1:11">
      <c r="A1316" s="463"/>
      <c r="B1316" s="473" t="s">
        <v>688</v>
      </c>
      <c r="C1316" s="474" t="s">
        <v>937</v>
      </c>
      <c r="D1316" s="1497" t="s">
        <v>250</v>
      </c>
      <c r="E1316" s="1498"/>
      <c r="F1316" s="1498"/>
      <c r="G1316" s="1498"/>
      <c r="H1316" s="1498"/>
      <c r="I1316" s="1499"/>
      <c r="J1316" s="475" t="s">
        <v>267</v>
      </c>
      <c r="K1316" s="471"/>
    </row>
    <row r="1317" spans="1:11" ht="22.95" customHeight="1">
      <c r="A1317" s="463"/>
      <c r="B1317" s="476" t="s">
        <v>3</v>
      </c>
      <c r="C1317" s="477">
        <f ca="1">PLANEJAMENTO!F4</f>
        <v>46140</v>
      </c>
      <c r="D1317" s="681" t="s">
        <v>1499</v>
      </c>
      <c r="E1317" s="479"/>
      <c r="F1317" s="479"/>
      <c r="G1317" s="479"/>
      <c r="H1317" s="479"/>
      <c r="I1317" s="480"/>
      <c r="J1317" s="481" t="str">
        <f>F1333</f>
        <v>m3</v>
      </c>
      <c r="K1317" s="471"/>
    </row>
    <row r="1318" spans="1:11">
      <c r="A1318" s="463"/>
      <c r="B1318" s="482"/>
      <c r="C1318" s="482"/>
      <c r="D1318" s="482"/>
      <c r="E1318" s="482"/>
      <c r="F1318" s="482"/>
      <c r="G1318" s="482"/>
      <c r="H1318" s="482"/>
      <c r="I1318" s="483"/>
      <c r="J1318" s="484"/>
      <c r="K1318" s="471"/>
    </row>
    <row r="1319" spans="1:11">
      <c r="A1319" s="463"/>
      <c r="B1319" s="1484" t="s">
        <v>938</v>
      </c>
      <c r="C1319" s="1486"/>
      <c r="D1319" s="1502" t="s">
        <v>688</v>
      </c>
      <c r="E1319" s="1504" t="s">
        <v>939</v>
      </c>
      <c r="F1319" s="485" t="s">
        <v>940</v>
      </c>
      <c r="G1319" s="486"/>
      <c r="H1319" s="485" t="s">
        <v>941</v>
      </c>
      <c r="I1319" s="486"/>
      <c r="J1319" s="487" t="s">
        <v>942</v>
      </c>
      <c r="K1319" s="471"/>
    </row>
    <row r="1320" spans="1:11" ht="16.5" customHeight="1">
      <c r="A1320" s="463"/>
      <c r="B1320" s="1500"/>
      <c r="C1320" s="1501"/>
      <c r="D1320" s="1503"/>
      <c r="E1320" s="1505"/>
      <c r="F1320" s="488" t="s">
        <v>943</v>
      </c>
      <c r="G1320" s="488" t="s">
        <v>944</v>
      </c>
      <c r="H1320" s="488" t="s">
        <v>943</v>
      </c>
      <c r="I1320" s="489" t="s">
        <v>944</v>
      </c>
      <c r="J1320" s="490" t="s">
        <v>945</v>
      </c>
      <c r="K1320" s="471"/>
    </row>
    <row r="1321" spans="1:11">
      <c r="A1321" s="463"/>
      <c r="B1321" s="499" t="s">
        <v>631</v>
      </c>
      <c r="C1321" s="500"/>
      <c r="D1321" s="501"/>
      <c r="E1321" s="875">
        <v>1</v>
      </c>
      <c r="F1321" s="502">
        <v>1</v>
      </c>
      <c r="G1321" s="502">
        <f>1-F1321</f>
        <v>0</v>
      </c>
      <c r="H1321" s="503">
        <f>VLOOKUP(B1321,EQUIPAMENTOS!$A:$J,10,FALSE)</f>
        <v>175</v>
      </c>
      <c r="I1321" s="504">
        <f>H1321</f>
        <v>175</v>
      </c>
      <c r="J1321" s="505">
        <f>H1321*F1321*E1321+I1321*G1321*E1321</f>
        <v>175</v>
      </c>
      <c r="K1321" s="471"/>
    </row>
    <row r="1322" spans="1:11">
      <c r="A1322" s="463"/>
      <c r="B1322" s="499" t="s">
        <v>1157</v>
      </c>
      <c r="C1322" s="500"/>
      <c r="D1322" s="501"/>
      <c r="E1322" s="502">
        <v>8</v>
      </c>
      <c r="F1322" s="502">
        <v>1</v>
      </c>
      <c r="G1322" s="502">
        <f>1-F1322</f>
        <v>0</v>
      </c>
      <c r="H1322" s="503">
        <f>VLOOKUP(B1322,EQUIPAMENTOS!$A:$J,10,FALSE)</f>
        <v>125</v>
      </c>
      <c r="I1322" s="504">
        <f>H1322</f>
        <v>125</v>
      </c>
      <c r="J1322" s="505">
        <f>H1322*F1322*E1322+I1322*G1322*E1322</f>
        <v>1000</v>
      </c>
      <c r="K1322" s="471"/>
    </row>
    <row r="1323" spans="1:11">
      <c r="A1323" s="463"/>
      <c r="B1323" s="499"/>
      <c r="C1323" s="500"/>
      <c r="D1323" s="501"/>
      <c r="E1323" s="502"/>
      <c r="F1323" s="502"/>
      <c r="G1323" s="502"/>
      <c r="H1323" s="503"/>
      <c r="I1323" s="504"/>
      <c r="J1323" s="505"/>
      <c r="K1323" s="471"/>
    </row>
    <row r="1324" spans="1:11">
      <c r="A1324" s="463"/>
      <c r="B1324" s="506"/>
      <c r="C1324" s="507"/>
      <c r="D1324" s="508"/>
      <c r="E1324" s="509"/>
      <c r="F1324" s="509"/>
      <c r="G1324" s="509"/>
      <c r="H1324" s="510"/>
      <c r="I1324" s="511"/>
      <c r="J1324" s="505">
        <f>H1324*F1324*E1324+I1324*G1324*E1324</f>
        <v>0</v>
      </c>
      <c r="K1324" s="471"/>
    </row>
    <row r="1325" spans="1:11">
      <c r="A1325" s="463"/>
      <c r="B1325" s="512" t="s">
        <v>946</v>
      </c>
      <c r="C1325" s="482"/>
      <c r="D1325" s="482"/>
      <c r="E1325" s="482"/>
      <c r="F1325" s="482"/>
      <c r="G1325" s="482"/>
      <c r="H1325" s="482"/>
      <c r="I1325" s="513" t="s">
        <v>175</v>
      </c>
      <c r="J1325" s="514">
        <f>SUM(J1321:J1324)</f>
        <v>1175</v>
      </c>
      <c r="K1325" s="471"/>
    </row>
    <row r="1326" spans="1:11">
      <c r="A1326" s="463"/>
      <c r="B1326" s="515"/>
      <c r="C1326" s="515"/>
      <c r="D1326" s="515"/>
      <c r="E1326" s="515"/>
      <c r="F1326" s="515"/>
      <c r="G1326" s="515"/>
      <c r="H1326" s="515"/>
      <c r="I1326" s="516"/>
      <c r="J1326" s="517"/>
      <c r="K1326" s="471"/>
    </row>
    <row r="1327" spans="1:11" ht="20.399999999999999" customHeight="1">
      <c r="A1327" s="463"/>
      <c r="B1327" s="1490" t="s">
        <v>947</v>
      </c>
      <c r="C1327" s="1491"/>
      <c r="D1327" s="1491"/>
      <c r="E1327" s="1492"/>
      <c r="F1327" s="725" t="s">
        <v>688</v>
      </c>
      <c r="G1327" s="853"/>
      <c r="H1327" s="520" t="s">
        <v>427</v>
      </c>
      <c r="I1327" s="521" t="s">
        <v>948</v>
      </c>
      <c r="J1327" s="522" t="s">
        <v>949</v>
      </c>
      <c r="K1327" s="471"/>
    </row>
    <row r="1328" spans="1:11">
      <c r="A1328" s="463"/>
      <c r="B1328" s="523" t="s">
        <v>950</v>
      </c>
      <c r="C1328" s="524"/>
      <c r="D1328" s="525"/>
      <c r="E1328" s="526"/>
      <c r="F1328" s="527"/>
      <c r="G1328" s="528"/>
      <c r="H1328" s="529">
        <f>E1322</f>
        <v>8</v>
      </c>
      <c r="I1328" s="534">
        <f>(VLOOKUP(B1328,'MÃO DE OBRA'!$A:$E,5,FALSE)/220)</f>
        <v>26.714454545454547</v>
      </c>
      <c r="J1328" s="505">
        <f>H1328*I1328</f>
        <v>213.71563636363638</v>
      </c>
      <c r="K1328" s="471"/>
    </row>
    <row r="1329" spans="1:13">
      <c r="A1329" s="463"/>
      <c r="B1329" s="530" t="s">
        <v>472</v>
      </c>
      <c r="C1329" s="531"/>
      <c r="D1329" s="472"/>
      <c r="E1329" s="500"/>
      <c r="F1329" s="501"/>
      <c r="G1329" s="532"/>
      <c r="H1329" s="533">
        <v>3</v>
      </c>
      <c r="I1329" s="534">
        <f>(VLOOKUP(B1329,'MÃO DE OBRA'!$A:$E,5,FALSE)/220)</f>
        <v>18.377072727272729</v>
      </c>
      <c r="J1329" s="505">
        <f>H1329*I1329</f>
        <v>55.131218181818184</v>
      </c>
      <c r="K1329" s="471"/>
    </row>
    <row r="1330" spans="1:13">
      <c r="A1330" s="463"/>
      <c r="B1330" s="530" t="s">
        <v>556</v>
      </c>
      <c r="C1330" s="531"/>
      <c r="D1330" s="472"/>
      <c r="E1330" s="500"/>
      <c r="F1330" s="501"/>
      <c r="G1330" s="532"/>
      <c r="H1330" s="533">
        <f>E1321</f>
        <v>1</v>
      </c>
      <c r="I1330" s="534">
        <f>(VLOOKUP(B1330,'MÃO DE OBRA'!$A:$E,5,FALSE)/220)</f>
        <v>35.988199999999999</v>
      </c>
      <c r="J1330" s="505">
        <f>H1330*I1330</f>
        <v>35.988199999999999</v>
      </c>
      <c r="K1330" s="471"/>
    </row>
    <row r="1331" spans="1:13">
      <c r="A1331" s="463"/>
      <c r="B1331" s="512" t="s">
        <v>946</v>
      </c>
      <c r="C1331" s="515"/>
      <c r="D1331" s="515"/>
      <c r="E1331" s="515"/>
      <c r="F1331" s="515"/>
      <c r="G1331" s="515"/>
      <c r="H1331" s="515"/>
      <c r="I1331" s="535" t="s">
        <v>175</v>
      </c>
      <c r="J1331" s="514">
        <f>SUM(J1328:J1330)</f>
        <v>304.83505454545457</v>
      </c>
      <c r="K1331" s="471"/>
    </row>
    <row r="1332" spans="1:13">
      <c r="A1332" s="463"/>
      <c r="B1332" s="536"/>
      <c r="C1332" s="536"/>
      <c r="D1332" s="536"/>
      <c r="E1332" s="536"/>
      <c r="F1332" s="536"/>
      <c r="G1332" s="536"/>
      <c r="H1332" s="536"/>
      <c r="I1332" s="537"/>
      <c r="J1332" s="536"/>
      <c r="K1332" s="471"/>
    </row>
    <row r="1333" spans="1:13">
      <c r="A1333" s="463"/>
      <c r="B1333" s="538" t="s">
        <v>952</v>
      </c>
      <c r="C1333" s="539"/>
      <c r="D1333" s="536"/>
      <c r="E1333" s="540">
        <v>80.823015129865794</v>
      </c>
      <c r="F1333" s="541" t="s">
        <v>931</v>
      </c>
      <c r="G1333" s="519"/>
      <c r="H1333" s="519"/>
      <c r="I1333" s="542" t="s">
        <v>953</v>
      </c>
      <c r="J1333" s="514">
        <f>J1325+J1331</f>
        <v>1479.8350545454546</v>
      </c>
      <c r="K1333" s="471"/>
    </row>
    <row r="1334" spans="1:13">
      <c r="A1334" s="463"/>
      <c r="B1334" s="543"/>
      <c r="C1334" s="536"/>
      <c r="D1334" s="536"/>
      <c r="E1334" s="544"/>
      <c r="F1334" s="545"/>
      <c r="G1334" s="545"/>
      <c r="H1334" s="545"/>
      <c r="I1334" s="537"/>
      <c r="J1334" s="536"/>
      <c r="K1334" s="471"/>
    </row>
    <row r="1335" spans="1:13" ht="20.399999999999999">
      <c r="A1335" s="463"/>
      <c r="B1335" s="1493" t="s">
        <v>362</v>
      </c>
      <c r="C1335" s="1494"/>
      <c r="D1335" s="1494"/>
      <c r="E1335" s="1495"/>
      <c r="F1335" s="546" t="s">
        <v>688</v>
      </c>
      <c r="G1335" s="547" t="s">
        <v>371</v>
      </c>
      <c r="H1335" s="520" t="s">
        <v>942</v>
      </c>
      <c r="I1335" s="548" t="s">
        <v>361</v>
      </c>
      <c r="J1335" s="549" t="s">
        <v>363</v>
      </c>
      <c r="K1335" s="471"/>
    </row>
    <row r="1336" spans="1:13">
      <c r="A1336" s="463"/>
      <c r="B1336" s="557" t="str">
        <f>B1321</f>
        <v>Escavadeira hidráulica sobre esteira 22T</v>
      </c>
      <c r="C1336" s="531"/>
      <c r="D1336" s="531"/>
      <c r="E1336" s="500"/>
      <c r="F1336" s="553" t="str">
        <f>VLOOKUP(B1336,EQUIPAMENTOS!$A:$N,12,FALSE)</f>
        <v>Diesel S10</v>
      </c>
      <c r="G1336" s="554" t="s">
        <v>415</v>
      </c>
      <c r="H1336" s="560">
        <f>VLOOKUP(B1336,EQUIPAMENTOS!$A:$N,13,FALSE)</f>
        <v>0</v>
      </c>
      <c r="I1336" s="556">
        <f>VLOOKUP(B1336,EQUIPAMENTOS!$A:$N,14,FALSE)</f>
        <v>22</v>
      </c>
      <c r="J1336" s="505">
        <f>H1336*I1336*E1321*F1321</f>
        <v>0</v>
      </c>
      <c r="K1336" s="471"/>
    </row>
    <row r="1337" spans="1:13">
      <c r="A1337" s="463"/>
      <c r="B1337" s="557" t="str">
        <f>B1322</f>
        <v>Caminhão basculante 14 m³</v>
      </c>
      <c r="C1337" s="539"/>
      <c r="D1337" s="539"/>
      <c r="E1337" s="507"/>
      <c r="F1337" s="553" t="str">
        <f>VLOOKUP(B1337,EQUIPAMENTOS!$A:$N,12,FALSE)</f>
        <v>Diesel S10</v>
      </c>
      <c r="G1337" s="736" t="s">
        <v>415</v>
      </c>
      <c r="H1337" s="560">
        <f>VLOOKUP(B1337,EQUIPAMENTOS!$A:$N,13,FALSE)</f>
        <v>0</v>
      </c>
      <c r="I1337" s="556">
        <f>VLOOKUP(B1337,EQUIPAMENTOS!$A:$N,14,FALSE)</f>
        <v>2.5</v>
      </c>
      <c r="J1337" s="505">
        <f>H1337*I1337*E1322*F1322</f>
        <v>0</v>
      </c>
      <c r="K1337" s="471"/>
    </row>
    <row r="1338" spans="1:13">
      <c r="A1338" s="463"/>
      <c r="B1338" s="563" t="s">
        <v>946</v>
      </c>
      <c r="C1338" s="539"/>
      <c r="D1338" s="539"/>
      <c r="E1338" s="539"/>
      <c r="F1338" s="536"/>
      <c r="G1338" s="539"/>
      <c r="H1338" s="564"/>
      <c r="I1338" s="565" t="s">
        <v>175</v>
      </c>
      <c r="J1338" s="514">
        <f>SUM(J1336:J1337)</f>
        <v>0</v>
      </c>
      <c r="K1338" s="471"/>
    </row>
    <row r="1339" spans="1:13">
      <c r="A1339" s="463"/>
      <c r="B1339" s="566"/>
      <c r="C1339" s="539"/>
      <c r="D1339" s="539"/>
      <c r="E1339" s="567"/>
      <c r="F1339" s="568"/>
      <c r="G1339" s="519"/>
      <c r="H1339" s="519"/>
      <c r="I1339" s="542"/>
      <c r="J1339" s="567"/>
      <c r="K1339" s="471"/>
      <c r="L1339" s="6">
        <f>J1339/E1333</f>
        <v>0</v>
      </c>
      <c r="M1339" s="6"/>
    </row>
    <row r="1340" spans="1:13" ht="20.399999999999999">
      <c r="A1340" s="463"/>
      <c r="B1340" s="1493" t="s">
        <v>955</v>
      </c>
      <c r="C1340" s="1494"/>
      <c r="D1340" s="1494"/>
      <c r="E1340" s="1494"/>
      <c r="F1340" s="1495"/>
      <c r="G1340" s="569" t="s">
        <v>372</v>
      </c>
      <c r="H1340" s="519" t="s">
        <v>956</v>
      </c>
      <c r="I1340" s="570" t="s">
        <v>942</v>
      </c>
      <c r="J1340" s="522" t="s">
        <v>363</v>
      </c>
      <c r="K1340" s="471"/>
    </row>
    <row r="1341" spans="1:13">
      <c r="A1341" s="463"/>
      <c r="B1341" s="571"/>
      <c r="C1341" s="572"/>
      <c r="D1341" s="573"/>
      <c r="E1341" s="573"/>
      <c r="F1341" s="574"/>
      <c r="G1341" s="502"/>
      <c r="H1341" s="502"/>
      <c r="I1341" s="575"/>
      <c r="J1341" s="505"/>
      <c r="K1341" s="471"/>
    </row>
    <row r="1342" spans="1:13">
      <c r="A1342" s="463"/>
      <c r="B1342" s="576"/>
      <c r="C1342" s="577"/>
      <c r="D1342" s="578"/>
      <c r="E1342" s="578"/>
      <c r="F1342" s="579"/>
      <c r="G1342" s="502"/>
      <c r="H1342" s="502"/>
      <c r="I1342" s="575"/>
      <c r="J1342" s="505"/>
      <c r="K1342" s="471"/>
    </row>
    <row r="1343" spans="1:13">
      <c r="A1343" s="463"/>
      <c r="B1343" s="1496" t="s">
        <v>175</v>
      </c>
      <c r="C1343" s="1496"/>
      <c r="D1343" s="1496"/>
      <c r="E1343" s="1496"/>
      <c r="F1343" s="1496"/>
      <c r="G1343" s="1496"/>
      <c r="H1343" s="1496"/>
      <c r="I1343" s="1496"/>
      <c r="J1343" s="514">
        <f>SUM(J1341:J1342)</f>
        <v>0</v>
      </c>
      <c r="K1343" s="471"/>
    </row>
    <row r="1344" spans="1:13">
      <c r="A1344" s="463"/>
      <c r="B1344" s="580"/>
      <c r="C1344" s="524"/>
      <c r="D1344" s="524"/>
      <c r="E1344" s="581"/>
      <c r="F1344" s="582"/>
      <c r="G1344" s="583"/>
      <c r="H1344" s="583"/>
      <c r="I1344" s="584"/>
      <c r="J1344" s="585"/>
      <c r="K1344" s="471"/>
    </row>
    <row r="1345" spans="1:12">
      <c r="A1345" s="463"/>
      <c r="B1345" s="586" t="s">
        <v>957</v>
      </c>
      <c r="C1345" s="586"/>
      <c r="D1345" s="563"/>
      <c r="E1345" s="536"/>
      <c r="F1345" s="536"/>
      <c r="G1345" s="536"/>
      <c r="H1345" s="587"/>
      <c r="I1345" s="588"/>
      <c r="J1345" s="514">
        <f>(J1333+J1338+J1343)/E1333</f>
        <v>18.30957496658182</v>
      </c>
      <c r="K1345" s="471"/>
      <c r="L1345">
        <v>18.309573677454225</v>
      </c>
    </row>
    <row r="1346" spans="1:12">
      <c r="A1346" s="463"/>
      <c r="B1346" s="566"/>
      <c r="C1346" s="539"/>
      <c r="D1346" s="539"/>
      <c r="E1346" s="567"/>
      <c r="F1346" s="568"/>
      <c r="G1346" s="519"/>
      <c r="H1346" s="519"/>
      <c r="I1346" s="542"/>
      <c r="J1346" s="589"/>
      <c r="K1346" s="471"/>
    </row>
    <row r="1347" spans="1:12" ht="20.399999999999999">
      <c r="A1347" s="463"/>
      <c r="B1347" s="1493" t="s">
        <v>958</v>
      </c>
      <c r="C1347" s="1494"/>
      <c r="D1347" s="1494"/>
      <c r="E1347" s="1494"/>
      <c r="F1347" s="1495"/>
      <c r="G1347" s="569" t="s">
        <v>372</v>
      </c>
      <c r="H1347" s="519" t="s">
        <v>956</v>
      </c>
      <c r="I1347" s="570" t="s">
        <v>942</v>
      </c>
      <c r="J1347" s="522" t="s">
        <v>363</v>
      </c>
      <c r="K1347" s="471"/>
    </row>
    <row r="1348" spans="1:12">
      <c r="A1348" s="463"/>
      <c r="B1348" s="571"/>
      <c r="C1348" s="572"/>
      <c r="D1348" s="573"/>
      <c r="E1348" s="573"/>
      <c r="F1348" s="574"/>
      <c r="G1348" s="502"/>
      <c r="H1348" s="502"/>
      <c r="I1348" s="575"/>
      <c r="J1348" s="505">
        <f>G1348*I1348</f>
        <v>0</v>
      </c>
      <c r="K1348" s="471"/>
    </row>
    <row r="1349" spans="1:12">
      <c r="A1349" s="463"/>
      <c r="B1349" s="576"/>
      <c r="C1349" s="577"/>
      <c r="D1349" s="578"/>
      <c r="E1349" s="578"/>
      <c r="F1349" s="579"/>
      <c r="G1349" s="502"/>
      <c r="H1349" s="502"/>
      <c r="I1349" s="575"/>
      <c r="J1349" s="505">
        <f>G1349*I1349</f>
        <v>0</v>
      </c>
      <c r="K1349" s="471"/>
    </row>
    <row r="1350" spans="1:12">
      <c r="A1350" s="463"/>
      <c r="B1350" s="576"/>
      <c r="C1350" s="577"/>
      <c r="D1350" s="578"/>
      <c r="E1350" s="578"/>
      <c r="F1350" s="579"/>
      <c r="G1350" s="502"/>
      <c r="H1350" s="502"/>
      <c r="I1350" s="575"/>
      <c r="J1350" s="505">
        <f>G1350*I1350</f>
        <v>0</v>
      </c>
      <c r="K1350" s="471"/>
    </row>
    <row r="1351" spans="1:12">
      <c r="A1351" s="463"/>
      <c r="B1351" s="590"/>
      <c r="C1351" s="591"/>
      <c r="D1351" s="592"/>
      <c r="E1351" s="592"/>
      <c r="F1351" s="593"/>
      <c r="G1351" s="502"/>
      <c r="H1351" s="502"/>
      <c r="I1351" s="575"/>
      <c r="J1351" s="505">
        <f>G1351*I1351</f>
        <v>0</v>
      </c>
      <c r="K1351" s="471"/>
    </row>
    <row r="1352" spans="1:12">
      <c r="A1352" s="463"/>
      <c r="B1352" s="594"/>
      <c r="C1352" s="536"/>
      <c r="D1352" s="536"/>
      <c r="E1352" s="595"/>
      <c r="F1352" s="596"/>
      <c r="G1352" s="545"/>
      <c r="H1352" s="545"/>
      <c r="I1352" s="537" t="s">
        <v>175</v>
      </c>
      <c r="J1352" s="514">
        <f>SUM(J1348:J1351)</f>
        <v>0</v>
      </c>
      <c r="K1352" s="471"/>
    </row>
    <row r="1353" spans="1:12">
      <c r="A1353" s="463"/>
      <c r="B1353" s="597"/>
      <c r="C1353" s="536"/>
      <c r="D1353" s="536"/>
      <c r="E1353" s="595"/>
      <c r="F1353" s="596"/>
      <c r="G1353" s="545"/>
      <c r="H1353" s="545"/>
      <c r="I1353" s="537"/>
      <c r="J1353" s="595"/>
      <c r="K1353" s="471"/>
    </row>
    <row r="1354" spans="1:12" ht="20.399999999999999">
      <c r="A1354" s="463"/>
      <c r="B1354" s="598" t="s">
        <v>959</v>
      </c>
      <c r="C1354" s="598"/>
      <c r="D1354" s="598"/>
      <c r="E1354" s="599"/>
      <c r="F1354" s="600" t="s">
        <v>372</v>
      </c>
      <c r="G1354" s="569" t="s">
        <v>960</v>
      </c>
      <c r="H1354" s="519" t="s">
        <v>942</v>
      </c>
      <c r="I1354" s="570" t="s">
        <v>361</v>
      </c>
      <c r="J1354" s="522" t="s">
        <v>363</v>
      </c>
      <c r="K1354" s="471"/>
    </row>
    <row r="1355" spans="1:12">
      <c r="A1355" s="463"/>
      <c r="B1355" s="571"/>
      <c r="C1355" s="572"/>
      <c r="D1355" s="573"/>
      <c r="E1355" s="574"/>
      <c r="F1355" s="502"/>
      <c r="G1355" s="502"/>
      <c r="H1355" s="624"/>
      <c r="I1355" s="575"/>
      <c r="J1355" s="505"/>
      <c r="K1355" s="471"/>
    </row>
    <row r="1356" spans="1:12">
      <c r="A1356" s="463"/>
      <c r="B1356" s="590" t="s">
        <v>946</v>
      </c>
      <c r="C1356" s="591"/>
      <c r="D1356" s="592"/>
      <c r="E1356" s="593" t="s">
        <v>946</v>
      </c>
      <c r="F1356" s="509">
        <v>0</v>
      </c>
      <c r="G1356" s="509">
        <v>0</v>
      </c>
      <c r="H1356" s="509">
        <v>0</v>
      </c>
      <c r="I1356" s="601">
        <v>0</v>
      </c>
      <c r="J1356" s="505">
        <f>I1356*H1356*G1356*F1356</f>
        <v>0</v>
      </c>
      <c r="K1356" s="471"/>
    </row>
    <row r="1357" spans="1:12">
      <c r="A1357" s="463"/>
      <c r="B1357" s="594"/>
      <c r="C1357" s="536"/>
      <c r="D1357" s="536"/>
      <c r="E1357" s="595"/>
      <c r="F1357" s="596"/>
      <c r="G1357" s="545"/>
      <c r="H1357" s="545"/>
      <c r="I1357" s="537" t="s">
        <v>175</v>
      </c>
      <c r="J1357" s="514">
        <f>SUM(J1355:J1356)</f>
        <v>0</v>
      </c>
      <c r="K1357" s="471"/>
    </row>
    <row r="1358" spans="1:12">
      <c r="A1358" s="463"/>
      <c r="B1358" s="536"/>
      <c r="C1358" s="536"/>
      <c r="D1358" s="536"/>
      <c r="E1358" s="536"/>
      <c r="F1358" s="536"/>
      <c r="G1358" s="536"/>
      <c r="H1358" s="536"/>
      <c r="I1358" s="537"/>
      <c r="J1358" s="536"/>
      <c r="K1358" s="471"/>
    </row>
    <row r="1359" spans="1:12">
      <c r="A1359" s="463"/>
      <c r="B1359" s="1481" t="s">
        <v>963</v>
      </c>
      <c r="C1359" s="1482"/>
      <c r="D1359" s="1482"/>
      <c r="E1359" s="1482"/>
      <c r="F1359" s="1482"/>
      <c r="G1359" s="1482"/>
      <c r="H1359" s="1482"/>
      <c r="I1359" s="1483"/>
      <c r="J1359" s="586">
        <v>18.30957496658182</v>
      </c>
      <c r="K1359" s="471"/>
    </row>
    <row r="1360" spans="1:12">
      <c r="A1360" s="463"/>
      <c r="B1360" s="524"/>
      <c r="C1360" s="524"/>
      <c r="D1360" s="524"/>
      <c r="E1360" s="524"/>
      <c r="F1360" s="524"/>
      <c r="G1360" s="524"/>
      <c r="H1360" s="524"/>
      <c r="I1360" s="584"/>
      <c r="J1360" s="524"/>
      <c r="K1360" s="471"/>
    </row>
    <row r="1361" spans="1:11">
      <c r="A1361" s="463"/>
      <c r="B1361" s="602"/>
      <c r="C1361" s="572"/>
      <c r="D1361" s="572"/>
      <c r="E1361" s="572"/>
      <c r="F1361" s="572"/>
      <c r="G1361" s="572"/>
      <c r="H1361" s="572"/>
      <c r="I1361" s="572"/>
      <c r="J1361" s="603"/>
      <c r="K1361" s="471"/>
    </row>
    <row r="1362" spans="1:11">
      <c r="A1362" s="463"/>
      <c r="B1362" s="604"/>
      <c r="C1362" s="605"/>
      <c r="D1362" s="606"/>
      <c r="E1362" s="606"/>
      <c r="F1362" s="607" t="s">
        <v>946</v>
      </c>
      <c r="G1362" s="608" t="s">
        <v>946</v>
      </c>
      <c r="H1362" s="605"/>
      <c r="I1362" s="605"/>
      <c r="J1362" s="609"/>
      <c r="K1362" s="471"/>
    </row>
    <row r="1363" spans="1:11">
      <c r="A1363" s="463"/>
      <c r="B1363" s="472"/>
      <c r="C1363" s="472"/>
      <c r="D1363" s="472"/>
      <c r="E1363" s="472"/>
      <c r="F1363" s="472"/>
      <c r="G1363" s="472"/>
      <c r="H1363" s="472"/>
      <c r="I1363" s="472"/>
      <c r="J1363" s="472"/>
      <c r="K1363" s="471"/>
    </row>
    <row r="1364" spans="1:11">
      <c r="A1364" s="463"/>
      <c r="B1364" s="610" t="str">
        <f>PLANEJAMENTO!F2</f>
        <v>OPERAÇÃO DE SUPRESSÃO E SUMP</v>
      </c>
      <c r="C1364" s="611"/>
      <c r="D1364" s="611"/>
      <c r="E1364" s="611"/>
      <c r="F1364" s="612"/>
      <c r="G1364" s="613" t="s">
        <v>363</v>
      </c>
      <c r="H1364" s="515"/>
      <c r="I1364" s="515"/>
      <c r="J1364" s="518"/>
      <c r="K1364" s="471"/>
    </row>
    <row r="1365" spans="1:11">
      <c r="A1365" s="463"/>
      <c r="B1365" s="956" t="str">
        <f>PLANEJAMENTO!F3</f>
        <v>MARA ROSA</v>
      </c>
      <c r="C1365" s="957"/>
      <c r="D1365" s="957"/>
      <c r="E1365" s="957"/>
      <c r="F1365" s="958"/>
      <c r="G1365" s="1484" t="s">
        <v>964</v>
      </c>
      <c r="H1365" s="1485"/>
      <c r="I1365" s="1485"/>
      <c r="J1365" s="1486"/>
      <c r="K1365" s="471"/>
    </row>
    <row r="1366" spans="1:11">
      <c r="A1366" s="463"/>
      <c r="B1366" s="1015"/>
      <c r="C1366" s="587"/>
      <c r="D1366" s="587"/>
      <c r="E1366" s="587"/>
      <c r="F1366" s="587"/>
      <c r="G1366" s="1014"/>
      <c r="H1366" s="1014"/>
      <c r="I1366" s="1014"/>
      <c r="J1366" s="1016"/>
      <c r="K1366" s="471"/>
    </row>
    <row r="1367" spans="1:11" ht="15" thickBot="1">
      <c r="A1367" s="621"/>
      <c r="B1367" s="622"/>
      <c r="C1367" s="622"/>
      <c r="D1367" s="622"/>
      <c r="E1367" s="622"/>
      <c r="F1367" s="622"/>
      <c r="G1367" s="622"/>
      <c r="H1367" s="622"/>
      <c r="I1367" s="622"/>
      <c r="J1367" s="622"/>
      <c r="K1367" s="623"/>
    </row>
    <row r="1368" spans="1:11">
      <c r="A1368" s="460"/>
      <c r="B1368" s="461"/>
      <c r="C1368" s="461"/>
      <c r="D1368" s="461"/>
      <c r="E1368" s="461"/>
      <c r="F1368" s="461"/>
      <c r="G1368" s="461"/>
      <c r="H1368" s="461"/>
      <c r="I1368" s="461"/>
      <c r="J1368" s="461"/>
      <c r="K1368" s="462"/>
    </row>
    <row r="1369" spans="1:11">
      <c r="A1369" s="463"/>
      <c r="B1369" s="464" t="s">
        <v>178</v>
      </c>
      <c r="C1369" s="465"/>
      <c r="D1369" s="466" t="s">
        <v>936</v>
      </c>
      <c r="E1369" s="467"/>
      <c r="F1369" s="468"/>
      <c r="G1369" s="468"/>
      <c r="H1369" s="469"/>
      <c r="I1369" s="469"/>
      <c r="J1369" s="470"/>
      <c r="K1369" s="471"/>
    </row>
    <row r="1370" spans="1:11">
      <c r="A1370" s="463"/>
      <c r="B1370" s="472"/>
      <c r="C1370" s="472"/>
      <c r="D1370" s="472"/>
      <c r="E1370" s="472"/>
      <c r="F1370" s="472"/>
      <c r="G1370" s="472"/>
      <c r="H1370" s="472"/>
      <c r="I1370" s="472"/>
      <c r="J1370" s="472"/>
      <c r="K1370" s="471"/>
    </row>
    <row r="1371" spans="1:11">
      <c r="A1371" s="463"/>
      <c r="B1371" s="473" t="s">
        <v>688</v>
      </c>
      <c r="C1371" s="474" t="s">
        <v>937</v>
      </c>
      <c r="D1371" s="1497" t="s">
        <v>250</v>
      </c>
      <c r="E1371" s="1498"/>
      <c r="F1371" s="1498"/>
      <c r="G1371" s="1498"/>
      <c r="H1371" s="1498"/>
      <c r="I1371" s="1499"/>
      <c r="J1371" s="475" t="s">
        <v>267</v>
      </c>
      <c r="K1371" s="471"/>
    </row>
    <row r="1372" spans="1:11" ht="25.2" customHeight="1">
      <c r="A1372" s="463"/>
      <c r="B1372" s="476" t="s">
        <v>3</v>
      </c>
      <c r="C1372" s="477">
        <f ca="1">PLANEJAMENTO!F4</f>
        <v>46140</v>
      </c>
      <c r="D1372" s="681" t="s">
        <v>1500</v>
      </c>
      <c r="E1372" s="479"/>
      <c r="F1372" s="479"/>
      <c r="G1372" s="479"/>
      <c r="H1372" s="479"/>
      <c r="I1372" s="480"/>
      <c r="J1372" s="481" t="str">
        <f>F1388</f>
        <v>m3</v>
      </c>
      <c r="K1372" s="471"/>
    </row>
    <row r="1373" spans="1:11">
      <c r="A1373" s="463"/>
      <c r="B1373" s="482"/>
      <c r="C1373" s="482"/>
      <c r="D1373" s="482"/>
      <c r="E1373" s="482"/>
      <c r="F1373" s="482"/>
      <c r="G1373" s="482"/>
      <c r="H1373" s="482"/>
      <c r="I1373" s="483"/>
      <c r="J1373" s="484"/>
      <c r="K1373" s="471"/>
    </row>
    <row r="1374" spans="1:11">
      <c r="A1374" s="463"/>
      <c r="B1374" s="1484" t="s">
        <v>938</v>
      </c>
      <c r="C1374" s="1486"/>
      <c r="D1374" s="1502" t="s">
        <v>688</v>
      </c>
      <c r="E1374" s="1504" t="s">
        <v>939</v>
      </c>
      <c r="F1374" s="485" t="s">
        <v>940</v>
      </c>
      <c r="G1374" s="486"/>
      <c r="H1374" s="485" t="s">
        <v>941</v>
      </c>
      <c r="I1374" s="486"/>
      <c r="J1374" s="487" t="s">
        <v>942</v>
      </c>
      <c r="K1374" s="471"/>
    </row>
    <row r="1375" spans="1:11">
      <c r="A1375" s="463"/>
      <c r="B1375" s="1500"/>
      <c r="C1375" s="1501"/>
      <c r="D1375" s="1503"/>
      <c r="E1375" s="1505"/>
      <c r="F1375" s="488" t="s">
        <v>943</v>
      </c>
      <c r="G1375" s="488" t="s">
        <v>944</v>
      </c>
      <c r="H1375" s="488" t="s">
        <v>943</v>
      </c>
      <c r="I1375" s="489" t="s">
        <v>944</v>
      </c>
      <c r="J1375" s="490" t="s">
        <v>945</v>
      </c>
      <c r="K1375" s="471"/>
    </row>
    <row r="1376" spans="1:11">
      <c r="A1376" s="463"/>
      <c r="B1376" s="499" t="s">
        <v>631</v>
      </c>
      <c r="C1376" s="500"/>
      <c r="D1376" s="501"/>
      <c r="E1376" s="875">
        <v>1</v>
      </c>
      <c r="F1376" s="502">
        <v>1</v>
      </c>
      <c r="G1376" s="502">
        <f>1-F1376</f>
        <v>0</v>
      </c>
      <c r="H1376" s="503">
        <f>VLOOKUP(B1376,EQUIPAMENTOS!$A:$J,10,FALSE)</f>
        <v>175</v>
      </c>
      <c r="I1376" s="504">
        <f>H1376</f>
        <v>175</v>
      </c>
      <c r="J1376" s="505">
        <f>H1376*F1376*E1376+I1376*G1376*E1376</f>
        <v>175</v>
      </c>
      <c r="K1376" s="471"/>
    </row>
    <row r="1377" spans="1:14">
      <c r="A1377" s="463"/>
      <c r="B1377" s="499" t="s">
        <v>1157</v>
      </c>
      <c r="C1377" s="500"/>
      <c r="D1377" s="501"/>
      <c r="E1377" s="502">
        <v>3</v>
      </c>
      <c r="F1377" s="502">
        <v>1</v>
      </c>
      <c r="G1377" s="502">
        <f>1-F1377</f>
        <v>0</v>
      </c>
      <c r="H1377" s="503">
        <f>VLOOKUP(B1377,EQUIPAMENTOS!$A:$J,10,FALSE)</f>
        <v>125</v>
      </c>
      <c r="I1377" s="504">
        <f>H1377</f>
        <v>125</v>
      </c>
      <c r="J1377" s="505">
        <f>H1377*F1377*E1377+I1377*G1377*E1377</f>
        <v>375</v>
      </c>
      <c r="K1377" s="471"/>
    </row>
    <row r="1378" spans="1:14">
      <c r="A1378" s="463"/>
      <c r="B1378" s="499"/>
      <c r="C1378" s="500"/>
      <c r="D1378" s="501"/>
      <c r="E1378" s="502"/>
      <c r="F1378" s="502"/>
      <c r="G1378" s="502"/>
      <c r="H1378" s="503"/>
      <c r="I1378" s="504"/>
      <c r="J1378" s="505"/>
      <c r="K1378" s="471"/>
    </row>
    <row r="1379" spans="1:14">
      <c r="A1379" s="463"/>
      <c r="B1379" s="506"/>
      <c r="C1379" s="507"/>
      <c r="D1379" s="508"/>
      <c r="E1379" s="509"/>
      <c r="F1379" s="509"/>
      <c r="G1379" s="509"/>
      <c r="H1379" s="510"/>
      <c r="I1379" s="511"/>
      <c r="J1379" s="505">
        <f>H1379*F1379*E1379+I1379*G1379*E1379</f>
        <v>0</v>
      </c>
      <c r="K1379" s="471"/>
    </row>
    <row r="1380" spans="1:14">
      <c r="A1380" s="463"/>
      <c r="B1380" s="512" t="s">
        <v>946</v>
      </c>
      <c r="C1380" s="482"/>
      <c r="D1380" s="482"/>
      <c r="E1380" s="482"/>
      <c r="F1380" s="482"/>
      <c r="G1380" s="482"/>
      <c r="H1380" s="482"/>
      <c r="I1380" s="513" t="s">
        <v>175</v>
      </c>
      <c r="J1380" s="514">
        <f>SUM(J1376:J1379)</f>
        <v>550</v>
      </c>
      <c r="K1380" s="471"/>
    </row>
    <row r="1381" spans="1:14" ht="22.5" customHeight="1">
      <c r="A1381" s="463"/>
      <c r="B1381" s="515"/>
      <c r="C1381" s="515"/>
      <c r="D1381" s="515"/>
      <c r="E1381" s="515"/>
      <c r="F1381" s="515"/>
      <c r="G1381" s="515"/>
      <c r="H1381" s="515"/>
      <c r="I1381" s="516"/>
      <c r="J1381" s="517"/>
      <c r="K1381" s="471"/>
    </row>
    <row r="1382" spans="1:14" ht="20.399999999999999">
      <c r="A1382" s="463"/>
      <c r="B1382" s="1490" t="s">
        <v>947</v>
      </c>
      <c r="C1382" s="1491"/>
      <c r="D1382" s="1491"/>
      <c r="E1382" s="1492"/>
      <c r="F1382" s="725" t="s">
        <v>688</v>
      </c>
      <c r="G1382" s="853"/>
      <c r="H1382" s="520" t="s">
        <v>427</v>
      </c>
      <c r="I1382" s="521" t="s">
        <v>948</v>
      </c>
      <c r="J1382" s="522" t="s">
        <v>949</v>
      </c>
      <c r="K1382" s="471"/>
    </row>
    <row r="1383" spans="1:14">
      <c r="A1383" s="463"/>
      <c r="B1383" s="523" t="s">
        <v>950</v>
      </c>
      <c r="C1383" s="524"/>
      <c r="D1383" s="525"/>
      <c r="E1383" s="526"/>
      <c r="F1383" s="527"/>
      <c r="G1383" s="528"/>
      <c r="H1383" s="529">
        <f>E1377</f>
        <v>3</v>
      </c>
      <c r="I1383" s="534">
        <f>(VLOOKUP(B1383,'MÃO DE OBRA'!$A:$E,5,FALSE)/220)</f>
        <v>26.714454545454547</v>
      </c>
      <c r="J1383" s="505">
        <f>H1383*I1383</f>
        <v>80.143363636363645</v>
      </c>
      <c r="K1383" s="471"/>
    </row>
    <row r="1384" spans="1:14">
      <c r="A1384" s="463"/>
      <c r="B1384" s="530" t="s">
        <v>472</v>
      </c>
      <c r="C1384" s="531"/>
      <c r="D1384" s="472"/>
      <c r="E1384" s="500"/>
      <c r="F1384" s="501"/>
      <c r="G1384" s="532"/>
      <c r="H1384" s="533">
        <v>1</v>
      </c>
      <c r="I1384" s="534">
        <f>(VLOOKUP(B1384,'MÃO DE OBRA'!$A:$E,5,FALSE)/220)</f>
        <v>18.377072727272729</v>
      </c>
      <c r="J1384" s="505">
        <f>H1384*I1384</f>
        <v>18.377072727272729</v>
      </c>
      <c r="K1384" s="471"/>
    </row>
    <row r="1385" spans="1:14">
      <c r="A1385" s="463"/>
      <c r="B1385" s="530" t="s">
        <v>556</v>
      </c>
      <c r="C1385" s="531"/>
      <c r="D1385" s="472"/>
      <c r="E1385" s="500"/>
      <c r="F1385" s="501"/>
      <c r="G1385" s="532"/>
      <c r="H1385" s="533">
        <f>E1376</f>
        <v>1</v>
      </c>
      <c r="I1385" s="534">
        <f>(VLOOKUP(B1385,'MÃO DE OBRA'!$A:$E,5,FALSE)/220)</f>
        <v>35.988199999999999</v>
      </c>
      <c r="J1385" s="505">
        <f>H1385*I1385</f>
        <v>35.988199999999999</v>
      </c>
      <c r="K1385" s="471"/>
    </row>
    <row r="1386" spans="1:14">
      <c r="A1386" s="463"/>
      <c r="B1386" s="512" t="s">
        <v>946</v>
      </c>
      <c r="C1386" s="515"/>
      <c r="D1386" s="515"/>
      <c r="E1386" s="515"/>
      <c r="F1386" s="515"/>
      <c r="G1386" s="515"/>
      <c r="H1386" s="515"/>
      <c r="I1386" s="535" t="s">
        <v>175</v>
      </c>
      <c r="J1386" s="514">
        <f>SUM(J1383:J1385)</f>
        <v>134.50863636363638</v>
      </c>
      <c r="K1386" s="471"/>
    </row>
    <row r="1387" spans="1:14">
      <c r="A1387" s="463"/>
      <c r="B1387" s="536"/>
      <c r="C1387" s="536"/>
      <c r="D1387" s="536"/>
      <c r="E1387" s="536"/>
      <c r="F1387" s="536"/>
      <c r="G1387" s="536"/>
      <c r="H1387" s="536"/>
      <c r="I1387" s="537"/>
      <c r="J1387" s="536"/>
      <c r="K1387" s="471"/>
      <c r="M1387" s="6"/>
      <c r="N1387" s="6"/>
    </row>
    <row r="1388" spans="1:14">
      <c r="A1388" s="463"/>
      <c r="B1388" s="538" t="s">
        <v>952</v>
      </c>
      <c r="C1388" s="539"/>
      <c r="D1388" s="536"/>
      <c r="E1388" s="540">
        <v>38.632658435737646</v>
      </c>
      <c r="F1388" s="541" t="s">
        <v>931</v>
      </c>
      <c r="G1388" s="519"/>
      <c r="H1388" s="519"/>
      <c r="I1388" s="542" t="s">
        <v>953</v>
      </c>
      <c r="J1388" s="514">
        <f>J1380+J1386</f>
        <v>684.50863636363636</v>
      </c>
      <c r="K1388" s="471"/>
    </row>
    <row r="1389" spans="1:14">
      <c r="A1389" s="463"/>
      <c r="B1389" s="543"/>
      <c r="C1389" s="536"/>
      <c r="D1389" s="536"/>
      <c r="E1389" s="544"/>
      <c r="F1389" s="545"/>
      <c r="G1389" s="545"/>
      <c r="H1389" s="545"/>
      <c r="I1389" s="537"/>
      <c r="J1389" s="536"/>
      <c r="K1389" s="471"/>
    </row>
    <row r="1390" spans="1:14" ht="14.25" customHeight="1">
      <c r="A1390" s="463"/>
      <c r="B1390" s="1493" t="s">
        <v>362</v>
      </c>
      <c r="C1390" s="1494"/>
      <c r="D1390" s="1494"/>
      <c r="E1390" s="1495"/>
      <c r="F1390" s="546" t="s">
        <v>688</v>
      </c>
      <c r="G1390" s="547" t="s">
        <v>371</v>
      </c>
      <c r="H1390" s="520" t="s">
        <v>942</v>
      </c>
      <c r="I1390" s="548" t="s">
        <v>361</v>
      </c>
      <c r="J1390" s="549" t="s">
        <v>363</v>
      </c>
      <c r="K1390" s="471"/>
    </row>
    <row r="1391" spans="1:14">
      <c r="A1391" s="463"/>
      <c r="B1391" s="557" t="str">
        <f>B1376</f>
        <v>Escavadeira hidráulica sobre esteira 22T</v>
      </c>
      <c r="C1391" s="531"/>
      <c r="D1391" s="531"/>
      <c r="E1391" s="500"/>
      <c r="F1391" s="553" t="str">
        <f>VLOOKUP(B1391,EQUIPAMENTOS!$A:$N,12,FALSE)</f>
        <v>Diesel S10</v>
      </c>
      <c r="G1391" s="554" t="s">
        <v>415</v>
      </c>
      <c r="H1391" s="560">
        <f>VLOOKUP(B1391,EQUIPAMENTOS!$A:$N,13,FALSE)</f>
        <v>0</v>
      </c>
      <c r="I1391" s="556">
        <f>VLOOKUP(B1391,EQUIPAMENTOS!$A:$N,14,FALSE)</f>
        <v>22</v>
      </c>
      <c r="J1391" s="505">
        <f>H1391*I1391*E1376*F1376</f>
        <v>0</v>
      </c>
      <c r="K1391" s="471"/>
      <c r="L1391" s="6"/>
    </row>
    <row r="1392" spans="1:14">
      <c r="A1392" s="463"/>
      <c r="B1392" s="557" t="str">
        <f>B1377</f>
        <v>Caminhão basculante 14 m³</v>
      </c>
      <c r="C1392" s="539"/>
      <c r="D1392" s="539"/>
      <c r="E1392" s="507"/>
      <c r="F1392" s="553" t="str">
        <f>VLOOKUP(B1392,EQUIPAMENTOS!$A:$N,12,FALSE)</f>
        <v>Diesel S10</v>
      </c>
      <c r="G1392" s="736" t="s">
        <v>415</v>
      </c>
      <c r="H1392" s="560">
        <f>VLOOKUP(B1392,EQUIPAMENTOS!$A:$N,13,FALSE)</f>
        <v>0</v>
      </c>
      <c r="I1392" s="556">
        <f>VLOOKUP(B1392,EQUIPAMENTOS!$A:$N,14,FALSE)</f>
        <v>2.5</v>
      </c>
      <c r="J1392" s="505">
        <f>H1392*I1392*E1377*F1377</f>
        <v>0</v>
      </c>
      <c r="K1392" s="471"/>
    </row>
    <row r="1393" spans="1:12">
      <c r="A1393" s="463"/>
      <c r="B1393" s="563" t="s">
        <v>946</v>
      </c>
      <c r="C1393" s="539"/>
      <c r="D1393" s="539"/>
      <c r="E1393" s="539"/>
      <c r="F1393" s="536"/>
      <c r="G1393" s="539"/>
      <c r="H1393" s="564"/>
      <c r="I1393" s="565" t="s">
        <v>175</v>
      </c>
      <c r="J1393" s="514">
        <f>SUM(J1391:J1392)</f>
        <v>0</v>
      </c>
      <c r="K1393" s="471"/>
    </row>
    <row r="1394" spans="1:12">
      <c r="A1394" s="463"/>
      <c r="B1394" s="566"/>
      <c r="C1394" s="539"/>
      <c r="D1394" s="539"/>
      <c r="E1394" s="567"/>
      <c r="F1394" s="568"/>
      <c r="G1394" s="519"/>
      <c r="H1394" s="519"/>
      <c r="I1394" s="542"/>
      <c r="J1394" s="567"/>
      <c r="K1394" s="471"/>
    </row>
    <row r="1395" spans="1:12" ht="20.399999999999999">
      <c r="A1395" s="463"/>
      <c r="B1395" s="1493" t="s">
        <v>955</v>
      </c>
      <c r="C1395" s="1494"/>
      <c r="D1395" s="1494"/>
      <c r="E1395" s="1494"/>
      <c r="F1395" s="1495"/>
      <c r="G1395" s="569" t="s">
        <v>372</v>
      </c>
      <c r="H1395" s="519" t="s">
        <v>956</v>
      </c>
      <c r="I1395" s="570" t="s">
        <v>942</v>
      </c>
      <c r="J1395" s="522" t="s">
        <v>363</v>
      </c>
      <c r="K1395" s="471"/>
    </row>
    <row r="1396" spans="1:12">
      <c r="A1396" s="463"/>
      <c r="B1396" s="571"/>
      <c r="C1396" s="572"/>
      <c r="D1396" s="573"/>
      <c r="E1396" s="573"/>
      <c r="F1396" s="574"/>
      <c r="G1396" s="502"/>
      <c r="H1396" s="502"/>
      <c r="I1396" s="575"/>
      <c r="J1396" s="505"/>
      <c r="K1396" s="471"/>
    </row>
    <row r="1397" spans="1:12">
      <c r="A1397" s="463"/>
      <c r="B1397" s="576"/>
      <c r="C1397" s="577"/>
      <c r="D1397" s="578"/>
      <c r="E1397" s="578"/>
      <c r="F1397" s="579"/>
      <c r="G1397" s="502"/>
      <c r="H1397" s="502"/>
      <c r="I1397" s="575"/>
      <c r="J1397" s="505"/>
      <c r="K1397" s="471"/>
    </row>
    <row r="1398" spans="1:12">
      <c r="A1398" s="463"/>
      <c r="B1398" s="1496" t="s">
        <v>175</v>
      </c>
      <c r="C1398" s="1496"/>
      <c r="D1398" s="1496"/>
      <c r="E1398" s="1496"/>
      <c r="F1398" s="1496"/>
      <c r="G1398" s="1496"/>
      <c r="H1398" s="1496"/>
      <c r="I1398" s="1496"/>
      <c r="J1398" s="514">
        <f>SUM(J1396:J1397)</f>
        <v>0</v>
      </c>
      <c r="K1398" s="471"/>
    </row>
    <row r="1399" spans="1:12">
      <c r="A1399" s="463"/>
      <c r="B1399" s="580"/>
      <c r="C1399" s="524"/>
      <c r="D1399" s="524"/>
      <c r="E1399" s="581"/>
      <c r="F1399" s="582"/>
      <c r="G1399" s="583"/>
      <c r="H1399" s="583"/>
      <c r="I1399" s="584"/>
      <c r="J1399" s="585"/>
      <c r="K1399" s="471"/>
    </row>
    <row r="1400" spans="1:12">
      <c r="A1400" s="463"/>
      <c r="B1400" s="586" t="s">
        <v>957</v>
      </c>
      <c r="C1400" s="586"/>
      <c r="D1400" s="563"/>
      <c r="E1400" s="536"/>
      <c r="F1400" s="536"/>
      <c r="G1400" s="536"/>
      <c r="H1400" s="587"/>
      <c r="I1400" s="588"/>
      <c r="J1400" s="514">
        <f>(J1388+J1393+J1398)/E1388</f>
        <v>17.718393299344442</v>
      </c>
      <c r="K1400" s="471"/>
      <c r="L1400">
        <v>17.718397405580703</v>
      </c>
    </row>
    <row r="1401" spans="1:12">
      <c r="A1401" s="463"/>
      <c r="B1401" s="566"/>
      <c r="C1401" s="539"/>
      <c r="D1401" s="539"/>
      <c r="E1401" s="567"/>
      <c r="F1401" s="568"/>
      <c r="G1401" s="519"/>
      <c r="H1401" s="519"/>
      <c r="I1401" s="542"/>
      <c r="J1401" s="589"/>
      <c r="K1401" s="471"/>
    </row>
    <row r="1402" spans="1:12" ht="20.399999999999999">
      <c r="A1402" s="463"/>
      <c r="B1402" s="1493" t="s">
        <v>958</v>
      </c>
      <c r="C1402" s="1494"/>
      <c r="D1402" s="1494"/>
      <c r="E1402" s="1494"/>
      <c r="F1402" s="1495"/>
      <c r="G1402" s="569" t="s">
        <v>372</v>
      </c>
      <c r="H1402" s="519" t="s">
        <v>956</v>
      </c>
      <c r="I1402" s="570" t="s">
        <v>942</v>
      </c>
      <c r="J1402" s="522" t="s">
        <v>363</v>
      </c>
      <c r="K1402" s="471"/>
    </row>
    <row r="1403" spans="1:12">
      <c r="A1403" s="463"/>
      <c r="B1403" s="571"/>
      <c r="C1403" s="572"/>
      <c r="D1403" s="573"/>
      <c r="E1403" s="573"/>
      <c r="F1403" s="574"/>
      <c r="G1403" s="502"/>
      <c r="H1403" s="502"/>
      <c r="I1403" s="575"/>
      <c r="J1403" s="505">
        <f>G1403*I1403</f>
        <v>0</v>
      </c>
      <c r="K1403" s="471"/>
    </row>
    <row r="1404" spans="1:12">
      <c r="A1404" s="463"/>
      <c r="B1404" s="576"/>
      <c r="C1404" s="577"/>
      <c r="D1404" s="578"/>
      <c r="E1404" s="578"/>
      <c r="F1404" s="579"/>
      <c r="G1404" s="502"/>
      <c r="H1404" s="502"/>
      <c r="I1404" s="575"/>
      <c r="J1404" s="505">
        <f>G1404*I1404</f>
        <v>0</v>
      </c>
      <c r="K1404" s="471"/>
    </row>
    <row r="1405" spans="1:12">
      <c r="A1405" s="463"/>
      <c r="B1405" s="576"/>
      <c r="C1405" s="577"/>
      <c r="D1405" s="578"/>
      <c r="E1405" s="578"/>
      <c r="F1405" s="579"/>
      <c r="G1405" s="502"/>
      <c r="H1405" s="502"/>
      <c r="I1405" s="575"/>
      <c r="J1405" s="505">
        <f>G1405*I1405</f>
        <v>0</v>
      </c>
      <c r="K1405" s="471"/>
    </row>
    <row r="1406" spans="1:12">
      <c r="A1406" s="463"/>
      <c r="B1406" s="590"/>
      <c r="C1406" s="591"/>
      <c r="D1406" s="592"/>
      <c r="E1406" s="592"/>
      <c r="F1406" s="593"/>
      <c r="G1406" s="502"/>
      <c r="H1406" s="502"/>
      <c r="I1406" s="575"/>
      <c r="J1406" s="505">
        <f>G1406*I1406</f>
        <v>0</v>
      </c>
      <c r="K1406" s="471"/>
    </row>
    <row r="1407" spans="1:12">
      <c r="A1407" s="463"/>
      <c r="B1407" s="594"/>
      <c r="C1407" s="536"/>
      <c r="D1407" s="536"/>
      <c r="E1407" s="595"/>
      <c r="F1407" s="596"/>
      <c r="G1407" s="545"/>
      <c r="H1407" s="545"/>
      <c r="I1407" s="537" t="s">
        <v>175</v>
      </c>
      <c r="J1407" s="514">
        <f>SUM(J1403:J1406)</f>
        <v>0</v>
      </c>
      <c r="K1407" s="471"/>
    </row>
    <row r="1408" spans="1:12">
      <c r="A1408" s="463"/>
      <c r="B1408" s="597"/>
      <c r="C1408" s="536"/>
      <c r="D1408" s="536"/>
      <c r="E1408" s="595"/>
      <c r="F1408" s="596"/>
      <c r="G1408" s="545"/>
      <c r="H1408" s="545"/>
      <c r="I1408" s="537"/>
      <c r="J1408" s="595"/>
      <c r="K1408" s="471"/>
    </row>
    <row r="1409" spans="1:11" ht="20.399999999999999">
      <c r="A1409" s="463"/>
      <c r="B1409" s="598" t="s">
        <v>959</v>
      </c>
      <c r="C1409" s="598"/>
      <c r="D1409" s="598"/>
      <c r="E1409" s="599"/>
      <c r="F1409" s="600" t="s">
        <v>372</v>
      </c>
      <c r="G1409" s="569" t="s">
        <v>960</v>
      </c>
      <c r="H1409" s="519" t="s">
        <v>942</v>
      </c>
      <c r="I1409" s="570" t="s">
        <v>361</v>
      </c>
      <c r="J1409" s="522" t="s">
        <v>363</v>
      </c>
      <c r="K1409" s="471"/>
    </row>
    <row r="1410" spans="1:11">
      <c r="A1410" s="463"/>
      <c r="B1410" s="571"/>
      <c r="C1410" s="572"/>
      <c r="D1410" s="573"/>
      <c r="E1410" s="574"/>
      <c r="F1410" s="502"/>
      <c r="G1410" s="502"/>
      <c r="H1410" s="624"/>
      <c r="I1410" s="575"/>
      <c r="J1410" s="505"/>
      <c r="K1410" s="471"/>
    </row>
    <row r="1411" spans="1:11">
      <c r="A1411" s="463"/>
      <c r="B1411" s="590" t="s">
        <v>946</v>
      </c>
      <c r="C1411" s="591"/>
      <c r="D1411" s="592"/>
      <c r="E1411" s="593" t="s">
        <v>946</v>
      </c>
      <c r="F1411" s="509">
        <v>0</v>
      </c>
      <c r="G1411" s="509">
        <v>0</v>
      </c>
      <c r="H1411" s="509">
        <v>0</v>
      </c>
      <c r="I1411" s="601">
        <v>0</v>
      </c>
      <c r="J1411" s="505">
        <f>I1411*H1411*G1411*F1411</f>
        <v>0</v>
      </c>
      <c r="K1411" s="471"/>
    </row>
    <row r="1412" spans="1:11">
      <c r="A1412" s="463"/>
      <c r="B1412" s="594"/>
      <c r="C1412" s="536"/>
      <c r="D1412" s="536"/>
      <c r="E1412" s="595"/>
      <c r="F1412" s="596"/>
      <c r="G1412" s="545"/>
      <c r="H1412" s="545"/>
      <c r="I1412" s="537" t="s">
        <v>175</v>
      </c>
      <c r="J1412" s="514">
        <f>SUM(J1410:J1411)</f>
        <v>0</v>
      </c>
      <c r="K1412" s="471"/>
    </row>
    <row r="1413" spans="1:11">
      <c r="A1413" s="463"/>
      <c r="B1413" s="536"/>
      <c r="C1413" s="536"/>
      <c r="D1413" s="536"/>
      <c r="E1413" s="536"/>
      <c r="F1413" s="536"/>
      <c r="G1413" s="536"/>
      <c r="H1413" s="536"/>
      <c r="I1413" s="537"/>
      <c r="J1413" s="536"/>
      <c r="K1413" s="471"/>
    </row>
    <row r="1414" spans="1:11">
      <c r="A1414" s="463"/>
      <c r="B1414" s="1481" t="s">
        <v>963</v>
      </c>
      <c r="C1414" s="1482"/>
      <c r="D1414" s="1482"/>
      <c r="E1414" s="1482"/>
      <c r="F1414" s="1482"/>
      <c r="G1414" s="1482"/>
      <c r="H1414" s="1482"/>
      <c r="I1414" s="1483"/>
      <c r="J1414" s="586">
        <v>17.718393299344442</v>
      </c>
      <c r="K1414" s="471"/>
    </row>
    <row r="1415" spans="1:11">
      <c r="A1415" s="463"/>
      <c r="B1415" s="524"/>
      <c r="C1415" s="524"/>
      <c r="D1415" s="524"/>
      <c r="E1415" s="524"/>
      <c r="F1415" s="524"/>
      <c r="G1415" s="524"/>
      <c r="H1415" s="524"/>
      <c r="I1415" s="584"/>
      <c r="J1415" s="524"/>
      <c r="K1415" s="471"/>
    </row>
    <row r="1416" spans="1:11">
      <c r="A1416" s="463"/>
      <c r="B1416" s="602"/>
      <c r="C1416" s="572"/>
      <c r="D1416" s="572"/>
      <c r="E1416" s="572"/>
      <c r="F1416" s="572"/>
      <c r="G1416" s="572"/>
      <c r="H1416" s="572"/>
      <c r="I1416" s="572"/>
      <c r="J1416" s="603"/>
      <c r="K1416" s="471"/>
    </row>
    <row r="1417" spans="1:11">
      <c r="A1417" s="463"/>
      <c r="B1417" s="604"/>
      <c r="C1417" s="605"/>
      <c r="D1417" s="606"/>
      <c r="E1417" s="606"/>
      <c r="F1417" s="607" t="s">
        <v>946</v>
      </c>
      <c r="G1417" s="608" t="s">
        <v>946</v>
      </c>
      <c r="H1417" s="605"/>
      <c r="I1417" s="605"/>
      <c r="J1417" s="609"/>
      <c r="K1417" s="471"/>
    </row>
    <row r="1418" spans="1:11">
      <c r="A1418" s="463"/>
      <c r="B1418" s="472"/>
      <c r="C1418" s="472"/>
      <c r="D1418" s="472"/>
      <c r="E1418" s="472"/>
      <c r="F1418" s="472"/>
      <c r="G1418" s="472"/>
      <c r="H1418" s="472"/>
      <c r="I1418" s="472"/>
      <c r="J1418" s="472"/>
      <c r="K1418" s="471"/>
    </row>
    <row r="1419" spans="1:11">
      <c r="A1419" s="463"/>
      <c r="B1419" s="610" t="str">
        <f>PLANEJAMENTO!F2</f>
        <v>OPERAÇÃO DE SUPRESSÃO E SUMP</v>
      </c>
      <c r="C1419" s="611"/>
      <c r="D1419" s="611"/>
      <c r="E1419" s="611"/>
      <c r="F1419" s="612"/>
      <c r="G1419" s="613" t="s">
        <v>363</v>
      </c>
      <c r="H1419" s="515"/>
      <c r="I1419" s="515"/>
      <c r="J1419" s="518"/>
      <c r="K1419" s="471"/>
    </row>
    <row r="1420" spans="1:11">
      <c r="A1420" s="463"/>
      <c r="B1420" s="956" t="str">
        <f>PLANEJAMENTO!F3</f>
        <v>MARA ROSA</v>
      </c>
      <c r="C1420" s="957"/>
      <c r="D1420" s="957"/>
      <c r="E1420" s="957"/>
      <c r="F1420" s="958"/>
      <c r="G1420" s="1484" t="s">
        <v>964</v>
      </c>
      <c r="H1420" s="1485"/>
      <c r="I1420" s="1485"/>
      <c r="J1420" s="1486"/>
      <c r="K1420" s="471"/>
    </row>
    <row r="1421" spans="1:11">
      <c r="A1421" s="463"/>
      <c r="B1421" s="1015"/>
      <c r="C1421" s="587"/>
      <c r="D1421" s="587"/>
      <c r="E1421" s="587"/>
      <c r="F1421" s="587"/>
      <c r="G1421" s="1014"/>
      <c r="H1421" s="1014"/>
      <c r="I1421" s="1014"/>
      <c r="J1421" s="1016"/>
      <c r="K1421" s="471"/>
    </row>
    <row r="1422" spans="1:11" ht="15" thickBot="1">
      <c r="A1422" s="621"/>
      <c r="B1422" s="622"/>
      <c r="C1422" s="622"/>
      <c r="D1422" s="622"/>
      <c r="E1422" s="622"/>
      <c r="F1422" s="622"/>
      <c r="G1422" s="622"/>
      <c r="H1422" s="622"/>
      <c r="I1422" s="622"/>
      <c r="J1422" s="622"/>
      <c r="K1422" s="623"/>
    </row>
    <row r="1423" spans="1:11">
      <c r="A1423" s="460"/>
      <c r="B1423" s="461"/>
      <c r="C1423" s="461"/>
      <c r="D1423" s="461"/>
      <c r="E1423" s="461"/>
      <c r="F1423" s="461"/>
      <c r="G1423" s="461"/>
      <c r="H1423" s="461"/>
      <c r="I1423" s="461"/>
      <c r="J1423" s="461"/>
      <c r="K1423" s="462"/>
    </row>
    <row r="1424" spans="1:11">
      <c r="A1424" s="463"/>
      <c r="B1424" s="464" t="s">
        <v>178</v>
      </c>
      <c r="C1424" s="465"/>
      <c r="D1424" s="466" t="s">
        <v>936</v>
      </c>
      <c r="E1424" s="467"/>
      <c r="F1424" s="468"/>
      <c r="G1424" s="468"/>
      <c r="H1424" s="469"/>
      <c r="I1424" s="469"/>
      <c r="J1424" s="470"/>
      <c r="K1424" s="471"/>
    </row>
    <row r="1425" spans="1:11">
      <c r="A1425" s="463"/>
      <c r="B1425" s="472"/>
      <c r="C1425" s="472"/>
      <c r="D1425" s="472"/>
      <c r="E1425" s="472"/>
      <c r="F1425" s="472"/>
      <c r="G1425" s="472"/>
      <c r="H1425" s="472"/>
      <c r="I1425" s="472"/>
      <c r="J1425" s="472"/>
      <c r="K1425" s="471"/>
    </row>
    <row r="1426" spans="1:11">
      <c r="A1426" s="463"/>
      <c r="B1426" s="473" t="s">
        <v>688</v>
      </c>
      <c r="C1426" s="474" t="s">
        <v>937</v>
      </c>
      <c r="D1426" s="1497" t="s">
        <v>250</v>
      </c>
      <c r="E1426" s="1498"/>
      <c r="F1426" s="1498"/>
      <c r="G1426" s="1498"/>
      <c r="H1426" s="1498"/>
      <c r="I1426" s="1499"/>
      <c r="J1426" s="475" t="s">
        <v>267</v>
      </c>
      <c r="K1426" s="471"/>
    </row>
    <row r="1427" spans="1:11" ht="27" customHeight="1">
      <c r="A1427" s="463"/>
      <c r="B1427" s="476" t="s">
        <v>3</v>
      </c>
      <c r="C1427" s="477">
        <f ca="1">PLANEJAMENTO!F4</f>
        <v>46140</v>
      </c>
      <c r="D1427" s="681" t="s">
        <v>1501</v>
      </c>
      <c r="E1427" s="479"/>
      <c r="F1427" s="479"/>
      <c r="G1427" s="479"/>
      <c r="H1427" s="479"/>
      <c r="I1427" s="480"/>
      <c r="J1427" s="481" t="str">
        <f>F1443</f>
        <v>m3</v>
      </c>
      <c r="K1427" s="471"/>
    </row>
    <row r="1428" spans="1:11">
      <c r="A1428" s="463"/>
      <c r="B1428" s="482"/>
      <c r="C1428" s="482"/>
      <c r="D1428" s="482"/>
      <c r="E1428" s="482"/>
      <c r="F1428" s="482"/>
      <c r="G1428" s="482"/>
      <c r="H1428" s="482"/>
      <c r="I1428" s="483"/>
      <c r="J1428" s="484"/>
      <c r="K1428" s="471"/>
    </row>
    <row r="1429" spans="1:11">
      <c r="A1429" s="463"/>
      <c r="B1429" s="1484" t="s">
        <v>938</v>
      </c>
      <c r="C1429" s="1486"/>
      <c r="D1429" s="1502" t="s">
        <v>688</v>
      </c>
      <c r="E1429" s="1504" t="s">
        <v>939</v>
      </c>
      <c r="F1429" s="485" t="s">
        <v>940</v>
      </c>
      <c r="G1429" s="486"/>
      <c r="H1429" s="485" t="s">
        <v>941</v>
      </c>
      <c r="I1429" s="486"/>
      <c r="J1429" s="487" t="s">
        <v>942</v>
      </c>
      <c r="K1429" s="471"/>
    </row>
    <row r="1430" spans="1:11">
      <c r="A1430" s="463"/>
      <c r="B1430" s="1500"/>
      <c r="C1430" s="1501"/>
      <c r="D1430" s="1503"/>
      <c r="E1430" s="1505"/>
      <c r="F1430" s="488" t="s">
        <v>943</v>
      </c>
      <c r="G1430" s="488" t="s">
        <v>944</v>
      </c>
      <c r="H1430" s="488" t="s">
        <v>943</v>
      </c>
      <c r="I1430" s="489" t="s">
        <v>944</v>
      </c>
      <c r="J1430" s="490" t="s">
        <v>945</v>
      </c>
      <c r="K1430" s="471"/>
    </row>
    <row r="1431" spans="1:11">
      <c r="A1431" s="463"/>
      <c r="B1431" s="499" t="s">
        <v>631</v>
      </c>
      <c r="C1431" s="500"/>
      <c r="D1431" s="501"/>
      <c r="E1431" s="875">
        <v>1</v>
      </c>
      <c r="F1431" s="502">
        <v>1</v>
      </c>
      <c r="G1431" s="502">
        <f>1-F1431</f>
        <v>0</v>
      </c>
      <c r="H1431" s="503">
        <f>VLOOKUP(B1431,EQUIPAMENTOS!$A:$J,10,FALSE)</f>
        <v>175</v>
      </c>
      <c r="I1431" s="504">
        <f>H1431</f>
        <v>175</v>
      </c>
      <c r="J1431" s="505">
        <f>H1431*F1431*E1431+I1431*G1431*E1431</f>
        <v>175</v>
      </c>
      <c r="K1431" s="471"/>
    </row>
    <row r="1432" spans="1:11">
      <c r="A1432" s="463"/>
      <c r="B1432" s="499" t="s">
        <v>1157</v>
      </c>
      <c r="C1432" s="500"/>
      <c r="D1432" s="501"/>
      <c r="E1432" s="502">
        <v>4</v>
      </c>
      <c r="F1432" s="502">
        <v>1</v>
      </c>
      <c r="G1432" s="502">
        <f>1-F1432</f>
        <v>0</v>
      </c>
      <c r="H1432" s="503">
        <f>VLOOKUP(B1432,EQUIPAMENTOS!$A:$J,10,FALSE)</f>
        <v>125</v>
      </c>
      <c r="I1432" s="504">
        <f>H1432</f>
        <v>125</v>
      </c>
      <c r="J1432" s="505">
        <f>H1432*F1432*E1432+I1432*G1432*E1432</f>
        <v>500</v>
      </c>
      <c r="K1432" s="471"/>
    </row>
    <row r="1433" spans="1:11">
      <c r="A1433" s="463"/>
      <c r="B1433" s="499"/>
      <c r="C1433" s="500"/>
      <c r="D1433" s="501"/>
      <c r="E1433" s="502"/>
      <c r="F1433" s="502"/>
      <c r="G1433" s="502"/>
      <c r="H1433" s="503"/>
      <c r="I1433" s="504"/>
      <c r="J1433" s="505"/>
      <c r="K1433" s="471"/>
    </row>
    <row r="1434" spans="1:11">
      <c r="A1434" s="463"/>
      <c r="B1434" s="506"/>
      <c r="C1434" s="507"/>
      <c r="D1434" s="508"/>
      <c r="E1434" s="509"/>
      <c r="F1434" s="509"/>
      <c r="G1434" s="509"/>
      <c r="H1434" s="510"/>
      <c r="I1434" s="511"/>
      <c r="J1434" s="505">
        <f>H1434*F1434*E1434+I1434*G1434*E1434</f>
        <v>0</v>
      </c>
      <c r="K1434" s="471"/>
    </row>
    <row r="1435" spans="1:11">
      <c r="A1435" s="463"/>
      <c r="B1435" s="512" t="s">
        <v>946</v>
      </c>
      <c r="C1435" s="482"/>
      <c r="D1435" s="482"/>
      <c r="E1435" s="482"/>
      <c r="F1435" s="482"/>
      <c r="G1435" s="482"/>
      <c r="H1435" s="482"/>
      <c r="I1435" s="513" t="s">
        <v>175</v>
      </c>
      <c r="J1435" s="514">
        <f>SUM(J1431:J1434)</f>
        <v>675</v>
      </c>
      <c r="K1435" s="471"/>
    </row>
    <row r="1436" spans="1:11" ht="20.399999999999999" customHeight="1">
      <c r="A1436" s="463"/>
      <c r="B1436" s="515"/>
      <c r="C1436" s="515"/>
      <c r="D1436" s="515"/>
      <c r="E1436" s="515"/>
      <c r="F1436" s="515"/>
      <c r="G1436" s="515"/>
      <c r="H1436" s="515"/>
      <c r="I1436" s="516"/>
      <c r="J1436" s="517"/>
      <c r="K1436" s="471"/>
    </row>
    <row r="1437" spans="1:11" ht="20.399999999999999">
      <c r="A1437" s="463"/>
      <c r="B1437" s="1490" t="s">
        <v>947</v>
      </c>
      <c r="C1437" s="1491"/>
      <c r="D1437" s="1491"/>
      <c r="E1437" s="1492"/>
      <c r="F1437" s="725" t="s">
        <v>688</v>
      </c>
      <c r="G1437" s="853"/>
      <c r="H1437" s="520" t="s">
        <v>427</v>
      </c>
      <c r="I1437" s="521" t="s">
        <v>948</v>
      </c>
      <c r="J1437" s="522" t="s">
        <v>949</v>
      </c>
      <c r="K1437" s="471"/>
    </row>
    <row r="1438" spans="1:11">
      <c r="A1438" s="463"/>
      <c r="B1438" s="523" t="s">
        <v>950</v>
      </c>
      <c r="C1438" s="524"/>
      <c r="D1438" s="525"/>
      <c r="E1438" s="526"/>
      <c r="F1438" s="527"/>
      <c r="G1438" s="528"/>
      <c r="H1438" s="529">
        <f>E1432</f>
        <v>4</v>
      </c>
      <c r="I1438" s="534">
        <f>(VLOOKUP(B1438,'MÃO DE OBRA'!$A:$E,5,FALSE)/220)</f>
        <v>26.714454545454547</v>
      </c>
      <c r="J1438" s="505">
        <f>H1438*I1438</f>
        <v>106.85781818181819</v>
      </c>
      <c r="K1438" s="471"/>
    </row>
    <row r="1439" spans="1:11">
      <c r="A1439" s="463"/>
      <c r="B1439" s="530" t="s">
        <v>472</v>
      </c>
      <c r="C1439" s="531"/>
      <c r="D1439" s="472"/>
      <c r="E1439" s="500"/>
      <c r="F1439" s="501"/>
      <c r="G1439" s="532"/>
      <c r="H1439" s="533">
        <v>1</v>
      </c>
      <c r="I1439" s="534">
        <f>(VLOOKUP(B1439,'MÃO DE OBRA'!$A:$E,5,FALSE)/220)</f>
        <v>18.377072727272729</v>
      </c>
      <c r="J1439" s="505">
        <f>H1439*I1439</f>
        <v>18.377072727272729</v>
      </c>
      <c r="K1439" s="471"/>
    </row>
    <row r="1440" spans="1:11">
      <c r="A1440" s="463"/>
      <c r="B1440" s="530" t="s">
        <v>556</v>
      </c>
      <c r="C1440" s="531"/>
      <c r="D1440" s="472"/>
      <c r="E1440" s="500"/>
      <c r="F1440" s="501"/>
      <c r="G1440" s="532"/>
      <c r="H1440" s="533">
        <f>E1431</f>
        <v>1</v>
      </c>
      <c r="I1440" s="534">
        <f>(VLOOKUP(B1440,'MÃO DE OBRA'!$A:$E,5,FALSE)/220)</f>
        <v>35.988199999999999</v>
      </c>
      <c r="J1440" s="505">
        <f>H1440*I1440</f>
        <v>35.988199999999999</v>
      </c>
      <c r="K1440" s="471"/>
    </row>
    <row r="1441" spans="1:12">
      <c r="A1441" s="463"/>
      <c r="B1441" s="512" t="s">
        <v>946</v>
      </c>
      <c r="C1441" s="515"/>
      <c r="D1441" s="515"/>
      <c r="E1441" s="515"/>
      <c r="F1441" s="515"/>
      <c r="G1441" s="515"/>
      <c r="H1441" s="515"/>
      <c r="I1441" s="535" t="s">
        <v>175</v>
      </c>
      <c r="J1441" s="514">
        <f>SUM(J1438:J1440)</f>
        <v>161.22309090909093</v>
      </c>
      <c r="K1441" s="471"/>
    </row>
    <row r="1442" spans="1:12">
      <c r="A1442" s="463"/>
      <c r="B1442" s="536"/>
      <c r="C1442" s="536"/>
      <c r="D1442" s="536"/>
      <c r="E1442" s="536"/>
      <c r="F1442" s="536"/>
      <c r="G1442" s="536"/>
      <c r="H1442" s="536"/>
      <c r="I1442" s="537"/>
      <c r="J1442" s="536"/>
      <c r="K1442" s="471"/>
    </row>
    <row r="1443" spans="1:12">
      <c r="A1443" s="463"/>
      <c r="B1443" s="538" t="s">
        <v>952</v>
      </c>
      <c r="C1443" s="539"/>
      <c r="D1443" s="536"/>
      <c r="E1443" s="540">
        <v>40.983241286569246</v>
      </c>
      <c r="F1443" s="541" t="s">
        <v>931</v>
      </c>
      <c r="G1443" s="519"/>
      <c r="H1443" s="519"/>
      <c r="I1443" s="542" t="s">
        <v>953</v>
      </c>
      <c r="J1443" s="514">
        <f>J1435+J1441</f>
        <v>836.22309090909096</v>
      </c>
      <c r="K1443" s="471"/>
    </row>
    <row r="1444" spans="1:12">
      <c r="A1444" s="463"/>
      <c r="B1444" s="543"/>
      <c r="C1444" s="536"/>
      <c r="D1444" s="536"/>
      <c r="E1444" s="544"/>
      <c r="F1444" s="545"/>
      <c r="G1444" s="545"/>
      <c r="H1444" s="545"/>
      <c r="I1444" s="537"/>
      <c r="J1444" s="536"/>
      <c r="K1444" s="471"/>
    </row>
    <row r="1445" spans="1:12" ht="20.399999999999999">
      <c r="A1445" s="463"/>
      <c r="B1445" s="1493" t="s">
        <v>362</v>
      </c>
      <c r="C1445" s="1494"/>
      <c r="D1445" s="1494"/>
      <c r="E1445" s="1495"/>
      <c r="F1445" s="546" t="s">
        <v>688</v>
      </c>
      <c r="G1445" s="547" t="s">
        <v>371</v>
      </c>
      <c r="H1445" s="520" t="s">
        <v>942</v>
      </c>
      <c r="I1445" s="548" t="s">
        <v>361</v>
      </c>
      <c r="J1445" s="549" t="s">
        <v>363</v>
      </c>
      <c r="K1445" s="471"/>
    </row>
    <row r="1446" spans="1:12">
      <c r="A1446" s="463"/>
      <c r="B1446" s="557" t="str">
        <f>B1431</f>
        <v>Escavadeira hidráulica sobre esteira 22T</v>
      </c>
      <c r="C1446" s="531"/>
      <c r="D1446" s="531"/>
      <c r="E1446" s="500"/>
      <c r="F1446" s="553" t="str">
        <f>VLOOKUP(B1446,EQUIPAMENTOS!$A:$N,12,FALSE)</f>
        <v>Diesel S10</v>
      </c>
      <c r="G1446" s="554" t="s">
        <v>415</v>
      </c>
      <c r="H1446" s="560">
        <f>VLOOKUP(B1446,EQUIPAMENTOS!$A:$N,13,FALSE)</f>
        <v>0</v>
      </c>
      <c r="I1446" s="556">
        <f>VLOOKUP(B1446,EQUIPAMENTOS!$A:$N,14,FALSE)</f>
        <v>22</v>
      </c>
      <c r="J1446" s="505">
        <f>H1446*I1446*E1431*F1431</f>
        <v>0</v>
      </c>
      <c r="K1446" s="471"/>
    </row>
    <row r="1447" spans="1:12">
      <c r="A1447" s="463"/>
      <c r="B1447" s="557" t="str">
        <f>B1432</f>
        <v>Caminhão basculante 14 m³</v>
      </c>
      <c r="C1447" s="539"/>
      <c r="D1447" s="539"/>
      <c r="E1447" s="507"/>
      <c r="F1447" s="553" t="str">
        <f>VLOOKUP(B1447,EQUIPAMENTOS!$A:$N,12,FALSE)</f>
        <v>Diesel S10</v>
      </c>
      <c r="G1447" s="736" t="s">
        <v>415</v>
      </c>
      <c r="H1447" s="560">
        <f>VLOOKUP(B1447,EQUIPAMENTOS!$A:$N,13,FALSE)</f>
        <v>0</v>
      </c>
      <c r="I1447" s="556">
        <f>VLOOKUP(B1447,EQUIPAMENTOS!$A:$N,14,FALSE)</f>
        <v>2.5</v>
      </c>
      <c r="J1447" s="505">
        <f>H1447*I1447*E1432*F1432</f>
        <v>0</v>
      </c>
      <c r="K1447" s="471"/>
    </row>
    <row r="1448" spans="1:12">
      <c r="A1448" s="463"/>
      <c r="B1448" s="563" t="s">
        <v>946</v>
      </c>
      <c r="C1448" s="539"/>
      <c r="D1448" s="539"/>
      <c r="E1448" s="539"/>
      <c r="F1448" s="536"/>
      <c r="G1448" s="539"/>
      <c r="H1448" s="564"/>
      <c r="I1448" s="565" t="s">
        <v>175</v>
      </c>
      <c r="J1448" s="514">
        <f>SUM(J1446:J1447)</f>
        <v>0</v>
      </c>
      <c r="K1448" s="471"/>
    </row>
    <row r="1449" spans="1:12">
      <c r="A1449" s="463"/>
      <c r="B1449" s="566"/>
      <c r="C1449" s="539"/>
      <c r="D1449" s="539"/>
      <c r="E1449" s="567"/>
      <c r="F1449" s="568"/>
      <c r="G1449" s="519"/>
      <c r="H1449" s="519"/>
      <c r="I1449" s="542"/>
      <c r="J1449" s="567"/>
      <c r="K1449" s="471"/>
    </row>
    <row r="1450" spans="1:12" ht="20.399999999999999">
      <c r="A1450" s="463"/>
      <c r="B1450" s="1493" t="s">
        <v>955</v>
      </c>
      <c r="C1450" s="1494"/>
      <c r="D1450" s="1494"/>
      <c r="E1450" s="1494"/>
      <c r="F1450" s="1495"/>
      <c r="G1450" s="569" t="s">
        <v>372</v>
      </c>
      <c r="H1450" s="519" t="s">
        <v>956</v>
      </c>
      <c r="I1450" s="570" t="s">
        <v>942</v>
      </c>
      <c r="J1450" s="522" t="s">
        <v>363</v>
      </c>
      <c r="K1450" s="471"/>
    </row>
    <row r="1451" spans="1:12">
      <c r="A1451" s="463"/>
      <c r="B1451" s="571"/>
      <c r="C1451" s="572"/>
      <c r="D1451" s="573"/>
      <c r="E1451" s="573"/>
      <c r="F1451" s="574"/>
      <c r="G1451" s="502"/>
      <c r="H1451" s="502"/>
      <c r="I1451" s="575"/>
      <c r="J1451" s="505"/>
      <c r="K1451" s="471"/>
    </row>
    <row r="1452" spans="1:12">
      <c r="A1452" s="463"/>
      <c r="B1452" s="576"/>
      <c r="C1452" s="577"/>
      <c r="D1452" s="578"/>
      <c r="E1452" s="578"/>
      <c r="F1452" s="579"/>
      <c r="G1452" s="502"/>
      <c r="H1452" s="502"/>
      <c r="I1452" s="575"/>
      <c r="J1452" s="505"/>
      <c r="K1452" s="471"/>
    </row>
    <row r="1453" spans="1:12">
      <c r="A1453" s="463"/>
      <c r="B1453" s="1496" t="s">
        <v>175</v>
      </c>
      <c r="C1453" s="1496"/>
      <c r="D1453" s="1496"/>
      <c r="E1453" s="1496"/>
      <c r="F1453" s="1496"/>
      <c r="G1453" s="1496"/>
      <c r="H1453" s="1496"/>
      <c r="I1453" s="1496"/>
      <c r="J1453" s="514">
        <f>SUM(J1451:J1452)</f>
        <v>0</v>
      </c>
      <c r="K1453" s="471"/>
    </row>
    <row r="1454" spans="1:12">
      <c r="A1454" s="463"/>
      <c r="B1454" s="580"/>
      <c r="C1454" s="524"/>
      <c r="D1454" s="524"/>
      <c r="E1454" s="581"/>
      <c r="F1454" s="582"/>
      <c r="G1454" s="583"/>
      <c r="H1454" s="583"/>
      <c r="I1454" s="584"/>
      <c r="J1454" s="585"/>
      <c r="K1454" s="471"/>
    </row>
    <row r="1455" spans="1:12">
      <c r="A1455" s="463"/>
      <c r="B1455" s="586" t="s">
        <v>957</v>
      </c>
      <c r="C1455" s="586"/>
      <c r="D1455" s="563"/>
      <c r="E1455" s="536"/>
      <c r="F1455" s="536"/>
      <c r="G1455" s="536"/>
      <c r="H1455" s="587"/>
      <c r="I1455" s="588"/>
      <c r="J1455" s="514">
        <f>(J1443+J1448+J1453)/E1443</f>
        <v>20.404025271254774</v>
      </c>
      <c r="K1455" s="471"/>
      <c r="L1455">
        <v>20.40402675494899</v>
      </c>
    </row>
    <row r="1456" spans="1:12">
      <c r="A1456" s="463"/>
      <c r="B1456" s="566"/>
      <c r="C1456" s="539"/>
      <c r="D1456" s="539"/>
      <c r="E1456" s="567"/>
      <c r="F1456" s="568"/>
      <c r="G1456" s="519"/>
      <c r="H1456" s="519"/>
      <c r="I1456" s="542"/>
      <c r="J1456" s="589"/>
      <c r="K1456" s="471"/>
    </row>
    <row r="1457" spans="1:11" ht="20.399999999999999">
      <c r="A1457" s="463"/>
      <c r="B1457" s="1493" t="s">
        <v>958</v>
      </c>
      <c r="C1457" s="1494"/>
      <c r="D1457" s="1494"/>
      <c r="E1457" s="1494"/>
      <c r="F1457" s="1495"/>
      <c r="G1457" s="569" t="s">
        <v>372</v>
      </c>
      <c r="H1457" s="519" t="s">
        <v>956</v>
      </c>
      <c r="I1457" s="570" t="s">
        <v>942</v>
      </c>
      <c r="J1457" s="522" t="s">
        <v>363</v>
      </c>
      <c r="K1457" s="471"/>
    </row>
    <row r="1458" spans="1:11">
      <c r="A1458" s="463"/>
      <c r="B1458" s="571"/>
      <c r="C1458" s="572"/>
      <c r="D1458" s="573"/>
      <c r="E1458" s="573"/>
      <c r="F1458" s="574"/>
      <c r="G1458" s="502"/>
      <c r="H1458" s="502"/>
      <c r="I1458" s="575"/>
      <c r="J1458" s="505">
        <f>G1458*I1458</f>
        <v>0</v>
      </c>
      <c r="K1458" s="471"/>
    </row>
    <row r="1459" spans="1:11">
      <c r="A1459" s="463"/>
      <c r="B1459" s="576"/>
      <c r="C1459" s="577"/>
      <c r="D1459" s="578"/>
      <c r="E1459" s="578"/>
      <c r="F1459" s="579"/>
      <c r="G1459" s="502"/>
      <c r="H1459" s="502"/>
      <c r="I1459" s="575"/>
      <c r="J1459" s="505">
        <f>G1459*I1459</f>
        <v>0</v>
      </c>
      <c r="K1459" s="471"/>
    </row>
    <row r="1460" spans="1:11">
      <c r="A1460" s="463"/>
      <c r="B1460" s="576"/>
      <c r="C1460" s="577"/>
      <c r="D1460" s="578"/>
      <c r="E1460" s="578"/>
      <c r="F1460" s="579"/>
      <c r="G1460" s="502"/>
      <c r="H1460" s="502"/>
      <c r="I1460" s="575"/>
      <c r="J1460" s="505">
        <f>G1460*I1460</f>
        <v>0</v>
      </c>
      <c r="K1460" s="471"/>
    </row>
    <row r="1461" spans="1:11">
      <c r="A1461" s="463"/>
      <c r="B1461" s="590"/>
      <c r="C1461" s="591"/>
      <c r="D1461" s="592"/>
      <c r="E1461" s="592"/>
      <c r="F1461" s="593"/>
      <c r="G1461" s="502"/>
      <c r="H1461" s="502"/>
      <c r="I1461" s="575"/>
      <c r="J1461" s="505">
        <f>G1461*I1461</f>
        <v>0</v>
      </c>
      <c r="K1461" s="471"/>
    </row>
    <row r="1462" spans="1:11">
      <c r="A1462" s="463"/>
      <c r="B1462" s="594"/>
      <c r="C1462" s="536"/>
      <c r="D1462" s="536"/>
      <c r="E1462" s="595"/>
      <c r="F1462" s="596"/>
      <c r="G1462" s="545"/>
      <c r="H1462" s="545"/>
      <c r="I1462" s="537" t="s">
        <v>175</v>
      </c>
      <c r="J1462" s="514">
        <f>SUM(J1458:J1461)</f>
        <v>0</v>
      </c>
      <c r="K1462" s="471"/>
    </row>
    <row r="1463" spans="1:11">
      <c r="A1463" s="463"/>
      <c r="B1463" s="597"/>
      <c r="C1463" s="536"/>
      <c r="D1463" s="536"/>
      <c r="E1463" s="595"/>
      <c r="F1463" s="596"/>
      <c r="G1463" s="545"/>
      <c r="H1463" s="545"/>
      <c r="I1463" s="537"/>
      <c r="J1463" s="595"/>
      <c r="K1463" s="471"/>
    </row>
    <row r="1464" spans="1:11" ht="20.399999999999999">
      <c r="A1464" s="463"/>
      <c r="B1464" s="598" t="s">
        <v>959</v>
      </c>
      <c r="C1464" s="598"/>
      <c r="D1464" s="598"/>
      <c r="E1464" s="599"/>
      <c r="F1464" s="600" t="s">
        <v>372</v>
      </c>
      <c r="G1464" s="569" t="s">
        <v>960</v>
      </c>
      <c r="H1464" s="519" t="s">
        <v>942</v>
      </c>
      <c r="I1464" s="570" t="s">
        <v>361</v>
      </c>
      <c r="J1464" s="522" t="s">
        <v>363</v>
      </c>
      <c r="K1464" s="471"/>
    </row>
    <row r="1465" spans="1:11">
      <c r="A1465" s="463"/>
      <c r="B1465" s="571"/>
      <c r="C1465" s="572"/>
      <c r="D1465" s="573"/>
      <c r="E1465" s="574"/>
      <c r="F1465" s="502"/>
      <c r="G1465" s="502"/>
      <c r="H1465" s="624"/>
      <c r="I1465" s="575"/>
      <c r="J1465" s="505"/>
      <c r="K1465" s="471"/>
    </row>
    <row r="1466" spans="1:11">
      <c r="A1466" s="463"/>
      <c r="B1466" s="590" t="s">
        <v>946</v>
      </c>
      <c r="C1466" s="591"/>
      <c r="D1466" s="592"/>
      <c r="E1466" s="593" t="s">
        <v>946</v>
      </c>
      <c r="F1466" s="509">
        <v>0</v>
      </c>
      <c r="G1466" s="509">
        <v>0</v>
      </c>
      <c r="H1466" s="509">
        <v>0</v>
      </c>
      <c r="I1466" s="601">
        <v>0</v>
      </c>
      <c r="J1466" s="505">
        <f>I1466*H1466*G1466*F1466</f>
        <v>0</v>
      </c>
      <c r="K1466" s="471"/>
    </row>
    <row r="1467" spans="1:11">
      <c r="A1467" s="463"/>
      <c r="B1467" s="594"/>
      <c r="C1467" s="536"/>
      <c r="D1467" s="536"/>
      <c r="E1467" s="595"/>
      <c r="F1467" s="596"/>
      <c r="G1467" s="545"/>
      <c r="H1467" s="545"/>
      <c r="I1467" s="537" t="s">
        <v>175</v>
      </c>
      <c r="J1467" s="514">
        <f>SUM(J1465:J1466)</f>
        <v>0</v>
      </c>
      <c r="K1467" s="471"/>
    </row>
    <row r="1468" spans="1:11">
      <c r="A1468" s="463"/>
      <c r="B1468" s="536"/>
      <c r="C1468" s="536"/>
      <c r="D1468" s="536"/>
      <c r="E1468" s="536"/>
      <c r="F1468" s="536"/>
      <c r="G1468" s="536"/>
      <c r="H1468" s="536"/>
      <c r="I1468" s="537"/>
      <c r="J1468" s="536"/>
      <c r="K1468" s="471"/>
    </row>
    <row r="1469" spans="1:11">
      <c r="A1469" s="463"/>
      <c r="B1469" s="1481" t="s">
        <v>963</v>
      </c>
      <c r="C1469" s="1482"/>
      <c r="D1469" s="1482"/>
      <c r="E1469" s="1482"/>
      <c r="F1469" s="1482"/>
      <c r="G1469" s="1482"/>
      <c r="H1469" s="1482"/>
      <c r="I1469" s="1483"/>
      <c r="J1469" s="586">
        <v>20.404025271254774</v>
      </c>
      <c r="K1469" s="471"/>
    </row>
    <row r="1470" spans="1:11">
      <c r="A1470" s="463"/>
      <c r="B1470" s="524"/>
      <c r="C1470" s="524"/>
      <c r="D1470" s="524"/>
      <c r="E1470" s="524"/>
      <c r="F1470" s="524"/>
      <c r="G1470" s="524"/>
      <c r="H1470" s="524"/>
      <c r="I1470" s="584"/>
      <c r="J1470" s="524"/>
      <c r="K1470" s="471"/>
    </row>
    <row r="1471" spans="1:11">
      <c r="A1471" s="463"/>
      <c r="B1471" s="602"/>
      <c r="C1471" s="572"/>
      <c r="D1471" s="572"/>
      <c r="E1471" s="572"/>
      <c r="F1471" s="572"/>
      <c r="G1471" s="572"/>
      <c r="H1471" s="572"/>
      <c r="I1471" s="572"/>
      <c r="J1471" s="603"/>
      <c r="K1471" s="471"/>
    </row>
    <row r="1472" spans="1:11">
      <c r="A1472" s="463"/>
      <c r="B1472" s="604"/>
      <c r="C1472" s="605"/>
      <c r="D1472" s="606"/>
      <c r="E1472" s="606"/>
      <c r="F1472" s="607" t="s">
        <v>946</v>
      </c>
      <c r="G1472" s="608" t="s">
        <v>946</v>
      </c>
      <c r="H1472" s="605"/>
      <c r="I1472" s="605"/>
      <c r="J1472" s="609"/>
      <c r="K1472" s="471"/>
    </row>
    <row r="1473" spans="1:11">
      <c r="A1473" s="463"/>
      <c r="B1473" s="472"/>
      <c r="C1473" s="472"/>
      <c r="D1473" s="472"/>
      <c r="E1473" s="472"/>
      <c r="F1473" s="472"/>
      <c r="G1473" s="472"/>
      <c r="H1473" s="472"/>
      <c r="I1473" s="472"/>
      <c r="J1473" s="472"/>
      <c r="K1473" s="471"/>
    </row>
    <row r="1474" spans="1:11">
      <c r="A1474" s="463"/>
      <c r="B1474" s="610" t="str">
        <f>PLANEJAMENTO!F2</f>
        <v>OPERAÇÃO DE SUPRESSÃO E SUMP</v>
      </c>
      <c r="C1474" s="611"/>
      <c r="D1474" s="611"/>
      <c r="E1474" s="611"/>
      <c r="F1474" s="612"/>
      <c r="G1474" s="613" t="s">
        <v>363</v>
      </c>
      <c r="H1474" s="515"/>
      <c r="I1474" s="515"/>
      <c r="J1474" s="518"/>
      <c r="K1474" s="471"/>
    </row>
    <row r="1475" spans="1:11">
      <c r="A1475" s="463"/>
      <c r="B1475" s="956" t="str">
        <f>PLANEJAMENTO!F3</f>
        <v>MARA ROSA</v>
      </c>
      <c r="C1475" s="957"/>
      <c r="D1475" s="957"/>
      <c r="E1475" s="957"/>
      <c r="F1475" s="958"/>
      <c r="G1475" s="1484" t="s">
        <v>964</v>
      </c>
      <c r="H1475" s="1485"/>
      <c r="I1475" s="1485"/>
      <c r="J1475" s="1486"/>
      <c r="K1475" s="471"/>
    </row>
    <row r="1476" spans="1:11">
      <c r="A1476" s="463"/>
      <c r="B1476" s="1015"/>
      <c r="C1476" s="587"/>
      <c r="D1476" s="587"/>
      <c r="E1476" s="587"/>
      <c r="F1476" s="587"/>
      <c r="G1476" s="1014"/>
      <c r="H1476" s="1014"/>
      <c r="I1476" s="1014"/>
      <c r="J1476" s="1016"/>
      <c r="K1476" s="471"/>
    </row>
    <row r="1477" spans="1:11" ht="15" thickBot="1">
      <c r="A1477" s="621"/>
      <c r="B1477" s="622"/>
      <c r="C1477" s="622"/>
      <c r="D1477" s="622"/>
      <c r="E1477" s="622"/>
      <c r="F1477" s="622"/>
      <c r="G1477" s="622"/>
      <c r="H1477" s="622"/>
      <c r="I1477" s="622"/>
      <c r="J1477" s="622"/>
      <c r="K1477" s="623"/>
    </row>
    <row r="1478" spans="1:11">
      <c r="A1478" s="460"/>
      <c r="B1478" s="461"/>
      <c r="C1478" s="461"/>
      <c r="D1478" s="461"/>
      <c r="E1478" s="461"/>
      <c r="F1478" s="461"/>
      <c r="G1478" s="461"/>
      <c r="H1478" s="461"/>
      <c r="I1478" s="461"/>
      <c r="J1478" s="461"/>
      <c r="K1478" s="462"/>
    </row>
    <row r="1479" spans="1:11">
      <c r="A1479" s="463"/>
      <c r="B1479" s="464" t="s">
        <v>178</v>
      </c>
      <c r="C1479" s="465"/>
      <c r="D1479" s="466" t="s">
        <v>936</v>
      </c>
      <c r="E1479" s="467"/>
      <c r="F1479" s="468"/>
      <c r="G1479" s="468"/>
      <c r="H1479" s="469"/>
      <c r="I1479" s="469"/>
      <c r="J1479" s="470"/>
      <c r="K1479" s="471"/>
    </row>
    <row r="1480" spans="1:11">
      <c r="A1480" s="463"/>
      <c r="B1480" s="472"/>
      <c r="C1480" s="472"/>
      <c r="D1480" s="472"/>
      <c r="E1480" s="472"/>
      <c r="F1480" s="472"/>
      <c r="G1480" s="472"/>
      <c r="H1480" s="472"/>
      <c r="I1480" s="472"/>
      <c r="J1480" s="472"/>
      <c r="K1480" s="471"/>
    </row>
    <row r="1481" spans="1:11">
      <c r="A1481" s="463"/>
      <c r="B1481" s="473" t="s">
        <v>688</v>
      </c>
      <c r="C1481" s="474" t="s">
        <v>937</v>
      </c>
      <c r="D1481" s="1497" t="s">
        <v>250</v>
      </c>
      <c r="E1481" s="1498"/>
      <c r="F1481" s="1498"/>
      <c r="G1481" s="1498"/>
      <c r="H1481" s="1498"/>
      <c r="I1481" s="1499"/>
      <c r="J1481" s="475" t="s">
        <v>267</v>
      </c>
      <c r="K1481" s="471"/>
    </row>
    <row r="1482" spans="1:11" ht="25.95" customHeight="1">
      <c r="A1482" s="463"/>
      <c r="B1482" s="476" t="s">
        <v>3</v>
      </c>
      <c r="C1482" s="477">
        <f ca="1">PLANEJAMENTO!F4</f>
        <v>46140</v>
      </c>
      <c r="D1482" s="681" t="s">
        <v>1502</v>
      </c>
      <c r="E1482" s="479"/>
      <c r="F1482" s="479"/>
      <c r="G1482" s="479"/>
      <c r="H1482" s="479"/>
      <c r="I1482" s="480"/>
      <c r="J1482" s="481" t="str">
        <f>F1498</f>
        <v>m3</v>
      </c>
      <c r="K1482" s="471"/>
    </row>
    <row r="1483" spans="1:11">
      <c r="A1483" s="463"/>
      <c r="B1483" s="482"/>
      <c r="C1483" s="482"/>
      <c r="D1483" s="482"/>
      <c r="E1483" s="482"/>
      <c r="F1483" s="482"/>
      <c r="G1483" s="482"/>
      <c r="H1483" s="482"/>
      <c r="I1483" s="483"/>
      <c r="J1483" s="484"/>
      <c r="K1483" s="471"/>
    </row>
    <row r="1484" spans="1:11">
      <c r="A1484" s="463"/>
      <c r="B1484" s="1484" t="s">
        <v>938</v>
      </c>
      <c r="C1484" s="1486"/>
      <c r="D1484" s="1502" t="s">
        <v>688</v>
      </c>
      <c r="E1484" s="1504" t="s">
        <v>939</v>
      </c>
      <c r="F1484" s="485" t="s">
        <v>940</v>
      </c>
      <c r="G1484" s="486"/>
      <c r="H1484" s="485" t="s">
        <v>941</v>
      </c>
      <c r="I1484" s="486"/>
      <c r="J1484" s="487" t="s">
        <v>942</v>
      </c>
      <c r="K1484" s="471"/>
    </row>
    <row r="1485" spans="1:11">
      <c r="A1485" s="463"/>
      <c r="B1485" s="1500"/>
      <c r="C1485" s="1501"/>
      <c r="D1485" s="1503"/>
      <c r="E1485" s="1505"/>
      <c r="F1485" s="488" t="s">
        <v>943</v>
      </c>
      <c r="G1485" s="488" t="s">
        <v>944</v>
      </c>
      <c r="H1485" s="488" t="s">
        <v>943</v>
      </c>
      <c r="I1485" s="489" t="s">
        <v>944</v>
      </c>
      <c r="J1485" s="490" t="s">
        <v>945</v>
      </c>
      <c r="K1485" s="471"/>
    </row>
    <row r="1486" spans="1:11">
      <c r="A1486" s="463"/>
      <c r="B1486" s="499" t="s">
        <v>631</v>
      </c>
      <c r="C1486" s="500"/>
      <c r="D1486" s="501"/>
      <c r="E1486" s="875">
        <v>1</v>
      </c>
      <c r="F1486" s="502">
        <v>1</v>
      </c>
      <c r="G1486" s="502">
        <f>1-F1486</f>
        <v>0</v>
      </c>
      <c r="H1486" s="503">
        <f>VLOOKUP(B1486,EQUIPAMENTOS!$A:$J,10,FALSE)</f>
        <v>175</v>
      </c>
      <c r="I1486" s="504">
        <f>H1486</f>
        <v>175</v>
      </c>
      <c r="J1486" s="505">
        <f>H1486*F1486*E1486+I1486*G1486*E1486</f>
        <v>175</v>
      </c>
      <c r="K1486" s="471"/>
    </row>
    <row r="1487" spans="1:11">
      <c r="A1487" s="463"/>
      <c r="B1487" s="499" t="s">
        <v>1157</v>
      </c>
      <c r="C1487" s="500"/>
      <c r="D1487" s="501"/>
      <c r="E1487" s="502">
        <v>4</v>
      </c>
      <c r="F1487" s="502">
        <v>1</v>
      </c>
      <c r="G1487" s="502">
        <f>1-F1487</f>
        <v>0</v>
      </c>
      <c r="H1487" s="503">
        <f>VLOOKUP(B1487,EQUIPAMENTOS!$A:$J,10,FALSE)</f>
        <v>125</v>
      </c>
      <c r="I1487" s="504">
        <f>H1487</f>
        <v>125</v>
      </c>
      <c r="J1487" s="505">
        <f>H1487*F1487*E1487+I1487*G1487*E1487</f>
        <v>500</v>
      </c>
      <c r="K1487" s="471"/>
    </row>
    <row r="1488" spans="1:11">
      <c r="A1488" s="463"/>
      <c r="B1488" s="499"/>
      <c r="C1488" s="500"/>
      <c r="D1488" s="501"/>
      <c r="E1488" s="502"/>
      <c r="F1488" s="502"/>
      <c r="G1488" s="502"/>
      <c r="H1488" s="503"/>
      <c r="I1488" s="504"/>
      <c r="J1488" s="505"/>
      <c r="K1488" s="471"/>
    </row>
    <row r="1489" spans="1:12">
      <c r="A1489" s="463"/>
      <c r="B1489" s="506"/>
      <c r="C1489" s="507"/>
      <c r="D1489" s="508"/>
      <c r="E1489" s="509"/>
      <c r="F1489" s="509"/>
      <c r="G1489" s="509"/>
      <c r="H1489" s="510"/>
      <c r="I1489" s="511"/>
      <c r="J1489" s="505">
        <f>H1489*F1489*E1489+I1489*G1489*E1489</f>
        <v>0</v>
      </c>
      <c r="K1489" s="471"/>
    </row>
    <row r="1490" spans="1:12">
      <c r="A1490" s="463"/>
      <c r="B1490" s="512" t="s">
        <v>946</v>
      </c>
      <c r="C1490" s="482"/>
      <c r="D1490" s="482"/>
      <c r="E1490" s="482"/>
      <c r="F1490" s="482"/>
      <c r="G1490" s="482"/>
      <c r="H1490" s="482"/>
      <c r="I1490" s="513" t="s">
        <v>175</v>
      </c>
      <c r="J1490" s="514">
        <f>SUM(J1486:J1489)</f>
        <v>675</v>
      </c>
      <c r="K1490" s="471"/>
    </row>
    <row r="1491" spans="1:12" ht="20.399999999999999" customHeight="1">
      <c r="A1491" s="463"/>
      <c r="B1491" s="515"/>
      <c r="C1491" s="515"/>
      <c r="D1491" s="515"/>
      <c r="E1491" s="515"/>
      <c r="F1491" s="515"/>
      <c r="G1491" s="515"/>
      <c r="H1491" s="515"/>
      <c r="I1491" s="516"/>
      <c r="J1491" s="517"/>
      <c r="K1491" s="471"/>
    </row>
    <row r="1492" spans="1:12" ht="20.399999999999999">
      <c r="A1492" s="463"/>
      <c r="B1492" s="1490" t="s">
        <v>947</v>
      </c>
      <c r="C1492" s="1491"/>
      <c r="D1492" s="1491"/>
      <c r="E1492" s="1492"/>
      <c r="F1492" s="725" t="s">
        <v>688</v>
      </c>
      <c r="G1492" s="853"/>
      <c r="H1492" s="520" t="s">
        <v>427</v>
      </c>
      <c r="I1492" s="521" t="s">
        <v>948</v>
      </c>
      <c r="J1492" s="522" t="s">
        <v>949</v>
      </c>
      <c r="K1492" s="471"/>
    </row>
    <row r="1493" spans="1:12">
      <c r="A1493" s="463"/>
      <c r="B1493" s="523" t="s">
        <v>950</v>
      </c>
      <c r="C1493" s="524"/>
      <c r="D1493" s="525"/>
      <c r="E1493" s="526"/>
      <c r="F1493" s="527"/>
      <c r="G1493" s="528"/>
      <c r="H1493" s="529">
        <f>E1487</f>
        <v>4</v>
      </c>
      <c r="I1493" s="534">
        <f>(VLOOKUP(B1493,'MÃO DE OBRA'!$A:$E,5,FALSE)/220)</f>
        <v>26.714454545454547</v>
      </c>
      <c r="J1493" s="505">
        <f>H1493*I1493</f>
        <v>106.85781818181819</v>
      </c>
      <c r="K1493" s="471"/>
    </row>
    <row r="1494" spans="1:12">
      <c r="A1494" s="463"/>
      <c r="B1494" s="530" t="s">
        <v>472</v>
      </c>
      <c r="C1494" s="531"/>
      <c r="D1494" s="472"/>
      <c r="E1494" s="500"/>
      <c r="F1494" s="501"/>
      <c r="G1494" s="532"/>
      <c r="H1494" s="533">
        <v>1</v>
      </c>
      <c r="I1494" s="534">
        <f>(VLOOKUP(B1494,'MÃO DE OBRA'!$A:$E,5,FALSE)/220)</f>
        <v>18.377072727272729</v>
      </c>
      <c r="J1494" s="505">
        <f>H1494*I1494</f>
        <v>18.377072727272729</v>
      </c>
      <c r="K1494" s="471"/>
    </row>
    <row r="1495" spans="1:12">
      <c r="A1495" s="463"/>
      <c r="B1495" s="530" t="s">
        <v>556</v>
      </c>
      <c r="C1495" s="531"/>
      <c r="D1495" s="472"/>
      <c r="E1495" s="500"/>
      <c r="F1495" s="501"/>
      <c r="G1495" s="532"/>
      <c r="H1495" s="533">
        <f>E1486</f>
        <v>1</v>
      </c>
      <c r="I1495" s="534">
        <f>(VLOOKUP(B1495,'MÃO DE OBRA'!$A:$E,5,FALSE)/220)</f>
        <v>35.988199999999999</v>
      </c>
      <c r="J1495" s="505">
        <f>H1495*I1495</f>
        <v>35.988199999999999</v>
      </c>
      <c r="K1495" s="471"/>
    </row>
    <row r="1496" spans="1:12">
      <c r="A1496" s="463"/>
      <c r="B1496" s="512" t="s">
        <v>946</v>
      </c>
      <c r="C1496" s="515"/>
      <c r="D1496" s="515"/>
      <c r="E1496" s="515"/>
      <c r="F1496" s="515"/>
      <c r="G1496" s="515"/>
      <c r="H1496" s="515"/>
      <c r="I1496" s="535" t="s">
        <v>175</v>
      </c>
      <c r="J1496" s="514">
        <f>SUM(J1493:J1495)</f>
        <v>161.22309090909093</v>
      </c>
      <c r="K1496" s="471"/>
    </row>
    <row r="1497" spans="1:12">
      <c r="A1497" s="463"/>
      <c r="B1497" s="536"/>
      <c r="C1497" s="536"/>
      <c r="D1497" s="536"/>
      <c r="E1497" s="536"/>
      <c r="F1497" s="536"/>
      <c r="G1497" s="536"/>
      <c r="H1497" s="536"/>
      <c r="I1497" s="537"/>
      <c r="J1497" s="536"/>
      <c r="K1497" s="471"/>
    </row>
    <row r="1498" spans="1:12">
      <c r="A1498" s="463"/>
      <c r="B1498" s="538" t="s">
        <v>952</v>
      </c>
      <c r="C1498" s="539"/>
      <c r="D1498" s="536"/>
      <c r="E1498" s="540">
        <v>38.082888826252287</v>
      </c>
      <c r="F1498" s="541" t="s">
        <v>931</v>
      </c>
      <c r="G1498" s="519"/>
      <c r="H1498" s="519"/>
      <c r="I1498" s="542" t="s">
        <v>953</v>
      </c>
      <c r="J1498" s="514">
        <f>J1490+J1496</f>
        <v>836.22309090909096</v>
      </c>
      <c r="K1498" s="471"/>
    </row>
    <row r="1499" spans="1:12">
      <c r="A1499" s="463"/>
      <c r="B1499" s="543"/>
      <c r="C1499" s="536"/>
      <c r="D1499" s="536"/>
      <c r="E1499" s="544"/>
      <c r="F1499" s="545"/>
      <c r="G1499" s="545"/>
      <c r="H1499" s="545"/>
      <c r="I1499" s="537"/>
      <c r="J1499" s="536"/>
      <c r="K1499" s="471"/>
    </row>
    <row r="1500" spans="1:12" ht="20.399999999999999">
      <c r="A1500" s="463"/>
      <c r="B1500" s="1493" t="s">
        <v>362</v>
      </c>
      <c r="C1500" s="1494"/>
      <c r="D1500" s="1494"/>
      <c r="E1500" s="1495"/>
      <c r="F1500" s="546" t="s">
        <v>688</v>
      </c>
      <c r="G1500" s="547" t="s">
        <v>371</v>
      </c>
      <c r="H1500" s="520" t="s">
        <v>942</v>
      </c>
      <c r="I1500" s="548" t="s">
        <v>361</v>
      </c>
      <c r="J1500" s="549" t="s">
        <v>363</v>
      </c>
      <c r="K1500" s="471"/>
    </row>
    <row r="1501" spans="1:12">
      <c r="A1501" s="463"/>
      <c r="B1501" s="557" t="str">
        <f>B1486</f>
        <v>Escavadeira hidráulica sobre esteira 22T</v>
      </c>
      <c r="C1501" s="531"/>
      <c r="D1501" s="531"/>
      <c r="E1501" s="500"/>
      <c r="F1501" s="553" t="str">
        <f>VLOOKUP(B1501,EQUIPAMENTOS!$A:$N,12,FALSE)</f>
        <v>Diesel S10</v>
      </c>
      <c r="G1501" s="554" t="s">
        <v>415</v>
      </c>
      <c r="H1501" s="560">
        <f>VLOOKUP(B1501,EQUIPAMENTOS!$A:$N,13,FALSE)</f>
        <v>0</v>
      </c>
      <c r="I1501" s="556">
        <f>VLOOKUP(B1501,EQUIPAMENTOS!$A:$N,14,FALSE)</f>
        <v>22</v>
      </c>
      <c r="J1501" s="505">
        <f>H1501*I1501*E1486*F1486</f>
        <v>0</v>
      </c>
      <c r="K1501" s="471"/>
    </row>
    <row r="1502" spans="1:12">
      <c r="A1502" s="463"/>
      <c r="B1502" s="557" t="str">
        <f>B1487</f>
        <v>Caminhão basculante 14 m³</v>
      </c>
      <c r="C1502" s="539"/>
      <c r="D1502" s="539"/>
      <c r="E1502" s="507"/>
      <c r="F1502" s="553" t="str">
        <f>VLOOKUP(B1502,EQUIPAMENTOS!$A:$N,12,FALSE)</f>
        <v>Diesel S10</v>
      </c>
      <c r="G1502" s="736" t="s">
        <v>415</v>
      </c>
      <c r="H1502" s="560">
        <f>VLOOKUP(B1502,EQUIPAMENTOS!$A:$N,13,FALSE)</f>
        <v>0</v>
      </c>
      <c r="I1502" s="556">
        <f>VLOOKUP(B1502,EQUIPAMENTOS!$A:$N,14,FALSE)</f>
        <v>2.5</v>
      </c>
      <c r="J1502" s="505">
        <f>H1502*I1502*E1487*F1487</f>
        <v>0</v>
      </c>
      <c r="K1502" s="471"/>
      <c r="L1502" s="6" t="e">
        <f>J1502/E1497</f>
        <v>#DIV/0!</v>
      </c>
    </row>
    <row r="1503" spans="1:12">
      <c r="A1503" s="463"/>
      <c r="B1503" s="563" t="s">
        <v>946</v>
      </c>
      <c r="C1503" s="539"/>
      <c r="D1503" s="539"/>
      <c r="E1503" s="539"/>
      <c r="F1503" s="536"/>
      <c r="G1503" s="539"/>
      <c r="H1503" s="564"/>
      <c r="I1503" s="565" t="s">
        <v>175</v>
      </c>
      <c r="J1503" s="514">
        <f>SUM(J1501:J1502)</f>
        <v>0</v>
      </c>
      <c r="K1503" s="471"/>
    </row>
    <row r="1504" spans="1:12">
      <c r="A1504" s="463"/>
      <c r="B1504" s="566"/>
      <c r="C1504" s="539"/>
      <c r="D1504" s="539"/>
      <c r="E1504" s="567"/>
      <c r="F1504" s="568"/>
      <c r="G1504" s="519"/>
      <c r="H1504" s="519"/>
      <c r="I1504" s="542"/>
      <c r="J1504" s="567"/>
      <c r="K1504" s="471"/>
    </row>
    <row r="1505" spans="1:12" ht="20.399999999999999">
      <c r="A1505" s="463"/>
      <c r="B1505" s="1493" t="s">
        <v>955</v>
      </c>
      <c r="C1505" s="1494"/>
      <c r="D1505" s="1494"/>
      <c r="E1505" s="1494"/>
      <c r="F1505" s="1495"/>
      <c r="G1505" s="569" t="s">
        <v>372</v>
      </c>
      <c r="H1505" s="519" t="s">
        <v>956</v>
      </c>
      <c r="I1505" s="570" t="s">
        <v>942</v>
      </c>
      <c r="J1505" s="522" t="s">
        <v>363</v>
      </c>
      <c r="K1505" s="471"/>
    </row>
    <row r="1506" spans="1:12">
      <c r="A1506" s="463"/>
      <c r="B1506" s="571"/>
      <c r="C1506" s="572"/>
      <c r="D1506" s="573"/>
      <c r="E1506" s="573"/>
      <c r="F1506" s="574"/>
      <c r="G1506" s="502"/>
      <c r="H1506" s="502"/>
      <c r="I1506" s="575"/>
      <c r="J1506" s="505"/>
      <c r="K1506" s="471"/>
    </row>
    <row r="1507" spans="1:12">
      <c r="A1507" s="463"/>
      <c r="B1507" s="576"/>
      <c r="C1507" s="577"/>
      <c r="D1507" s="578"/>
      <c r="E1507" s="578"/>
      <c r="F1507" s="579"/>
      <c r="G1507" s="502"/>
      <c r="H1507" s="502"/>
      <c r="I1507" s="575"/>
      <c r="J1507" s="505"/>
      <c r="K1507" s="471"/>
    </row>
    <row r="1508" spans="1:12">
      <c r="A1508" s="463"/>
      <c r="B1508" s="1496" t="s">
        <v>175</v>
      </c>
      <c r="C1508" s="1496"/>
      <c r="D1508" s="1496"/>
      <c r="E1508" s="1496"/>
      <c r="F1508" s="1496"/>
      <c r="G1508" s="1496"/>
      <c r="H1508" s="1496"/>
      <c r="I1508" s="1496"/>
      <c r="J1508" s="514">
        <f>SUM(J1506:J1507)</f>
        <v>0</v>
      </c>
      <c r="K1508" s="471"/>
    </row>
    <row r="1509" spans="1:12">
      <c r="A1509" s="463"/>
      <c r="B1509" s="580"/>
      <c r="C1509" s="524"/>
      <c r="D1509" s="524"/>
      <c r="E1509" s="581"/>
      <c r="F1509" s="582"/>
      <c r="G1509" s="583"/>
      <c r="H1509" s="583"/>
      <c r="I1509" s="584"/>
      <c r="J1509" s="585"/>
      <c r="K1509" s="471"/>
    </row>
    <row r="1510" spans="1:12">
      <c r="A1510" s="463"/>
      <c r="B1510" s="586" t="s">
        <v>957</v>
      </c>
      <c r="C1510" s="586"/>
      <c r="D1510" s="563"/>
      <c r="E1510" s="536"/>
      <c r="F1510" s="536"/>
      <c r="G1510" s="536"/>
      <c r="H1510" s="587"/>
      <c r="I1510" s="588"/>
      <c r="J1510" s="514">
        <f>(J1498+J1503+J1508)/E1498</f>
        <v>21.957974215775458</v>
      </c>
      <c r="K1510" s="471"/>
      <c r="L1510">
        <v>21.957975812445106</v>
      </c>
    </row>
    <row r="1511" spans="1:12">
      <c r="A1511" s="463"/>
      <c r="B1511" s="566"/>
      <c r="C1511" s="539"/>
      <c r="D1511" s="539"/>
      <c r="E1511" s="567"/>
      <c r="F1511" s="568"/>
      <c r="G1511" s="519"/>
      <c r="H1511" s="519"/>
      <c r="I1511" s="542"/>
      <c r="J1511" s="589"/>
      <c r="K1511" s="471"/>
    </row>
    <row r="1512" spans="1:12" ht="20.399999999999999">
      <c r="A1512" s="463"/>
      <c r="B1512" s="1493" t="s">
        <v>958</v>
      </c>
      <c r="C1512" s="1494"/>
      <c r="D1512" s="1494"/>
      <c r="E1512" s="1494"/>
      <c r="F1512" s="1495"/>
      <c r="G1512" s="569" t="s">
        <v>372</v>
      </c>
      <c r="H1512" s="519" t="s">
        <v>956</v>
      </c>
      <c r="I1512" s="570" t="s">
        <v>942</v>
      </c>
      <c r="J1512" s="522" t="s">
        <v>363</v>
      </c>
      <c r="K1512" s="471"/>
    </row>
    <row r="1513" spans="1:12">
      <c r="A1513" s="463"/>
      <c r="B1513" s="571"/>
      <c r="C1513" s="572"/>
      <c r="D1513" s="573"/>
      <c r="E1513" s="573"/>
      <c r="F1513" s="574"/>
      <c r="G1513" s="502"/>
      <c r="H1513" s="502"/>
      <c r="I1513" s="575"/>
      <c r="J1513" s="505">
        <f>G1513*I1513</f>
        <v>0</v>
      </c>
      <c r="K1513" s="471"/>
    </row>
    <row r="1514" spans="1:12">
      <c r="A1514" s="463"/>
      <c r="B1514" s="576"/>
      <c r="C1514" s="577"/>
      <c r="D1514" s="578"/>
      <c r="E1514" s="578"/>
      <c r="F1514" s="579"/>
      <c r="G1514" s="502"/>
      <c r="H1514" s="502"/>
      <c r="I1514" s="575"/>
      <c r="J1514" s="505">
        <f>G1514*I1514</f>
        <v>0</v>
      </c>
      <c r="K1514" s="471"/>
    </row>
    <row r="1515" spans="1:12">
      <c r="A1515" s="463"/>
      <c r="B1515" s="576"/>
      <c r="C1515" s="577"/>
      <c r="D1515" s="578"/>
      <c r="E1515" s="578"/>
      <c r="F1515" s="579"/>
      <c r="G1515" s="502"/>
      <c r="H1515" s="502"/>
      <c r="I1515" s="575"/>
      <c r="J1515" s="505">
        <f>G1515*I1515</f>
        <v>0</v>
      </c>
      <c r="K1515" s="471"/>
    </row>
    <row r="1516" spans="1:12">
      <c r="A1516" s="463"/>
      <c r="B1516" s="590"/>
      <c r="C1516" s="591"/>
      <c r="D1516" s="592"/>
      <c r="E1516" s="592"/>
      <c r="F1516" s="593"/>
      <c r="G1516" s="502"/>
      <c r="H1516" s="502"/>
      <c r="I1516" s="575"/>
      <c r="J1516" s="505">
        <f>G1516*I1516</f>
        <v>0</v>
      </c>
      <c r="K1516" s="471"/>
    </row>
    <row r="1517" spans="1:12">
      <c r="A1517" s="463"/>
      <c r="B1517" s="594"/>
      <c r="C1517" s="536"/>
      <c r="D1517" s="536"/>
      <c r="E1517" s="595"/>
      <c r="F1517" s="596"/>
      <c r="G1517" s="545"/>
      <c r="H1517" s="545"/>
      <c r="I1517" s="537" t="s">
        <v>175</v>
      </c>
      <c r="J1517" s="514">
        <f>SUM(J1513:J1516)</f>
        <v>0</v>
      </c>
      <c r="K1517" s="471"/>
    </row>
    <row r="1518" spans="1:12">
      <c r="A1518" s="463"/>
      <c r="B1518" s="597"/>
      <c r="C1518" s="536"/>
      <c r="D1518" s="536"/>
      <c r="E1518" s="595"/>
      <c r="F1518" s="596"/>
      <c r="G1518" s="545"/>
      <c r="H1518" s="545"/>
      <c r="I1518" s="537"/>
      <c r="J1518" s="595"/>
      <c r="K1518" s="471"/>
    </row>
    <row r="1519" spans="1:12" ht="20.399999999999999">
      <c r="A1519" s="463"/>
      <c r="B1519" s="598" t="s">
        <v>959</v>
      </c>
      <c r="C1519" s="598"/>
      <c r="D1519" s="598"/>
      <c r="E1519" s="599"/>
      <c r="F1519" s="600" t="s">
        <v>372</v>
      </c>
      <c r="G1519" s="569" t="s">
        <v>960</v>
      </c>
      <c r="H1519" s="519" t="s">
        <v>942</v>
      </c>
      <c r="I1519" s="570" t="s">
        <v>361</v>
      </c>
      <c r="J1519" s="522" t="s">
        <v>363</v>
      </c>
      <c r="K1519" s="471"/>
    </row>
    <row r="1520" spans="1:12">
      <c r="A1520" s="463"/>
      <c r="B1520" s="571"/>
      <c r="C1520" s="572"/>
      <c r="D1520" s="573"/>
      <c r="E1520" s="574"/>
      <c r="F1520" s="502"/>
      <c r="G1520" s="502"/>
      <c r="H1520" s="624"/>
      <c r="I1520" s="575"/>
      <c r="J1520" s="505"/>
      <c r="K1520" s="471"/>
    </row>
    <row r="1521" spans="1:11">
      <c r="A1521" s="463"/>
      <c r="B1521" s="590" t="s">
        <v>946</v>
      </c>
      <c r="C1521" s="591"/>
      <c r="D1521" s="592"/>
      <c r="E1521" s="593" t="s">
        <v>946</v>
      </c>
      <c r="F1521" s="509">
        <v>0</v>
      </c>
      <c r="G1521" s="509">
        <v>0</v>
      </c>
      <c r="H1521" s="509">
        <v>0</v>
      </c>
      <c r="I1521" s="601">
        <v>0</v>
      </c>
      <c r="J1521" s="505">
        <f>I1521*H1521*G1521*F1521</f>
        <v>0</v>
      </c>
      <c r="K1521" s="471"/>
    </row>
    <row r="1522" spans="1:11">
      <c r="A1522" s="463"/>
      <c r="B1522" s="594"/>
      <c r="C1522" s="536"/>
      <c r="D1522" s="536"/>
      <c r="E1522" s="595"/>
      <c r="F1522" s="596"/>
      <c r="G1522" s="545"/>
      <c r="H1522" s="545"/>
      <c r="I1522" s="537" t="s">
        <v>175</v>
      </c>
      <c r="J1522" s="514">
        <f>SUM(J1520:J1521)</f>
        <v>0</v>
      </c>
      <c r="K1522" s="471"/>
    </row>
    <row r="1523" spans="1:11">
      <c r="A1523" s="463"/>
      <c r="B1523" s="536"/>
      <c r="C1523" s="536"/>
      <c r="D1523" s="536"/>
      <c r="E1523" s="536"/>
      <c r="F1523" s="536"/>
      <c r="G1523" s="536"/>
      <c r="H1523" s="536"/>
      <c r="I1523" s="537"/>
      <c r="J1523" s="536"/>
      <c r="K1523" s="471"/>
    </row>
    <row r="1524" spans="1:11">
      <c r="A1524" s="463"/>
      <c r="B1524" s="1481" t="s">
        <v>963</v>
      </c>
      <c r="C1524" s="1482"/>
      <c r="D1524" s="1482"/>
      <c r="E1524" s="1482"/>
      <c r="F1524" s="1482"/>
      <c r="G1524" s="1482"/>
      <c r="H1524" s="1482"/>
      <c r="I1524" s="1483"/>
      <c r="J1524" s="586">
        <v>21.957974215775458</v>
      </c>
      <c r="K1524" s="471"/>
    </row>
    <row r="1525" spans="1:11">
      <c r="A1525" s="463"/>
      <c r="B1525" s="524"/>
      <c r="C1525" s="524"/>
      <c r="D1525" s="524"/>
      <c r="E1525" s="524"/>
      <c r="F1525" s="524"/>
      <c r="G1525" s="524"/>
      <c r="H1525" s="524"/>
      <c r="I1525" s="584"/>
      <c r="J1525" s="524"/>
      <c r="K1525" s="471"/>
    </row>
    <row r="1526" spans="1:11">
      <c r="A1526" s="463"/>
      <c r="B1526" s="602"/>
      <c r="C1526" s="572"/>
      <c r="D1526" s="572"/>
      <c r="E1526" s="572"/>
      <c r="F1526" s="572"/>
      <c r="G1526" s="572"/>
      <c r="H1526" s="572"/>
      <c r="I1526" s="572"/>
      <c r="J1526" s="603"/>
      <c r="K1526" s="471"/>
    </row>
    <row r="1527" spans="1:11">
      <c r="A1527" s="463"/>
      <c r="B1527" s="604"/>
      <c r="C1527" s="605"/>
      <c r="D1527" s="606"/>
      <c r="E1527" s="606"/>
      <c r="F1527" s="607" t="s">
        <v>946</v>
      </c>
      <c r="G1527" s="608" t="s">
        <v>946</v>
      </c>
      <c r="H1527" s="605"/>
      <c r="I1527" s="605"/>
      <c r="J1527" s="609"/>
      <c r="K1527" s="471"/>
    </row>
    <row r="1528" spans="1:11">
      <c r="A1528" s="463"/>
      <c r="B1528" s="472"/>
      <c r="C1528" s="472"/>
      <c r="D1528" s="472"/>
      <c r="E1528" s="472"/>
      <c r="F1528" s="472"/>
      <c r="G1528" s="472"/>
      <c r="H1528" s="472"/>
      <c r="I1528" s="472"/>
      <c r="J1528" s="472"/>
      <c r="K1528" s="471"/>
    </row>
    <row r="1529" spans="1:11">
      <c r="A1529" s="463"/>
      <c r="B1529" s="610" t="str">
        <f>PLANEJAMENTO!F2</f>
        <v>OPERAÇÃO DE SUPRESSÃO E SUMP</v>
      </c>
      <c r="C1529" s="611"/>
      <c r="D1529" s="611"/>
      <c r="E1529" s="611"/>
      <c r="F1529" s="612"/>
      <c r="G1529" s="613" t="s">
        <v>363</v>
      </c>
      <c r="H1529" s="515"/>
      <c r="I1529" s="515"/>
      <c r="J1529" s="518"/>
      <c r="K1529" s="471"/>
    </row>
    <row r="1530" spans="1:11">
      <c r="A1530" s="463"/>
      <c r="B1530" s="956" t="str">
        <f>PLANEJAMENTO!F3</f>
        <v>MARA ROSA</v>
      </c>
      <c r="C1530" s="957"/>
      <c r="D1530" s="957"/>
      <c r="E1530" s="957"/>
      <c r="F1530" s="958"/>
      <c r="G1530" s="1484" t="s">
        <v>964</v>
      </c>
      <c r="H1530" s="1485"/>
      <c r="I1530" s="1485"/>
      <c r="J1530" s="1486"/>
      <c r="K1530" s="471"/>
    </row>
    <row r="1531" spans="1:11">
      <c r="A1531" s="463"/>
      <c r="B1531" s="1015"/>
      <c r="C1531" s="587"/>
      <c r="D1531" s="587"/>
      <c r="E1531" s="587"/>
      <c r="F1531" s="587"/>
      <c r="G1531" s="1014"/>
      <c r="H1531" s="1014"/>
      <c r="I1531" s="1014"/>
      <c r="J1531" s="1016"/>
      <c r="K1531" s="471"/>
    </row>
    <row r="1532" spans="1:11" ht="15" thickBot="1">
      <c r="A1532" s="621"/>
      <c r="B1532" s="622"/>
      <c r="C1532" s="622"/>
      <c r="D1532" s="622"/>
      <c r="E1532" s="622"/>
      <c r="F1532" s="622"/>
      <c r="G1532" s="622"/>
      <c r="H1532" s="622"/>
      <c r="I1532" s="622"/>
      <c r="J1532" s="622"/>
      <c r="K1532" s="623"/>
    </row>
    <row r="1533" spans="1:11">
      <c r="A1533" s="460"/>
      <c r="B1533" s="461"/>
      <c r="C1533" s="461"/>
      <c r="D1533" s="461"/>
      <c r="E1533" s="461"/>
      <c r="F1533" s="461"/>
      <c r="G1533" s="461"/>
      <c r="H1533" s="461"/>
      <c r="I1533" s="461"/>
      <c r="J1533" s="461"/>
      <c r="K1533" s="462"/>
    </row>
    <row r="1534" spans="1:11">
      <c r="A1534" s="463"/>
      <c r="B1534" s="464" t="s">
        <v>178</v>
      </c>
      <c r="C1534" s="465"/>
      <c r="D1534" s="466" t="s">
        <v>936</v>
      </c>
      <c r="E1534" s="467"/>
      <c r="F1534" s="468"/>
      <c r="G1534" s="468"/>
      <c r="H1534" s="469"/>
      <c r="I1534" s="469"/>
      <c r="J1534" s="470"/>
      <c r="K1534" s="471"/>
    </row>
    <row r="1535" spans="1:11">
      <c r="A1535" s="463"/>
      <c r="B1535" s="472"/>
      <c r="C1535" s="472"/>
      <c r="D1535" s="472"/>
      <c r="E1535" s="472"/>
      <c r="F1535" s="472"/>
      <c r="G1535" s="472"/>
      <c r="H1535" s="472"/>
      <c r="I1535" s="472"/>
      <c r="J1535" s="472"/>
      <c r="K1535" s="471"/>
    </row>
    <row r="1536" spans="1:11">
      <c r="A1536" s="463"/>
      <c r="B1536" s="473" t="s">
        <v>688</v>
      </c>
      <c r="C1536" s="474" t="s">
        <v>937</v>
      </c>
      <c r="D1536" s="1497" t="s">
        <v>250</v>
      </c>
      <c r="E1536" s="1498"/>
      <c r="F1536" s="1498"/>
      <c r="G1536" s="1498"/>
      <c r="H1536" s="1498"/>
      <c r="I1536" s="1499"/>
      <c r="J1536" s="475" t="s">
        <v>267</v>
      </c>
      <c r="K1536" s="471"/>
    </row>
    <row r="1537" spans="1:11" ht="25.2" customHeight="1">
      <c r="A1537" s="463"/>
      <c r="B1537" s="476" t="s">
        <v>3</v>
      </c>
      <c r="C1537" s="477">
        <f ca="1">PLANEJAMENTO!F4</f>
        <v>46140</v>
      </c>
      <c r="D1537" s="681" t="s">
        <v>1481</v>
      </c>
      <c r="E1537" s="479"/>
      <c r="F1537" s="479"/>
      <c r="G1537" s="479"/>
      <c r="H1537" s="479"/>
      <c r="I1537" s="480"/>
      <c r="J1537" s="481" t="str">
        <f>F1553</f>
        <v>m3</v>
      </c>
      <c r="K1537" s="471"/>
    </row>
    <row r="1538" spans="1:11">
      <c r="A1538" s="463"/>
      <c r="B1538" s="482"/>
      <c r="C1538" s="482"/>
      <c r="D1538" s="482"/>
      <c r="E1538" s="482"/>
      <c r="F1538" s="482"/>
      <c r="G1538" s="482"/>
      <c r="H1538" s="482"/>
      <c r="I1538" s="483"/>
      <c r="J1538" s="484"/>
      <c r="K1538" s="471"/>
    </row>
    <row r="1539" spans="1:11">
      <c r="A1539" s="463"/>
      <c r="B1539" s="1484" t="s">
        <v>938</v>
      </c>
      <c r="C1539" s="1486"/>
      <c r="D1539" s="1502" t="s">
        <v>688</v>
      </c>
      <c r="E1539" s="1504" t="s">
        <v>939</v>
      </c>
      <c r="F1539" s="485" t="s">
        <v>940</v>
      </c>
      <c r="G1539" s="486"/>
      <c r="H1539" s="485" t="s">
        <v>941</v>
      </c>
      <c r="I1539" s="486"/>
      <c r="J1539" s="487" t="s">
        <v>942</v>
      </c>
      <c r="K1539" s="471"/>
    </row>
    <row r="1540" spans="1:11">
      <c r="A1540" s="463"/>
      <c r="B1540" s="1500"/>
      <c r="C1540" s="1501"/>
      <c r="D1540" s="1503"/>
      <c r="E1540" s="1505"/>
      <c r="F1540" s="488" t="s">
        <v>943</v>
      </c>
      <c r="G1540" s="488" t="s">
        <v>944</v>
      </c>
      <c r="H1540" s="488" t="s">
        <v>943</v>
      </c>
      <c r="I1540" s="489" t="s">
        <v>944</v>
      </c>
      <c r="J1540" s="490" t="s">
        <v>945</v>
      </c>
      <c r="K1540" s="471"/>
    </row>
    <row r="1541" spans="1:11">
      <c r="A1541" s="463"/>
      <c r="B1541" s="499" t="s">
        <v>631</v>
      </c>
      <c r="C1541" s="500"/>
      <c r="D1541" s="501"/>
      <c r="E1541" s="875">
        <v>1</v>
      </c>
      <c r="F1541" s="502">
        <v>1</v>
      </c>
      <c r="G1541" s="502">
        <f>1-F1541</f>
        <v>0</v>
      </c>
      <c r="H1541" s="503">
        <f>VLOOKUP(B1541,EQUIPAMENTOS!$A:$J,10,FALSE)</f>
        <v>175</v>
      </c>
      <c r="I1541" s="504">
        <f>H1541</f>
        <v>175</v>
      </c>
      <c r="J1541" s="505">
        <f>H1541*F1541*E1541+I1541*G1541*E1541</f>
        <v>175</v>
      </c>
      <c r="K1541" s="471"/>
    </row>
    <row r="1542" spans="1:11">
      <c r="A1542" s="463"/>
      <c r="B1542" s="499" t="s">
        <v>1157</v>
      </c>
      <c r="C1542" s="500"/>
      <c r="D1542" s="501"/>
      <c r="E1542" s="502">
        <v>5</v>
      </c>
      <c r="F1542" s="502">
        <v>1</v>
      </c>
      <c r="G1542" s="502">
        <f>1-F1542</f>
        <v>0</v>
      </c>
      <c r="H1542" s="503">
        <f>VLOOKUP(B1542,EQUIPAMENTOS!$A:$J,10,FALSE)</f>
        <v>125</v>
      </c>
      <c r="I1542" s="504">
        <f>H1542</f>
        <v>125</v>
      </c>
      <c r="J1542" s="505">
        <f>H1542*F1542*E1542+I1542*G1542*E1542</f>
        <v>625</v>
      </c>
      <c r="K1542" s="471"/>
    </row>
    <row r="1543" spans="1:11">
      <c r="A1543" s="463"/>
      <c r="B1543" s="499"/>
      <c r="C1543" s="500"/>
      <c r="D1543" s="501"/>
      <c r="E1543" s="502"/>
      <c r="F1543" s="502"/>
      <c r="G1543" s="502"/>
      <c r="H1543" s="503"/>
      <c r="I1543" s="504"/>
      <c r="J1543" s="505"/>
      <c r="K1543" s="471"/>
    </row>
    <row r="1544" spans="1:11">
      <c r="A1544" s="463"/>
      <c r="B1544" s="506"/>
      <c r="C1544" s="507"/>
      <c r="D1544" s="508"/>
      <c r="E1544" s="509"/>
      <c r="F1544" s="509"/>
      <c r="G1544" s="509"/>
      <c r="H1544" s="510"/>
      <c r="I1544" s="511"/>
      <c r="J1544" s="505">
        <f>H1544*F1544*E1544+I1544*G1544*E1544</f>
        <v>0</v>
      </c>
      <c r="K1544" s="471"/>
    </row>
    <row r="1545" spans="1:11">
      <c r="A1545" s="463"/>
      <c r="B1545" s="512" t="s">
        <v>946</v>
      </c>
      <c r="C1545" s="482"/>
      <c r="D1545" s="482"/>
      <c r="E1545" s="482"/>
      <c r="F1545" s="482"/>
      <c r="G1545" s="482"/>
      <c r="H1545" s="482"/>
      <c r="I1545" s="513" t="s">
        <v>175</v>
      </c>
      <c r="J1545" s="514">
        <f>SUM(J1541:J1544)</f>
        <v>800</v>
      </c>
      <c r="K1545" s="471"/>
    </row>
    <row r="1546" spans="1:11" ht="20.399999999999999" customHeight="1">
      <c r="A1546" s="463"/>
      <c r="B1546" s="515"/>
      <c r="C1546" s="515"/>
      <c r="D1546" s="515"/>
      <c r="E1546" s="515"/>
      <c r="F1546" s="515"/>
      <c r="G1546" s="515"/>
      <c r="H1546" s="515"/>
      <c r="I1546" s="516"/>
      <c r="J1546" s="517"/>
      <c r="K1546" s="471"/>
    </row>
    <row r="1547" spans="1:11" ht="20.399999999999999">
      <c r="A1547" s="463"/>
      <c r="B1547" s="1490" t="s">
        <v>947</v>
      </c>
      <c r="C1547" s="1491"/>
      <c r="D1547" s="1491"/>
      <c r="E1547" s="1492"/>
      <c r="F1547" s="725" t="s">
        <v>688</v>
      </c>
      <c r="G1547" s="853"/>
      <c r="H1547" s="520" t="s">
        <v>427</v>
      </c>
      <c r="I1547" s="521" t="s">
        <v>948</v>
      </c>
      <c r="J1547" s="522" t="s">
        <v>949</v>
      </c>
      <c r="K1547" s="471"/>
    </row>
    <row r="1548" spans="1:11">
      <c r="A1548" s="463"/>
      <c r="B1548" s="523" t="s">
        <v>950</v>
      </c>
      <c r="C1548" s="524"/>
      <c r="D1548" s="525"/>
      <c r="E1548" s="526"/>
      <c r="F1548" s="527"/>
      <c r="G1548" s="528"/>
      <c r="H1548" s="529">
        <f>E1542</f>
        <v>5</v>
      </c>
      <c r="I1548" s="534">
        <f>(VLOOKUP(B1548,'MÃO DE OBRA'!$A:$E,5,FALSE)/220)</f>
        <v>26.714454545454547</v>
      </c>
      <c r="J1548" s="505">
        <f>H1548*I1548</f>
        <v>133.57227272727275</v>
      </c>
      <c r="K1548" s="471"/>
    </row>
    <row r="1549" spans="1:11">
      <c r="A1549" s="463"/>
      <c r="B1549" s="530" t="s">
        <v>472</v>
      </c>
      <c r="C1549" s="531"/>
      <c r="D1549" s="472"/>
      <c r="E1549" s="500"/>
      <c r="F1549" s="501"/>
      <c r="G1549" s="532"/>
      <c r="H1549" s="533">
        <v>1</v>
      </c>
      <c r="I1549" s="534">
        <f>(VLOOKUP(B1549,'MÃO DE OBRA'!$A:$E,5,FALSE)/220)</f>
        <v>18.377072727272729</v>
      </c>
      <c r="J1549" s="505">
        <f>H1549*I1549</f>
        <v>18.377072727272729</v>
      </c>
      <c r="K1549" s="471"/>
    </row>
    <row r="1550" spans="1:11">
      <c r="A1550" s="463"/>
      <c r="B1550" s="530" t="s">
        <v>556</v>
      </c>
      <c r="C1550" s="531"/>
      <c r="D1550" s="472"/>
      <c r="E1550" s="500"/>
      <c r="F1550" s="501"/>
      <c r="G1550" s="532"/>
      <c r="H1550" s="533">
        <f>E1541</f>
        <v>1</v>
      </c>
      <c r="I1550" s="534">
        <f>(VLOOKUP(B1550,'MÃO DE OBRA'!$A:$E,5,FALSE)/220)</f>
        <v>35.988199999999999</v>
      </c>
      <c r="J1550" s="505">
        <f>H1550*I1550</f>
        <v>35.988199999999999</v>
      </c>
      <c r="K1550" s="471"/>
    </row>
    <row r="1551" spans="1:11">
      <c r="A1551" s="463"/>
      <c r="B1551" s="512" t="s">
        <v>946</v>
      </c>
      <c r="C1551" s="515"/>
      <c r="D1551" s="515"/>
      <c r="E1551" s="515"/>
      <c r="F1551" s="515"/>
      <c r="G1551" s="515"/>
      <c r="H1551" s="515"/>
      <c r="I1551" s="535" t="s">
        <v>175</v>
      </c>
      <c r="J1551" s="514">
        <f>SUM(J1548:J1550)</f>
        <v>187.93754545454547</v>
      </c>
      <c r="K1551" s="471"/>
    </row>
    <row r="1552" spans="1:11">
      <c r="A1552" s="463"/>
      <c r="B1552" s="536"/>
      <c r="C1552" s="536"/>
      <c r="D1552" s="536"/>
      <c r="E1552" s="536"/>
      <c r="F1552" s="536"/>
      <c r="G1552" s="536"/>
      <c r="H1552" s="536"/>
      <c r="I1552" s="537"/>
      <c r="J1552" s="536"/>
      <c r="K1552" s="471"/>
    </row>
    <row r="1553" spans="1:18">
      <c r="A1553" s="463"/>
      <c r="B1553" s="538" t="s">
        <v>952</v>
      </c>
      <c r="C1553" s="539"/>
      <c r="D1553" s="536"/>
      <c r="E1553" s="540">
        <v>40.254534560314411</v>
      </c>
      <c r="F1553" s="541" t="s">
        <v>931</v>
      </c>
      <c r="G1553" s="519"/>
      <c r="H1553" s="519"/>
      <c r="I1553" s="542" t="s">
        <v>953</v>
      </c>
      <c r="J1553" s="514">
        <f>J1545+J1551</f>
        <v>987.93754545454544</v>
      </c>
      <c r="K1553" s="471"/>
    </row>
    <row r="1554" spans="1:18">
      <c r="A1554" s="463"/>
      <c r="B1554" s="543"/>
      <c r="C1554" s="536"/>
      <c r="D1554" s="536"/>
      <c r="E1554" s="544"/>
      <c r="F1554" s="545"/>
      <c r="G1554" s="545"/>
      <c r="H1554" s="545"/>
      <c r="I1554" s="537"/>
      <c r="J1554" s="536"/>
      <c r="K1554" s="471"/>
    </row>
    <row r="1555" spans="1:18" ht="20.399999999999999">
      <c r="A1555" s="463"/>
      <c r="B1555" s="1493" t="s">
        <v>362</v>
      </c>
      <c r="C1555" s="1494"/>
      <c r="D1555" s="1494"/>
      <c r="E1555" s="1495"/>
      <c r="F1555" s="546" t="s">
        <v>688</v>
      </c>
      <c r="G1555" s="547" t="s">
        <v>371</v>
      </c>
      <c r="H1555" s="520" t="s">
        <v>942</v>
      </c>
      <c r="I1555" s="548" t="s">
        <v>361</v>
      </c>
      <c r="J1555" s="549" t="s">
        <v>363</v>
      </c>
      <c r="K1555" s="471"/>
    </row>
    <row r="1556" spans="1:18">
      <c r="A1556" s="463"/>
      <c r="B1556" s="557" t="str">
        <f>B1541</f>
        <v>Escavadeira hidráulica sobre esteira 22T</v>
      </c>
      <c r="C1556" s="531"/>
      <c r="D1556" s="531"/>
      <c r="E1556" s="500"/>
      <c r="F1556" s="553" t="str">
        <f>VLOOKUP(B1556,EQUIPAMENTOS!$A:$N,12,FALSE)</f>
        <v>Diesel S10</v>
      </c>
      <c r="G1556" s="554" t="s">
        <v>415</v>
      </c>
      <c r="H1556" s="560">
        <f>VLOOKUP(B1556,EQUIPAMENTOS!$A:$N,13,FALSE)</f>
        <v>0</v>
      </c>
      <c r="I1556" s="556">
        <f>VLOOKUP(B1556,EQUIPAMENTOS!$A:$N,14,FALSE)</f>
        <v>22</v>
      </c>
      <c r="J1556" s="505">
        <f>H1556*I1556*E1541*F1541</f>
        <v>0</v>
      </c>
      <c r="K1556" s="471"/>
    </row>
    <row r="1557" spans="1:18">
      <c r="A1557" s="463"/>
      <c r="B1557" s="557" t="str">
        <f>B1542</f>
        <v>Caminhão basculante 14 m³</v>
      </c>
      <c r="C1557" s="539"/>
      <c r="D1557" s="539"/>
      <c r="E1557" s="507"/>
      <c r="F1557" s="553" t="str">
        <f>VLOOKUP(B1557,EQUIPAMENTOS!$A:$N,12,FALSE)</f>
        <v>Diesel S10</v>
      </c>
      <c r="G1557" s="736" t="s">
        <v>415</v>
      </c>
      <c r="H1557" s="560">
        <f>VLOOKUP(B1557,EQUIPAMENTOS!$A:$N,13,FALSE)</f>
        <v>0</v>
      </c>
      <c r="I1557" s="556">
        <f>VLOOKUP(B1557,EQUIPAMENTOS!$A:$N,14,FALSE)</f>
        <v>2.5</v>
      </c>
      <c r="J1557" s="505">
        <f>H1557*I1557*E1542*F1542</f>
        <v>0</v>
      </c>
      <c r="K1557" s="471"/>
      <c r="L1557" s="6" t="e">
        <f>J1557/E1552</f>
        <v>#DIV/0!</v>
      </c>
    </row>
    <row r="1558" spans="1:18">
      <c r="A1558" s="463"/>
      <c r="B1558" s="563" t="s">
        <v>946</v>
      </c>
      <c r="C1558" s="539"/>
      <c r="D1558" s="539"/>
      <c r="E1558" s="539"/>
      <c r="F1558" s="536"/>
      <c r="G1558" s="539"/>
      <c r="H1558" s="564"/>
      <c r="I1558" s="565" t="s">
        <v>175</v>
      </c>
      <c r="J1558" s="514">
        <f>SUM(J1556:J1557)</f>
        <v>0</v>
      </c>
      <c r="K1558" s="471"/>
    </row>
    <row r="1559" spans="1:18">
      <c r="A1559" s="463"/>
      <c r="B1559" s="566"/>
      <c r="C1559" s="539"/>
      <c r="D1559" s="539"/>
      <c r="E1559" s="567"/>
      <c r="F1559" s="568"/>
      <c r="G1559" s="519"/>
      <c r="H1559" s="519"/>
      <c r="I1559" s="542"/>
      <c r="J1559" s="567"/>
      <c r="K1559" s="471"/>
    </row>
    <row r="1560" spans="1:18" ht="20.399999999999999">
      <c r="A1560" s="463"/>
      <c r="B1560" s="1493" t="s">
        <v>955</v>
      </c>
      <c r="C1560" s="1494"/>
      <c r="D1560" s="1494"/>
      <c r="E1560" s="1494"/>
      <c r="F1560" s="1495"/>
      <c r="G1560" s="569" t="s">
        <v>372</v>
      </c>
      <c r="H1560" s="519" t="s">
        <v>956</v>
      </c>
      <c r="I1560" s="570" t="s">
        <v>942</v>
      </c>
      <c r="J1560" s="522" t="s">
        <v>363</v>
      </c>
      <c r="K1560" s="471"/>
    </row>
    <row r="1561" spans="1:18">
      <c r="A1561" s="463"/>
      <c r="B1561" s="571"/>
      <c r="C1561" s="572"/>
      <c r="D1561" s="573"/>
      <c r="E1561" s="573"/>
      <c r="F1561" s="574"/>
      <c r="G1561" s="502"/>
      <c r="H1561" s="502"/>
      <c r="I1561" s="575"/>
      <c r="J1561" s="505"/>
      <c r="K1561" s="471"/>
    </row>
    <row r="1562" spans="1:18">
      <c r="A1562" s="463"/>
      <c r="B1562" s="576"/>
      <c r="C1562" s="577"/>
      <c r="D1562" s="578"/>
      <c r="E1562" s="578"/>
      <c r="F1562" s="579"/>
      <c r="G1562" s="502"/>
      <c r="H1562" s="502"/>
      <c r="I1562" s="575"/>
      <c r="J1562" s="505"/>
      <c r="K1562" s="471"/>
    </row>
    <row r="1563" spans="1:18">
      <c r="A1563" s="463"/>
      <c r="B1563" s="1496" t="s">
        <v>175</v>
      </c>
      <c r="C1563" s="1496"/>
      <c r="D1563" s="1496"/>
      <c r="E1563" s="1496"/>
      <c r="F1563" s="1496"/>
      <c r="G1563" s="1496"/>
      <c r="H1563" s="1496"/>
      <c r="I1563" s="1496"/>
      <c r="J1563" s="514">
        <f>SUM(J1561:J1562)</f>
        <v>0</v>
      </c>
      <c r="K1563" s="471"/>
    </row>
    <row r="1564" spans="1:18">
      <c r="A1564" s="463"/>
      <c r="B1564" s="580"/>
      <c r="C1564" s="524"/>
      <c r="D1564" s="524"/>
      <c r="E1564" s="581"/>
      <c r="F1564" s="582"/>
      <c r="G1564" s="583"/>
      <c r="H1564" s="583"/>
      <c r="I1564" s="584"/>
      <c r="J1564" s="585"/>
      <c r="K1564" s="471"/>
    </row>
    <row r="1565" spans="1:18">
      <c r="A1565" s="463"/>
      <c r="B1565" s="586" t="s">
        <v>957</v>
      </c>
      <c r="C1565" s="586"/>
      <c r="D1565" s="563"/>
      <c r="E1565" s="536"/>
      <c r="F1565" s="536"/>
      <c r="G1565" s="536"/>
      <c r="H1565" s="587"/>
      <c r="I1565" s="588"/>
      <c r="J1565" s="514">
        <f>(J1553+J1558+J1563)/E1553</f>
        <v>24.54226725623403</v>
      </c>
      <c r="K1565" s="471"/>
      <c r="L1565">
        <v>24.54226065806364</v>
      </c>
    </row>
    <row r="1566" spans="1:18">
      <c r="A1566" s="463"/>
      <c r="B1566" s="566"/>
      <c r="C1566" s="539"/>
      <c r="D1566" s="539"/>
      <c r="E1566" s="567"/>
      <c r="F1566" s="568"/>
      <c r="G1566" s="519"/>
      <c r="H1566" s="519"/>
      <c r="I1566" s="542"/>
      <c r="J1566" s="589"/>
      <c r="K1566" s="471"/>
      <c r="Q1566" s="930"/>
      <c r="R1566" s="693"/>
    </row>
    <row r="1567" spans="1:18" ht="20.399999999999999">
      <c r="A1567" s="463"/>
      <c r="B1567" s="1493" t="s">
        <v>958</v>
      </c>
      <c r="C1567" s="1494"/>
      <c r="D1567" s="1494"/>
      <c r="E1567" s="1494"/>
      <c r="F1567" s="1495"/>
      <c r="G1567" s="569" t="s">
        <v>372</v>
      </c>
      <c r="H1567" s="519" t="s">
        <v>956</v>
      </c>
      <c r="I1567" s="570" t="s">
        <v>942</v>
      </c>
      <c r="J1567" s="522" t="s">
        <v>363</v>
      </c>
      <c r="K1567" s="471"/>
      <c r="Q1567" s="931"/>
      <c r="R1567" s="693"/>
    </row>
    <row r="1568" spans="1:18">
      <c r="A1568" s="463"/>
      <c r="B1568" s="571"/>
      <c r="C1568" s="572"/>
      <c r="D1568" s="573"/>
      <c r="E1568" s="573"/>
      <c r="F1568" s="574"/>
      <c r="G1568" s="502"/>
      <c r="H1568" s="502"/>
      <c r="I1568" s="575"/>
      <c r="J1568" s="505">
        <f>G1568*I1568</f>
        <v>0</v>
      </c>
      <c r="K1568" s="471"/>
      <c r="Q1568" s="930"/>
      <c r="R1568" s="693"/>
    </row>
    <row r="1569" spans="1:18">
      <c r="A1569" s="463"/>
      <c r="B1569" s="576"/>
      <c r="C1569" s="577"/>
      <c r="D1569" s="578"/>
      <c r="E1569" s="578"/>
      <c r="F1569" s="579"/>
      <c r="G1569" s="502"/>
      <c r="H1569" s="502"/>
      <c r="I1569" s="575"/>
      <c r="J1569" s="505">
        <f>G1569*I1569</f>
        <v>0</v>
      </c>
      <c r="K1569" s="471"/>
      <c r="Q1569" s="930"/>
      <c r="R1569" s="693"/>
    </row>
    <row r="1570" spans="1:18">
      <c r="A1570" s="463"/>
      <c r="B1570" s="576"/>
      <c r="C1570" s="577"/>
      <c r="D1570" s="578"/>
      <c r="E1570" s="578"/>
      <c r="F1570" s="579"/>
      <c r="G1570" s="502"/>
      <c r="H1570" s="502"/>
      <c r="I1570" s="575"/>
      <c r="J1570" s="505">
        <f>G1570*I1570</f>
        <v>0</v>
      </c>
      <c r="K1570" s="471"/>
    </row>
    <row r="1571" spans="1:18">
      <c r="A1571" s="463"/>
      <c r="B1571" s="590"/>
      <c r="C1571" s="591"/>
      <c r="D1571" s="592"/>
      <c r="E1571" s="592"/>
      <c r="F1571" s="593"/>
      <c r="G1571" s="502"/>
      <c r="H1571" s="502"/>
      <c r="I1571" s="575"/>
      <c r="J1571" s="505">
        <f>G1571*I1571</f>
        <v>0</v>
      </c>
      <c r="K1571" s="471"/>
    </row>
    <row r="1572" spans="1:18">
      <c r="A1572" s="463"/>
      <c r="B1572" s="594"/>
      <c r="C1572" s="536"/>
      <c r="D1572" s="536"/>
      <c r="E1572" s="595"/>
      <c r="F1572" s="596"/>
      <c r="G1572" s="545"/>
      <c r="H1572" s="545"/>
      <c r="I1572" s="537" t="s">
        <v>175</v>
      </c>
      <c r="J1572" s="514">
        <f>SUM(J1568:J1571)</f>
        <v>0</v>
      </c>
      <c r="K1572" s="471"/>
    </row>
    <row r="1573" spans="1:18">
      <c r="A1573" s="463"/>
      <c r="B1573" s="597"/>
      <c r="C1573" s="536"/>
      <c r="D1573" s="536"/>
      <c r="E1573" s="595"/>
      <c r="F1573" s="596"/>
      <c r="G1573" s="545"/>
      <c r="H1573" s="545"/>
      <c r="I1573" s="537"/>
      <c r="J1573" s="595"/>
      <c r="K1573" s="471"/>
    </row>
    <row r="1574" spans="1:18" ht="20.399999999999999">
      <c r="A1574" s="463"/>
      <c r="B1574" s="598" t="s">
        <v>959</v>
      </c>
      <c r="C1574" s="598"/>
      <c r="D1574" s="598"/>
      <c r="E1574" s="599"/>
      <c r="F1574" s="600" t="s">
        <v>372</v>
      </c>
      <c r="G1574" s="569" t="s">
        <v>960</v>
      </c>
      <c r="H1574" s="519" t="s">
        <v>942</v>
      </c>
      <c r="I1574" s="570" t="s">
        <v>361</v>
      </c>
      <c r="J1574" s="522" t="s">
        <v>363</v>
      </c>
      <c r="K1574" s="471"/>
    </row>
    <row r="1575" spans="1:18">
      <c r="A1575" s="463"/>
      <c r="B1575" s="571"/>
      <c r="C1575" s="572"/>
      <c r="D1575" s="573"/>
      <c r="E1575" s="574"/>
      <c r="F1575" s="502"/>
      <c r="G1575" s="502"/>
      <c r="H1575" s="624"/>
      <c r="I1575" s="575"/>
      <c r="J1575" s="505"/>
      <c r="K1575" s="471"/>
    </row>
    <row r="1576" spans="1:18">
      <c r="A1576" s="463"/>
      <c r="B1576" s="590" t="s">
        <v>946</v>
      </c>
      <c r="C1576" s="591"/>
      <c r="D1576" s="592"/>
      <c r="E1576" s="593" t="s">
        <v>946</v>
      </c>
      <c r="F1576" s="509">
        <v>0</v>
      </c>
      <c r="G1576" s="509">
        <v>0</v>
      </c>
      <c r="H1576" s="509">
        <v>0</v>
      </c>
      <c r="I1576" s="601">
        <v>0</v>
      </c>
      <c r="J1576" s="505">
        <f>I1576*H1576*G1576*F1576</f>
        <v>0</v>
      </c>
      <c r="K1576" s="471"/>
    </row>
    <row r="1577" spans="1:18">
      <c r="A1577" s="463"/>
      <c r="B1577" s="594"/>
      <c r="C1577" s="536"/>
      <c r="D1577" s="536"/>
      <c r="E1577" s="595"/>
      <c r="F1577" s="596"/>
      <c r="G1577" s="545"/>
      <c r="H1577" s="545"/>
      <c r="I1577" s="537" t="s">
        <v>175</v>
      </c>
      <c r="J1577" s="514">
        <f>SUM(J1575:J1576)</f>
        <v>0</v>
      </c>
      <c r="K1577" s="471"/>
    </row>
    <row r="1578" spans="1:18">
      <c r="A1578" s="463"/>
      <c r="B1578" s="536"/>
      <c r="C1578" s="536"/>
      <c r="D1578" s="536"/>
      <c r="E1578" s="536"/>
      <c r="F1578" s="536"/>
      <c r="G1578" s="536"/>
      <c r="H1578" s="536"/>
      <c r="I1578" s="537"/>
      <c r="J1578" s="536"/>
      <c r="K1578" s="471"/>
    </row>
    <row r="1579" spans="1:18">
      <c r="A1579" s="463"/>
      <c r="B1579" s="1481" t="s">
        <v>963</v>
      </c>
      <c r="C1579" s="1482"/>
      <c r="D1579" s="1482"/>
      <c r="E1579" s="1482"/>
      <c r="F1579" s="1482"/>
      <c r="G1579" s="1482"/>
      <c r="H1579" s="1482"/>
      <c r="I1579" s="1483"/>
      <c r="J1579" s="586">
        <v>24.54226725623403</v>
      </c>
      <c r="K1579" s="471"/>
    </row>
    <row r="1580" spans="1:18">
      <c r="A1580" s="463"/>
      <c r="B1580" s="524"/>
      <c r="C1580" s="524"/>
      <c r="D1580" s="524"/>
      <c r="E1580" s="524"/>
      <c r="F1580" s="524"/>
      <c r="G1580" s="524"/>
      <c r="H1580" s="524"/>
      <c r="I1580" s="584"/>
      <c r="J1580" s="524"/>
      <c r="K1580" s="471"/>
    </row>
    <row r="1581" spans="1:18">
      <c r="A1581" s="463"/>
      <c r="B1581" s="602"/>
      <c r="C1581" s="572"/>
      <c r="D1581" s="572"/>
      <c r="E1581" s="572"/>
      <c r="F1581" s="572"/>
      <c r="G1581" s="572"/>
      <c r="H1581" s="572"/>
      <c r="I1581" s="572"/>
      <c r="J1581" s="603"/>
      <c r="K1581" s="471"/>
    </row>
    <row r="1582" spans="1:18">
      <c r="A1582" s="463"/>
      <c r="B1582" s="604"/>
      <c r="C1582" s="605"/>
      <c r="D1582" s="606"/>
      <c r="E1582" s="606"/>
      <c r="F1582" s="607" t="s">
        <v>946</v>
      </c>
      <c r="G1582" s="608" t="s">
        <v>946</v>
      </c>
      <c r="H1582" s="605"/>
      <c r="I1582" s="605"/>
      <c r="J1582" s="609"/>
      <c r="K1582" s="471"/>
    </row>
    <row r="1583" spans="1:18">
      <c r="A1583" s="463"/>
      <c r="B1583" s="472"/>
      <c r="C1583" s="472"/>
      <c r="D1583" s="472"/>
      <c r="E1583" s="472"/>
      <c r="F1583" s="472"/>
      <c r="G1583" s="472"/>
      <c r="H1583" s="472"/>
      <c r="I1583" s="472"/>
      <c r="J1583" s="472"/>
      <c r="K1583" s="471"/>
    </row>
    <row r="1584" spans="1:18">
      <c r="A1584" s="463"/>
      <c r="B1584" s="610" t="str">
        <f>PLANEJAMENTO!F2</f>
        <v>OPERAÇÃO DE SUPRESSÃO E SUMP</v>
      </c>
      <c r="C1584" s="611"/>
      <c r="D1584" s="611"/>
      <c r="E1584" s="611"/>
      <c r="F1584" s="612"/>
      <c r="G1584" s="613" t="s">
        <v>363</v>
      </c>
      <c r="H1584" s="515"/>
      <c r="I1584" s="515"/>
      <c r="J1584" s="518"/>
      <c r="K1584" s="471"/>
    </row>
    <row r="1585" spans="1:11">
      <c r="A1585" s="463"/>
      <c r="B1585" s="956" t="str">
        <f>PLANEJAMENTO!F3</f>
        <v>MARA ROSA</v>
      </c>
      <c r="C1585" s="957"/>
      <c r="D1585" s="957"/>
      <c r="E1585" s="957"/>
      <c r="F1585" s="958"/>
      <c r="G1585" s="1484" t="s">
        <v>964</v>
      </c>
      <c r="H1585" s="1485"/>
      <c r="I1585" s="1485"/>
      <c r="J1585" s="1486"/>
      <c r="K1585" s="471"/>
    </row>
    <row r="1586" spans="1:11">
      <c r="A1586" s="463"/>
      <c r="B1586" s="1015"/>
      <c r="C1586" s="587"/>
      <c r="D1586" s="587"/>
      <c r="E1586" s="587"/>
      <c r="F1586" s="587"/>
      <c r="G1586" s="1014"/>
      <c r="H1586" s="1014"/>
      <c r="I1586" s="1014"/>
      <c r="J1586" s="1016"/>
      <c r="K1586" s="471"/>
    </row>
    <row r="1587" spans="1:11" ht="15" thickBot="1">
      <c r="A1587" s="621"/>
      <c r="B1587" s="622"/>
      <c r="C1587" s="622"/>
      <c r="D1587" s="622"/>
      <c r="E1587" s="622"/>
      <c r="F1587" s="622"/>
      <c r="G1587" s="622"/>
      <c r="H1587" s="622"/>
      <c r="I1587" s="622"/>
      <c r="J1587" s="622"/>
      <c r="K1587" s="623"/>
    </row>
    <row r="1588" spans="1:11">
      <c r="A1588" s="460"/>
      <c r="B1588" s="461"/>
      <c r="C1588" s="461"/>
      <c r="D1588" s="461"/>
      <c r="E1588" s="461"/>
      <c r="F1588" s="461"/>
      <c r="G1588" s="461"/>
      <c r="H1588" s="461"/>
      <c r="I1588" s="461"/>
      <c r="J1588" s="461"/>
      <c r="K1588" s="462"/>
    </row>
    <row r="1589" spans="1:11">
      <c r="A1589" s="463"/>
      <c r="B1589" s="464" t="s">
        <v>178</v>
      </c>
      <c r="C1589" s="465"/>
      <c r="D1589" s="466" t="s">
        <v>936</v>
      </c>
      <c r="E1589" s="467"/>
      <c r="F1589" s="468"/>
      <c r="G1589" s="468"/>
      <c r="H1589" s="469"/>
      <c r="I1589" s="469"/>
      <c r="J1589" s="470"/>
      <c r="K1589" s="471"/>
    </row>
    <row r="1590" spans="1:11">
      <c r="A1590" s="463"/>
      <c r="B1590" s="472"/>
      <c r="C1590" s="472"/>
      <c r="D1590" s="472"/>
      <c r="E1590" s="472"/>
      <c r="F1590" s="472"/>
      <c r="G1590" s="472"/>
      <c r="H1590" s="472"/>
      <c r="I1590" s="472"/>
      <c r="J1590" s="472"/>
      <c r="K1590" s="471"/>
    </row>
    <row r="1591" spans="1:11">
      <c r="A1591" s="463"/>
      <c r="B1591" s="473" t="s">
        <v>688</v>
      </c>
      <c r="C1591" s="474" t="s">
        <v>937</v>
      </c>
      <c r="D1591" s="1497" t="s">
        <v>250</v>
      </c>
      <c r="E1591" s="1498"/>
      <c r="F1591" s="1498"/>
      <c r="G1591" s="1498"/>
      <c r="H1591" s="1498"/>
      <c r="I1591" s="1499"/>
      <c r="J1591" s="475" t="s">
        <v>267</v>
      </c>
      <c r="K1591" s="471"/>
    </row>
    <row r="1592" spans="1:11" ht="25.95" customHeight="1">
      <c r="A1592" s="463"/>
      <c r="B1592" s="476" t="s">
        <v>3</v>
      </c>
      <c r="C1592" s="477">
        <f ca="1">PLANEJAMENTO!F4</f>
        <v>46140</v>
      </c>
      <c r="D1592" s="681" t="s">
        <v>1482</v>
      </c>
      <c r="E1592" s="479"/>
      <c r="F1592" s="479"/>
      <c r="G1592" s="479"/>
      <c r="H1592" s="479"/>
      <c r="I1592" s="480"/>
      <c r="J1592" s="481" t="str">
        <f>F1608</f>
        <v>m3</v>
      </c>
      <c r="K1592" s="471"/>
    </row>
    <row r="1593" spans="1:11">
      <c r="A1593" s="463"/>
      <c r="B1593" s="482"/>
      <c r="C1593" s="482"/>
      <c r="D1593" s="482"/>
      <c r="E1593" s="482"/>
      <c r="F1593" s="482"/>
      <c r="G1593" s="482"/>
      <c r="H1593" s="482"/>
      <c r="I1593" s="483"/>
      <c r="J1593" s="484"/>
      <c r="K1593" s="471"/>
    </row>
    <row r="1594" spans="1:11">
      <c r="A1594" s="463"/>
      <c r="B1594" s="1484" t="s">
        <v>938</v>
      </c>
      <c r="C1594" s="1486"/>
      <c r="D1594" s="1502" t="s">
        <v>688</v>
      </c>
      <c r="E1594" s="1504" t="s">
        <v>939</v>
      </c>
      <c r="F1594" s="485" t="s">
        <v>940</v>
      </c>
      <c r="G1594" s="486"/>
      <c r="H1594" s="485" t="s">
        <v>941</v>
      </c>
      <c r="I1594" s="486"/>
      <c r="J1594" s="487" t="s">
        <v>942</v>
      </c>
      <c r="K1594" s="471"/>
    </row>
    <row r="1595" spans="1:11">
      <c r="A1595" s="463"/>
      <c r="B1595" s="1500"/>
      <c r="C1595" s="1501"/>
      <c r="D1595" s="1503"/>
      <c r="E1595" s="1505"/>
      <c r="F1595" s="488" t="s">
        <v>943</v>
      </c>
      <c r="G1595" s="488" t="s">
        <v>944</v>
      </c>
      <c r="H1595" s="488" t="s">
        <v>943</v>
      </c>
      <c r="I1595" s="489" t="s">
        <v>944</v>
      </c>
      <c r="J1595" s="490" t="s">
        <v>945</v>
      </c>
      <c r="K1595" s="471"/>
    </row>
    <row r="1596" spans="1:11">
      <c r="A1596" s="463"/>
      <c r="B1596" s="499" t="s">
        <v>631</v>
      </c>
      <c r="C1596" s="500"/>
      <c r="D1596" s="501"/>
      <c r="E1596" s="875">
        <v>1</v>
      </c>
      <c r="F1596" s="502">
        <v>1</v>
      </c>
      <c r="G1596" s="502">
        <f>1-F1596</f>
        <v>0</v>
      </c>
      <c r="H1596" s="503">
        <f>VLOOKUP(B1596,EQUIPAMENTOS!$A:$J,10,FALSE)</f>
        <v>175</v>
      </c>
      <c r="I1596" s="504">
        <f>H1596</f>
        <v>175</v>
      </c>
      <c r="J1596" s="505">
        <f>H1596*F1596*E1596+I1596*G1596*E1596</f>
        <v>175</v>
      </c>
      <c r="K1596" s="471"/>
    </row>
    <row r="1597" spans="1:11">
      <c r="A1597" s="463"/>
      <c r="B1597" s="499" t="s">
        <v>1157</v>
      </c>
      <c r="C1597" s="500"/>
      <c r="D1597" s="501"/>
      <c r="E1597" s="502">
        <v>5</v>
      </c>
      <c r="F1597" s="502">
        <v>1</v>
      </c>
      <c r="G1597" s="502">
        <f>1-F1597</f>
        <v>0</v>
      </c>
      <c r="H1597" s="503">
        <f>VLOOKUP(B1597,EQUIPAMENTOS!$A:$J,10,FALSE)</f>
        <v>125</v>
      </c>
      <c r="I1597" s="504">
        <f>H1597</f>
        <v>125</v>
      </c>
      <c r="J1597" s="505">
        <f>H1597*F1597*E1597+I1597*G1597*E1597</f>
        <v>625</v>
      </c>
      <c r="K1597" s="471"/>
    </row>
    <row r="1598" spans="1:11">
      <c r="A1598" s="463"/>
      <c r="B1598" s="499"/>
      <c r="C1598" s="500"/>
      <c r="D1598" s="501"/>
      <c r="E1598" s="502"/>
      <c r="F1598" s="502"/>
      <c r="G1598" s="502"/>
      <c r="H1598" s="503"/>
      <c r="I1598" s="504"/>
      <c r="J1598" s="505"/>
      <c r="K1598" s="471"/>
    </row>
    <row r="1599" spans="1:11">
      <c r="A1599" s="463"/>
      <c r="B1599" s="506"/>
      <c r="C1599" s="507"/>
      <c r="D1599" s="508"/>
      <c r="E1599" s="509"/>
      <c r="F1599" s="509"/>
      <c r="G1599" s="509"/>
      <c r="H1599" s="510"/>
      <c r="I1599" s="511"/>
      <c r="J1599" s="505">
        <f>H1599*F1599*E1599+I1599*G1599*E1599</f>
        <v>0</v>
      </c>
      <c r="K1599" s="471"/>
    </row>
    <row r="1600" spans="1:11">
      <c r="A1600" s="463"/>
      <c r="B1600" s="512" t="s">
        <v>946</v>
      </c>
      <c r="C1600" s="482"/>
      <c r="D1600" s="482"/>
      <c r="E1600" s="482"/>
      <c r="F1600" s="482"/>
      <c r="G1600" s="482"/>
      <c r="H1600" s="482"/>
      <c r="I1600" s="513" t="s">
        <v>175</v>
      </c>
      <c r="J1600" s="514">
        <f>SUM(J1596:J1599)</f>
        <v>800</v>
      </c>
      <c r="K1600" s="471"/>
    </row>
    <row r="1601" spans="1:11">
      <c r="A1601" s="463"/>
      <c r="B1601" s="515"/>
      <c r="C1601" s="515"/>
      <c r="D1601" s="515"/>
      <c r="E1601" s="515"/>
      <c r="F1601" s="515"/>
      <c r="G1601" s="515"/>
      <c r="H1601" s="515"/>
      <c r="I1601" s="516"/>
      <c r="J1601" s="517"/>
      <c r="K1601" s="471"/>
    </row>
    <row r="1602" spans="1:11" ht="20.399999999999999" customHeight="1">
      <c r="A1602" s="463"/>
      <c r="B1602" s="1490" t="s">
        <v>947</v>
      </c>
      <c r="C1602" s="1491"/>
      <c r="D1602" s="1491"/>
      <c r="E1602" s="1492"/>
      <c r="F1602" s="725" t="s">
        <v>688</v>
      </c>
      <c r="G1602" s="853"/>
      <c r="H1602" s="520" t="s">
        <v>427</v>
      </c>
      <c r="I1602" s="521" t="s">
        <v>948</v>
      </c>
      <c r="J1602" s="522" t="s">
        <v>949</v>
      </c>
      <c r="K1602" s="471"/>
    </row>
    <row r="1603" spans="1:11">
      <c r="A1603" s="463"/>
      <c r="B1603" s="523" t="s">
        <v>950</v>
      </c>
      <c r="C1603" s="524"/>
      <c r="D1603" s="525"/>
      <c r="E1603" s="526"/>
      <c r="F1603" s="527"/>
      <c r="G1603" s="528"/>
      <c r="H1603" s="529">
        <f>E1597</f>
        <v>5</v>
      </c>
      <c r="I1603" s="534">
        <f>(VLOOKUP(B1603,'MÃO DE OBRA'!$A:$E,5,FALSE)/220)</f>
        <v>26.714454545454547</v>
      </c>
      <c r="J1603" s="505">
        <f>H1603*I1603</f>
        <v>133.57227272727275</v>
      </c>
      <c r="K1603" s="471"/>
    </row>
    <row r="1604" spans="1:11">
      <c r="A1604" s="463"/>
      <c r="B1604" s="530" t="s">
        <v>472</v>
      </c>
      <c r="C1604" s="531"/>
      <c r="D1604" s="472"/>
      <c r="E1604" s="500"/>
      <c r="F1604" s="501"/>
      <c r="G1604" s="532"/>
      <c r="H1604" s="533">
        <v>2</v>
      </c>
      <c r="I1604" s="534">
        <f>(VLOOKUP(B1604,'MÃO DE OBRA'!$A:$E,5,FALSE)/220)</f>
        <v>18.377072727272729</v>
      </c>
      <c r="J1604" s="505">
        <f>H1604*I1604</f>
        <v>36.754145454545458</v>
      </c>
      <c r="K1604" s="471"/>
    </row>
    <row r="1605" spans="1:11">
      <c r="A1605" s="463"/>
      <c r="B1605" s="530" t="s">
        <v>556</v>
      </c>
      <c r="C1605" s="531"/>
      <c r="D1605" s="472"/>
      <c r="E1605" s="500"/>
      <c r="F1605" s="501"/>
      <c r="G1605" s="532"/>
      <c r="H1605" s="533">
        <f>E1596</f>
        <v>1</v>
      </c>
      <c r="I1605" s="534">
        <f>(VLOOKUP(B1605,'MÃO DE OBRA'!$A:$E,5,FALSE)/220)</f>
        <v>35.988199999999999</v>
      </c>
      <c r="J1605" s="505">
        <f>H1605*I1605</f>
        <v>35.988199999999999</v>
      </c>
      <c r="K1605" s="471"/>
    </row>
    <row r="1606" spans="1:11">
      <c r="A1606" s="463"/>
      <c r="B1606" s="512" t="s">
        <v>946</v>
      </c>
      <c r="C1606" s="515"/>
      <c r="D1606" s="515"/>
      <c r="E1606" s="515"/>
      <c r="F1606" s="515"/>
      <c r="G1606" s="515"/>
      <c r="H1606" s="515"/>
      <c r="I1606" s="535" t="s">
        <v>175</v>
      </c>
      <c r="J1606" s="514">
        <f>SUM(J1603:J1605)</f>
        <v>206.31461818181822</v>
      </c>
      <c r="K1606" s="471"/>
    </row>
    <row r="1607" spans="1:11">
      <c r="A1607" s="463"/>
      <c r="B1607" s="536"/>
      <c r="C1607" s="536"/>
      <c r="D1607" s="536"/>
      <c r="E1607" s="536"/>
      <c r="F1607" s="536"/>
      <c r="G1607" s="536"/>
      <c r="H1607" s="536"/>
      <c r="I1607" s="537"/>
      <c r="J1607" s="536"/>
      <c r="K1607" s="471"/>
    </row>
    <row r="1608" spans="1:11">
      <c r="A1608" s="463"/>
      <c r="B1608" s="538" t="s">
        <v>952</v>
      </c>
      <c r="C1608" s="539"/>
      <c r="D1608" s="536"/>
      <c r="E1608" s="540">
        <v>39.5340765112309</v>
      </c>
      <c r="F1608" s="541" t="s">
        <v>931</v>
      </c>
      <c r="G1608" s="519"/>
      <c r="H1608" s="519"/>
      <c r="I1608" s="542" t="s">
        <v>953</v>
      </c>
      <c r="J1608" s="514">
        <f>J1600+J1606</f>
        <v>1006.3146181818182</v>
      </c>
      <c r="K1608" s="471"/>
    </row>
    <row r="1609" spans="1:11">
      <c r="A1609" s="463"/>
      <c r="B1609" s="543"/>
      <c r="C1609" s="536"/>
      <c r="D1609" s="536"/>
      <c r="E1609" s="544"/>
      <c r="F1609" s="545"/>
      <c r="G1609" s="545"/>
      <c r="H1609" s="545"/>
      <c r="I1609" s="537"/>
      <c r="J1609" s="536"/>
      <c r="K1609" s="471"/>
    </row>
    <row r="1610" spans="1:11" ht="20.399999999999999">
      <c r="A1610" s="463"/>
      <c r="B1610" s="1493" t="s">
        <v>362</v>
      </c>
      <c r="C1610" s="1494"/>
      <c r="D1610" s="1494"/>
      <c r="E1610" s="1495"/>
      <c r="F1610" s="546" t="s">
        <v>688</v>
      </c>
      <c r="G1610" s="547" t="s">
        <v>371</v>
      </c>
      <c r="H1610" s="520" t="s">
        <v>942</v>
      </c>
      <c r="I1610" s="548" t="s">
        <v>361</v>
      </c>
      <c r="J1610" s="549" t="s">
        <v>363</v>
      </c>
      <c r="K1610" s="471"/>
    </row>
    <row r="1611" spans="1:11">
      <c r="A1611" s="463"/>
      <c r="B1611" s="557" t="str">
        <f>B1596</f>
        <v>Escavadeira hidráulica sobre esteira 22T</v>
      </c>
      <c r="C1611" s="531"/>
      <c r="D1611" s="531"/>
      <c r="E1611" s="500"/>
      <c r="F1611" s="553" t="str">
        <f>VLOOKUP(B1611,EQUIPAMENTOS!$A:$N,12,FALSE)</f>
        <v>Diesel S10</v>
      </c>
      <c r="G1611" s="554" t="s">
        <v>415</v>
      </c>
      <c r="H1611" s="560">
        <f>VLOOKUP(B1611,EQUIPAMENTOS!$A:$N,13,FALSE)</f>
        <v>0</v>
      </c>
      <c r="I1611" s="556">
        <f>VLOOKUP(B1611,EQUIPAMENTOS!$A:$N,14,FALSE)</f>
        <v>22</v>
      </c>
      <c r="J1611" s="505">
        <f>H1611*I1611*E1596*F1596</f>
        <v>0</v>
      </c>
      <c r="K1611" s="471"/>
    </row>
    <row r="1612" spans="1:11">
      <c r="A1612" s="463"/>
      <c r="B1612" s="557" t="str">
        <f>B1597</f>
        <v>Caminhão basculante 14 m³</v>
      </c>
      <c r="C1612" s="539"/>
      <c r="D1612" s="539"/>
      <c r="E1612" s="507"/>
      <c r="F1612" s="553" t="str">
        <f>VLOOKUP(B1612,EQUIPAMENTOS!$A:$N,12,FALSE)</f>
        <v>Diesel S10</v>
      </c>
      <c r="G1612" s="736" t="s">
        <v>415</v>
      </c>
      <c r="H1612" s="560">
        <f>VLOOKUP(B1612,EQUIPAMENTOS!$A:$N,13,FALSE)</f>
        <v>0</v>
      </c>
      <c r="I1612" s="556">
        <f>VLOOKUP(B1612,EQUIPAMENTOS!$A:$N,14,FALSE)</f>
        <v>2.5</v>
      </c>
      <c r="J1612" s="505">
        <f>H1612*I1612*E1597*F1597</f>
        <v>0</v>
      </c>
      <c r="K1612" s="471"/>
    </row>
    <row r="1613" spans="1:11">
      <c r="A1613" s="463"/>
      <c r="B1613" s="563" t="s">
        <v>946</v>
      </c>
      <c r="C1613" s="539"/>
      <c r="D1613" s="539"/>
      <c r="E1613" s="539"/>
      <c r="F1613" s="536"/>
      <c r="G1613" s="539"/>
      <c r="H1613" s="564"/>
      <c r="I1613" s="565" t="s">
        <v>175</v>
      </c>
      <c r="J1613" s="514">
        <f>SUM(J1611:J1612)</f>
        <v>0</v>
      </c>
      <c r="K1613" s="471"/>
    </row>
    <row r="1614" spans="1:11">
      <c r="A1614" s="463"/>
      <c r="B1614" s="566"/>
      <c r="C1614" s="539"/>
      <c r="D1614" s="539"/>
      <c r="E1614" s="567"/>
      <c r="F1614" s="568"/>
      <c r="G1614" s="519"/>
      <c r="H1614" s="519"/>
      <c r="I1614" s="542"/>
      <c r="J1614" s="567"/>
      <c r="K1614" s="471"/>
    </row>
    <row r="1615" spans="1:11" ht="20.399999999999999">
      <c r="A1615" s="463"/>
      <c r="B1615" s="1493" t="s">
        <v>955</v>
      </c>
      <c r="C1615" s="1494"/>
      <c r="D1615" s="1494"/>
      <c r="E1615" s="1494"/>
      <c r="F1615" s="1495"/>
      <c r="G1615" s="569" t="s">
        <v>372</v>
      </c>
      <c r="H1615" s="519" t="s">
        <v>956</v>
      </c>
      <c r="I1615" s="570" t="s">
        <v>942</v>
      </c>
      <c r="J1615" s="522" t="s">
        <v>363</v>
      </c>
      <c r="K1615" s="471"/>
    </row>
    <row r="1616" spans="1:11">
      <c r="A1616" s="463"/>
      <c r="B1616" s="571"/>
      <c r="C1616" s="572"/>
      <c r="D1616" s="573"/>
      <c r="E1616" s="573"/>
      <c r="F1616" s="574"/>
      <c r="G1616" s="502"/>
      <c r="H1616" s="502"/>
      <c r="I1616" s="575"/>
      <c r="J1616" s="505"/>
      <c r="K1616" s="471"/>
    </row>
    <row r="1617" spans="1:12">
      <c r="A1617" s="463"/>
      <c r="B1617" s="576"/>
      <c r="C1617" s="577"/>
      <c r="D1617" s="578"/>
      <c r="E1617" s="578"/>
      <c r="F1617" s="579"/>
      <c r="G1617" s="502"/>
      <c r="H1617" s="502"/>
      <c r="I1617" s="575"/>
      <c r="J1617" s="505"/>
      <c r="K1617" s="471"/>
    </row>
    <row r="1618" spans="1:12">
      <c r="A1618" s="463"/>
      <c r="B1618" s="1496" t="s">
        <v>175</v>
      </c>
      <c r="C1618" s="1496"/>
      <c r="D1618" s="1496"/>
      <c r="E1618" s="1496"/>
      <c r="F1618" s="1496"/>
      <c r="G1618" s="1496"/>
      <c r="H1618" s="1496"/>
      <c r="I1618" s="1496"/>
      <c r="J1618" s="514">
        <f>SUM(J1616:J1617)</f>
        <v>0</v>
      </c>
      <c r="K1618" s="471"/>
    </row>
    <row r="1619" spans="1:12">
      <c r="A1619" s="463"/>
      <c r="B1619" s="580"/>
      <c r="C1619" s="524"/>
      <c r="D1619" s="524"/>
      <c r="E1619" s="581"/>
      <c r="F1619" s="582"/>
      <c r="G1619" s="583"/>
      <c r="H1619" s="583"/>
      <c r="I1619" s="584"/>
      <c r="J1619" s="585"/>
      <c r="K1619" s="471"/>
    </row>
    <row r="1620" spans="1:12">
      <c r="A1620" s="463"/>
      <c r="B1620" s="586" t="s">
        <v>957</v>
      </c>
      <c r="C1620" s="586"/>
      <c r="D1620" s="563"/>
      <c r="E1620" s="536"/>
      <c r="F1620" s="536"/>
      <c r="G1620" s="536"/>
      <c r="H1620" s="587"/>
      <c r="I1620" s="588"/>
      <c r="J1620" s="514">
        <f>(J1608+J1613+J1618)/E1608</f>
        <v>25.454360060641427</v>
      </c>
      <c r="K1620" s="471"/>
      <c r="L1620">
        <v>25.454361191811365</v>
      </c>
    </row>
    <row r="1621" spans="1:12">
      <c r="A1621" s="463"/>
      <c r="B1621" s="566"/>
      <c r="C1621" s="539"/>
      <c r="D1621" s="539"/>
      <c r="E1621" s="567"/>
      <c r="F1621" s="568"/>
      <c r="G1621" s="519"/>
      <c r="H1621" s="519"/>
      <c r="I1621" s="542"/>
      <c r="J1621" s="589"/>
      <c r="K1621" s="471"/>
    </row>
    <row r="1622" spans="1:12" ht="20.399999999999999">
      <c r="A1622" s="463"/>
      <c r="B1622" s="1493" t="s">
        <v>958</v>
      </c>
      <c r="C1622" s="1494"/>
      <c r="D1622" s="1494"/>
      <c r="E1622" s="1494"/>
      <c r="F1622" s="1495"/>
      <c r="G1622" s="569" t="s">
        <v>372</v>
      </c>
      <c r="H1622" s="519" t="s">
        <v>956</v>
      </c>
      <c r="I1622" s="570" t="s">
        <v>942</v>
      </c>
      <c r="J1622" s="522" t="s">
        <v>363</v>
      </c>
      <c r="K1622" s="471"/>
    </row>
    <row r="1623" spans="1:12">
      <c r="A1623" s="463"/>
      <c r="B1623" s="571"/>
      <c r="C1623" s="572"/>
      <c r="D1623" s="573"/>
      <c r="E1623" s="573"/>
      <c r="F1623" s="574"/>
      <c r="G1623" s="502"/>
      <c r="H1623" s="502"/>
      <c r="I1623" s="575"/>
      <c r="J1623" s="505">
        <f>G1623*I1623</f>
        <v>0</v>
      </c>
      <c r="K1623" s="471"/>
    </row>
    <row r="1624" spans="1:12">
      <c r="A1624" s="463"/>
      <c r="B1624" s="576"/>
      <c r="C1624" s="577"/>
      <c r="D1624" s="578"/>
      <c r="E1624" s="578"/>
      <c r="F1624" s="579"/>
      <c r="G1624" s="502"/>
      <c r="H1624" s="502"/>
      <c r="I1624" s="575"/>
      <c r="J1624" s="505">
        <f>G1624*I1624</f>
        <v>0</v>
      </c>
      <c r="K1624" s="471"/>
    </row>
    <row r="1625" spans="1:12">
      <c r="A1625" s="463"/>
      <c r="B1625" s="576"/>
      <c r="C1625" s="577"/>
      <c r="D1625" s="578"/>
      <c r="E1625" s="578"/>
      <c r="F1625" s="579"/>
      <c r="G1625" s="502"/>
      <c r="H1625" s="502"/>
      <c r="I1625" s="575"/>
      <c r="J1625" s="505">
        <f>G1625*I1625</f>
        <v>0</v>
      </c>
      <c r="K1625" s="471"/>
    </row>
    <row r="1626" spans="1:12">
      <c r="A1626" s="463"/>
      <c r="B1626" s="590"/>
      <c r="C1626" s="591"/>
      <c r="D1626" s="592"/>
      <c r="E1626" s="592"/>
      <c r="F1626" s="593"/>
      <c r="G1626" s="502"/>
      <c r="H1626" s="502"/>
      <c r="I1626" s="575"/>
      <c r="J1626" s="505">
        <f>G1626*I1626</f>
        <v>0</v>
      </c>
      <c r="K1626" s="471"/>
    </row>
    <row r="1627" spans="1:12">
      <c r="A1627" s="463"/>
      <c r="B1627" s="594"/>
      <c r="C1627" s="536"/>
      <c r="D1627" s="536"/>
      <c r="E1627" s="595"/>
      <c r="F1627" s="596"/>
      <c r="G1627" s="545"/>
      <c r="H1627" s="545"/>
      <c r="I1627" s="537" t="s">
        <v>175</v>
      </c>
      <c r="J1627" s="514">
        <f>SUM(J1623:J1626)</f>
        <v>0</v>
      </c>
      <c r="K1627" s="471"/>
    </row>
    <row r="1628" spans="1:12">
      <c r="A1628" s="463"/>
      <c r="B1628" s="597"/>
      <c r="C1628" s="536"/>
      <c r="D1628" s="536"/>
      <c r="E1628" s="595"/>
      <c r="F1628" s="596"/>
      <c r="G1628" s="545"/>
      <c r="H1628" s="545"/>
      <c r="I1628" s="537"/>
      <c r="J1628" s="595"/>
      <c r="K1628" s="471"/>
    </row>
    <row r="1629" spans="1:12" ht="20.399999999999999">
      <c r="A1629" s="463"/>
      <c r="B1629" s="598" t="s">
        <v>959</v>
      </c>
      <c r="C1629" s="598"/>
      <c r="D1629" s="598"/>
      <c r="E1629" s="599"/>
      <c r="F1629" s="600" t="s">
        <v>372</v>
      </c>
      <c r="G1629" s="569" t="s">
        <v>960</v>
      </c>
      <c r="H1629" s="519" t="s">
        <v>942</v>
      </c>
      <c r="I1629" s="570" t="s">
        <v>361</v>
      </c>
      <c r="J1629" s="522" t="s">
        <v>363</v>
      </c>
      <c r="K1629" s="471"/>
    </row>
    <row r="1630" spans="1:12">
      <c r="A1630" s="463"/>
      <c r="B1630" s="571"/>
      <c r="C1630" s="572"/>
      <c r="D1630" s="573"/>
      <c r="E1630" s="574"/>
      <c r="F1630" s="502"/>
      <c r="G1630" s="502"/>
      <c r="H1630" s="624"/>
      <c r="I1630" s="575"/>
      <c r="J1630" s="505"/>
      <c r="K1630" s="471"/>
    </row>
    <row r="1631" spans="1:12">
      <c r="A1631" s="463"/>
      <c r="B1631" s="590" t="s">
        <v>946</v>
      </c>
      <c r="C1631" s="591"/>
      <c r="D1631" s="592"/>
      <c r="E1631" s="593" t="s">
        <v>946</v>
      </c>
      <c r="F1631" s="509">
        <v>0</v>
      </c>
      <c r="G1631" s="509">
        <v>0</v>
      </c>
      <c r="H1631" s="509">
        <v>0</v>
      </c>
      <c r="I1631" s="601">
        <v>0</v>
      </c>
      <c r="J1631" s="505">
        <f>I1631*H1631*G1631*F1631</f>
        <v>0</v>
      </c>
      <c r="K1631" s="471"/>
    </row>
    <row r="1632" spans="1:12">
      <c r="A1632" s="463"/>
      <c r="B1632" s="594"/>
      <c r="C1632" s="536"/>
      <c r="D1632" s="536"/>
      <c r="E1632" s="595"/>
      <c r="F1632" s="596"/>
      <c r="G1632" s="545"/>
      <c r="H1632" s="545"/>
      <c r="I1632" s="537" t="s">
        <v>175</v>
      </c>
      <c r="J1632" s="514">
        <f>SUM(J1630:J1631)</f>
        <v>0</v>
      </c>
      <c r="K1632" s="471"/>
    </row>
    <row r="1633" spans="1:11">
      <c r="A1633" s="463"/>
      <c r="B1633" s="536"/>
      <c r="C1633" s="536"/>
      <c r="D1633" s="536"/>
      <c r="E1633" s="536"/>
      <c r="F1633" s="536"/>
      <c r="G1633" s="536"/>
      <c r="H1633" s="536"/>
      <c r="I1633" s="537"/>
      <c r="J1633" s="536"/>
      <c r="K1633" s="471"/>
    </row>
    <row r="1634" spans="1:11">
      <c r="A1634" s="463"/>
      <c r="B1634" s="1481" t="s">
        <v>963</v>
      </c>
      <c r="C1634" s="1482"/>
      <c r="D1634" s="1482"/>
      <c r="E1634" s="1482"/>
      <c r="F1634" s="1482"/>
      <c r="G1634" s="1482"/>
      <c r="H1634" s="1482"/>
      <c r="I1634" s="1483"/>
      <c r="J1634" s="586">
        <v>25.454360060641427</v>
      </c>
      <c r="K1634" s="471"/>
    </row>
    <row r="1635" spans="1:11">
      <c r="A1635" s="463"/>
      <c r="B1635" s="524"/>
      <c r="C1635" s="524"/>
      <c r="D1635" s="524"/>
      <c r="E1635" s="524"/>
      <c r="F1635" s="524"/>
      <c r="G1635" s="524"/>
      <c r="H1635" s="524"/>
      <c r="I1635" s="584"/>
      <c r="J1635" s="524"/>
      <c r="K1635" s="471"/>
    </row>
    <row r="1636" spans="1:11">
      <c r="A1636" s="463"/>
      <c r="B1636" s="602"/>
      <c r="C1636" s="572"/>
      <c r="D1636" s="572"/>
      <c r="E1636" s="572"/>
      <c r="F1636" s="572"/>
      <c r="G1636" s="572"/>
      <c r="H1636" s="572"/>
      <c r="I1636" s="572"/>
      <c r="J1636" s="603"/>
      <c r="K1636" s="471"/>
    </row>
    <row r="1637" spans="1:11">
      <c r="A1637" s="463"/>
      <c r="B1637" s="604"/>
      <c r="C1637" s="605"/>
      <c r="D1637" s="606"/>
      <c r="E1637" s="606"/>
      <c r="F1637" s="607" t="s">
        <v>946</v>
      </c>
      <c r="G1637" s="608" t="s">
        <v>946</v>
      </c>
      <c r="H1637" s="605"/>
      <c r="I1637" s="605"/>
      <c r="J1637" s="609"/>
      <c r="K1637" s="471"/>
    </row>
    <row r="1638" spans="1:11">
      <c r="A1638" s="463"/>
      <c r="B1638" s="472"/>
      <c r="C1638" s="472"/>
      <c r="D1638" s="472"/>
      <c r="E1638" s="472"/>
      <c r="F1638" s="472"/>
      <c r="G1638" s="472"/>
      <c r="H1638" s="472"/>
      <c r="I1638" s="472"/>
      <c r="J1638" s="472"/>
      <c r="K1638" s="471"/>
    </row>
    <row r="1639" spans="1:11">
      <c r="A1639" s="463"/>
      <c r="B1639" s="610" t="str">
        <f>PLANEJAMENTO!F2</f>
        <v>OPERAÇÃO DE SUPRESSÃO E SUMP</v>
      </c>
      <c r="C1639" s="611"/>
      <c r="D1639" s="611"/>
      <c r="E1639" s="611"/>
      <c r="F1639" s="612"/>
      <c r="G1639" s="613" t="s">
        <v>363</v>
      </c>
      <c r="H1639" s="515"/>
      <c r="I1639" s="515"/>
      <c r="J1639" s="518"/>
      <c r="K1639" s="471"/>
    </row>
    <row r="1640" spans="1:11">
      <c r="A1640" s="463"/>
      <c r="B1640" s="956" t="str">
        <f>PLANEJAMENTO!F3</f>
        <v>MARA ROSA</v>
      </c>
      <c r="C1640" s="957"/>
      <c r="D1640" s="957"/>
      <c r="E1640" s="957"/>
      <c r="F1640" s="958"/>
      <c r="G1640" s="1484" t="s">
        <v>964</v>
      </c>
      <c r="H1640" s="1485"/>
      <c r="I1640" s="1485"/>
      <c r="J1640" s="1486"/>
      <c r="K1640" s="471"/>
    </row>
    <row r="1641" spans="1:11">
      <c r="A1641" s="463"/>
      <c r="B1641" s="1015"/>
      <c r="C1641" s="587"/>
      <c r="D1641" s="587"/>
      <c r="E1641" s="587"/>
      <c r="F1641" s="587"/>
      <c r="G1641" s="1014"/>
      <c r="H1641" s="1014"/>
      <c r="I1641" s="1014"/>
      <c r="J1641" s="1016"/>
      <c r="K1641" s="471"/>
    </row>
    <row r="1642" spans="1:11" ht="15" thickBot="1">
      <c r="A1642" s="463"/>
      <c r="B1642" s="622"/>
      <c r="C1642" s="622"/>
      <c r="D1642" s="622"/>
      <c r="E1642" s="622"/>
      <c r="F1642" s="622"/>
      <c r="G1642" s="622"/>
      <c r="H1642" s="622"/>
      <c r="I1642" s="622"/>
      <c r="J1642" s="622"/>
      <c r="K1642" s="471"/>
    </row>
    <row r="1643" spans="1:11">
      <c r="A1643" s="463"/>
      <c r="B1643" s="461"/>
      <c r="C1643" s="461"/>
      <c r="D1643" s="461"/>
      <c r="E1643" s="461"/>
      <c r="F1643" s="461"/>
      <c r="G1643" s="461"/>
      <c r="H1643" s="461"/>
      <c r="I1643" s="461"/>
      <c r="J1643" s="461"/>
      <c r="K1643" s="471"/>
    </row>
    <row r="1644" spans="1:11">
      <c r="A1644" s="463"/>
      <c r="B1644" s="464" t="s">
        <v>178</v>
      </c>
      <c r="C1644" s="465"/>
      <c r="D1644" s="466" t="s">
        <v>936</v>
      </c>
      <c r="E1644" s="467"/>
      <c r="F1644" s="468"/>
      <c r="G1644" s="468"/>
      <c r="H1644" s="469"/>
      <c r="I1644" s="469"/>
      <c r="J1644" s="470"/>
      <c r="K1644" s="471"/>
    </row>
    <row r="1645" spans="1:11">
      <c r="A1645" s="463"/>
      <c r="B1645" s="472"/>
      <c r="C1645" s="472"/>
      <c r="D1645" s="472"/>
      <c r="E1645" s="472"/>
      <c r="F1645" s="472"/>
      <c r="G1645" s="472"/>
      <c r="H1645" s="472"/>
      <c r="I1645" s="472"/>
      <c r="J1645" s="472"/>
      <c r="K1645" s="471"/>
    </row>
    <row r="1646" spans="1:11">
      <c r="A1646" s="1029"/>
      <c r="B1646" s="473" t="s">
        <v>688</v>
      </c>
      <c r="C1646" s="474" t="s">
        <v>937</v>
      </c>
      <c r="D1646" s="1497" t="s">
        <v>250</v>
      </c>
      <c r="E1646" s="1498"/>
      <c r="F1646" s="1498"/>
      <c r="G1646" s="1498"/>
      <c r="H1646" s="1498"/>
      <c r="I1646" s="1499"/>
      <c r="J1646" s="475" t="s">
        <v>267</v>
      </c>
      <c r="K1646" s="1030"/>
    </row>
    <row r="1647" spans="1:11" ht="25.2" customHeight="1">
      <c r="A1647" s="463"/>
      <c r="B1647" s="476" t="s">
        <v>3</v>
      </c>
      <c r="C1647" s="477">
        <f ca="1">PLANEJAMENTO!F4</f>
        <v>46140</v>
      </c>
      <c r="D1647" s="681" t="s">
        <v>1499</v>
      </c>
      <c r="E1647" s="479"/>
      <c r="F1647" s="479"/>
      <c r="G1647" s="479"/>
      <c r="H1647" s="479"/>
      <c r="I1647" s="480"/>
      <c r="J1647" s="481" t="str">
        <f>F1663</f>
        <v>m3</v>
      </c>
      <c r="K1647" s="471"/>
    </row>
    <row r="1648" spans="1:11">
      <c r="A1648" s="463"/>
      <c r="B1648" s="482"/>
      <c r="C1648" s="482"/>
      <c r="D1648" s="482"/>
      <c r="E1648" s="482"/>
      <c r="F1648" s="482"/>
      <c r="G1648" s="482"/>
      <c r="H1648" s="482"/>
      <c r="I1648" s="483"/>
      <c r="J1648" s="484"/>
      <c r="K1648" s="471"/>
    </row>
    <row r="1649" spans="1:11">
      <c r="A1649" s="463"/>
      <c r="B1649" s="1484" t="s">
        <v>938</v>
      </c>
      <c r="C1649" s="1486"/>
      <c r="D1649" s="1502" t="s">
        <v>688</v>
      </c>
      <c r="E1649" s="1504" t="s">
        <v>939</v>
      </c>
      <c r="F1649" s="485" t="s">
        <v>940</v>
      </c>
      <c r="G1649" s="486"/>
      <c r="H1649" s="485" t="s">
        <v>941</v>
      </c>
      <c r="I1649" s="486"/>
      <c r="J1649" s="487" t="s">
        <v>942</v>
      </c>
      <c r="K1649" s="471"/>
    </row>
    <row r="1650" spans="1:11">
      <c r="A1650" s="463"/>
      <c r="B1650" s="1500"/>
      <c r="C1650" s="1501"/>
      <c r="D1650" s="1503"/>
      <c r="E1650" s="1505"/>
      <c r="F1650" s="488" t="s">
        <v>943</v>
      </c>
      <c r="G1650" s="488" t="s">
        <v>944</v>
      </c>
      <c r="H1650" s="488" t="s">
        <v>943</v>
      </c>
      <c r="I1650" s="489" t="s">
        <v>944</v>
      </c>
      <c r="J1650" s="490" t="s">
        <v>945</v>
      </c>
      <c r="K1650" s="471"/>
    </row>
    <row r="1651" spans="1:11">
      <c r="A1651" s="463"/>
      <c r="B1651" s="499" t="s">
        <v>631</v>
      </c>
      <c r="C1651" s="500"/>
      <c r="D1651" s="501"/>
      <c r="E1651" s="875">
        <v>1</v>
      </c>
      <c r="F1651" s="502">
        <v>1</v>
      </c>
      <c r="G1651" s="502">
        <f>1-F1651</f>
        <v>0</v>
      </c>
      <c r="H1651" s="503">
        <f>VLOOKUP(B1651,EQUIPAMENTOS!$A:$J,10,FALSE)</f>
        <v>175</v>
      </c>
      <c r="I1651" s="504">
        <f>H1651</f>
        <v>175</v>
      </c>
      <c r="J1651" s="505">
        <f>H1651*F1651*E1651+I1651*G1651*E1651</f>
        <v>175</v>
      </c>
      <c r="K1651" s="471"/>
    </row>
    <row r="1652" spans="1:11">
      <c r="A1652" s="463"/>
      <c r="B1652" s="499" t="s">
        <v>1157</v>
      </c>
      <c r="C1652" s="500"/>
      <c r="D1652" s="501"/>
      <c r="E1652" s="502">
        <v>5</v>
      </c>
      <c r="F1652" s="502">
        <v>1</v>
      </c>
      <c r="G1652" s="502">
        <f>1-F1652</f>
        <v>0</v>
      </c>
      <c r="H1652" s="503">
        <f>VLOOKUP(B1652,EQUIPAMENTOS!$A:$J,10,FALSE)</f>
        <v>125</v>
      </c>
      <c r="I1652" s="504">
        <f>H1652</f>
        <v>125</v>
      </c>
      <c r="J1652" s="505">
        <f>H1652*F1652*E1652+I1652*G1652*E1652</f>
        <v>625</v>
      </c>
      <c r="K1652" s="471"/>
    </row>
    <row r="1653" spans="1:11">
      <c r="A1653" s="463"/>
      <c r="B1653" s="499"/>
      <c r="C1653" s="500"/>
      <c r="D1653" s="501"/>
      <c r="E1653" s="502"/>
      <c r="F1653" s="502"/>
      <c r="G1653" s="502"/>
      <c r="H1653" s="503"/>
      <c r="I1653" s="504"/>
      <c r="J1653" s="505"/>
      <c r="K1653" s="471"/>
    </row>
    <row r="1654" spans="1:11">
      <c r="A1654" s="463"/>
      <c r="B1654" s="506"/>
      <c r="C1654" s="507"/>
      <c r="D1654" s="508"/>
      <c r="E1654" s="509"/>
      <c r="F1654" s="509"/>
      <c r="G1654" s="509"/>
      <c r="H1654" s="510"/>
      <c r="I1654" s="511"/>
      <c r="J1654" s="505">
        <f>H1654*F1654*E1654+I1654*G1654*E1654</f>
        <v>0</v>
      </c>
      <c r="K1654" s="471"/>
    </row>
    <row r="1655" spans="1:11">
      <c r="A1655" s="463"/>
      <c r="B1655" s="512" t="s">
        <v>946</v>
      </c>
      <c r="C1655" s="482"/>
      <c r="D1655" s="482"/>
      <c r="E1655" s="482"/>
      <c r="F1655" s="482"/>
      <c r="G1655" s="482"/>
      <c r="H1655" s="482"/>
      <c r="I1655" s="513" t="s">
        <v>175</v>
      </c>
      <c r="J1655" s="514">
        <f>SUM(J1651:J1654)</f>
        <v>800</v>
      </c>
      <c r="K1655" s="471"/>
    </row>
    <row r="1656" spans="1:11">
      <c r="A1656" s="463"/>
      <c r="B1656" s="515"/>
      <c r="C1656" s="515"/>
      <c r="D1656" s="515"/>
      <c r="E1656" s="515"/>
      <c r="F1656" s="515"/>
      <c r="G1656" s="515"/>
      <c r="H1656" s="515"/>
      <c r="I1656" s="516"/>
      <c r="J1656" s="517"/>
      <c r="K1656" s="471"/>
    </row>
    <row r="1657" spans="1:11" ht="20.399999999999999">
      <c r="A1657" s="463"/>
      <c r="B1657" s="1490" t="s">
        <v>947</v>
      </c>
      <c r="C1657" s="1491"/>
      <c r="D1657" s="1491"/>
      <c r="E1657" s="1492"/>
      <c r="F1657" s="725" t="s">
        <v>688</v>
      </c>
      <c r="G1657" s="853"/>
      <c r="H1657" s="520" t="s">
        <v>427</v>
      </c>
      <c r="I1657" s="521" t="s">
        <v>948</v>
      </c>
      <c r="J1657" s="522" t="s">
        <v>949</v>
      </c>
      <c r="K1657" s="471"/>
    </row>
    <row r="1658" spans="1:11">
      <c r="A1658" s="463"/>
      <c r="B1658" s="523" t="s">
        <v>950</v>
      </c>
      <c r="C1658" s="524"/>
      <c r="D1658" s="525"/>
      <c r="E1658" s="526"/>
      <c r="F1658" s="527"/>
      <c r="G1658" s="528"/>
      <c r="H1658" s="529">
        <f>E1652</f>
        <v>5</v>
      </c>
      <c r="I1658" s="534">
        <f>(VLOOKUP(B1658,'MÃO DE OBRA'!$A:$E,5,FALSE)/220)</f>
        <v>26.714454545454547</v>
      </c>
      <c r="J1658" s="505">
        <f>H1658*I1658</f>
        <v>133.57227272727275</v>
      </c>
      <c r="K1658" s="471"/>
    </row>
    <row r="1659" spans="1:11" ht="20.399999999999999" customHeight="1">
      <c r="A1659" s="463"/>
      <c r="B1659" s="530" t="s">
        <v>472</v>
      </c>
      <c r="C1659" s="531"/>
      <c r="D1659" s="472"/>
      <c r="E1659" s="500"/>
      <c r="F1659" s="501"/>
      <c r="G1659" s="532"/>
      <c r="H1659" s="533">
        <v>1</v>
      </c>
      <c r="I1659" s="534">
        <f>(VLOOKUP(B1659,'MÃO DE OBRA'!$A:$E,5,FALSE)/220)</f>
        <v>18.377072727272729</v>
      </c>
      <c r="J1659" s="505">
        <f>H1659*I1659</f>
        <v>18.377072727272729</v>
      </c>
      <c r="K1659" s="471"/>
    </row>
    <row r="1660" spans="1:11">
      <c r="A1660" s="463"/>
      <c r="B1660" s="530" t="s">
        <v>556</v>
      </c>
      <c r="C1660" s="531"/>
      <c r="D1660" s="472"/>
      <c r="E1660" s="500"/>
      <c r="F1660" s="501"/>
      <c r="G1660" s="532"/>
      <c r="H1660" s="533">
        <f>E1651</f>
        <v>1</v>
      </c>
      <c r="I1660" s="534">
        <f>(VLOOKUP(B1660,'MÃO DE OBRA'!$A:$E,5,FALSE)/220)</f>
        <v>35.988199999999999</v>
      </c>
      <c r="J1660" s="505">
        <f>H1660*I1660</f>
        <v>35.988199999999999</v>
      </c>
      <c r="K1660" s="471"/>
    </row>
    <row r="1661" spans="1:11">
      <c r="A1661" s="463"/>
      <c r="B1661" s="512" t="s">
        <v>946</v>
      </c>
      <c r="C1661" s="515"/>
      <c r="D1661" s="515"/>
      <c r="E1661" s="515"/>
      <c r="F1661" s="515"/>
      <c r="G1661" s="515"/>
      <c r="H1661" s="515"/>
      <c r="I1661" s="535" t="s">
        <v>175</v>
      </c>
      <c r="J1661" s="514">
        <f>SUM(J1658:J1660)</f>
        <v>187.93754545454547</v>
      </c>
      <c r="K1661" s="471"/>
    </row>
    <row r="1662" spans="1:11">
      <c r="A1662" s="463"/>
      <c r="B1662" s="536"/>
      <c r="C1662" s="536"/>
      <c r="D1662" s="536"/>
      <c r="E1662" s="536"/>
      <c r="F1662" s="536"/>
      <c r="G1662" s="536"/>
      <c r="H1662" s="536"/>
      <c r="I1662" s="537"/>
      <c r="J1662" s="536"/>
      <c r="K1662" s="471"/>
    </row>
    <row r="1663" spans="1:11">
      <c r="A1663" s="463"/>
      <c r="B1663" s="538" t="s">
        <v>952</v>
      </c>
      <c r="C1663" s="539"/>
      <c r="D1663" s="536"/>
      <c r="E1663" s="540">
        <v>36.670756198511398</v>
      </c>
      <c r="F1663" s="541" t="s">
        <v>931</v>
      </c>
      <c r="G1663" s="519"/>
      <c r="H1663" s="519"/>
      <c r="I1663" s="542" t="s">
        <v>953</v>
      </c>
      <c r="J1663" s="514">
        <f>J1655+J1661</f>
        <v>987.93754545454544</v>
      </c>
      <c r="K1663" s="471"/>
    </row>
    <row r="1664" spans="1:11">
      <c r="A1664" s="463"/>
      <c r="B1664" s="543"/>
      <c r="C1664" s="536"/>
      <c r="D1664" s="536"/>
      <c r="E1664" s="544"/>
      <c r="F1664" s="545"/>
      <c r="G1664" s="545"/>
      <c r="H1664" s="545"/>
      <c r="I1664" s="537"/>
      <c r="J1664" s="536"/>
      <c r="K1664" s="471"/>
    </row>
    <row r="1665" spans="1:12" ht="20.399999999999999">
      <c r="A1665" s="463"/>
      <c r="B1665" s="1493" t="s">
        <v>362</v>
      </c>
      <c r="C1665" s="1494"/>
      <c r="D1665" s="1494"/>
      <c r="E1665" s="1495"/>
      <c r="F1665" s="546" t="s">
        <v>688</v>
      </c>
      <c r="G1665" s="547" t="s">
        <v>371</v>
      </c>
      <c r="H1665" s="520" t="s">
        <v>942</v>
      </c>
      <c r="I1665" s="548" t="s">
        <v>361</v>
      </c>
      <c r="J1665" s="549" t="s">
        <v>363</v>
      </c>
      <c r="K1665" s="471"/>
    </row>
    <row r="1666" spans="1:12">
      <c r="A1666" s="463"/>
      <c r="B1666" s="557" t="str">
        <f>B1651</f>
        <v>Escavadeira hidráulica sobre esteira 22T</v>
      </c>
      <c r="C1666" s="531"/>
      <c r="D1666" s="531"/>
      <c r="E1666" s="500"/>
      <c r="F1666" s="553" t="str">
        <f>VLOOKUP(B1666,EQUIPAMENTOS!$A:$N,12,FALSE)</f>
        <v>Diesel S10</v>
      </c>
      <c r="G1666" s="554" t="s">
        <v>415</v>
      </c>
      <c r="H1666" s="560">
        <f>VLOOKUP(B1666,EQUIPAMENTOS!$A:$N,13,FALSE)</f>
        <v>0</v>
      </c>
      <c r="I1666" s="556">
        <f>VLOOKUP(B1666,EQUIPAMENTOS!$A:$N,14,FALSE)</f>
        <v>22</v>
      </c>
      <c r="J1666" s="505">
        <f>H1666*I1666*E1651*F1651</f>
        <v>0</v>
      </c>
      <c r="K1666" s="471"/>
    </row>
    <row r="1667" spans="1:12">
      <c r="A1667" s="463"/>
      <c r="B1667" s="557" t="str">
        <f>B1652</f>
        <v>Caminhão basculante 14 m³</v>
      </c>
      <c r="C1667" s="539"/>
      <c r="D1667" s="539"/>
      <c r="E1667" s="507"/>
      <c r="F1667" s="553" t="str">
        <f>VLOOKUP(B1667,EQUIPAMENTOS!$A:$N,12,FALSE)</f>
        <v>Diesel S10</v>
      </c>
      <c r="G1667" s="736" t="s">
        <v>415</v>
      </c>
      <c r="H1667" s="560">
        <f>VLOOKUP(B1667,EQUIPAMENTOS!$A:$N,13,FALSE)</f>
        <v>0</v>
      </c>
      <c r="I1667" s="556">
        <f>VLOOKUP(B1667,EQUIPAMENTOS!$A:$N,14,FALSE)</f>
        <v>2.5</v>
      </c>
      <c r="J1667" s="505">
        <f>H1667*I1667*E1652*F1652</f>
        <v>0</v>
      </c>
      <c r="K1667" s="471"/>
    </row>
    <row r="1668" spans="1:12">
      <c r="A1668" s="463"/>
      <c r="B1668" s="563" t="s">
        <v>946</v>
      </c>
      <c r="C1668" s="539"/>
      <c r="D1668" s="539"/>
      <c r="E1668" s="539"/>
      <c r="F1668" s="536"/>
      <c r="G1668" s="539"/>
      <c r="H1668" s="564"/>
      <c r="I1668" s="565" t="s">
        <v>175</v>
      </c>
      <c r="J1668" s="514">
        <f>SUM(J1666:J1667)</f>
        <v>0</v>
      </c>
      <c r="K1668" s="471"/>
    </row>
    <row r="1669" spans="1:12">
      <c r="A1669" s="463"/>
      <c r="B1669" s="566"/>
      <c r="C1669" s="539"/>
      <c r="D1669" s="539"/>
      <c r="E1669" s="567"/>
      <c r="F1669" s="568"/>
      <c r="G1669" s="519"/>
      <c r="H1669" s="519"/>
      <c r="I1669" s="542"/>
      <c r="J1669" s="567"/>
      <c r="K1669" s="471"/>
    </row>
    <row r="1670" spans="1:12" ht="20.399999999999999">
      <c r="A1670" s="463"/>
      <c r="B1670" s="1493" t="s">
        <v>955</v>
      </c>
      <c r="C1670" s="1494"/>
      <c r="D1670" s="1494"/>
      <c r="E1670" s="1494"/>
      <c r="F1670" s="1495"/>
      <c r="G1670" s="569" t="s">
        <v>372</v>
      </c>
      <c r="H1670" s="519" t="s">
        <v>956</v>
      </c>
      <c r="I1670" s="570" t="s">
        <v>942</v>
      </c>
      <c r="J1670" s="522" t="s">
        <v>363</v>
      </c>
      <c r="K1670" s="471"/>
    </row>
    <row r="1671" spans="1:12">
      <c r="A1671" s="463"/>
      <c r="B1671" s="571"/>
      <c r="C1671" s="572"/>
      <c r="D1671" s="573"/>
      <c r="E1671" s="573"/>
      <c r="F1671" s="574"/>
      <c r="G1671" s="502"/>
      <c r="H1671" s="502"/>
      <c r="I1671" s="575"/>
      <c r="J1671" s="505"/>
      <c r="K1671" s="471"/>
      <c r="L1671" s="6"/>
    </row>
    <row r="1672" spans="1:12">
      <c r="A1672" s="463"/>
      <c r="B1672" s="576"/>
      <c r="C1672" s="577"/>
      <c r="D1672" s="578"/>
      <c r="E1672" s="578"/>
      <c r="F1672" s="579"/>
      <c r="G1672" s="502"/>
      <c r="H1672" s="502"/>
      <c r="I1672" s="575"/>
      <c r="J1672" s="505"/>
      <c r="K1672" s="471"/>
    </row>
    <row r="1673" spans="1:12">
      <c r="A1673" s="463"/>
      <c r="B1673" s="1496" t="s">
        <v>175</v>
      </c>
      <c r="C1673" s="1496"/>
      <c r="D1673" s="1496"/>
      <c r="E1673" s="1496"/>
      <c r="F1673" s="1496"/>
      <c r="G1673" s="1496"/>
      <c r="H1673" s="1496"/>
      <c r="I1673" s="1496"/>
      <c r="J1673" s="514">
        <f>SUM(J1671:J1672)</f>
        <v>0</v>
      </c>
      <c r="K1673" s="471"/>
    </row>
    <row r="1674" spans="1:12">
      <c r="A1674" s="463"/>
      <c r="B1674" s="580"/>
      <c r="C1674" s="524"/>
      <c r="D1674" s="524"/>
      <c r="E1674" s="581"/>
      <c r="F1674" s="582"/>
      <c r="G1674" s="583"/>
      <c r="H1674" s="583"/>
      <c r="I1674" s="584"/>
      <c r="J1674" s="585"/>
      <c r="K1674" s="471"/>
    </row>
    <row r="1675" spans="1:12">
      <c r="A1675" s="463"/>
      <c r="B1675" s="586" t="s">
        <v>957</v>
      </c>
      <c r="C1675" s="586"/>
      <c r="D1675" s="563"/>
      <c r="E1675" s="536"/>
      <c r="F1675" s="536"/>
      <c r="G1675" s="536"/>
      <c r="H1675" s="587"/>
      <c r="I1675" s="588"/>
      <c r="J1675" s="514">
        <f>(J1663+J1668+J1673)/E1663</f>
        <v>26.940746465835069</v>
      </c>
      <c r="K1675" s="471"/>
      <c r="L1675">
        <v>26.940747246807646</v>
      </c>
    </row>
    <row r="1676" spans="1:12">
      <c r="A1676" s="463"/>
      <c r="B1676" s="566"/>
      <c r="C1676" s="539"/>
      <c r="D1676" s="539"/>
      <c r="E1676" s="567"/>
      <c r="F1676" s="568"/>
      <c r="G1676" s="519"/>
      <c r="H1676" s="519"/>
      <c r="I1676" s="542"/>
      <c r="J1676" s="589"/>
      <c r="K1676" s="471"/>
    </row>
    <row r="1677" spans="1:12" ht="20.399999999999999">
      <c r="A1677" s="463"/>
      <c r="B1677" s="1493" t="s">
        <v>958</v>
      </c>
      <c r="C1677" s="1494"/>
      <c r="D1677" s="1494"/>
      <c r="E1677" s="1494"/>
      <c r="F1677" s="1495"/>
      <c r="G1677" s="569" t="s">
        <v>372</v>
      </c>
      <c r="H1677" s="519" t="s">
        <v>956</v>
      </c>
      <c r="I1677" s="570" t="s">
        <v>942</v>
      </c>
      <c r="J1677" s="522" t="s">
        <v>363</v>
      </c>
      <c r="K1677" s="471"/>
    </row>
    <row r="1678" spans="1:12">
      <c r="A1678" s="463"/>
      <c r="B1678" s="571"/>
      <c r="C1678" s="572"/>
      <c r="D1678" s="573"/>
      <c r="E1678" s="573"/>
      <c r="F1678" s="574"/>
      <c r="G1678" s="502"/>
      <c r="H1678" s="502"/>
      <c r="I1678" s="575"/>
      <c r="J1678" s="505">
        <f>G1678*I1678</f>
        <v>0</v>
      </c>
      <c r="K1678" s="471"/>
    </row>
    <row r="1679" spans="1:12">
      <c r="A1679" s="463"/>
      <c r="B1679" s="576"/>
      <c r="C1679" s="577"/>
      <c r="D1679" s="578"/>
      <c r="E1679" s="578"/>
      <c r="F1679" s="579"/>
      <c r="G1679" s="502"/>
      <c r="H1679" s="502"/>
      <c r="I1679" s="575"/>
      <c r="J1679" s="505">
        <f>G1679*I1679</f>
        <v>0</v>
      </c>
      <c r="K1679" s="471"/>
    </row>
    <row r="1680" spans="1:12">
      <c r="A1680" s="463"/>
      <c r="B1680" s="576"/>
      <c r="C1680" s="577"/>
      <c r="D1680" s="578"/>
      <c r="E1680" s="578"/>
      <c r="F1680" s="579"/>
      <c r="G1680" s="502"/>
      <c r="H1680" s="502"/>
      <c r="I1680" s="575"/>
      <c r="J1680" s="505">
        <f>G1680*I1680</f>
        <v>0</v>
      </c>
      <c r="K1680" s="471"/>
    </row>
    <row r="1681" spans="1:11">
      <c r="A1681" s="463"/>
      <c r="B1681" s="590"/>
      <c r="C1681" s="591"/>
      <c r="D1681" s="592"/>
      <c r="E1681" s="592"/>
      <c r="F1681" s="593"/>
      <c r="G1681" s="502"/>
      <c r="H1681" s="502"/>
      <c r="I1681" s="575"/>
      <c r="J1681" s="505">
        <f>G1681*I1681</f>
        <v>0</v>
      </c>
      <c r="K1681" s="471"/>
    </row>
    <row r="1682" spans="1:11">
      <c r="A1682" s="463"/>
      <c r="B1682" s="594"/>
      <c r="C1682" s="536"/>
      <c r="D1682" s="536"/>
      <c r="E1682" s="595"/>
      <c r="F1682" s="596"/>
      <c r="G1682" s="545"/>
      <c r="H1682" s="545"/>
      <c r="I1682" s="537" t="s">
        <v>175</v>
      </c>
      <c r="J1682" s="514">
        <f>SUM(J1678:J1681)</f>
        <v>0</v>
      </c>
      <c r="K1682" s="471"/>
    </row>
    <row r="1683" spans="1:11">
      <c r="A1683" s="463"/>
      <c r="B1683" s="597"/>
      <c r="C1683" s="536"/>
      <c r="D1683" s="536"/>
      <c r="E1683" s="595"/>
      <c r="F1683" s="596"/>
      <c r="G1683" s="545"/>
      <c r="H1683" s="545"/>
      <c r="I1683" s="537"/>
      <c r="J1683" s="595"/>
      <c r="K1683" s="471"/>
    </row>
    <row r="1684" spans="1:11" ht="20.399999999999999">
      <c r="A1684" s="463"/>
      <c r="B1684" s="598" t="s">
        <v>959</v>
      </c>
      <c r="C1684" s="598"/>
      <c r="D1684" s="598"/>
      <c r="E1684" s="599"/>
      <c r="F1684" s="600" t="s">
        <v>372</v>
      </c>
      <c r="G1684" s="569" t="s">
        <v>960</v>
      </c>
      <c r="H1684" s="519" t="s">
        <v>942</v>
      </c>
      <c r="I1684" s="570" t="s">
        <v>361</v>
      </c>
      <c r="J1684" s="522" t="s">
        <v>363</v>
      </c>
      <c r="K1684" s="471"/>
    </row>
    <row r="1685" spans="1:11">
      <c r="A1685" s="463"/>
      <c r="B1685" s="571"/>
      <c r="C1685" s="572"/>
      <c r="D1685" s="573"/>
      <c r="E1685" s="574"/>
      <c r="F1685" s="502"/>
      <c r="G1685" s="502"/>
      <c r="H1685" s="624"/>
      <c r="I1685" s="575"/>
      <c r="J1685" s="505"/>
      <c r="K1685" s="471"/>
    </row>
    <row r="1686" spans="1:11">
      <c r="A1686" s="463"/>
      <c r="B1686" s="590" t="s">
        <v>946</v>
      </c>
      <c r="C1686" s="591"/>
      <c r="D1686" s="592"/>
      <c r="E1686" s="593" t="s">
        <v>946</v>
      </c>
      <c r="F1686" s="509">
        <v>0</v>
      </c>
      <c r="G1686" s="509">
        <v>0</v>
      </c>
      <c r="H1686" s="509">
        <v>0</v>
      </c>
      <c r="I1686" s="601">
        <v>0</v>
      </c>
      <c r="J1686" s="505">
        <f>I1686*H1686*G1686*F1686</f>
        <v>0</v>
      </c>
      <c r="K1686" s="471"/>
    </row>
    <row r="1687" spans="1:11">
      <c r="A1687" s="463"/>
      <c r="B1687" s="594"/>
      <c r="C1687" s="536"/>
      <c r="D1687" s="536"/>
      <c r="E1687" s="595"/>
      <c r="F1687" s="596"/>
      <c r="G1687" s="545"/>
      <c r="H1687" s="545"/>
      <c r="I1687" s="537" t="s">
        <v>175</v>
      </c>
      <c r="J1687" s="514">
        <f>SUM(J1685:J1686)</f>
        <v>0</v>
      </c>
      <c r="K1687" s="471"/>
    </row>
    <row r="1688" spans="1:11">
      <c r="A1688" s="463"/>
      <c r="B1688" s="536"/>
      <c r="C1688" s="536"/>
      <c r="D1688" s="536"/>
      <c r="E1688" s="536"/>
      <c r="F1688" s="536"/>
      <c r="G1688" s="536"/>
      <c r="H1688" s="536"/>
      <c r="I1688" s="537"/>
      <c r="J1688" s="536"/>
      <c r="K1688" s="471"/>
    </row>
    <row r="1689" spans="1:11">
      <c r="A1689" s="463"/>
      <c r="B1689" s="1481" t="s">
        <v>963</v>
      </c>
      <c r="C1689" s="1482"/>
      <c r="D1689" s="1482"/>
      <c r="E1689" s="1482"/>
      <c r="F1689" s="1482"/>
      <c r="G1689" s="1482"/>
      <c r="H1689" s="1482"/>
      <c r="I1689" s="1483"/>
      <c r="J1689" s="586">
        <v>26.940746465835069</v>
      </c>
      <c r="K1689" s="471"/>
    </row>
    <row r="1690" spans="1:11">
      <c r="A1690" s="463"/>
      <c r="B1690" s="524"/>
      <c r="C1690" s="524"/>
      <c r="D1690" s="524"/>
      <c r="E1690" s="524"/>
      <c r="F1690" s="524"/>
      <c r="G1690" s="524"/>
      <c r="H1690" s="524"/>
      <c r="I1690" s="584"/>
      <c r="J1690" s="524"/>
      <c r="K1690" s="471"/>
    </row>
    <row r="1691" spans="1:11">
      <c r="A1691" s="463"/>
      <c r="B1691" s="602"/>
      <c r="C1691" s="572"/>
      <c r="D1691" s="572"/>
      <c r="E1691" s="572"/>
      <c r="F1691" s="572"/>
      <c r="G1691" s="572"/>
      <c r="H1691" s="572"/>
      <c r="I1691" s="572"/>
      <c r="J1691" s="603"/>
      <c r="K1691" s="471"/>
    </row>
    <row r="1692" spans="1:11">
      <c r="A1692" s="463"/>
      <c r="B1692" s="604"/>
      <c r="C1692" s="605"/>
      <c r="D1692" s="606"/>
      <c r="E1692" s="606"/>
      <c r="F1692" s="607" t="s">
        <v>946</v>
      </c>
      <c r="G1692" s="608" t="s">
        <v>946</v>
      </c>
      <c r="H1692" s="605"/>
      <c r="I1692" s="605"/>
      <c r="J1692" s="609"/>
      <c r="K1692" s="471"/>
    </row>
    <row r="1693" spans="1:11">
      <c r="A1693" s="463"/>
      <c r="B1693" s="472"/>
      <c r="C1693" s="472"/>
      <c r="D1693" s="472"/>
      <c r="E1693" s="472"/>
      <c r="F1693" s="472"/>
      <c r="G1693" s="472"/>
      <c r="H1693" s="472"/>
      <c r="I1693" s="472"/>
      <c r="J1693" s="472"/>
      <c r="K1693" s="471"/>
    </row>
    <row r="1694" spans="1:11">
      <c r="A1694" s="463"/>
      <c r="B1694" s="610" t="str">
        <f>PLANEJAMENTO!F2</f>
        <v>OPERAÇÃO DE SUPRESSÃO E SUMP</v>
      </c>
      <c r="C1694" s="611"/>
      <c r="D1694" s="611"/>
      <c r="E1694" s="611"/>
      <c r="F1694" s="612"/>
      <c r="G1694" s="613" t="s">
        <v>363</v>
      </c>
      <c r="H1694" s="515"/>
      <c r="I1694" s="515"/>
      <c r="J1694" s="518"/>
      <c r="K1694" s="471"/>
    </row>
    <row r="1695" spans="1:11">
      <c r="A1695" s="463"/>
      <c r="B1695" s="956" t="str">
        <f>PLANEJAMENTO!F3</f>
        <v>MARA ROSA</v>
      </c>
      <c r="C1695" s="957"/>
      <c r="D1695" s="957"/>
      <c r="E1695" s="957"/>
      <c r="F1695" s="958"/>
      <c r="G1695" s="1484" t="s">
        <v>964</v>
      </c>
      <c r="H1695" s="1485"/>
      <c r="I1695" s="1485"/>
      <c r="J1695" s="1486"/>
      <c r="K1695" s="471"/>
    </row>
    <row r="1696" spans="1:11">
      <c r="A1696" s="463"/>
      <c r="B1696" s="1015"/>
      <c r="C1696" s="587"/>
      <c r="D1696" s="587"/>
      <c r="E1696" s="587"/>
      <c r="F1696" s="587"/>
      <c r="G1696" s="1014"/>
      <c r="H1696" s="1014"/>
      <c r="I1696" s="1014"/>
      <c r="J1696" s="1016"/>
      <c r="K1696" s="471"/>
    </row>
    <row r="1697" spans="1:11" ht="15" thickBot="1">
      <c r="A1697" s="621"/>
      <c r="B1697" s="622"/>
      <c r="C1697" s="622"/>
      <c r="D1697" s="622"/>
      <c r="E1697" s="622"/>
      <c r="F1697" s="622"/>
      <c r="G1697" s="622"/>
      <c r="H1697" s="622"/>
      <c r="I1697" s="622"/>
      <c r="J1697" s="622"/>
      <c r="K1697" s="623"/>
    </row>
    <row r="1698" spans="1:11">
      <c r="A1698" s="463"/>
      <c r="B1698" s="472"/>
      <c r="C1698" s="472"/>
      <c r="D1698" s="472"/>
      <c r="E1698" s="472"/>
      <c r="F1698" s="472"/>
      <c r="G1698" s="472"/>
      <c r="H1698" s="472"/>
      <c r="I1698" s="472"/>
      <c r="J1698" s="472"/>
      <c r="K1698" s="471"/>
    </row>
    <row r="1699" spans="1:11">
      <c r="A1699" s="463"/>
      <c r="B1699" s="464" t="s">
        <v>178</v>
      </c>
      <c r="C1699" s="465"/>
      <c r="D1699" s="466" t="s">
        <v>936</v>
      </c>
      <c r="E1699" s="467"/>
      <c r="F1699" s="468"/>
      <c r="G1699" s="468"/>
      <c r="H1699" s="469"/>
      <c r="I1699" s="469"/>
      <c r="J1699" s="470"/>
      <c r="K1699" s="471"/>
    </row>
    <row r="1700" spans="1:11">
      <c r="A1700" s="463"/>
      <c r="B1700" s="472"/>
      <c r="C1700" s="472"/>
      <c r="D1700" s="472"/>
      <c r="E1700" s="472"/>
      <c r="F1700" s="472"/>
      <c r="G1700" s="472"/>
      <c r="H1700" s="472"/>
      <c r="I1700" s="472"/>
      <c r="J1700" s="472"/>
      <c r="K1700" s="471"/>
    </row>
    <row r="1701" spans="1:11">
      <c r="A1701" s="463"/>
      <c r="B1701" s="473" t="s">
        <v>688</v>
      </c>
      <c r="C1701" s="474" t="s">
        <v>937</v>
      </c>
      <c r="D1701" s="1497" t="s">
        <v>250</v>
      </c>
      <c r="E1701" s="1498"/>
      <c r="F1701" s="1498"/>
      <c r="G1701" s="1498"/>
      <c r="H1701" s="1498"/>
      <c r="I1701" s="1499"/>
      <c r="J1701" s="475" t="s">
        <v>267</v>
      </c>
      <c r="K1701" s="471"/>
    </row>
    <row r="1702" spans="1:11">
      <c r="A1702" s="463"/>
      <c r="B1702" s="476" t="s">
        <v>3</v>
      </c>
      <c r="C1702" s="477">
        <f ca="1">PLANEJAMENTO!F4</f>
        <v>46140</v>
      </c>
      <c r="D1702" s="681" t="s">
        <v>983</v>
      </c>
      <c r="E1702" s="479"/>
      <c r="F1702" s="479"/>
      <c r="G1702" s="479"/>
      <c r="H1702" s="479"/>
      <c r="I1702" s="480"/>
      <c r="J1702" s="481" t="str">
        <f>F1716</f>
        <v>H</v>
      </c>
      <c r="K1702" s="471"/>
    </row>
    <row r="1703" spans="1:11">
      <c r="A1703" s="463"/>
      <c r="B1703" s="482"/>
      <c r="C1703" s="482"/>
      <c r="D1703" s="482"/>
      <c r="E1703" s="482"/>
      <c r="F1703" s="482"/>
      <c r="G1703" s="482"/>
      <c r="H1703" s="482"/>
      <c r="I1703" s="483"/>
      <c r="J1703" s="484"/>
      <c r="K1703" s="471"/>
    </row>
    <row r="1704" spans="1:11">
      <c r="A1704" s="463"/>
      <c r="B1704" s="1484" t="s">
        <v>938</v>
      </c>
      <c r="C1704" s="1486"/>
      <c r="D1704" s="1502" t="s">
        <v>688</v>
      </c>
      <c r="E1704" s="1504" t="s">
        <v>939</v>
      </c>
      <c r="F1704" s="485" t="s">
        <v>940</v>
      </c>
      <c r="G1704" s="486"/>
      <c r="H1704" s="485" t="s">
        <v>941</v>
      </c>
      <c r="I1704" s="486"/>
      <c r="J1704" s="487" t="s">
        <v>942</v>
      </c>
      <c r="K1704" s="471"/>
    </row>
    <row r="1705" spans="1:11">
      <c r="A1705" s="463"/>
      <c r="B1705" s="1500"/>
      <c r="C1705" s="1501"/>
      <c r="D1705" s="1503"/>
      <c r="E1705" s="1505"/>
      <c r="F1705" s="488" t="s">
        <v>943</v>
      </c>
      <c r="G1705" s="488" t="s">
        <v>944</v>
      </c>
      <c r="H1705" s="488" t="s">
        <v>943</v>
      </c>
      <c r="I1705" s="489" t="s">
        <v>944</v>
      </c>
      <c r="J1705" s="490" t="s">
        <v>945</v>
      </c>
      <c r="K1705" s="471"/>
    </row>
    <row r="1706" spans="1:11">
      <c r="A1706" s="463"/>
      <c r="B1706" s="499" t="s">
        <v>1157</v>
      </c>
      <c r="C1706" s="500"/>
      <c r="D1706" s="501"/>
      <c r="E1706" s="502">
        <v>1</v>
      </c>
      <c r="F1706" s="502">
        <v>1</v>
      </c>
      <c r="G1706" s="502">
        <f>1-F1706</f>
        <v>0</v>
      </c>
      <c r="H1706" s="503">
        <f>VLOOKUP(B1706,EQUIPAMENTOS!$A:$J,10,FALSE)</f>
        <v>125</v>
      </c>
      <c r="I1706" s="504">
        <f>H1706</f>
        <v>125</v>
      </c>
      <c r="J1706" s="505">
        <f>H1706*F1706*E1706+I1706*G1706*E1706</f>
        <v>125</v>
      </c>
      <c r="K1706" s="471"/>
    </row>
    <row r="1707" spans="1:11">
      <c r="A1707" s="463"/>
      <c r="B1707" s="499"/>
      <c r="C1707" s="500"/>
      <c r="D1707" s="501"/>
      <c r="E1707" s="502"/>
      <c r="F1707" s="502"/>
      <c r="G1707" s="502"/>
      <c r="H1707" s="503"/>
      <c r="I1707" s="504"/>
      <c r="J1707" s="505"/>
      <c r="K1707" s="471"/>
    </row>
    <row r="1708" spans="1:11">
      <c r="A1708" s="463"/>
      <c r="B1708" s="506"/>
      <c r="C1708" s="507"/>
      <c r="D1708" s="508"/>
      <c r="E1708" s="509"/>
      <c r="F1708" s="509"/>
      <c r="G1708" s="509"/>
      <c r="H1708" s="510"/>
      <c r="I1708" s="511"/>
      <c r="J1708" s="505">
        <f>H1708*F1708*E1708+I1708*G1708*E1708</f>
        <v>0</v>
      </c>
      <c r="K1708" s="471"/>
    </row>
    <row r="1709" spans="1:11">
      <c r="A1709" s="463"/>
      <c r="B1709" s="512" t="s">
        <v>946</v>
      </c>
      <c r="C1709" s="482"/>
      <c r="D1709" s="482"/>
      <c r="E1709" s="482"/>
      <c r="F1709" s="482"/>
      <c r="G1709" s="482"/>
      <c r="H1709" s="482"/>
      <c r="I1709" s="513" t="s">
        <v>175</v>
      </c>
      <c r="J1709" s="514">
        <f>SUM(J1706:J1708)</f>
        <v>125</v>
      </c>
      <c r="K1709" s="471"/>
    </row>
    <row r="1710" spans="1:11">
      <c r="A1710" s="463"/>
      <c r="B1710" s="515"/>
      <c r="C1710" s="515"/>
      <c r="D1710" s="515"/>
      <c r="E1710" s="515"/>
      <c r="F1710" s="515"/>
      <c r="G1710" s="515"/>
      <c r="H1710" s="515"/>
      <c r="I1710" s="516"/>
      <c r="J1710" s="517"/>
      <c r="K1710" s="471"/>
    </row>
    <row r="1711" spans="1:11" ht="20.399999999999999">
      <c r="A1711" s="463"/>
      <c r="B1711" s="1490" t="s">
        <v>947</v>
      </c>
      <c r="C1711" s="1491"/>
      <c r="D1711" s="1491"/>
      <c r="E1711" s="1492"/>
      <c r="F1711" s="725" t="s">
        <v>688</v>
      </c>
      <c r="G1711" s="853"/>
      <c r="H1711" s="520" t="s">
        <v>427</v>
      </c>
      <c r="I1711" s="521" t="s">
        <v>948</v>
      </c>
      <c r="J1711" s="522" t="s">
        <v>949</v>
      </c>
      <c r="K1711" s="471"/>
    </row>
    <row r="1712" spans="1:11">
      <c r="A1712" s="463"/>
      <c r="B1712" s="523"/>
      <c r="C1712" s="524"/>
      <c r="D1712" s="525"/>
      <c r="E1712" s="526"/>
      <c r="F1712" s="527"/>
      <c r="G1712" s="528"/>
      <c r="H1712" s="529"/>
      <c r="I1712" s="534"/>
      <c r="J1712" s="505">
        <f>H1712*I1712</f>
        <v>0</v>
      </c>
      <c r="K1712" s="471"/>
    </row>
    <row r="1713" spans="1:11">
      <c r="A1713" s="463"/>
      <c r="B1713" s="530"/>
      <c r="C1713" s="531"/>
      <c r="D1713" s="472"/>
      <c r="E1713" s="500"/>
      <c r="F1713" s="501"/>
      <c r="G1713" s="532"/>
      <c r="H1713" s="533"/>
      <c r="I1713" s="534"/>
      <c r="J1713" s="505">
        <f>H1713*I1713</f>
        <v>0</v>
      </c>
      <c r="K1713" s="471"/>
    </row>
    <row r="1714" spans="1:11">
      <c r="A1714" s="463"/>
      <c r="B1714" s="512" t="s">
        <v>946</v>
      </c>
      <c r="C1714" s="515"/>
      <c r="D1714" s="515"/>
      <c r="E1714" s="515"/>
      <c r="F1714" s="515"/>
      <c r="G1714" s="515"/>
      <c r="H1714" s="515"/>
      <c r="I1714" s="535" t="s">
        <v>175</v>
      </c>
      <c r="J1714" s="514">
        <f>SUM(J1712:J1713)</f>
        <v>0</v>
      </c>
      <c r="K1714" s="471"/>
    </row>
    <row r="1715" spans="1:11">
      <c r="A1715" s="463"/>
      <c r="B1715" s="536"/>
      <c r="C1715" s="536"/>
      <c r="D1715" s="536"/>
      <c r="E1715" s="536"/>
      <c r="F1715" s="536"/>
      <c r="G1715" s="536"/>
      <c r="H1715" s="536"/>
      <c r="I1715" s="537"/>
      <c r="J1715" s="536"/>
      <c r="K1715" s="471"/>
    </row>
    <row r="1716" spans="1:11">
      <c r="A1716" s="463"/>
      <c r="B1716" s="538" t="s">
        <v>952</v>
      </c>
      <c r="C1716" s="539"/>
      <c r="D1716" s="536"/>
      <c r="E1716" s="540">
        <v>0.55000000000000004</v>
      </c>
      <c r="F1716" s="541" t="s">
        <v>1466</v>
      </c>
      <c r="G1716" s="519"/>
      <c r="H1716" s="519"/>
      <c r="I1716" s="542" t="s">
        <v>953</v>
      </c>
      <c r="J1716" s="514">
        <f>J1709+J1714</f>
        <v>125</v>
      </c>
      <c r="K1716" s="471"/>
    </row>
    <row r="1717" spans="1:11">
      <c r="A1717" s="463"/>
      <c r="B1717" s="543"/>
      <c r="C1717" s="536"/>
      <c r="D1717" s="536"/>
      <c r="E1717" s="544"/>
      <c r="F1717" s="545"/>
      <c r="G1717" s="545"/>
      <c r="H1717" s="545"/>
      <c r="I1717" s="537"/>
      <c r="J1717" s="536"/>
      <c r="K1717" s="471"/>
    </row>
    <row r="1718" spans="1:11" ht="20.399999999999999">
      <c r="A1718" s="463"/>
      <c r="B1718" s="1493" t="s">
        <v>362</v>
      </c>
      <c r="C1718" s="1494"/>
      <c r="D1718" s="1494"/>
      <c r="E1718" s="1495"/>
      <c r="F1718" s="546" t="s">
        <v>688</v>
      </c>
      <c r="G1718" s="547" t="s">
        <v>371</v>
      </c>
      <c r="H1718" s="520" t="s">
        <v>942</v>
      </c>
      <c r="I1718" s="548" t="s">
        <v>361</v>
      </c>
      <c r="J1718" s="549" t="s">
        <v>363</v>
      </c>
      <c r="K1718" s="471"/>
    </row>
    <row r="1719" spans="1:11">
      <c r="A1719" s="463"/>
      <c r="B1719" s="557" t="str">
        <f>B1706</f>
        <v>Caminhão basculante 14 m³</v>
      </c>
      <c r="C1719" s="539"/>
      <c r="D1719" s="539"/>
      <c r="E1719" s="507"/>
      <c r="F1719" s="553" t="str">
        <f>VLOOKUP(B1719,EQUIPAMENTOS!$A:$N,12,FALSE)</f>
        <v>Diesel S10</v>
      </c>
      <c r="G1719" s="736" t="s">
        <v>415</v>
      </c>
      <c r="H1719" s="560">
        <v>7.99</v>
      </c>
      <c r="I1719" s="556">
        <f>VLOOKUP(B1719,EQUIPAMENTOS!$A:$N,14,FALSE)</f>
        <v>2.5</v>
      </c>
      <c r="J1719" s="505">
        <f>H1719*I1719*E1706*F1706</f>
        <v>19.975000000000001</v>
      </c>
      <c r="K1719" s="471"/>
    </row>
    <row r="1720" spans="1:11">
      <c r="A1720" s="463"/>
      <c r="B1720" s="563" t="s">
        <v>946</v>
      </c>
      <c r="C1720" s="539"/>
      <c r="D1720" s="539"/>
      <c r="E1720" s="539"/>
      <c r="F1720" s="536"/>
      <c r="G1720" s="539"/>
      <c r="H1720" s="564"/>
      <c r="I1720" s="565" t="s">
        <v>175</v>
      </c>
      <c r="J1720" s="514">
        <f>SUM(J1719:J1719)</f>
        <v>19.975000000000001</v>
      </c>
      <c r="K1720" s="471"/>
    </row>
    <row r="1721" spans="1:11">
      <c r="A1721" s="463"/>
      <c r="B1721" s="566"/>
      <c r="C1721" s="539"/>
      <c r="D1721" s="539"/>
      <c r="E1721" s="567"/>
      <c r="F1721" s="568"/>
      <c r="G1721" s="519"/>
      <c r="H1721" s="519"/>
      <c r="I1721" s="542"/>
      <c r="J1721" s="567"/>
      <c r="K1721" s="471"/>
    </row>
    <row r="1722" spans="1:11" ht="20.399999999999999">
      <c r="A1722" s="463"/>
      <c r="B1722" s="1493" t="s">
        <v>955</v>
      </c>
      <c r="C1722" s="1494"/>
      <c r="D1722" s="1494"/>
      <c r="E1722" s="1494"/>
      <c r="F1722" s="1495"/>
      <c r="G1722" s="569" t="s">
        <v>372</v>
      </c>
      <c r="H1722" s="519" t="s">
        <v>956</v>
      </c>
      <c r="I1722" s="570" t="s">
        <v>942</v>
      </c>
      <c r="J1722" s="522" t="s">
        <v>363</v>
      </c>
      <c r="K1722" s="471"/>
    </row>
    <row r="1723" spans="1:11">
      <c r="A1723" s="463"/>
      <c r="B1723" s="571"/>
      <c r="C1723" s="572"/>
      <c r="D1723" s="573"/>
      <c r="E1723" s="573"/>
      <c r="F1723" s="574"/>
      <c r="G1723" s="502"/>
      <c r="H1723" s="502"/>
      <c r="I1723" s="575"/>
      <c r="J1723" s="505"/>
      <c r="K1723" s="471"/>
    </row>
    <row r="1724" spans="1:11">
      <c r="A1724" s="463"/>
      <c r="B1724" s="576"/>
      <c r="C1724" s="577"/>
      <c r="D1724" s="578"/>
      <c r="E1724" s="578"/>
      <c r="F1724" s="579"/>
      <c r="G1724" s="502"/>
      <c r="H1724" s="502"/>
      <c r="I1724" s="575"/>
      <c r="J1724" s="505"/>
      <c r="K1724" s="471"/>
    </row>
    <row r="1725" spans="1:11">
      <c r="A1725" s="463"/>
      <c r="B1725" s="1496" t="s">
        <v>175</v>
      </c>
      <c r="C1725" s="1496"/>
      <c r="D1725" s="1496"/>
      <c r="E1725" s="1496"/>
      <c r="F1725" s="1496"/>
      <c r="G1725" s="1496"/>
      <c r="H1725" s="1496"/>
      <c r="I1725" s="1496"/>
      <c r="J1725" s="514">
        <f>SUM(J1723:J1724)</f>
        <v>0</v>
      </c>
      <c r="K1725" s="471"/>
    </row>
    <row r="1726" spans="1:11">
      <c r="A1726" s="463"/>
      <c r="B1726" s="580"/>
      <c r="C1726" s="524"/>
      <c r="D1726" s="524"/>
      <c r="E1726" s="581"/>
      <c r="F1726" s="582"/>
      <c r="G1726" s="583"/>
      <c r="H1726" s="583"/>
      <c r="I1726" s="584"/>
      <c r="J1726" s="585"/>
      <c r="K1726" s="471"/>
    </row>
    <row r="1727" spans="1:11">
      <c r="A1727" s="463"/>
      <c r="B1727" s="586" t="s">
        <v>957</v>
      </c>
      <c r="C1727" s="586"/>
      <c r="D1727" s="563"/>
      <c r="E1727" s="536"/>
      <c r="F1727" s="536"/>
      <c r="G1727" s="536"/>
      <c r="H1727" s="587"/>
      <c r="I1727" s="588"/>
      <c r="J1727" s="514">
        <f>(J1716+J1720+J1725)/E1716</f>
        <v>263.59090909090907</v>
      </c>
      <c r="K1727" s="471"/>
    </row>
    <row r="1728" spans="1:11">
      <c r="A1728" s="463"/>
      <c r="B1728" s="566"/>
      <c r="C1728" s="539"/>
      <c r="D1728" s="539"/>
      <c r="E1728" s="567"/>
      <c r="F1728" s="568"/>
      <c r="G1728" s="519"/>
      <c r="H1728" s="519"/>
      <c r="I1728" s="542"/>
      <c r="J1728" s="589"/>
      <c r="K1728" s="471"/>
    </row>
    <row r="1729" spans="1:12" ht="20.399999999999999">
      <c r="A1729" s="463"/>
      <c r="B1729" s="1493" t="s">
        <v>958</v>
      </c>
      <c r="C1729" s="1494"/>
      <c r="D1729" s="1494"/>
      <c r="E1729" s="1494"/>
      <c r="F1729" s="1495"/>
      <c r="G1729" s="569" t="s">
        <v>372</v>
      </c>
      <c r="H1729" s="519" t="s">
        <v>956</v>
      </c>
      <c r="I1729" s="570" t="s">
        <v>942</v>
      </c>
      <c r="J1729" s="522" t="s">
        <v>363</v>
      </c>
      <c r="K1729" s="471"/>
    </row>
    <row r="1730" spans="1:12">
      <c r="A1730" s="463"/>
      <c r="B1730" s="571" t="s">
        <v>1504</v>
      </c>
      <c r="C1730" s="572"/>
      <c r="D1730" s="573"/>
      <c r="E1730" s="573"/>
      <c r="F1730" s="574"/>
      <c r="G1730" s="502">
        <v>1</v>
      </c>
      <c r="H1730" s="502" t="s">
        <v>1007</v>
      </c>
      <c r="I1730" s="575">
        <f>J1720*0.15+2.99992</f>
        <v>5.9961700000000002</v>
      </c>
      <c r="J1730" s="505">
        <f>G1730*I1730</f>
        <v>5.9961700000000002</v>
      </c>
      <c r="K1730" s="471"/>
      <c r="L1730" s="1031"/>
    </row>
    <row r="1731" spans="1:12">
      <c r="A1731" s="463"/>
      <c r="B1731" s="576" t="s">
        <v>1505</v>
      </c>
      <c r="C1731" s="577"/>
      <c r="D1731" s="578"/>
      <c r="E1731" s="578"/>
      <c r="F1731" s="579"/>
      <c r="G1731" s="502">
        <v>1</v>
      </c>
      <c r="H1731" s="502" t="s">
        <v>1007</v>
      </c>
      <c r="I1731" s="575">
        <f>J1720*0.375+12</f>
        <v>19.490625000000001</v>
      </c>
      <c r="J1731" s="505">
        <f>G1731*I1731</f>
        <v>19.490625000000001</v>
      </c>
      <c r="K1731" s="471"/>
    </row>
    <row r="1732" spans="1:12">
      <c r="A1732" s="463"/>
      <c r="B1732" s="576" t="s">
        <v>1506</v>
      </c>
      <c r="C1732" s="577"/>
      <c r="D1732" s="578"/>
      <c r="E1732" s="578"/>
      <c r="F1732" s="579"/>
      <c r="G1732" s="502">
        <v>1</v>
      </c>
      <c r="H1732" s="502" t="s">
        <v>1007</v>
      </c>
      <c r="I1732" s="575">
        <f>J1720*0.06+1.9</f>
        <v>3.0985</v>
      </c>
      <c r="J1732" s="505">
        <f>G1732*I1732</f>
        <v>3.0985</v>
      </c>
      <c r="K1732" s="471"/>
    </row>
    <row r="1733" spans="1:12">
      <c r="A1733" s="463"/>
      <c r="B1733" s="590"/>
      <c r="C1733" s="591"/>
      <c r="D1733" s="592"/>
      <c r="E1733" s="592"/>
      <c r="F1733" s="593"/>
      <c r="G1733" s="502"/>
      <c r="H1733" s="502"/>
      <c r="I1733" s="575"/>
      <c r="J1733" s="505">
        <f>G1733*I1733</f>
        <v>0</v>
      </c>
      <c r="K1733" s="471"/>
    </row>
    <row r="1734" spans="1:12">
      <c r="A1734" s="463"/>
      <c r="B1734" s="594"/>
      <c r="C1734" s="536"/>
      <c r="D1734" s="536"/>
      <c r="E1734" s="595"/>
      <c r="F1734" s="596"/>
      <c r="G1734" s="545"/>
      <c r="H1734" s="545"/>
      <c r="I1734" s="537" t="s">
        <v>175</v>
      </c>
      <c r="J1734" s="514">
        <f>SUM(J1730:J1733)</f>
        <v>28.585295000000002</v>
      </c>
      <c r="K1734" s="471"/>
    </row>
    <row r="1735" spans="1:12">
      <c r="A1735" s="463"/>
      <c r="B1735" s="597"/>
      <c r="C1735" s="536"/>
      <c r="D1735" s="536"/>
      <c r="E1735" s="595"/>
      <c r="F1735" s="596"/>
      <c r="G1735" s="545"/>
      <c r="H1735" s="545"/>
      <c r="I1735" s="537"/>
      <c r="J1735" s="595"/>
      <c r="K1735" s="471"/>
    </row>
    <row r="1736" spans="1:12" ht="20.399999999999999">
      <c r="A1736" s="463"/>
      <c r="B1736" s="598" t="s">
        <v>959</v>
      </c>
      <c r="C1736" s="598"/>
      <c r="D1736" s="598"/>
      <c r="E1736" s="599"/>
      <c r="F1736" s="600" t="s">
        <v>372</v>
      </c>
      <c r="G1736" s="569" t="s">
        <v>960</v>
      </c>
      <c r="H1736" s="519" t="s">
        <v>942</v>
      </c>
      <c r="I1736" s="570" t="s">
        <v>361</v>
      </c>
      <c r="J1736" s="522" t="s">
        <v>363</v>
      </c>
      <c r="K1736" s="471"/>
    </row>
    <row r="1737" spans="1:12">
      <c r="A1737" s="463"/>
      <c r="B1737" s="571"/>
      <c r="C1737" s="572"/>
      <c r="D1737" s="573"/>
      <c r="E1737" s="574"/>
      <c r="F1737" s="502"/>
      <c r="G1737" s="502"/>
      <c r="H1737" s="624"/>
      <c r="I1737" s="575"/>
      <c r="J1737" s="505"/>
      <c r="K1737" s="471"/>
    </row>
    <row r="1738" spans="1:12">
      <c r="A1738" s="463"/>
      <c r="B1738" s="590" t="s">
        <v>946</v>
      </c>
      <c r="C1738" s="591"/>
      <c r="D1738" s="592"/>
      <c r="E1738" s="593" t="s">
        <v>946</v>
      </c>
      <c r="F1738" s="509">
        <v>0</v>
      </c>
      <c r="G1738" s="509">
        <v>0</v>
      </c>
      <c r="H1738" s="509">
        <v>0</v>
      </c>
      <c r="I1738" s="601">
        <v>0</v>
      </c>
      <c r="J1738" s="505">
        <f>I1738*H1738*G1738*F1738</f>
        <v>0</v>
      </c>
      <c r="K1738" s="471"/>
    </row>
    <row r="1739" spans="1:12">
      <c r="A1739" s="463"/>
      <c r="B1739" s="594"/>
      <c r="C1739" s="536"/>
      <c r="D1739" s="536"/>
      <c r="E1739" s="595"/>
      <c r="F1739" s="596"/>
      <c r="G1739" s="545"/>
      <c r="H1739" s="545"/>
      <c r="I1739" s="537" t="s">
        <v>175</v>
      </c>
      <c r="J1739" s="514">
        <f>SUM(J1737:J1738)</f>
        <v>0</v>
      </c>
      <c r="K1739" s="471"/>
    </row>
    <row r="1740" spans="1:12">
      <c r="A1740" s="463"/>
      <c r="B1740" s="536"/>
      <c r="C1740" s="536"/>
      <c r="D1740" s="536"/>
      <c r="E1740" s="536"/>
      <c r="F1740" s="536"/>
      <c r="G1740" s="536"/>
      <c r="H1740" s="536"/>
      <c r="I1740" s="537"/>
      <c r="J1740" s="536"/>
      <c r="K1740" s="471"/>
    </row>
    <row r="1741" spans="1:12">
      <c r="A1741" s="463"/>
      <c r="B1741" s="1481" t="s">
        <v>963</v>
      </c>
      <c r="C1741" s="1482"/>
      <c r="D1741" s="1482"/>
      <c r="E1741" s="1482"/>
      <c r="F1741" s="1482"/>
      <c r="G1741" s="1482"/>
      <c r="H1741" s="1482"/>
      <c r="I1741" s="1483"/>
      <c r="J1741" s="586">
        <f>J1727+J1734</f>
        <v>292.1762040909091</v>
      </c>
      <c r="K1741" s="471"/>
      <c r="L1741">
        <v>292.17620431051955</v>
      </c>
    </row>
    <row r="1742" spans="1:12">
      <c r="A1742" s="463"/>
      <c r="B1742" s="524"/>
      <c r="C1742" s="524"/>
      <c r="D1742" s="524"/>
      <c r="E1742" s="524"/>
      <c r="F1742" s="524"/>
      <c r="G1742" s="524"/>
      <c r="H1742" s="524"/>
      <c r="I1742" s="584"/>
      <c r="J1742" s="524"/>
      <c r="K1742" s="471"/>
    </row>
    <row r="1743" spans="1:12">
      <c r="A1743" s="463"/>
      <c r="B1743" s="602"/>
      <c r="C1743" s="572"/>
      <c r="D1743" s="572"/>
      <c r="E1743" s="572"/>
      <c r="F1743" s="572"/>
      <c r="G1743" s="572"/>
      <c r="H1743" s="572"/>
      <c r="I1743" s="572"/>
      <c r="J1743" s="603"/>
      <c r="K1743" s="471"/>
    </row>
    <row r="1744" spans="1:12">
      <c r="A1744" s="463"/>
      <c r="B1744" s="604"/>
      <c r="C1744" s="605"/>
      <c r="D1744" s="606"/>
      <c r="E1744" s="606"/>
      <c r="F1744" s="607" t="s">
        <v>946</v>
      </c>
      <c r="G1744" s="608" t="s">
        <v>946</v>
      </c>
      <c r="H1744" s="605"/>
      <c r="I1744" s="605"/>
      <c r="J1744" s="609"/>
      <c r="K1744" s="471"/>
    </row>
    <row r="1745" spans="1:11">
      <c r="A1745" s="463"/>
      <c r="B1745" s="472"/>
      <c r="C1745" s="472"/>
      <c r="D1745" s="472"/>
      <c r="E1745" s="472"/>
      <c r="F1745" s="472"/>
      <c r="G1745" s="472"/>
      <c r="H1745" s="472"/>
      <c r="I1745" s="472"/>
      <c r="J1745" s="472"/>
      <c r="K1745" s="471"/>
    </row>
    <row r="1746" spans="1:11">
      <c r="A1746" s="463"/>
      <c r="B1746" s="610" t="str">
        <f>PLANEJAMENTO!F2</f>
        <v>OPERAÇÃO DE SUPRESSÃO E SUMP</v>
      </c>
      <c r="C1746" s="611"/>
      <c r="D1746" s="611"/>
      <c r="E1746" s="611"/>
      <c r="F1746" s="612"/>
      <c r="G1746" s="613" t="s">
        <v>363</v>
      </c>
      <c r="H1746" s="515"/>
      <c r="I1746" s="515"/>
      <c r="J1746" s="518"/>
      <c r="K1746" s="471"/>
    </row>
    <row r="1747" spans="1:11">
      <c r="A1747" s="463"/>
      <c r="B1747" s="956" t="str">
        <f>PLANEJAMENTO!F3</f>
        <v>MARA ROSA</v>
      </c>
      <c r="C1747" s="957"/>
      <c r="D1747" s="957"/>
      <c r="E1747" s="957"/>
      <c r="F1747" s="958"/>
      <c r="G1747" s="1484" t="s">
        <v>964</v>
      </c>
      <c r="H1747" s="1485"/>
      <c r="I1747" s="1485"/>
      <c r="J1747" s="1486"/>
      <c r="K1747" s="471"/>
    </row>
    <row r="1748" spans="1:11">
      <c r="A1748" s="463"/>
      <c r="B1748" s="1015"/>
      <c r="C1748" s="587"/>
      <c r="D1748" s="587"/>
      <c r="E1748" s="587"/>
      <c r="F1748" s="587"/>
      <c r="G1748" s="1014"/>
      <c r="H1748" s="1014"/>
      <c r="I1748" s="1014"/>
      <c r="J1748" s="1016"/>
      <c r="K1748" s="471"/>
    </row>
    <row r="1749" spans="1:11">
      <c r="A1749" s="463"/>
      <c r="B1749" s="472"/>
      <c r="C1749" s="472"/>
      <c r="D1749" s="472"/>
      <c r="E1749" s="472"/>
      <c r="F1749" s="472"/>
      <c r="G1749" s="472"/>
      <c r="H1749" s="472"/>
      <c r="I1749" s="472"/>
      <c r="J1749" s="472"/>
      <c r="K1749" s="471"/>
    </row>
    <row r="1750" spans="1:11">
      <c r="A1750" s="463"/>
      <c r="B1750" s="472"/>
      <c r="C1750" s="472"/>
      <c r="D1750" s="472"/>
      <c r="E1750" s="472"/>
      <c r="F1750" s="472"/>
      <c r="G1750" s="472"/>
      <c r="H1750" s="472"/>
      <c r="I1750" s="472"/>
      <c r="J1750" s="472"/>
      <c r="K1750" s="471"/>
    </row>
    <row r="1751" spans="1:11">
      <c r="A1751" s="463"/>
      <c r="B1751" s="464" t="s">
        <v>178</v>
      </c>
      <c r="C1751" s="465"/>
      <c r="D1751" s="466" t="s">
        <v>936</v>
      </c>
      <c r="E1751" s="467"/>
      <c r="F1751" s="468"/>
      <c r="G1751" s="468"/>
      <c r="H1751" s="469"/>
      <c r="I1751" s="469"/>
      <c r="J1751" s="470"/>
      <c r="K1751" s="471"/>
    </row>
    <row r="1752" spans="1:11">
      <c r="A1752" s="463"/>
      <c r="B1752" s="472"/>
      <c r="C1752" s="472"/>
      <c r="D1752" s="472"/>
      <c r="E1752" s="472"/>
      <c r="F1752" s="472"/>
      <c r="G1752" s="472"/>
      <c r="H1752" s="472"/>
      <c r="I1752" s="472"/>
      <c r="J1752" s="472"/>
      <c r="K1752" s="471"/>
    </row>
    <row r="1753" spans="1:11">
      <c r="A1753" s="463"/>
      <c r="B1753" s="473" t="s">
        <v>688</v>
      </c>
      <c r="C1753" s="474" t="s">
        <v>937</v>
      </c>
      <c r="D1753" s="1497" t="s">
        <v>250</v>
      </c>
      <c r="E1753" s="1498"/>
      <c r="F1753" s="1498"/>
      <c r="G1753" s="1498"/>
      <c r="H1753" s="1498"/>
      <c r="I1753" s="1499"/>
      <c r="J1753" s="475" t="s">
        <v>267</v>
      </c>
      <c r="K1753" s="471"/>
    </row>
    <row r="1754" spans="1:11">
      <c r="A1754" s="463"/>
      <c r="B1754" s="476" t="s">
        <v>3</v>
      </c>
      <c r="C1754" s="477">
        <f ca="1">PLANEJAMENTO!F4</f>
        <v>46140</v>
      </c>
      <c r="D1754" s="681" t="s">
        <v>1503</v>
      </c>
      <c r="E1754" s="479"/>
      <c r="F1754" s="479"/>
      <c r="G1754" s="479"/>
      <c r="H1754" s="479"/>
      <c r="I1754" s="480"/>
      <c r="J1754" s="481" t="str">
        <f>F1768</f>
        <v>H</v>
      </c>
      <c r="K1754" s="471"/>
    </row>
    <row r="1755" spans="1:11">
      <c r="A1755" s="463"/>
      <c r="B1755" s="482"/>
      <c r="C1755" s="482"/>
      <c r="D1755" s="482"/>
      <c r="E1755" s="482"/>
      <c r="F1755" s="482"/>
      <c r="G1755" s="482"/>
      <c r="H1755" s="482"/>
      <c r="I1755" s="483"/>
      <c r="J1755" s="484"/>
      <c r="K1755" s="471"/>
    </row>
    <row r="1756" spans="1:11">
      <c r="A1756" s="463"/>
      <c r="B1756" s="1484" t="s">
        <v>938</v>
      </c>
      <c r="C1756" s="1486"/>
      <c r="D1756" s="1502" t="s">
        <v>688</v>
      </c>
      <c r="E1756" s="1504" t="s">
        <v>939</v>
      </c>
      <c r="F1756" s="485" t="s">
        <v>940</v>
      </c>
      <c r="G1756" s="486"/>
      <c r="H1756" s="485" t="s">
        <v>941</v>
      </c>
      <c r="I1756" s="486"/>
      <c r="J1756" s="487" t="s">
        <v>942</v>
      </c>
      <c r="K1756" s="471"/>
    </row>
    <row r="1757" spans="1:11">
      <c r="A1757" s="463"/>
      <c r="B1757" s="1500"/>
      <c r="C1757" s="1501"/>
      <c r="D1757" s="1503"/>
      <c r="E1757" s="1505"/>
      <c r="F1757" s="488" t="s">
        <v>943</v>
      </c>
      <c r="G1757" s="488" t="s">
        <v>944</v>
      </c>
      <c r="H1757" s="488" t="s">
        <v>943</v>
      </c>
      <c r="I1757" s="489" t="s">
        <v>944</v>
      </c>
      <c r="J1757" s="490" t="s">
        <v>945</v>
      </c>
      <c r="K1757" s="471"/>
    </row>
    <row r="1758" spans="1:11">
      <c r="A1758" s="463"/>
      <c r="B1758" s="499" t="s">
        <v>631</v>
      </c>
      <c r="C1758" s="500"/>
      <c r="D1758" s="501"/>
      <c r="E1758" s="502">
        <v>1</v>
      </c>
      <c r="F1758" s="502">
        <v>1</v>
      </c>
      <c r="G1758" s="502">
        <f>1-F1758</f>
        <v>0</v>
      </c>
      <c r="H1758" s="503">
        <f>VLOOKUP(B1758,EQUIPAMENTOS!$A:$J,10,FALSE)</f>
        <v>175</v>
      </c>
      <c r="I1758" s="504">
        <f>H1758</f>
        <v>175</v>
      </c>
      <c r="J1758" s="505">
        <f>H1758*F1758*E1758+I1758*G1758*E1758</f>
        <v>175</v>
      </c>
      <c r="K1758" s="471"/>
    </row>
    <row r="1759" spans="1:11">
      <c r="A1759" s="463"/>
      <c r="B1759" s="499"/>
      <c r="C1759" s="500"/>
      <c r="D1759" s="501"/>
      <c r="E1759" s="502"/>
      <c r="F1759" s="502"/>
      <c r="G1759" s="502"/>
      <c r="H1759" s="503"/>
      <c r="I1759" s="504"/>
      <c r="J1759" s="505"/>
      <c r="K1759" s="471"/>
    </row>
    <row r="1760" spans="1:11">
      <c r="A1760" s="463"/>
      <c r="B1760" s="506"/>
      <c r="C1760" s="507"/>
      <c r="D1760" s="508"/>
      <c r="E1760" s="509"/>
      <c r="F1760" s="509"/>
      <c r="G1760" s="509"/>
      <c r="H1760" s="510"/>
      <c r="I1760" s="511"/>
      <c r="J1760" s="505">
        <f>H1760*F1760*E1760+I1760*G1760*E1760</f>
        <v>0</v>
      </c>
      <c r="K1760" s="471"/>
    </row>
    <row r="1761" spans="1:11">
      <c r="A1761" s="463"/>
      <c r="B1761" s="512" t="s">
        <v>946</v>
      </c>
      <c r="C1761" s="482"/>
      <c r="D1761" s="482"/>
      <c r="E1761" s="482"/>
      <c r="F1761" s="482"/>
      <c r="G1761" s="482"/>
      <c r="H1761" s="482"/>
      <c r="I1761" s="513" t="s">
        <v>175</v>
      </c>
      <c r="J1761" s="514">
        <f>SUM(J1758:J1760)</f>
        <v>175</v>
      </c>
      <c r="K1761" s="471"/>
    </row>
    <row r="1762" spans="1:11">
      <c r="A1762" s="463"/>
      <c r="B1762" s="515"/>
      <c r="C1762" s="515"/>
      <c r="D1762" s="515"/>
      <c r="E1762" s="515"/>
      <c r="F1762" s="515"/>
      <c r="G1762" s="515"/>
      <c r="H1762" s="515"/>
      <c r="I1762" s="516"/>
      <c r="J1762" s="517"/>
      <c r="K1762" s="471"/>
    </row>
    <row r="1763" spans="1:11" ht="20.399999999999999">
      <c r="A1763" s="463"/>
      <c r="B1763" s="1490" t="s">
        <v>947</v>
      </c>
      <c r="C1763" s="1491"/>
      <c r="D1763" s="1491"/>
      <c r="E1763" s="1492"/>
      <c r="F1763" s="725" t="s">
        <v>688</v>
      </c>
      <c r="G1763" s="853"/>
      <c r="H1763" s="520" t="s">
        <v>427</v>
      </c>
      <c r="I1763" s="521" t="s">
        <v>948</v>
      </c>
      <c r="J1763" s="522" t="s">
        <v>949</v>
      </c>
      <c r="K1763" s="471"/>
    </row>
    <row r="1764" spans="1:11">
      <c r="A1764" s="463"/>
      <c r="B1764" s="523" t="s">
        <v>556</v>
      </c>
      <c r="C1764" s="524"/>
      <c r="D1764" s="525"/>
      <c r="E1764" s="526"/>
      <c r="F1764" s="527"/>
      <c r="G1764" s="528"/>
      <c r="H1764" s="529"/>
      <c r="I1764" s="534"/>
      <c r="J1764" s="505">
        <f>H1764*I1764</f>
        <v>0</v>
      </c>
      <c r="K1764" s="471"/>
    </row>
    <row r="1765" spans="1:11">
      <c r="A1765" s="463"/>
      <c r="B1765" s="530"/>
      <c r="C1765" s="531"/>
      <c r="D1765" s="472"/>
      <c r="E1765" s="500"/>
      <c r="F1765" s="501"/>
      <c r="G1765" s="532"/>
      <c r="H1765" s="533"/>
      <c r="I1765" s="534"/>
      <c r="J1765" s="505">
        <f>H1765*I1765</f>
        <v>0</v>
      </c>
      <c r="K1765" s="471"/>
    </row>
    <row r="1766" spans="1:11">
      <c r="A1766" s="463"/>
      <c r="B1766" s="512" t="s">
        <v>946</v>
      </c>
      <c r="C1766" s="515"/>
      <c r="D1766" s="515"/>
      <c r="E1766" s="515"/>
      <c r="F1766" s="515"/>
      <c r="G1766" s="515"/>
      <c r="H1766" s="515"/>
      <c r="I1766" s="535" t="s">
        <v>175</v>
      </c>
      <c r="J1766" s="514">
        <f>SUM(J1764:J1765)</f>
        <v>0</v>
      </c>
      <c r="K1766" s="471"/>
    </row>
    <row r="1767" spans="1:11">
      <c r="A1767" s="463"/>
      <c r="B1767" s="536"/>
      <c r="C1767" s="536"/>
      <c r="D1767" s="536"/>
      <c r="E1767" s="536"/>
      <c r="F1767" s="536"/>
      <c r="G1767" s="536"/>
      <c r="H1767" s="536"/>
      <c r="I1767" s="537"/>
      <c r="J1767" s="536"/>
      <c r="K1767" s="471"/>
    </row>
    <row r="1768" spans="1:11">
      <c r="A1768" s="463"/>
      <c r="B1768" s="538" t="s">
        <v>952</v>
      </c>
      <c r="C1768" s="539"/>
      <c r="D1768" s="536"/>
      <c r="E1768" s="540">
        <v>1.8</v>
      </c>
      <c r="F1768" s="541" t="s">
        <v>1466</v>
      </c>
      <c r="G1768" s="519"/>
      <c r="H1768" s="519"/>
      <c r="I1768" s="542" t="s">
        <v>953</v>
      </c>
      <c r="J1768" s="514">
        <f>J1761+J1766</f>
        <v>175</v>
      </c>
      <c r="K1768" s="471"/>
    </row>
    <row r="1769" spans="1:11">
      <c r="A1769" s="463"/>
      <c r="B1769" s="543"/>
      <c r="C1769" s="536"/>
      <c r="D1769" s="536"/>
      <c r="E1769" s="544"/>
      <c r="F1769" s="545"/>
      <c r="G1769" s="545"/>
      <c r="H1769" s="545"/>
      <c r="I1769" s="537"/>
      <c r="J1769" s="536"/>
      <c r="K1769" s="471"/>
    </row>
    <row r="1770" spans="1:11" ht="20.399999999999999">
      <c r="A1770" s="463"/>
      <c r="B1770" s="1493" t="s">
        <v>362</v>
      </c>
      <c r="C1770" s="1494"/>
      <c r="D1770" s="1494"/>
      <c r="E1770" s="1495"/>
      <c r="F1770" s="546" t="s">
        <v>688</v>
      </c>
      <c r="G1770" s="547" t="s">
        <v>371</v>
      </c>
      <c r="H1770" s="520" t="s">
        <v>942</v>
      </c>
      <c r="I1770" s="548" t="s">
        <v>361</v>
      </c>
      <c r="J1770" s="549" t="s">
        <v>363</v>
      </c>
      <c r="K1770" s="471"/>
    </row>
    <row r="1771" spans="1:11">
      <c r="A1771" s="463"/>
      <c r="B1771" s="557" t="str">
        <f>B1758</f>
        <v>Escavadeira hidráulica sobre esteira 22T</v>
      </c>
      <c r="C1771" s="539"/>
      <c r="D1771" s="539"/>
      <c r="E1771" s="507"/>
      <c r="F1771" s="553" t="str">
        <f>VLOOKUP(B1771,EQUIPAMENTOS!$A:$N,12,FALSE)</f>
        <v>Diesel S10</v>
      </c>
      <c r="G1771" s="736" t="s">
        <v>415</v>
      </c>
      <c r="H1771" s="560">
        <v>7.99</v>
      </c>
      <c r="I1771" s="556">
        <f>VLOOKUP(B1771,EQUIPAMENTOS!$A:$N,14,FALSE)</f>
        <v>22</v>
      </c>
      <c r="J1771" s="505">
        <f>H1771*I1771*E1758*F1758</f>
        <v>175.78</v>
      </c>
      <c r="K1771" s="471"/>
    </row>
    <row r="1772" spans="1:11">
      <c r="A1772" s="463"/>
      <c r="B1772" s="563" t="s">
        <v>946</v>
      </c>
      <c r="C1772" s="539"/>
      <c r="D1772" s="539"/>
      <c r="E1772" s="539"/>
      <c r="F1772" s="536"/>
      <c r="G1772" s="539"/>
      <c r="H1772" s="564"/>
      <c r="I1772" s="565" t="s">
        <v>175</v>
      </c>
      <c r="J1772" s="514">
        <f>SUM(J1771:J1771)</f>
        <v>175.78</v>
      </c>
      <c r="K1772" s="471"/>
    </row>
    <row r="1773" spans="1:11">
      <c r="A1773" s="463"/>
      <c r="B1773" s="566"/>
      <c r="C1773" s="539"/>
      <c r="D1773" s="539"/>
      <c r="E1773" s="567"/>
      <c r="F1773" s="568"/>
      <c r="G1773" s="519"/>
      <c r="H1773" s="519"/>
      <c r="I1773" s="542"/>
      <c r="J1773" s="567"/>
      <c r="K1773" s="471"/>
    </row>
    <row r="1774" spans="1:11" ht="20.399999999999999">
      <c r="A1774" s="463"/>
      <c r="B1774" s="1493" t="s">
        <v>955</v>
      </c>
      <c r="C1774" s="1494"/>
      <c r="D1774" s="1494"/>
      <c r="E1774" s="1494"/>
      <c r="F1774" s="1495"/>
      <c r="G1774" s="569" t="s">
        <v>372</v>
      </c>
      <c r="H1774" s="519" t="s">
        <v>956</v>
      </c>
      <c r="I1774" s="570" t="s">
        <v>942</v>
      </c>
      <c r="J1774" s="522" t="s">
        <v>363</v>
      </c>
      <c r="K1774" s="471"/>
    </row>
    <row r="1775" spans="1:11">
      <c r="A1775" s="463"/>
      <c r="B1775" s="571"/>
      <c r="C1775" s="572"/>
      <c r="D1775" s="573"/>
      <c r="E1775" s="573"/>
      <c r="F1775" s="574"/>
      <c r="G1775" s="502"/>
      <c r="H1775" s="502"/>
      <c r="I1775" s="575"/>
      <c r="J1775" s="505"/>
      <c r="K1775" s="471"/>
    </row>
    <row r="1776" spans="1:11">
      <c r="A1776" s="463"/>
      <c r="B1776" s="576"/>
      <c r="C1776" s="577"/>
      <c r="D1776" s="578"/>
      <c r="E1776" s="578"/>
      <c r="F1776" s="579"/>
      <c r="G1776" s="502"/>
      <c r="H1776" s="502"/>
      <c r="I1776" s="575"/>
      <c r="J1776" s="505"/>
      <c r="K1776" s="471"/>
    </row>
    <row r="1777" spans="1:12">
      <c r="A1777" s="463"/>
      <c r="B1777" s="1496" t="s">
        <v>175</v>
      </c>
      <c r="C1777" s="1496"/>
      <c r="D1777" s="1496"/>
      <c r="E1777" s="1496"/>
      <c r="F1777" s="1496"/>
      <c r="G1777" s="1496"/>
      <c r="H1777" s="1496"/>
      <c r="I1777" s="1496"/>
      <c r="J1777" s="514">
        <f>SUM(J1775:J1776)</f>
        <v>0</v>
      </c>
      <c r="K1777" s="471"/>
    </row>
    <row r="1778" spans="1:12">
      <c r="A1778" s="463"/>
      <c r="B1778" s="580"/>
      <c r="C1778" s="524"/>
      <c r="D1778" s="524"/>
      <c r="E1778" s="581"/>
      <c r="F1778" s="582"/>
      <c r="G1778" s="583"/>
      <c r="H1778" s="583"/>
      <c r="I1778" s="584"/>
      <c r="J1778" s="585"/>
      <c r="K1778" s="471"/>
    </row>
    <row r="1779" spans="1:12">
      <c r="A1779" s="463"/>
      <c r="B1779" s="586" t="s">
        <v>957</v>
      </c>
      <c r="C1779" s="586"/>
      <c r="D1779" s="563"/>
      <c r="E1779" s="536"/>
      <c r="F1779" s="536"/>
      <c r="G1779" s="536"/>
      <c r="H1779" s="587"/>
      <c r="I1779" s="588"/>
      <c r="J1779" s="514">
        <f>(J1768+J1772+J1777)/E1768</f>
        <v>194.87777777777777</v>
      </c>
      <c r="K1779" s="471"/>
    </row>
    <row r="1780" spans="1:12">
      <c r="A1780" s="463"/>
      <c r="B1780" s="566"/>
      <c r="C1780" s="539"/>
      <c r="D1780" s="539"/>
      <c r="E1780" s="567"/>
      <c r="F1780" s="568"/>
      <c r="G1780" s="519"/>
      <c r="H1780" s="519"/>
      <c r="I1780" s="542"/>
      <c r="J1780" s="589"/>
      <c r="K1780" s="471"/>
    </row>
    <row r="1781" spans="1:12" ht="20.399999999999999">
      <c r="A1781" s="463"/>
      <c r="B1781" s="1493" t="s">
        <v>958</v>
      </c>
      <c r="C1781" s="1494"/>
      <c r="D1781" s="1494"/>
      <c r="E1781" s="1494"/>
      <c r="F1781" s="1495"/>
      <c r="G1781" s="569" t="s">
        <v>372</v>
      </c>
      <c r="H1781" s="519" t="s">
        <v>956</v>
      </c>
      <c r="I1781" s="570" t="s">
        <v>942</v>
      </c>
      <c r="J1781" s="522" t="s">
        <v>363</v>
      </c>
      <c r="K1781" s="471"/>
    </row>
    <row r="1782" spans="1:12">
      <c r="A1782" s="463"/>
      <c r="B1782" s="571" t="s">
        <v>1504</v>
      </c>
      <c r="C1782" s="572"/>
      <c r="D1782" s="573"/>
      <c r="E1782" s="573"/>
      <c r="F1782" s="574"/>
      <c r="G1782" s="502">
        <v>1</v>
      </c>
      <c r="H1782" s="502" t="s">
        <v>1007</v>
      </c>
      <c r="I1782" s="575">
        <f>J1772*0.15</f>
        <v>26.367000000000001</v>
      </c>
      <c r="J1782" s="505">
        <f>G1782*I1782</f>
        <v>26.367000000000001</v>
      </c>
      <c r="K1782" s="471"/>
      <c r="L1782" s="2"/>
    </row>
    <row r="1783" spans="1:12">
      <c r="A1783" s="463"/>
      <c r="B1783" s="576" t="s">
        <v>1505</v>
      </c>
      <c r="C1783" s="577"/>
      <c r="D1783" s="578"/>
      <c r="E1783" s="578"/>
      <c r="F1783" s="579"/>
      <c r="G1783" s="502">
        <v>1</v>
      </c>
      <c r="H1783" s="502" t="s">
        <v>1007</v>
      </c>
      <c r="I1783" s="575">
        <v>63.796558158983245</v>
      </c>
      <c r="J1783" s="505">
        <f>G1783*I1783</f>
        <v>63.796558158983245</v>
      </c>
      <c r="K1783" s="471"/>
      <c r="L1783" s="6"/>
    </row>
    <row r="1784" spans="1:12">
      <c r="A1784" s="463"/>
      <c r="B1784" s="576" t="s">
        <v>1506</v>
      </c>
      <c r="C1784" s="577"/>
      <c r="D1784" s="578"/>
      <c r="E1784" s="578"/>
      <c r="F1784" s="579"/>
      <c r="G1784" s="502">
        <v>1</v>
      </c>
      <c r="H1784" s="502" t="s">
        <v>1007</v>
      </c>
      <c r="I1784" s="575">
        <f>J1772*0.06</f>
        <v>10.546799999999999</v>
      </c>
      <c r="J1784" s="505">
        <f>G1784*I1784</f>
        <v>10.546799999999999</v>
      </c>
      <c r="K1784" s="471"/>
    </row>
    <row r="1785" spans="1:12">
      <c r="A1785" s="463"/>
      <c r="B1785" s="590"/>
      <c r="C1785" s="591"/>
      <c r="D1785" s="592"/>
      <c r="E1785" s="592"/>
      <c r="F1785" s="593"/>
      <c r="G1785" s="502"/>
      <c r="H1785" s="502"/>
      <c r="I1785" s="575"/>
      <c r="J1785" s="505">
        <f>G1785*I1785</f>
        <v>0</v>
      </c>
      <c r="K1785" s="471"/>
    </row>
    <row r="1786" spans="1:12">
      <c r="A1786" s="463"/>
      <c r="B1786" s="594"/>
      <c r="C1786" s="536"/>
      <c r="D1786" s="536"/>
      <c r="E1786" s="595"/>
      <c r="F1786" s="596"/>
      <c r="G1786" s="545"/>
      <c r="H1786" s="545"/>
      <c r="I1786" s="537" t="s">
        <v>175</v>
      </c>
      <c r="J1786" s="514">
        <f>SUM(J1782:J1785)</f>
        <v>100.71035815898325</v>
      </c>
      <c r="K1786" s="471"/>
    </row>
    <row r="1787" spans="1:12">
      <c r="A1787" s="463"/>
      <c r="B1787" s="597"/>
      <c r="C1787" s="536"/>
      <c r="D1787" s="536"/>
      <c r="E1787" s="595"/>
      <c r="F1787" s="596"/>
      <c r="G1787" s="545"/>
      <c r="H1787" s="545"/>
      <c r="I1787" s="537"/>
      <c r="J1787" s="595"/>
      <c r="K1787" s="471"/>
    </row>
    <row r="1788" spans="1:12" ht="20.399999999999999">
      <c r="A1788" s="463"/>
      <c r="B1788" s="598" t="s">
        <v>959</v>
      </c>
      <c r="C1788" s="598"/>
      <c r="D1788" s="598"/>
      <c r="E1788" s="599"/>
      <c r="F1788" s="600" t="s">
        <v>372</v>
      </c>
      <c r="G1788" s="569" t="s">
        <v>960</v>
      </c>
      <c r="H1788" s="519" t="s">
        <v>942</v>
      </c>
      <c r="I1788" s="570" t="s">
        <v>361</v>
      </c>
      <c r="J1788" s="522" t="s">
        <v>363</v>
      </c>
      <c r="K1788" s="471"/>
    </row>
    <row r="1789" spans="1:12">
      <c r="A1789" s="463"/>
      <c r="B1789" s="571"/>
      <c r="C1789" s="572"/>
      <c r="D1789" s="573"/>
      <c r="E1789" s="574"/>
      <c r="F1789" s="502"/>
      <c r="G1789" s="502"/>
      <c r="H1789" s="624"/>
      <c r="I1789" s="575"/>
      <c r="J1789" s="505"/>
      <c r="K1789" s="471"/>
    </row>
    <row r="1790" spans="1:12">
      <c r="A1790" s="463"/>
      <c r="B1790" s="590" t="s">
        <v>946</v>
      </c>
      <c r="C1790" s="591"/>
      <c r="D1790" s="592"/>
      <c r="E1790" s="593" t="s">
        <v>946</v>
      </c>
      <c r="F1790" s="509">
        <v>0</v>
      </c>
      <c r="G1790" s="509">
        <v>0</v>
      </c>
      <c r="H1790" s="509">
        <v>0</v>
      </c>
      <c r="I1790" s="601">
        <v>0</v>
      </c>
      <c r="J1790" s="505">
        <f>I1790*H1790*G1790*F1790</f>
        <v>0</v>
      </c>
      <c r="K1790" s="471"/>
    </row>
    <row r="1791" spans="1:12">
      <c r="A1791" s="463"/>
      <c r="B1791" s="594"/>
      <c r="C1791" s="536"/>
      <c r="D1791" s="536"/>
      <c r="E1791" s="595"/>
      <c r="F1791" s="596"/>
      <c r="G1791" s="545"/>
      <c r="H1791" s="545"/>
      <c r="I1791" s="537" t="s">
        <v>175</v>
      </c>
      <c r="J1791" s="514">
        <f>SUM(J1789:J1790)</f>
        <v>0</v>
      </c>
      <c r="K1791" s="471"/>
    </row>
    <row r="1792" spans="1:12">
      <c r="A1792" s="463"/>
      <c r="B1792" s="536"/>
      <c r="C1792" s="536"/>
      <c r="D1792" s="536"/>
      <c r="E1792" s="536"/>
      <c r="F1792" s="536"/>
      <c r="G1792" s="536"/>
      <c r="H1792" s="536"/>
      <c r="I1792" s="537"/>
      <c r="J1792" s="536"/>
      <c r="K1792" s="471"/>
    </row>
    <row r="1793" spans="1:12">
      <c r="A1793" s="463"/>
      <c r="B1793" s="1481" t="s">
        <v>963</v>
      </c>
      <c r="C1793" s="1482"/>
      <c r="D1793" s="1482"/>
      <c r="E1793" s="1482"/>
      <c r="F1793" s="1482"/>
      <c r="G1793" s="1482"/>
      <c r="H1793" s="1482"/>
      <c r="I1793" s="1483"/>
      <c r="J1793" s="586">
        <f>J1779+J1786</f>
        <v>295.58813593676103</v>
      </c>
      <c r="K1793" s="471"/>
      <c r="L1793">
        <v>295.58813593676103</v>
      </c>
    </row>
    <row r="1794" spans="1:12">
      <c r="A1794" s="463"/>
      <c r="B1794" s="524"/>
      <c r="C1794" s="524"/>
      <c r="D1794" s="524"/>
      <c r="E1794" s="524"/>
      <c r="F1794" s="524"/>
      <c r="G1794" s="524"/>
      <c r="H1794" s="524"/>
      <c r="I1794" s="584"/>
      <c r="J1794" s="524"/>
      <c r="K1794" s="471"/>
    </row>
    <row r="1795" spans="1:12">
      <c r="A1795" s="463"/>
      <c r="B1795" s="602"/>
      <c r="C1795" s="572"/>
      <c r="D1795" s="572"/>
      <c r="E1795" s="572"/>
      <c r="F1795" s="572"/>
      <c r="G1795" s="572"/>
      <c r="H1795" s="572"/>
      <c r="I1795" s="572"/>
      <c r="J1795" s="603"/>
      <c r="K1795" s="471"/>
    </row>
    <row r="1796" spans="1:12">
      <c r="A1796" s="463"/>
      <c r="B1796" s="604"/>
      <c r="C1796" s="605"/>
      <c r="D1796" s="606"/>
      <c r="E1796" s="606"/>
      <c r="F1796" s="607" t="s">
        <v>946</v>
      </c>
      <c r="G1796" s="608" t="s">
        <v>946</v>
      </c>
      <c r="H1796" s="605"/>
      <c r="I1796" s="605"/>
      <c r="J1796" s="609"/>
      <c r="K1796" s="471"/>
    </row>
    <row r="1797" spans="1:12">
      <c r="A1797" s="463"/>
      <c r="B1797" s="472"/>
      <c r="C1797" s="472"/>
      <c r="D1797" s="472"/>
      <c r="E1797" s="472"/>
      <c r="F1797" s="472"/>
      <c r="G1797" s="472"/>
      <c r="H1797" s="472"/>
      <c r="I1797" s="472"/>
      <c r="J1797" s="472"/>
      <c r="K1797" s="471"/>
    </row>
    <row r="1798" spans="1:12">
      <c r="A1798" s="463"/>
      <c r="B1798" s="610" t="str">
        <f>PLANEJAMENTO!F2</f>
        <v>OPERAÇÃO DE SUPRESSÃO E SUMP</v>
      </c>
      <c r="C1798" s="611"/>
      <c r="D1798" s="611"/>
      <c r="E1798" s="611"/>
      <c r="F1798" s="612"/>
      <c r="G1798" s="613" t="s">
        <v>363</v>
      </c>
      <c r="H1798" s="515"/>
      <c r="I1798" s="515"/>
      <c r="J1798" s="518"/>
      <c r="K1798" s="471"/>
    </row>
    <row r="1799" spans="1:12">
      <c r="A1799" s="463"/>
      <c r="B1799" s="956" t="str">
        <f>PLANEJAMENTO!F3</f>
        <v>MARA ROSA</v>
      </c>
      <c r="C1799" s="957"/>
      <c r="D1799" s="957"/>
      <c r="E1799" s="957"/>
      <c r="F1799" s="958"/>
      <c r="G1799" s="1484" t="s">
        <v>964</v>
      </c>
      <c r="H1799" s="1485"/>
      <c r="I1799" s="1485"/>
      <c r="J1799" s="1486"/>
      <c r="K1799" s="471"/>
    </row>
    <row r="1800" spans="1:12">
      <c r="A1800" s="463"/>
      <c r="B1800" s="1015"/>
      <c r="C1800" s="587"/>
      <c r="D1800" s="587"/>
      <c r="E1800" s="587"/>
      <c r="F1800" s="587"/>
      <c r="G1800" s="1014"/>
      <c r="H1800" s="1014"/>
      <c r="I1800" s="1014"/>
      <c r="J1800" s="1016"/>
      <c r="K1800" s="471"/>
    </row>
    <row r="1801" spans="1:12" ht="15" thickBot="1">
      <c r="A1801" s="463"/>
      <c r="B1801" s="472"/>
      <c r="C1801" s="472"/>
      <c r="D1801" s="472"/>
      <c r="E1801" s="472"/>
      <c r="F1801" s="472"/>
      <c r="G1801" s="472"/>
      <c r="H1801" s="472"/>
      <c r="I1801" s="472"/>
      <c r="J1801" s="472"/>
      <c r="K1801" s="471"/>
    </row>
    <row r="1802" spans="1:12">
      <c r="A1802" s="460"/>
      <c r="B1802" s="461"/>
      <c r="C1802" s="461"/>
      <c r="D1802" s="461"/>
      <c r="E1802" s="461"/>
      <c r="F1802" s="461"/>
      <c r="G1802" s="461"/>
      <c r="H1802" s="461"/>
      <c r="I1802" s="461"/>
      <c r="J1802" s="461"/>
      <c r="K1802" s="462"/>
    </row>
    <row r="1803" spans="1:12">
      <c r="A1803" s="463"/>
      <c r="B1803" s="464" t="s">
        <v>178</v>
      </c>
      <c r="C1803" s="465"/>
      <c r="D1803" s="466" t="s">
        <v>936</v>
      </c>
      <c r="E1803" s="467"/>
      <c r="F1803" s="468"/>
      <c r="G1803" s="468"/>
      <c r="H1803" s="469"/>
      <c r="I1803" s="469"/>
      <c r="J1803" s="470"/>
      <c r="K1803" s="471"/>
    </row>
    <row r="1804" spans="1:12">
      <c r="A1804" s="463"/>
      <c r="B1804" s="472"/>
      <c r="C1804" s="472"/>
      <c r="D1804" s="472"/>
      <c r="E1804" s="472"/>
      <c r="F1804" s="472"/>
      <c r="G1804" s="472"/>
      <c r="H1804" s="472"/>
      <c r="I1804" s="472"/>
      <c r="J1804" s="472"/>
      <c r="K1804" s="471"/>
    </row>
    <row r="1805" spans="1:12">
      <c r="A1805" s="463"/>
      <c r="B1805" s="473" t="s">
        <v>1277</v>
      </c>
      <c r="C1805" s="474" t="s">
        <v>937</v>
      </c>
      <c r="D1805" s="1497" t="s">
        <v>250</v>
      </c>
      <c r="E1805" s="1498"/>
      <c r="F1805" s="1498"/>
      <c r="G1805" s="1498"/>
      <c r="H1805" s="1498"/>
      <c r="I1805" s="1499"/>
      <c r="J1805" s="475" t="s">
        <v>267</v>
      </c>
      <c r="K1805" s="471"/>
    </row>
    <row r="1806" spans="1:12">
      <c r="A1806" s="463"/>
      <c r="B1806" s="476" t="s">
        <v>3</v>
      </c>
      <c r="C1806" s="477">
        <f ca="1">TODAY()</f>
        <v>46140</v>
      </c>
      <c r="D1806" s="681" t="s">
        <v>1507</v>
      </c>
      <c r="E1806" s="479"/>
      <c r="F1806" s="479"/>
      <c r="G1806" s="479"/>
      <c r="H1806" s="479"/>
      <c r="I1806" s="480"/>
      <c r="J1806" s="481" t="str">
        <f>F1822</f>
        <v>H</v>
      </c>
      <c r="K1806" s="471"/>
    </row>
    <row r="1807" spans="1:12">
      <c r="A1807" s="463"/>
      <c r="B1807" s="482"/>
      <c r="C1807" s="482"/>
      <c r="D1807" s="482"/>
      <c r="E1807" s="482"/>
      <c r="F1807" s="482"/>
      <c r="G1807" s="482"/>
      <c r="H1807" s="482"/>
      <c r="I1807" s="483"/>
      <c r="J1807" s="484"/>
      <c r="K1807" s="471"/>
    </row>
    <row r="1808" spans="1:12">
      <c r="A1808" s="463"/>
      <c r="B1808" s="1484" t="s">
        <v>938</v>
      </c>
      <c r="C1808" s="1486"/>
      <c r="D1808" s="1502" t="s">
        <v>688</v>
      </c>
      <c r="E1808" s="1504" t="s">
        <v>939</v>
      </c>
      <c r="F1808" s="485" t="s">
        <v>940</v>
      </c>
      <c r="G1808" s="486"/>
      <c r="H1808" s="485" t="s">
        <v>941</v>
      </c>
      <c r="I1808" s="486"/>
      <c r="J1808" s="487" t="s">
        <v>942</v>
      </c>
      <c r="K1808" s="471"/>
    </row>
    <row r="1809" spans="1:11">
      <c r="A1809" s="463"/>
      <c r="B1809" s="1500"/>
      <c r="C1809" s="1501"/>
      <c r="D1809" s="1503"/>
      <c r="E1809" s="1505"/>
      <c r="F1809" s="488" t="s">
        <v>943</v>
      </c>
      <c r="G1809" s="488" t="s">
        <v>944</v>
      </c>
      <c r="H1809" s="488" t="s">
        <v>943</v>
      </c>
      <c r="I1809" s="489" t="s">
        <v>944</v>
      </c>
      <c r="J1809" s="490" t="s">
        <v>945</v>
      </c>
      <c r="K1809" s="471"/>
    </row>
    <row r="1810" spans="1:11">
      <c r="A1810" s="463"/>
      <c r="B1810" s="491" t="s">
        <v>633</v>
      </c>
      <c r="C1810" s="492"/>
      <c r="D1810" s="872"/>
      <c r="E1810" s="494">
        <v>1</v>
      </c>
      <c r="F1810" s="494">
        <v>1</v>
      </c>
      <c r="G1810" s="495">
        <f>1-F1810</f>
        <v>0</v>
      </c>
      <c r="H1810" s="496">
        <f>VLOOKUP(B1810,EQUIPAMENTOS!$A:$J,10,FALSE)</f>
        <v>242.54</v>
      </c>
      <c r="I1810" s="497">
        <f>H1810</f>
        <v>242.54</v>
      </c>
      <c r="J1810" s="498">
        <f>H1810*F1810*E1810+I1810*G1810*E1810</f>
        <v>242.54</v>
      </c>
      <c r="K1810" s="471"/>
    </row>
    <row r="1811" spans="1:11">
      <c r="A1811" s="463"/>
      <c r="B1811" s="499"/>
      <c r="C1811" s="500"/>
      <c r="D1811" s="501"/>
      <c r="E1811" s="502"/>
      <c r="F1811" s="502"/>
      <c r="G1811" s="502"/>
      <c r="H1811" s="503"/>
      <c r="I1811" s="504"/>
      <c r="J1811" s="505"/>
      <c r="K1811" s="471"/>
    </row>
    <row r="1812" spans="1:11">
      <c r="A1812" s="463"/>
      <c r="B1812" s="499"/>
      <c r="C1812" s="500"/>
      <c r="D1812" s="501"/>
      <c r="E1812" s="502"/>
      <c r="F1812" s="502"/>
      <c r="G1812" s="502"/>
      <c r="H1812" s="503"/>
      <c r="I1812" s="504"/>
      <c r="J1812" s="505">
        <f>H1812*F1812*E1812+I1812*G1812*E1812</f>
        <v>0</v>
      </c>
      <c r="K1812" s="471"/>
    </row>
    <row r="1813" spans="1:11">
      <c r="A1813" s="463"/>
      <c r="B1813" s="499"/>
      <c r="C1813" s="507"/>
      <c r="D1813" s="1017"/>
      <c r="E1813" s="509"/>
      <c r="F1813" s="509"/>
      <c r="G1813" s="509"/>
      <c r="H1813" s="510"/>
      <c r="I1813" s="510"/>
      <c r="J1813" s="505">
        <f>H1813*F1813*E1813+I1813*G1813*E1813</f>
        <v>0</v>
      </c>
      <c r="K1813" s="471"/>
    </row>
    <row r="1814" spans="1:11">
      <c r="A1814" s="463"/>
      <c r="B1814" s="512" t="s">
        <v>946</v>
      </c>
      <c r="C1814" s="482"/>
      <c r="D1814" s="482"/>
      <c r="E1814" s="482"/>
      <c r="F1814" s="482"/>
      <c r="G1814" s="482"/>
      <c r="H1814" s="482"/>
      <c r="I1814" s="513" t="s">
        <v>175</v>
      </c>
      <c r="J1814" s="514">
        <f>SUM(J1810:J1813)</f>
        <v>242.54</v>
      </c>
      <c r="K1814" s="471"/>
    </row>
    <row r="1815" spans="1:11">
      <c r="A1815" s="463"/>
      <c r="B1815" s="515"/>
      <c r="C1815" s="515"/>
      <c r="D1815" s="515"/>
      <c r="E1815" s="515"/>
      <c r="F1815" s="515"/>
      <c r="G1815" s="515"/>
      <c r="H1815" s="515"/>
      <c r="I1815" s="516"/>
      <c r="J1815" s="517"/>
      <c r="K1815" s="471"/>
    </row>
    <row r="1816" spans="1:11" ht="20.399999999999999">
      <c r="A1816" s="463"/>
      <c r="B1816" s="1490" t="s">
        <v>947</v>
      </c>
      <c r="C1816" s="1491"/>
      <c r="D1816" s="1491"/>
      <c r="E1816" s="1492"/>
      <c r="F1816" s="725" t="s">
        <v>688</v>
      </c>
      <c r="G1816" s="853"/>
      <c r="H1816" s="520" t="s">
        <v>427</v>
      </c>
      <c r="I1816" s="521" t="s">
        <v>948</v>
      </c>
      <c r="J1816" s="522" t="s">
        <v>949</v>
      </c>
      <c r="K1816" s="471"/>
    </row>
    <row r="1817" spans="1:11">
      <c r="A1817" s="463"/>
      <c r="B1817" s="523"/>
      <c r="C1817" s="524"/>
      <c r="D1817" s="525"/>
      <c r="E1817" s="526"/>
      <c r="F1817" s="527"/>
      <c r="G1817" s="528"/>
      <c r="H1817" s="529"/>
      <c r="I1817" s="534"/>
      <c r="J1817" s="505">
        <f>H1817*I1817</f>
        <v>0</v>
      </c>
      <c r="K1817" s="471"/>
    </row>
    <row r="1818" spans="1:11">
      <c r="A1818" s="463"/>
      <c r="B1818" s="530"/>
      <c r="C1818" s="531"/>
      <c r="D1818" s="472"/>
      <c r="E1818" s="500"/>
      <c r="F1818" s="501"/>
      <c r="G1818" s="532"/>
      <c r="H1818" s="533"/>
      <c r="I1818" s="534"/>
      <c r="J1818" s="505">
        <f>H1818*I1818</f>
        <v>0</v>
      </c>
      <c r="K1818" s="471"/>
    </row>
    <row r="1819" spans="1:11">
      <c r="A1819" s="463"/>
      <c r="B1819" s="530"/>
      <c r="C1819" s="531"/>
      <c r="D1819" s="472"/>
      <c r="E1819" s="500"/>
      <c r="F1819" s="501"/>
      <c r="G1819" s="532"/>
      <c r="H1819" s="533"/>
      <c r="I1819" s="534"/>
      <c r="J1819" s="505">
        <f>H1819*I1819</f>
        <v>0</v>
      </c>
      <c r="K1819" s="471"/>
    </row>
    <row r="1820" spans="1:11">
      <c r="A1820" s="463"/>
      <c r="B1820" s="512" t="s">
        <v>946</v>
      </c>
      <c r="C1820" s="515"/>
      <c r="D1820" s="515"/>
      <c r="E1820" s="515"/>
      <c r="F1820" s="515"/>
      <c r="G1820" s="515"/>
      <c r="H1820" s="515"/>
      <c r="I1820" s="535" t="s">
        <v>175</v>
      </c>
      <c r="J1820" s="514">
        <f>SUM(J1817:J1819)</f>
        <v>0</v>
      </c>
      <c r="K1820" s="471"/>
    </row>
    <row r="1821" spans="1:11">
      <c r="A1821" s="463"/>
      <c r="B1821" s="536"/>
      <c r="C1821" s="536"/>
      <c r="D1821" s="536"/>
      <c r="E1821" s="536"/>
      <c r="F1821" s="536"/>
      <c r="G1821" s="536"/>
      <c r="H1821" s="536"/>
      <c r="I1821" s="537"/>
      <c r="J1821" s="536"/>
      <c r="K1821" s="471"/>
    </row>
    <row r="1822" spans="1:11">
      <c r="A1822" s="463"/>
      <c r="B1822" s="538" t="s">
        <v>952</v>
      </c>
      <c r="C1822" s="539"/>
      <c r="D1822" s="536"/>
      <c r="E1822" s="540">
        <v>1.55</v>
      </c>
      <c r="F1822" s="541" t="s">
        <v>1466</v>
      </c>
      <c r="G1822" s="519"/>
      <c r="H1822" s="519"/>
      <c r="I1822" s="542" t="s">
        <v>953</v>
      </c>
      <c r="J1822" s="514">
        <f>J1814+J1820</f>
        <v>242.54</v>
      </c>
      <c r="K1822" s="471"/>
    </row>
    <row r="1823" spans="1:11">
      <c r="A1823" s="463"/>
      <c r="B1823" s="543"/>
      <c r="C1823" s="536"/>
      <c r="D1823" s="536"/>
      <c r="E1823" s="544"/>
      <c r="F1823" s="545"/>
      <c r="G1823" s="545"/>
      <c r="H1823" s="545"/>
      <c r="I1823" s="537"/>
      <c r="J1823" s="536"/>
      <c r="K1823" s="471"/>
    </row>
    <row r="1824" spans="1:11" ht="20.399999999999999">
      <c r="A1824" s="463"/>
      <c r="B1824" s="1493" t="s">
        <v>362</v>
      </c>
      <c r="C1824" s="1494"/>
      <c r="D1824" s="1494"/>
      <c r="E1824" s="1495"/>
      <c r="F1824" s="546" t="s">
        <v>688</v>
      </c>
      <c r="G1824" s="547" t="s">
        <v>371</v>
      </c>
      <c r="H1824" s="520" t="s">
        <v>942</v>
      </c>
      <c r="I1824" s="548" t="s">
        <v>361</v>
      </c>
      <c r="J1824" s="549" t="s">
        <v>363</v>
      </c>
      <c r="K1824" s="471"/>
    </row>
    <row r="1825" spans="1:12">
      <c r="A1825" s="463"/>
      <c r="B1825" s="550" t="str">
        <f>B1810</f>
        <v>Escavadeira hidráulica sobre esteira 35T</v>
      </c>
      <c r="C1825" s="551"/>
      <c r="D1825" s="551"/>
      <c r="E1825" s="552"/>
      <c r="F1825" s="553" t="str">
        <f>VLOOKUP(B1825,EQUIPAMENTOS!$A:$N,12,FALSE)</f>
        <v>Diesel S10</v>
      </c>
      <c r="G1825" s="554" t="s">
        <v>415</v>
      </c>
      <c r="H1825" s="560">
        <v>7.99</v>
      </c>
      <c r="I1825" s="560">
        <f>VLOOKUP(B1825,EQUIPAMENTOS!$A:$N,14,FALSE)</f>
        <v>26</v>
      </c>
      <c r="J1825" s="498">
        <f>H1825*I1825*E1810*F1810</f>
        <v>207.74</v>
      </c>
      <c r="K1825" s="471"/>
    </row>
    <row r="1826" spans="1:12">
      <c r="A1826" s="463"/>
      <c r="B1826" s="530"/>
      <c r="C1826" s="539"/>
      <c r="D1826" s="539"/>
      <c r="E1826" s="507"/>
      <c r="F1826" s="501"/>
      <c r="G1826" s="481"/>
      <c r="H1826" s="560"/>
      <c r="I1826" s="561"/>
      <c r="J1826" s="562">
        <f>H1826*I1826*E1813</f>
        <v>0</v>
      </c>
      <c r="K1826" s="471"/>
    </row>
    <row r="1827" spans="1:12">
      <c r="A1827" s="463"/>
      <c r="B1827" s="563" t="s">
        <v>946</v>
      </c>
      <c r="C1827" s="539"/>
      <c r="D1827" s="539"/>
      <c r="E1827" s="539"/>
      <c r="F1827" s="536"/>
      <c r="G1827" s="539"/>
      <c r="H1827" s="564"/>
      <c r="I1827" s="565" t="s">
        <v>175</v>
      </c>
      <c r="J1827" s="514">
        <f>SUM(J1825:J1826)</f>
        <v>207.74</v>
      </c>
      <c r="K1827" s="471"/>
      <c r="L1827" s="6">
        <f>J1827/E1822</f>
        <v>134.02580645161291</v>
      </c>
    </row>
    <row r="1828" spans="1:12">
      <c r="A1828" s="463"/>
      <c r="B1828" s="566"/>
      <c r="C1828" s="539"/>
      <c r="D1828" s="539"/>
      <c r="E1828" s="567"/>
      <c r="F1828" s="568"/>
      <c r="G1828" s="519"/>
      <c r="H1828" s="519"/>
      <c r="I1828" s="542"/>
      <c r="J1828" s="567"/>
      <c r="K1828" s="471"/>
    </row>
    <row r="1829" spans="1:12" ht="20.399999999999999">
      <c r="A1829" s="463"/>
      <c r="B1829" s="1493" t="s">
        <v>955</v>
      </c>
      <c r="C1829" s="1494"/>
      <c r="D1829" s="1494"/>
      <c r="E1829" s="1494"/>
      <c r="F1829" s="1495"/>
      <c r="G1829" s="569" t="s">
        <v>372</v>
      </c>
      <c r="H1829" s="519" t="s">
        <v>956</v>
      </c>
      <c r="I1829" s="570" t="s">
        <v>942</v>
      </c>
      <c r="J1829" s="522" t="s">
        <v>363</v>
      </c>
      <c r="K1829" s="471"/>
    </row>
    <row r="1830" spans="1:12">
      <c r="A1830" s="463"/>
      <c r="B1830" s="571"/>
      <c r="C1830" s="572"/>
      <c r="D1830" s="573"/>
      <c r="E1830" s="573"/>
      <c r="F1830" s="574"/>
      <c r="G1830" s="502"/>
      <c r="H1830" s="502"/>
      <c r="I1830" s="575"/>
      <c r="J1830" s="505"/>
      <c r="K1830" s="471"/>
    </row>
    <row r="1831" spans="1:12">
      <c r="A1831" s="463"/>
      <c r="B1831" s="576"/>
      <c r="C1831" s="577"/>
      <c r="D1831" s="578"/>
      <c r="E1831" s="578"/>
      <c r="F1831" s="579"/>
      <c r="G1831" s="502"/>
      <c r="H1831" s="502"/>
      <c r="I1831" s="575"/>
      <c r="J1831" s="505"/>
      <c r="K1831" s="471"/>
    </row>
    <row r="1832" spans="1:12">
      <c r="A1832" s="463"/>
      <c r="B1832" s="1496" t="s">
        <v>175</v>
      </c>
      <c r="C1832" s="1496"/>
      <c r="D1832" s="1496"/>
      <c r="E1832" s="1496"/>
      <c r="F1832" s="1496"/>
      <c r="G1832" s="1496"/>
      <c r="H1832" s="1496"/>
      <c r="I1832" s="1496"/>
      <c r="J1832" s="514">
        <f>SUM(J1830:J1831)</f>
        <v>0</v>
      </c>
      <c r="K1832" s="471"/>
    </row>
    <row r="1833" spans="1:12">
      <c r="A1833" s="463"/>
      <c r="B1833" s="580"/>
      <c r="C1833" s="524"/>
      <c r="D1833" s="524"/>
      <c r="E1833" s="581"/>
      <c r="F1833" s="582"/>
      <c r="G1833" s="583"/>
      <c r="H1833" s="583"/>
      <c r="I1833" s="584"/>
      <c r="J1833" s="585"/>
      <c r="K1833" s="471"/>
    </row>
    <row r="1834" spans="1:12">
      <c r="A1834" s="463"/>
      <c r="B1834" s="586" t="s">
        <v>957</v>
      </c>
      <c r="C1834" s="586"/>
      <c r="D1834" s="563"/>
      <c r="E1834" s="536"/>
      <c r="F1834" s="536"/>
      <c r="G1834" s="536"/>
      <c r="H1834" s="587"/>
      <c r="I1834" s="588"/>
      <c r="J1834" s="514">
        <f>(J1822+J1827+J1832)/E1822</f>
        <v>290.50322580645161</v>
      </c>
      <c r="K1834" s="471"/>
    </row>
    <row r="1835" spans="1:12">
      <c r="A1835" s="463"/>
      <c r="B1835" s="566"/>
      <c r="C1835" s="539"/>
      <c r="D1835" s="539"/>
      <c r="E1835" s="567"/>
      <c r="F1835" s="568"/>
      <c r="G1835" s="519"/>
      <c r="H1835" s="519"/>
      <c r="I1835" s="542"/>
      <c r="J1835" s="589"/>
      <c r="K1835" s="471"/>
    </row>
    <row r="1836" spans="1:12" ht="20.399999999999999">
      <c r="A1836" s="463"/>
      <c r="B1836" s="1493" t="s">
        <v>958</v>
      </c>
      <c r="C1836" s="1494"/>
      <c r="D1836" s="1494"/>
      <c r="E1836" s="1494"/>
      <c r="F1836" s="1495"/>
      <c r="G1836" s="569" t="s">
        <v>372</v>
      </c>
      <c r="H1836" s="519" t="s">
        <v>956</v>
      </c>
      <c r="I1836" s="570" t="s">
        <v>942</v>
      </c>
      <c r="J1836" s="522" t="s">
        <v>363</v>
      </c>
      <c r="K1836" s="471"/>
    </row>
    <row r="1837" spans="1:12">
      <c r="A1837" s="463"/>
      <c r="B1837" s="571" t="s">
        <v>1504</v>
      </c>
      <c r="C1837" s="572"/>
      <c r="D1837" s="573"/>
      <c r="E1837" s="573"/>
      <c r="F1837" s="574"/>
      <c r="G1837" s="502">
        <v>1</v>
      </c>
      <c r="H1837" s="502" t="s">
        <v>1007</v>
      </c>
      <c r="I1837" s="575">
        <f>J1827*0.15</f>
        <v>31.161000000000001</v>
      </c>
      <c r="J1837" s="505">
        <f>G1837*I1837</f>
        <v>31.161000000000001</v>
      </c>
      <c r="K1837" s="471"/>
      <c r="L1837" s="2"/>
    </row>
    <row r="1838" spans="1:12">
      <c r="A1838" s="463"/>
      <c r="B1838" s="576" t="s">
        <v>1505</v>
      </c>
      <c r="C1838" s="577"/>
      <c r="D1838" s="578"/>
      <c r="E1838" s="578"/>
      <c r="F1838" s="579"/>
      <c r="G1838" s="502">
        <v>1</v>
      </c>
      <c r="H1838" s="502" t="s">
        <v>1007</v>
      </c>
      <c r="I1838" s="575">
        <v>75.539639851274188</v>
      </c>
      <c r="J1838" s="505">
        <f>G1838*I1838</f>
        <v>75.539639851274188</v>
      </c>
      <c r="K1838" s="471"/>
      <c r="L1838" s="6"/>
    </row>
    <row r="1839" spans="1:12">
      <c r="A1839" s="463"/>
      <c r="B1839" s="576" t="s">
        <v>1506</v>
      </c>
      <c r="C1839" s="577"/>
      <c r="D1839" s="578"/>
      <c r="E1839" s="578"/>
      <c r="F1839" s="579"/>
      <c r="G1839" s="502">
        <v>1</v>
      </c>
      <c r="H1839" s="502" t="s">
        <v>1007</v>
      </c>
      <c r="I1839" s="575">
        <f>J1827*0.06</f>
        <v>12.464399999999999</v>
      </c>
      <c r="J1839" s="505">
        <f>G1839*I1839</f>
        <v>12.464399999999999</v>
      </c>
      <c r="K1839" s="471"/>
    </row>
    <row r="1840" spans="1:12">
      <c r="A1840" s="463"/>
      <c r="B1840" s="590"/>
      <c r="C1840" s="591"/>
      <c r="D1840" s="592"/>
      <c r="E1840" s="592"/>
      <c r="F1840" s="593"/>
      <c r="G1840" s="502"/>
      <c r="H1840" s="502"/>
      <c r="I1840" s="575"/>
      <c r="J1840" s="505"/>
      <c r="K1840" s="471"/>
    </row>
    <row r="1841" spans="1:12">
      <c r="A1841" s="463"/>
      <c r="B1841" s="594"/>
      <c r="C1841" s="536"/>
      <c r="D1841" s="536"/>
      <c r="E1841" s="595"/>
      <c r="F1841" s="596"/>
      <c r="G1841" s="545"/>
      <c r="H1841" s="545"/>
      <c r="I1841" s="537" t="s">
        <v>175</v>
      </c>
      <c r="J1841" s="514">
        <f>SUM(J1837:J1840)</f>
        <v>119.16503985127419</v>
      </c>
      <c r="K1841" s="471"/>
    </row>
    <row r="1842" spans="1:12">
      <c r="A1842" s="463"/>
      <c r="B1842" s="597"/>
      <c r="C1842" s="536"/>
      <c r="D1842" s="536"/>
      <c r="E1842" s="595"/>
      <c r="F1842" s="596"/>
      <c r="G1842" s="545"/>
      <c r="H1842" s="545"/>
      <c r="I1842" s="537"/>
      <c r="J1842" s="595"/>
      <c r="K1842" s="471"/>
    </row>
    <row r="1843" spans="1:12" ht="20.399999999999999">
      <c r="A1843" s="463"/>
      <c r="B1843" s="598" t="s">
        <v>959</v>
      </c>
      <c r="C1843" s="598"/>
      <c r="D1843" s="598"/>
      <c r="E1843" s="599"/>
      <c r="F1843" s="600" t="s">
        <v>372</v>
      </c>
      <c r="G1843" s="569" t="s">
        <v>960</v>
      </c>
      <c r="H1843" s="519" t="s">
        <v>942</v>
      </c>
      <c r="I1843" s="570" t="s">
        <v>361</v>
      </c>
      <c r="J1843" s="522" t="s">
        <v>363</v>
      </c>
      <c r="K1843" s="471"/>
    </row>
    <row r="1844" spans="1:12">
      <c r="A1844" s="463"/>
      <c r="B1844" s="576"/>
      <c r="C1844" s="577"/>
      <c r="D1844" s="578"/>
      <c r="E1844" s="579" t="s">
        <v>946</v>
      </c>
      <c r="F1844" s="502">
        <v>0</v>
      </c>
      <c r="G1844" s="502">
        <v>0</v>
      </c>
      <c r="H1844" s="502">
        <v>0</v>
      </c>
      <c r="I1844" s="575">
        <v>0</v>
      </c>
      <c r="J1844" s="505">
        <f>I1844*H1844*G1844*F1844</f>
        <v>0</v>
      </c>
      <c r="K1844" s="471"/>
    </row>
    <row r="1845" spans="1:12">
      <c r="A1845" s="463"/>
      <c r="B1845" s="576" t="s">
        <v>946</v>
      </c>
      <c r="C1845" s="577"/>
      <c r="D1845" s="578"/>
      <c r="E1845" s="579" t="s">
        <v>946</v>
      </c>
      <c r="F1845" s="502">
        <v>0</v>
      </c>
      <c r="G1845" s="502">
        <v>0</v>
      </c>
      <c r="H1845" s="502">
        <v>0</v>
      </c>
      <c r="I1845" s="575">
        <v>0</v>
      </c>
      <c r="J1845" s="505">
        <f>I1845*H1845*G1845*F1845</f>
        <v>0</v>
      </c>
      <c r="K1845" s="471"/>
    </row>
    <row r="1846" spans="1:12">
      <c r="A1846" s="463"/>
      <c r="B1846" s="590" t="s">
        <v>946</v>
      </c>
      <c r="C1846" s="591"/>
      <c r="D1846" s="592"/>
      <c r="E1846" s="593" t="s">
        <v>946</v>
      </c>
      <c r="F1846" s="509">
        <v>0</v>
      </c>
      <c r="G1846" s="509">
        <v>0</v>
      </c>
      <c r="H1846" s="509">
        <v>0</v>
      </c>
      <c r="I1846" s="601">
        <v>0</v>
      </c>
      <c r="J1846" s="505">
        <f>I1846*H1846*G1846*F1846</f>
        <v>0</v>
      </c>
      <c r="K1846" s="471"/>
    </row>
    <row r="1847" spans="1:12">
      <c r="A1847" s="463"/>
      <c r="B1847" s="594"/>
      <c r="C1847" s="536"/>
      <c r="D1847" s="536"/>
      <c r="E1847" s="595"/>
      <c r="F1847" s="596"/>
      <c r="G1847" s="545"/>
      <c r="H1847" s="545"/>
      <c r="I1847" s="537" t="s">
        <v>175</v>
      </c>
      <c r="J1847" s="514">
        <f>SUM(J1844:J1846)</f>
        <v>0</v>
      </c>
      <c r="K1847" s="471"/>
    </row>
    <row r="1848" spans="1:12">
      <c r="A1848" s="463"/>
      <c r="B1848" s="536"/>
      <c r="C1848" s="536"/>
      <c r="D1848" s="536"/>
      <c r="E1848" s="536"/>
      <c r="F1848" s="536"/>
      <c r="G1848" s="536"/>
      <c r="H1848" s="536"/>
      <c r="I1848" s="537"/>
      <c r="J1848" s="536"/>
      <c r="K1848" s="471"/>
    </row>
    <row r="1849" spans="1:12">
      <c r="A1849" s="463"/>
      <c r="B1849" s="1481" t="s">
        <v>963</v>
      </c>
      <c r="C1849" s="1482"/>
      <c r="D1849" s="1482"/>
      <c r="E1849" s="1482"/>
      <c r="F1849" s="1482"/>
      <c r="G1849" s="1482"/>
      <c r="H1849" s="1482"/>
      <c r="I1849" s="1483"/>
      <c r="J1849" s="586">
        <f>J1834+J1841</f>
        <v>409.66826565772578</v>
      </c>
      <c r="K1849" s="471"/>
      <c r="L1849">
        <v>409.66826565772578</v>
      </c>
    </row>
    <row r="1850" spans="1:12">
      <c r="A1850" s="463"/>
      <c r="B1850" s="524"/>
      <c r="C1850" s="524"/>
      <c r="D1850" s="524"/>
      <c r="E1850" s="524"/>
      <c r="F1850" s="524"/>
      <c r="G1850" s="524"/>
      <c r="H1850" s="524"/>
      <c r="I1850" s="584"/>
      <c r="J1850" s="524"/>
      <c r="K1850" s="471"/>
    </row>
    <row r="1851" spans="1:12">
      <c r="A1851" s="463"/>
      <c r="B1851" s="602"/>
      <c r="C1851" s="572"/>
      <c r="D1851" s="572"/>
      <c r="E1851" s="572"/>
      <c r="F1851" s="572"/>
      <c r="G1851" s="572"/>
      <c r="H1851" s="572"/>
      <c r="I1851" s="572"/>
      <c r="J1851" s="603"/>
      <c r="K1851" s="471"/>
    </row>
    <row r="1852" spans="1:12">
      <c r="A1852" s="463"/>
      <c r="B1852" s="604"/>
      <c r="C1852" s="605"/>
      <c r="D1852" s="606"/>
      <c r="E1852" s="606"/>
      <c r="F1852" s="607" t="s">
        <v>946</v>
      </c>
      <c r="G1852" s="608" t="s">
        <v>946</v>
      </c>
      <c r="H1852" s="605"/>
      <c r="I1852" s="605"/>
      <c r="J1852" s="609"/>
      <c r="K1852" s="471"/>
    </row>
    <row r="1853" spans="1:12">
      <c r="A1853" s="463"/>
      <c r="B1853" s="472"/>
      <c r="C1853" s="472"/>
      <c r="D1853" s="472"/>
      <c r="E1853" s="472"/>
      <c r="F1853" s="472"/>
      <c r="G1853" s="472"/>
      <c r="H1853" s="472"/>
      <c r="I1853" s="472"/>
      <c r="J1853" s="472"/>
      <c r="K1853" s="471"/>
    </row>
    <row r="1854" spans="1:12">
      <c r="A1854" s="463"/>
      <c r="B1854" s="610" t="str">
        <f>PLANEJAMENTO!F2</f>
        <v>OPERAÇÃO DE SUPRESSÃO E SUMP</v>
      </c>
      <c r="C1854" s="611"/>
      <c r="D1854" s="611"/>
      <c r="E1854" s="611"/>
      <c r="F1854" s="612"/>
      <c r="G1854" s="613" t="s">
        <v>363</v>
      </c>
      <c r="H1854" s="515"/>
      <c r="I1854" s="515"/>
      <c r="J1854" s="518"/>
      <c r="K1854" s="471"/>
    </row>
    <row r="1855" spans="1:12">
      <c r="A1855" s="463"/>
      <c r="B1855" s="614" t="str">
        <f>PLANEJAMENTO!F3</f>
        <v>MARA ROSA</v>
      </c>
      <c r="C1855" s="615"/>
      <c r="D1855" s="615"/>
      <c r="E1855" s="615"/>
      <c r="F1855" s="616"/>
      <c r="G1855" s="1484" t="s">
        <v>964</v>
      </c>
      <c r="H1855" s="1485"/>
      <c r="I1855" s="1485"/>
      <c r="J1855" s="1486"/>
      <c r="K1855" s="471"/>
    </row>
    <row r="1856" spans="1:12">
      <c r="A1856" s="463"/>
      <c r="B1856" s="617"/>
      <c r="C1856" s="618"/>
      <c r="D1856" s="618"/>
      <c r="E1856" s="618"/>
      <c r="F1856" s="619"/>
      <c r="G1856" s="620"/>
      <c r="H1856" s="1487"/>
      <c r="I1856" s="1488"/>
      <c r="J1856" s="1489"/>
      <c r="K1856" s="471"/>
    </row>
    <row r="1857" spans="1:11">
      <c r="A1857" s="621"/>
      <c r="B1857" s="622"/>
      <c r="C1857" s="622"/>
      <c r="D1857" s="622"/>
      <c r="E1857" s="622"/>
      <c r="F1857" s="622"/>
      <c r="G1857" s="622"/>
      <c r="H1857" s="622"/>
      <c r="I1857" s="622"/>
      <c r="J1857" s="622"/>
      <c r="K1857" s="623"/>
    </row>
    <row r="1858" spans="1:11">
      <c r="A1858" s="460"/>
      <c r="B1858" s="461"/>
      <c r="C1858" s="461"/>
      <c r="D1858" s="461"/>
      <c r="E1858" s="461"/>
      <c r="F1858" s="461"/>
      <c r="G1858" s="461"/>
      <c r="H1858" s="461"/>
      <c r="I1858" s="461"/>
      <c r="J1858" s="461"/>
      <c r="K1858" s="462"/>
    </row>
    <row r="1859" spans="1:11">
      <c r="A1859" s="463"/>
      <c r="B1859" s="464" t="s">
        <v>178</v>
      </c>
      <c r="C1859" s="465"/>
      <c r="D1859" s="466" t="s">
        <v>936</v>
      </c>
      <c r="E1859" s="467"/>
      <c r="F1859" s="468"/>
      <c r="G1859" s="468"/>
      <c r="H1859" s="469"/>
      <c r="I1859" s="469"/>
      <c r="J1859" s="470"/>
      <c r="K1859" s="471"/>
    </row>
    <row r="1860" spans="1:11">
      <c r="A1860" s="463"/>
      <c r="B1860" s="472"/>
      <c r="C1860" s="472"/>
      <c r="D1860" s="472"/>
      <c r="E1860" s="472"/>
      <c r="F1860" s="472"/>
      <c r="G1860" s="472"/>
      <c r="H1860" s="472"/>
      <c r="I1860" s="472"/>
      <c r="J1860" s="472"/>
      <c r="K1860" s="471"/>
    </row>
    <row r="1861" spans="1:11">
      <c r="A1861" s="463"/>
      <c r="B1861" s="473"/>
      <c r="C1861" s="474" t="s">
        <v>937</v>
      </c>
      <c r="D1861" s="1497" t="s">
        <v>250</v>
      </c>
      <c r="E1861" s="1498"/>
      <c r="F1861" s="1498"/>
      <c r="G1861" s="1498"/>
      <c r="H1861" s="1498"/>
      <c r="I1861" s="1499"/>
      <c r="J1861" s="475" t="s">
        <v>267</v>
      </c>
      <c r="K1861" s="471"/>
    </row>
    <row r="1862" spans="1:11">
      <c r="A1862" s="463"/>
      <c r="B1862" s="476"/>
      <c r="C1862" s="477">
        <f ca="1">TODAY()</f>
        <v>46140</v>
      </c>
      <c r="D1862" s="681" t="s">
        <v>1508</v>
      </c>
      <c r="E1862" s="479"/>
      <c r="F1862" s="479"/>
      <c r="G1862" s="479"/>
      <c r="H1862" s="479"/>
      <c r="I1862" s="480"/>
      <c r="J1862" s="481" t="str">
        <f>F1878</f>
        <v>H</v>
      </c>
      <c r="K1862" s="471"/>
    </row>
    <row r="1863" spans="1:11">
      <c r="A1863" s="463"/>
      <c r="B1863" s="482"/>
      <c r="C1863" s="482"/>
      <c r="D1863" s="482"/>
      <c r="E1863" s="482"/>
      <c r="F1863" s="482"/>
      <c r="G1863" s="482"/>
      <c r="H1863" s="482"/>
      <c r="I1863" s="483"/>
      <c r="J1863" s="484"/>
      <c r="K1863" s="471"/>
    </row>
    <row r="1864" spans="1:11">
      <c r="A1864" s="463"/>
      <c r="B1864" s="1484" t="s">
        <v>938</v>
      </c>
      <c r="C1864" s="1486"/>
      <c r="D1864" s="1502" t="s">
        <v>688</v>
      </c>
      <c r="E1864" s="1504" t="s">
        <v>939</v>
      </c>
      <c r="F1864" s="485" t="s">
        <v>940</v>
      </c>
      <c r="G1864" s="486"/>
      <c r="H1864" s="485" t="s">
        <v>941</v>
      </c>
      <c r="I1864" s="486"/>
      <c r="J1864" s="487" t="s">
        <v>942</v>
      </c>
      <c r="K1864" s="471"/>
    </row>
    <row r="1865" spans="1:11">
      <c r="A1865" s="463"/>
      <c r="B1865" s="1500"/>
      <c r="C1865" s="1501"/>
      <c r="D1865" s="1503"/>
      <c r="E1865" s="1505"/>
      <c r="F1865" s="488" t="s">
        <v>943</v>
      </c>
      <c r="G1865" s="488" t="s">
        <v>944</v>
      </c>
      <c r="H1865" s="488" t="s">
        <v>943</v>
      </c>
      <c r="I1865" s="489" t="s">
        <v>944</v>
      </c>
      <c r="J1865" s="490" t="s">
        <v>945</v>
      </c>
      <c r="K1865" s="471"/>
    </row>
    <row r="1866" spans="1:11">
      <c r="A1866" s="463"/>
      <c r="B1866" s="491" t="s">
        <v>655</v>
      </c>
      <c r="C1866" s="492"/>
      <c r="D1866" s="872"/>
      <c r="E1866" s="494">
        <v>1</v>
      </c>
      <c r="F1866" s="494">
        <v>1</v>
      </c>
      <c r="G1866" s="495">
        <f>1-F1866</f>
        <v>0</v>
      </c>
      <c r="H1866" s="496">
        <f>VLOOKUP(B1866,EQUIPAMENTOS!$A:$J,10,FALSE)</f>
        <v>145</v>
      </c>
      <c r="I1866" s="497">
        <f>H1866</f>
        <v>145</v>
      </c>
      <c r="J1866" s="498">
        <f>H1866*F1866*E1866+I1866*G1866*E1866</f>
        <v>145</v>
      </c>
      <c r="K1866" s="471"/>
    </row>
    <row r="1867" spans="1:11">
      <c r="A1867" s="463"/>
      <c r="B1867" s="499"/>
      <c r="C1867" s="500"/>
      <c r="D1867" s="501"/>
      <c r="E1867" s="502"/>
      <c r="F1867" s="502"/>
      <c r="G1867" s="502"/>
      <c r="H1867" s="503"/>
      <c r="I1867" s="504"/>
      <c r="J1867" s="505">
        <f>H1867*F1867*E1867+I1867*G1867*E1867</f>
        <v>0</v>
      </c>
      <c r="K1867" s="471"/>
    </row>
    <row r="1868" spans="1:11">
      <c r="A1868" s="463"/>
      <c r="B1868" s="499"/>
      <c r="C1868" s="500"/>
      <c r="D1868" s="501"/>
      <c r="E1868" s="502"/>
      <c r="F1868" s="502"/>
      <c r="G1868" s="502"/>
      <c r="H1868" s="503"/>
      <c r="I1868" s="504"/>
      <c r="J1868" s="505">
        <f>H1868*F1868*E1868+I1868*G1868*E1868</f>
        <v>0</v>
      </c>
      <c r="K1868" s="471"/>
    </row>
    <row r="1869" spans="1:11">
      <c r="A1869" s="463"/>
      <c r="B1869" s="506"/>
      <c r="C1869" s="507"/>
      <c r="D1869" s="508"/>
      <c r="E1869" s="509"/>
      <c r="F1869" s="509"/>
      <c r="G1869" s="509"/>
      <c r="H1869" s="510"/>
      <c r="I1869" s="511"/>
      <c r="J1869" s="505">
        <f>H1869*F1869*E1869+I1869*G1869*E1869</f>
        <v>0</v>
      </c>
      <c r="K1869" s="471"/>
    </row>
    <row r="1870" spans="1:11">
      <c r="A1870" s="463"/>
      <c r="B1870" s="512" t="s">
        <v>946</v>
      </c>
      <c r="C1870" s="482"/>
      <c r="D1870" s="482"/>
      <c r="E1870" s="482"/>
      <c r="F1870" s="482"/>
      <c r="G1870" s="482"/>
      <c r="H1870" s="482"/>
      <c r="I1870" s="513" t="s">
        <v>175</v>
      </c>
      <c r="J1870" s="514">
        <f>SUM(J1866:J1869)</f>
        <v>145</v>
      </c>
      <c r="K1870" s="471"/>
    </row>
    <row r="1871" spans="1:11">
      <c r="A1871" s="463"/>
      <c r="B1871" s="515"/>
      <c r="C1871" s="515"/>
      <c r="D1871" s="515"/>
      <c r="E1871" s="515"/>
      <c r="F1871" s="515"/>
      <c r="G1871" s="515"/>
      <c r="H1871" s="515"/>
      <c r="I1871" s="516"/>
      <c r="J1871" s="517"/>
      <c r="K1871" s="471"/>
    </row>
    <row r="1872" spans="1:11" ht="20.399999999999999">
      <c r="A1872" s="463"/>
      <c r="B1872" s="1490" t="s">
        <v>947</v>
      </c>
      <c r="C1872" s="1491"/>
      <c r="D1872" s="1491"/>
      <c r="E1872" s="1492"/>
      <c r="F1872" s="725" t="s">
        <v>688</v>
      </c>
      <c r="G1872" s="853"/>
      <c r="H1872" s="520" t="s">
        <v>427</v>
      </c>
      <c r="I1872" s="521" t="s">
        <v>948</v>
      </c>
      <c r="J1872" s="522" t="s">
        <v>949</v>
      </c>
      <c r="K1872" s="471"/>
    </row>
    <row r="1873" spans="1:12">
      <c r="A1873" s="463"/>
      <c r="B1873" s="523"/>
      <c r="C1873" s="524"/>
      <c r="D1873" s="525"/>
      <c r="E1873" s="526"/>
      <c r="F1873" s="527"/>
      <c r="G1873" s="528"/>
      <c r="H1873" s="529"/>
      <c r="I1873" s="534"/>
      <c r="J1873" s="505">
        <f>H1873*I1873</f>
        <v>0</v>
      </c>
      <c r="K1873" s="471"/>
    </row>
    <row r="1874" spans="1:12">
      <c r="A1874" s="463"/>
      <c r="B1874" s="530"/>
      <c r="C1874" s="531"/>
      <c r="D1874" s="472"/>
      <c r="E1874" s="500"/>
      <c r="F1874" s="501"/>
      <c r="G1874" s="532"/>
      <c r="H1874" s="533"/>
      <c r="I1874" s="534"/>
      <c r="J1874" s="505">
        <f>H1874*I1874</f>
        <v>0</v>
      </c>
      <c r="K1874" s="471"/>
    </row>
    <row r="1875" spans="1:12">
      <c r="A1875" s="463"/>
      <c r="B1875" s="530"/>
      <c r="C1875" s="531"/>
      <c r="D1875" s="472"/>
      <c r="E1875" s="500"/>
      <c r="F1875" s="501"/>
      <c r="G1875" s="532"/>
      <c r="H1875" s="533"/>
      <c r="I1875" s="534"/>
      <c r="J1875" s="505">
        <f>H1875*I1875</f>
        <v>0</v>
      </c>
      <c r="K1875" s="471"/>
    </row>
    <row r="1876" spans="1:12">
      <c r="A1876" s="463"/>
      <c r="B1876" s="512" t="s">
        <v>946</v>
      </c>
      <c r="C1876" s="515"/>
      <c r="D1876" s="515"/>
      <c r="E1876" s="515"/>
      <c r="F1876" s="515"/>
      <c r="G1876" s="515"/>
      <c r="H1876" s="515"/>
      <c r="I1876" s="535" t="s">
        <v>175</v>
      </c>
      <c r="J1876" s="514">
        <f>SUM(J1873:J1875)</f>
        <v>0</v>
      </c>
      <c r="K1876" s="471"/>
    </row>
    <row r="1877" spans="1:12">
      <c r="A1877" s="463"/>
      <c r="B1877" s="536"/>
      <c r="C1877" s="536"/>
      <c r="D1877" s="536"/>
      <c r="E1877" s="536"/>
      <c r="F1877" s="536"/>
      <c r="G1877" s="536"/>
      <c r="H1877" s="536"/>
      <c r="I1877" s="537"/>
      <c r="J1877" s="536"/>
      <c r="K1877" s="471"/>
    </row>
    <row r="1878" spans="1:12">
      <c r="A1878" s="463"/>
      <c r="B1878" s="538" t="s">
        <v>952</v>
      </c>
      <c r="C1878" s="539"/>
      <c r="D1878" s="536"/>
      <c r="E1878" s="540">
        <v>1.6</v>
      </c>
      <c r="F1878" s="541" t="s">
        <v>1466</v>
      </c>
      <c r="G1878" s="519"/>
      <c r="H1878" s="519"/>
      <c r="I1878" s="542" t="s">
        <v>953</v>
      </c>
      <c r="J1878" s="514">
        <f>J1870+J1876</f>
        <v>145</v>
      </c>
      <c r="K1878" s="471"/>
    </row>
    <row r="1879" spans="1:12">
      <c r="A1879" s="463"/>
      <c r="B1879" s="543"/>
      <c r="C1879" s="536"/>
      <c r="D1879" s="536"/>
      <c r="E1879" s="544"/>
      <c r="F1879" s="545"/>
      <c r="G1879" s="545"/>
      <c r="H1879" s="545"/>
      <c r="I1879" s="537"/>
      <c r="J1879" s="536"/>
      <c r="K1879" s="471"/>
    </row>
    <row r="1880" spans="1:12" ht="20.399999999999999">
      <c r="A1880" s="463"/>
      <c r="B1880" s="1493" t="s">
        <v>362</v>
      </c>
      <c r="C1880" s="1494"/>
      <c r="D1880" s="1494"/>
      <c r="E1880" s="1495"/>
      <c r="F1880" s="546" t="s">
        <v>688</v>
      </c>
      <c r="G1880" s="547" t="s">
        <v>371</v>
      </c>
      <c r="H1880" s="520" t="s">
        <v>942</v>
      </c>
      <c r="I1880" s="548" t="s">
        <v>361</v>
      </c>
      <c r="J1880" s="549" t="s">
        <v>363</v>
      </c>
      <c r="K1880" s="471"/>
    </row>
    <row r="1881" spans="1:12">
      <c r="A1881" s="463"/>
      <c r="B1881" s="550" t="str">
        <f>B1866</f>
        <v>Rolo compactador pé de carneiro 10T</v>
      </c>
      <c r="C1881" s="551"/>
      <c r="D1881" s="551"/>
      <c r="E1881" s="552"/>
      <c r="F1881" s="553" t="str">
        <f>VLOOKUP(B1881,EQUIPAMENTOS!$A:$N,12,FALSE)</f>
        <v>Diesel S10</v>
      </c>
      <c r="G1881" s="554" t="s">
        <v>415</v>
      </c>
      <c r="H1881" s="560">
        <v>7.99</v>
      </c>
      <c r="I1881" s="560">
        <f>VLOOKUP(B1881,EQUIPAMENTOS!$A:$N,14,FALSE)</f>
        <v>16</v>
      </c>
      <c r="J1881" s="498">
        <f>H1881*I1881*E1866*F1866</f>
        <v>127.84</v>
      </c>
      <c r="K1881" s="471"/>
    </row>
    <row r="1882" spans="1:12">
      <c r="A1882" s="463"/>
      <c r="B1882" s="550"/>
      <c r="C1882" s="531"/>
      <c r="D1882" s="531"/>
      <c r="E1882" s="500"/>
      <c r="F1882" s="553"/>
      <c r="G1882" s="554"/>
      <c r="H1882" s="560"/>
      <c r="I1882" s="560"/>
      <c r="J1882" s="505"/>
      <c r="K1882" s="471"/>
    </row>
    <row r="1883" spans="1:12">
      <c r="A1883" s="463"/>
      <c r="B1883" s="530"/>
      <c r="C1883" s="539"/>
      <c r="D1883" s="539"/>
      <c r="E1883" s="507"/>
      <c r="F1883" s="501"/>
      <c r="G1883" s="481"/>
      <c r="H1883" s="560"/>
      <c r="I1883" s="561"/>
      <c r="J1883" s="562">
        <f>H1883*I1883*E1868</f>
        <v>0</v>
      </c>
      <c r="K1883" s="471"/>
    </row>
    <row r="1884" spans="1:12">
      <c r="A1884" s="463"/>
      <c r="B1884" s="563" t="s">
        <v>946</v>
      </c>
      <c r="C1884" s="539"/>
      <c r="D1884" s="539"/>
      <c r="E1884" s="539"/>
      <c r="F1884" s="536"/>
      <c r="G1884" s="539"/>
      <c r="H1884" s="564"/>
      <c r="I1884" s="565" t="s">
        <v>175</v>
      </c>
      <c r="J1884" s="514">
        <f>SUM(J1881:J1883)</f>
        <v>127.84</v>
      </c>
      <c r="K1884" s="471"/>
      <c r="L1884" s="6"/>
    </row>
    <row r="1885" spans="1:12">
      <c r="A1885" s="463"/>
      <c r="B1885" s="566"/>
      <c r="C1885" s="539"/>
      <c r="D1885" s="539"/>
      <c r="E1885" s="567"/>
      <c r="F1885" s="568"/>
      <c r="G1885" s="519"/>
      <c r="H1885" s="519"/>
      <c r="I1885" s="542"/>
      <c r="J1885" s="567"/>
      <c r="K1885" s="471"/>
    </row>
    <row r="1886" spans="1:12" ht="20.399999999999999">
      <c r="A1886" s="463"/>
      <c r="B1886" s="1493" t="s">
        <v>955</v>
      </c>
      <c r="C1886" s="1494"/>
      <c r="D1886" s="1494"/>
      <c r="E1886" s="1494"/>
      <c r="F1886" s="1495"/>
      <c r="G1886" s="569" t="s">
        <v>372</v>
      </c>
      <c r="H1886" s="519" t="s">
        <v>956</v>
      </c>
      <c r="I1886" s="570" t="s">
        <v>942</v>
      </c>
      <c r="J1886" s="522" t="s">
        <v>363</v>
      </c>
      <c r="K1886" s="471"/>
    </row>
    <row r="1887" spans="1:12">
      <c r="A1887" s="463"/>
      <c r="B1887" s="571"/>
      <c r="C1887" s="572"/>
      <c r="D1887" s="573"/>
      <c r="E1887" s="573"/>
      <c r="F1887" s="574"/>
      <c r="G1887" s="502"/>
      <c r="H1887" s="502"/>
      <c r="I1887" s="575"/>
      <c r="J1887" s="505"/>
      <c r="K1887" s="471"/>
    </row>
    <row r="1888" spans="1:12">
      <c r="A1888" s="463"/>
      <c r="B1888" s="576"/>
      <c r="C1888" s="577"/>
      <c r="D1888" s="578"/>
      <c r="E1888" s="578"/>
      <c r="F1888" s="579"/>
      <c r="G1888" s="502"/>
      <c r="H1888" s="502"/>
      <c r="I1888" s="575"/>
      <c r="J1888" s="505"/>
      <c r="K1888" s="471"/>
    </row>
    <row r="1889" spans="1:12">
      <c r="A1889" s="463"/>
      <c r="B1889" s="1496" t="s">
        <v>175</v>
      </c>
      <c r="C1889" s="1496"/>
      <c r="D1889" s="1496"/>
      <c r="E1889" s="1496"/>
      <c r="F1889" s="1496"/>
      <c r="G1889" s="1496"/>
      <c r="H1889" s="1496"/>
      <c r="I1889" s="1496"/>
      <c r="J1889" s="514">
        <f>SUM(J1887:J1888)</f>
        <v>0</v>
      </c>
      <c r="K1889" s="471"/>
    </row>
    <row r="1890" spans="1:12">
      <c r="A1890" s="463"/>
      <c r="B1890" s="580"/>
      <c r="C1890" s="524"/>
      <c r="D1890" s="524"/>
      <c r="E1890" s="581"/>
      <c r="F1890" s="582"/>
      <c r="G1890" s="583"/>
      <c r="H1890" s="583"/>
      <c r="I1890" s="584"/>
      <c r="J1890" s="585"/>
      <c r="K1890" s="471"/>
    </row>
    <row r="1891" spans="1:12">
      <c r="A1891" s="463"/>
      <c r="B1891" s="586" t="s">
        <v>957</v>
      </c>
      <c r="C1891" s="586"/>
      <c r="D1891" s="563"/>
      <c r="E1891" s="536"/>
      <c r="F1891" s="536"/>
      <c r="G1891" s="536"/>
      <c r="H1891" s="587"/>
      <c r="I1891" s="588"/>
      <c r="J1891" s="514">
        <f>(J1878+J1884+J1889)/E1878</f>
        <v>170.52500000000001</v>
      </c>
      <c r="K1891" s="471"/>
    </row>
    <row r="1892" spans="1:12">
      <c r="A1892" s="463"/>
      <c r="B1892" s="566"/>
      <c r="C1892" s="539"/>
      <c r="D1892" s="539"/>
      <c r="E1892" s="567"/>
      <c r="F1892" s="568"/>
      <c r="G1892" s="519"/>
      <c r="H1892" s="519"/>
      <c r="I1892" s="542"/>
      <c r="J1892" s="589"/>
      <c r="K1892" s="471"/>
    </row>
    <row r="1893" spans="1:12" ht="20.399999999999999">
      <c r="A1893" s="463"/>
      <c r="B1893" s="1493" t="s">
        <v>958</v>
      </c>
      <c r="C1893" s="1494"/>
      <c r="D1893" s="1494"/>
      <c r="E1893" s="1494"/>
      <c r="F1893" s="1495"/>
      <c r="G1893" s="569" t="s">
        <v>372</v>
      </c>
      <c r="H1893" s="519" t="s">
        <v>956</v>
      </c>
      <c r="I1893" s="570" t="s">
        <v>942</v>
      </c>
      <c r="J1893" s="522" t="s">
        <v>363</v>
      </c>
      <c r="K1893" s="471"/>
    </row>
    <row r="1894" spans="1:12">
      <c r="A1894" s="463"/>
      <c r="B1894" s="571" t="s">
        <v>1504</v>
      </c>
      <c r="C1894" s="572"/>
      <c r="D1894" s="573"/>
      <c r="E1894" s="573"/>
      <c r="F1894" s="574"/>
      <c r="G1894" s="502">
        <v>1</v>
      </c>
      <c r="H1894" s="502" t="s">
        <v>1007</v>
      </c>
      <c r="I1894" s="575">
        <f>J1884*0.15</f>
        <v>19.175999999999998</v>
      </c>
      <c r="J1894" s="505">
        <f>G1894*I1894</f>
        <v>19.175999999999998</v>
      </c>
      <c r="K1894" s="471"/>
      <c r="L1894" s="2"/>
    </row>
    <row r="1895" spans="1:12">
      <c r="A1895" s="463"/>
      <c r="B1895" s="576" t="s">
        <v>1505</v>
      </c>
      <c r="C1895" s="577"/>
      <c r="D1895" s="578"/>
      <c r="E1895" s="578"/>
      <c r="F1895" s="579"/>
      <c r="G1895" s="502">
        <v>1</v>
      </c>
      <c r="H1895" s="502" t="s">
        <v>1007</v>
      </c>
      <c r="I1895" s="575">
        <v>47.544484061887715</v>
      </c>
      <c r="J1895" s="505">
        <f>G1895*I1895</f>
        <v>47.544484061887715</v>
      </c>
      <c r="K1895" s="471"/>
      <c r="L1895" s="6"/>
    </row>
    <row r="1896" spans="1:12">
      <c r="A1896" s="463"/>
      <c r="B1896" s="576" t="s">
        <v>1506</v>
      </c>
      <c r="C1896" s="577"/>
      <c r="D1896" s="578"/>
      <c r="E1896" s="578"/>
      <c r="F1896" s="579"/>
      <c r="G1896" s="502">
        <v>1</v>
      </c>
      <c r="H1896" s="502" t="s">
        <v>1007</v>
      </c>
      <c r="I1896" s="575">
        <f>J1884*0.06</f>
        <v>7.6703999999999999</v>
      </c>
      <c r="J1896" s="505">
        <f>G1896*I1896</f>
        <v>7.6703999999999999</v>
      </c>
      <c r="K1896" s="471"/>
    </row>
    <row r="1897" spans="1:12">
      <c r="A1897" s="463"/>
      <c r="B1897" s="590"/>
      <c r="C1897" s="591"/>
      <c r="D1897" s="592"/>
      <c r="E1897" s="592"/>
      <c r="F1897" s="593"/>
      <c r="G1897" s="502"/>
      <c r="H1897" s="502"/>
      <c r="I1897" s="575"/>
      <c r="J1897" s="505"/>
      <c r="K1897" s="471"/>
    </row>
    <row r="1898" spans="1:12">
      <c r="A1898" s="463"/>
      <c r="B1898" s="594"/>
      <c r="C1898" s="536"/>
      <c r="D1898" s="536"/>
      <c r="E1898" s="595"/>
      <c r="F1898" s="596"/>
      <c r="G1898" s="545"/>
      <c r="H1898" s="545"/>
      <c r="I1898" s="537" t="s">
        <v>175</v>
      </c>
      <c r="J1898" s="514">
        <f>SUM(J1894:J1897)</f>
        <v>74.390884061887718</v>
      </c>
      <c r="K1898" s="471"/>
    </row>
    <row r="1899" spans="1:12">
      <c r="A1899" s="463"/>
      <c r="B1899" s="597"/>
      <c r="C1899" s="536"/>
      <c r="D1899" s="536"/>
      <c r="E1899" s="595"/>
      <c r="F1899" s="596"/>
      <c r="G1899" s="545"/>
      <c r="H1899" s="545"/>
      <c r="I1899" s="537"/>
      <c r="J1899" s="595"/>
      <c r="K1899" s="471"/>
    </row>
    <row r="1900" spans="1:12" ht="20.399999999999999">
      <c r="A1900" s="463"/>
      <c r="B1900" s="598" t="s">
        <v>959</v>
      </c>
      <c r="C1900" s="598"/>
      <c r="D1900" s="598"/>
      <c r="E1900" s="599"/>
      <c r="F1900" s="600" t="s">
        <v>372</v>
      </c>
      <c r="G1900" s="569" t="s">
        <v>960</v>
      </c>
      <c r="H1900" s="519" t="s">
        <v>942</v>
      </c>
      <c r="I1900" s="570" t="s">
        <v>361</v>
      </c>
      <c r="J1900" s="522" t="s">
        <v>363</v>
      </c>
      <c r="K1900" s="471"/>
    </row>
    <row r="1901" spans="1:12">
      <c r="A1901" s="463"/>
      <c r="B1901" s="576"/>
      <c r="C1901" s="577"/>
      <c r="D1901" s="578"/>
      <c r="E1901" s="579" t="s">
        <v>946</v>
      </c>
      <c r="F1901" s="502">
        <v>0</v>
      </c>
      <c r="G1901" s="502">
        <v>0</v>
      </c>
      <c r="H1901" s="502">
        <v>0</v>
      </c>
      <c r="I1901" s="575">
        <v>0</v>
      </c>
      <c r="J1901" s="505">
        <f>I1901*H1901*G1901*F1901</f>
        <v>0</v>
      </c>
      <c r="K1901" s="471"/>
    </row>
    <row r="1902" spans="1:12">
      <c r="A1902" s="463"/>
      <c r="B1902" s="576" t="s">
        <v>946</v>
      </c>
      <c r="C1902" s="577"/>
      <c r="D1902" s="578"/>
      <c r="E1902" s="579" t="s">
        <v>946</v>
      </c>
      <c r="F1902" s="502">
        <v>0</v>
      </c>
      <c r="G1902" s="502">
        <v>0</v>
      </c>
      <c r="H1902" s="502">
        <v>0</v>
      </c>
      <c r="I1902" s="575">
        <v>0</v>
      </c>
      <c r="J1902" s="505">
        <f>I1902*H1902*G1902*F1902</f>
        <v>0</v>
      </c>
      <c r="K1902" s="471"/>
    </row>
    <row r="1903" spans="1:12">
      <c r="A1903" s="463"/>
      <c r="B1903" s="590" t="s">
        <v>946</v>
      </c>
      <c r="C1903" s="591"/>
      <c r="D1903" s="592"/>
      <c r="E1903" s="593" t="s">
        <v>946</v>
      </c>
      <c r="F1903" s="509">
        <v>0</v>
      </c>
      <c r="G1903" s="509">
        <v>0</v>
      </c>
      <c r="H1903" s="509">
        <v>0</v>
      </c>
      <c r="I1903" s="601">
        <v>0</v>
      </c>
      <c r="J1903" s="505">
        <f>I1903*H1903*G1903*F1903</f>
        <v>0</v>
      </c>
      <c r="K1903" s="471"/>
    </row>
    <row r="1904" spans="1:12">
      <c r="A1904" s="463"/>
      <c r="B1904" s="594"/>
      <c r="C1904" s="536"/>
      <c r="D1904" s="536"/>
      <c r="E1904" s="595"/>
      <c r="F1904" s="596"/>
      <c r="G1904" s="545"/>
      <c r="H1904" s="545"/>
      <c r="I1904" s="537" t="s">
        <v>175</v>
      </c>
      <c r="J1904" s="514">
        <f>SUM(J1901:J1903)</f>
        <v>0</v>
      </c>
      <c r="K1904" s="471"/>
    </row>
    <row r="1905" spans="1:12">
      <c r="A1905" s="463"/>
      <c r="B1905" s="536"/>
      <c r="C1905" s="536"/>
      <c r="D1905" s="536"/>
      <c r="E1905" s="536"/>
      <c r="F1905" s="536"/>
      <c r="G1905" s="536"/>
      <c r="H1905" s="536"/>
      <c r="I1905" s="537"/>
      <c r="J1905" s="536"/>
      <c r="K1905" s="471"/>
    </row>
    <row r="1906" spans="1:12">
      <c r="A1906" s="463"/>
      <c r="B1906" s="1481" t="s">
        <v>963</v>
      </c>
      <c r="C1906" s="1482"/>
      <c r="D1906" s="1482"/>
      <c r="E1906" s="1482"/>
      <c r="F1906" s="1482"/>
      <c r="G1906" s="1482"/>
      <c r="H1906" s="1482"/>
      <c r="I1906" s="1483"/>
      <c r="J1906" s="586">
        <f>J1891+J1898</f>
        <v>244.91588406188771</v>
      </c>
      <c r="K1906" s="471"/>
      <c r="L1906">
        <v>244.91588406188771</v>
      </c>
    </row>
    <row r="1907" spans="1:12">
      <c r="A1907" s="463"/>
      <c r="B1907" s="524"/>
      <c r="C1907" s="524"/>
      <c r="D1907" s="524"/>
      <c r="E1907" s="524"/>
      <c r="F1907" s="524"/>
      <c r="G1907" s="524"/>
      <c r="H1907" s="524"/>
      <c r="I1907" s="584"/>
      <c r="J1907" s="524"/>
      <c r="K1907" s="471"/>
    </row>
    <row r="1908" spans="1:12">
      <c r="A1908" s="463"/>
      <c r="B1908" s="602"/>
      <c r="C1908" s="572"/>
      <c r="D1908" s="572"/>
      <c r="E1908" s="572"/>
      <c r="F1908" s="572"/>
      <c r="G1908" s="572"/>
      <c r="H1908" s="572"/>
      <c r="I1908" s="572"/>
      <c r="J1908" s="603"/>
      <c r="K1908" s="471"/>
    </row>
    <row r="1909" spans="1:12">
      <c r="A1909" s="463"/>
      <c r="B1909" s="604"/>
      <c r="C1909" s="605"/>
      <c r="D1909" s="606"/>
      <c r="E1909" s="606"/>
      <c r="F1909" s="607" t="s">
        <v>946</v>
      </c>
      <c r="G1909" s="608" t="s">
        <v>946</v>
      </c>
      <c r="H1909" s="605"/>
      <c r="I1909" s="605"/>
      <c r="J1909" s="609"/>
      <c r="K1909" s="471"/>
    </row>
    <row r="1910" spans="1:12">
      <c r="A1910" s="463"/>
      <c r="B1910" s="472"/>
      <c r="C1910" s="472"/>
      <c r="D1910" s="472"/>
      <c r="E1910" s="472"/>
      <c r="F1910" s="472"/>
      <c r="G1910" s="472"/>
      <c r="H1910" s="472"/>
      <c r="I1910" s="472"/>
      <c r="J1910" s="472"/>
      <c r="K1910" s="471"/>
    </row>
    <row r="1911" spans="1:12" ht="16.2" customHeight="1">
      <c r="A1911" s="463"/>
      <c r="B1911" s="610" t="str">
        <f>PLANEJAMENTO!F2</f>
        <v>OPERAÇÃO DE SUPRESSÃO E SUMP</v>
      </c>
      <c r="C1911" s="611"/>
      <c r="D1911" s="611"/>
      <c r="E1911" s="611"/>
      <c r="F1911" s="612"/>
      <c r="G1911" s="613" t="s">
        <v>363</v>
      </c>
      <c r="H1911" s="515"/>
      <c r="I1911" s="515"/>
      <c r="J1911" s="518"/>
      <c r="K1911" s="471"/>
    </row>
    <row r="1912" spans="1:12">
      <c r="A1912" s="463"/>
      <c r="B1912" s="614" t="str">
        <f>PLANEJAMENTO!F3</f>
        <v>MARA ROSA</v>
      </c>
      <c r="C1912" s="615"/>
      <c r="D1912" s="615"/>
      <c r="E1912" s="615"/>
      <c r="F1912" s="616"/>
      <c r="G1912" s="1484" t="s">
        <v>964</v>
      </c>
      <c r="H1912" s="1485"/>
      <c r="I1912" s="1485"/>
      <c r="J1912" s="1486"/>
      <c r="K1912" s="471"/>
    </row>
    <row r="1913" spans="1:12" ht="15" thickBot="1">
      <c r="A1913" s="463"/>
      <c r="B1913" s="956"/>
      <c r="C1913" s="957"/>
      <c r="D1913" s="957"/>
      <c r="E1913" s="957"/>
      <c r="F1913" s="958"/>
      <c r="G1913" s="959"/>
      <c r="H1913" s="960"/>
      <c r="I1913" s="960"/>
      <c r="J1913" s="953"/>
      <c r="K1913" s="471"/>
    </row>
    <row r="1914" spans="1:12">
      <c r="A1914" s="460"/>
      <c r="B1914" s="461"/>
      <c r="C1914" s="461"/>
      <c r="D1914" s="461"/>
      <c r="E1914" s="461"/>
      <c r="F1914" s="461"/>
      <c r="G1914" s="461"/>
      <c r="H1914" s="461"/>
      <c r="I1914" s="461"/>
      <c r="J1914" s="461"/>
      <c r="K1914" s="471"/>
    </row>
    <row r="1915" spans="1:12">
      <c r="A1915" s="463"/>
      <c r="B1915" s="472"/>
      <c r="C1915" s="472"/>
      <c r="D1915" s="472"/>
      <c r="E1915" s="472"/>
      <c r="F1915" s="472"/>
      <c r="G1915" s="472"/>
      <c r="H1915" s="472"/>
      <c r="I1915" s="472"/>
      <c r="J1915" s="472"/>
      <c r="K1915" s="471"/>
    </row>
    <row r="1916" spans="1:12">
      <c r="A1916" s="463"/>
      <c r="B1916" s="464" t="s">
        <v>178</v>
      </c>
      <c r="C1916" s="465"/>
      <c r="D1916" s="466" t="s">
        <v>936</v>
      </c>
      <c r="E1916" s="467"/>
      <c r="F1916" s="468"/>
      <c r="G1916" s="468"/>
      <c r="H1916" s="469"/>
      <c r="I1916" s="469"/>
      <c r="J1916" s="470"/>
      <c r="K1916" s="471"/>
    </row>
    <row r="1917" spans="1:12">
      <c r="A1917" s="463"/>
      <c r="B1917" s="472"/>
      <c r="C1917" s="472"/>
      <c r="D1917" s="472"/>
      <c r="E1917" s="472"/>
      <c r="F1917" s="472"/>
      <c r="G1917" s="472"/>
      <c r="H1917" s="472"/>
      <c r="I1917" s="472"/>
      <c r="J1917" s="472"/>
      <c r="K1917" s="471"/>
    </row>
    <row r="1918" spans="1:12">
      <c r="A1918" s="463"/>
      <c r="B1918" s="473"/>
      <c r="C1918" s="474" t="s">
        <v>937</v>
      </c>
      <c r="D1918" s="1497" t="s">
        <v>250</v>
      </c>
      <c r="E1918" s="1498"/>
      <c r="F1918" s="1498"/>
      <c r="G1918" s="1498"/>
      <c r="H1918" s="1498"/>
      <c r="I1918" s="1499"/>
      <c r="J1918" s="475" t="s">
        <v>267</v>
      </c>
      <c r="K1918" s="471"/>
    </row>
    <row r="1919" spans="1:12">
      <c r="A1919" s="463"/>
      <c r="B1919" s="476"/>
      <c r="C1919" s="477">
        <f ca="1">TODAY()</f>
        <v>46140</v>
      </c>
      <c r="D1919" s="681" t="s">
        <v>1509</v>
      </c>
      <c r="E1919" s="479"/>
      <c r="F1919" s="479"/>
      <c r="G1919" s="479"/>
      <c r="H1919" s="479"/>
      <c r="I1919" s="480"/>
      <c r="J1919" s="481" t="str">
        <f>F1933</f>
        <v>H</v>
      </c>
      <c r="K1919" s="471"/>
    </row>
    <row r="1920" spans="1:12">
      <c r="A1920" s="463"/>
      <c r="B1920" s="482"/>
      <c r="C1920" s="482"/>
      <c r="D1920" s="482"/>
      <c r="E1920" s="482"/>
      <c r="F1920" s="482"/>
      <c r="G1920" s="482"/>
      <c r="H1920" s="482"/>
      <c r="I1920" s="483"/>
      <c r="J1920" s="484"/>
      <c r="K1920" s="471"/>
    </row>
    <row r="1921" spans="1:12">
      <c r="A1921" s="463"/>
      <c r="B1921" s="1484" t="s">
        <v>938</v>
      </c>
      <c r="C1921" s="1486"/>
      <c r="D1921" s="1502" t="s">
        <v>688</v>
      </c>
      <c r="E1921" s="1504" t="s">
        <v>939</v>
      </c>
      <c r="F1921" s="485" t="s">
        <v>940</v>
      </c>
      <c r="G1921" s="486"/>
      <c r="H1921" s="485" t="s">
        <v>941</v>
      </c>
      <c r="I1921" s="486"/>
      <c r="J1921" s="487" t="s">
        <v>942</v>
      </c>
      <c r="K1921" s="471"/>
    </row>
    <row r="1922" spans="1:12">
      <c r="A1922" s="463"/>
      <c r="B1922" s="1500"/>
      <c r="C1922" s="1501"/>
      <c r="D1922" s="1503"/>
      <c r="E1922" s="1505"/>
      <c r="F1922" s="488" t="s">
        <v>943</v>
      </c>
      <c r="G1922" s="488" t="s">
        <v>944</v>
      </c>
      <c r="H1922" s="488" t="s">
        <v>943</v>
      </c>
      <c r="I1922" s="489" t="s">
        <v>944</v>
      </c>
      <c r="J1922" s="490" t="s">
        <v>945</v>
      </c>
      <c r="K1922" s="471"/>
    </row>
    <row r="1923" spans="1:12">
      <c r="A1923" s="463"/>
      <c r="B1923" s="499" t="s">
        <v>653</v>
      </c>
      <c r="C1923" s="500"/>
      <c r="D1923" s="501"/>
      <c r="E1923" s="872">
        <v>1</v>
      </c>
      <c r="F1923" s="872">
        <v>1</v>
      </c>
      <c r="G1923" s="502">
        <f>1-F1923</f>
        <v>0</v>
      </c>
      <c r="H1923" s="503">
        <f>VLOOKUP(B1923,EQUIPAMENTOS!$A:$J,10,FALSE)</f>
        <v>159.49166666666667</v>
      </c>
      <c r="I1923" s="504">
        <f>H1923</f>
        <v>159.49166666666667</v>
      </c>
      <c r="J1923" s="505">
        <f>H1923*F1923*E1923+I1923*G1923*E1923</f>
        <v>159.49166666666667</v>
      </c>
      <c r="K1923" s="471"/>
    </row>
    <row r="1924" spans="1:12">
      <c r="A1924" s="463"/>
      <c r="B1924" s="499"/>
      <c r="C1924" s="500"/>
      <c r="D1924" s="501"/>
      <c r="E1924" s="872"/>
      <c r="F1924" s="872"/>
      <c r="G1924" s="502"/>
      <c r="H1924" s="503"/>
      <c r="I1924" s="504"/>
      <c r="J1924" s="505"/>
      <c r="K1924" s="471"/>
    </row>
    <row r="1925" spans="1:12">
      <c r="A1925" s="463"/>
      <c r="B1925" s="506"/>
      <c r="C1925" s="507"/>
      <c r="D1925" s="508"/>
      <c r="E1925" s="509"/>
      <c r="F1925" s="509"/>
      <c r="G1925" s="509"/>
      <c r="H1925" s="561"/>
      <c r="I1925" s="510"/>
      <c r="J1925" s="505"/>
      <c r="K1925" s="471"/>
    </row>
    <row r="1926" spans="1:12">
      <c r="A1926" s="463"/>
      <c r="B1926" s="512" t="s">
        <v>946</v>
      </c>
      <c r="C1926" s="482"/>
      <c r="D1926" s="482"/>
      <c r="E1926" s="482"/>
      <c r="F1926" s="482"/>
      <c r="G1926" s="482"/>
      <c r="H1926" s="482"/>
      <c r="I1926" s="513" t="s">
        <v>175</v>
      </c>
      <c r="J1926" s="514">
        <f>SUM(J1923:J1925)</f>
        <v>159.49166666666667</v>
      </c>
      <c r="K1926" s="471"/>
      <c r="L1926" s="6">
        <f>J1926/E1933</f>
        <v>106.32777777777778</v>
      </c>
    </row>
    <row r="1927" spans="1:12">
      <c r="A1927" s="463"/>
      <c r="B1927" s="515"/>
      <c r="C1927" s="515"/>
      <c r="D1927" s="515"/>
      <c r="E1927" s="515"/>
      <c r="F1927" s="515"/>
      <c r="G1927" s="515"/>
      <c r="H1927" s="515"/>
      <c r="I1927" s="516"/>
      <c r="J1927" s="517"/>
      <c r="K1927" s="471"/>
    </row>
    <row r="1928" spans="1:12" ht="20.399999999999999">
      <c r="A1928" s="463"/>
      <c r="B1928" s="1490" t="s">
        <v>947</v>
      </c>
      <c r="C1928" s="1491"/>
      <c r="D1928" s="1491"/>
      <c r="E1928" s="1492"/>
      <c r="F1928" s="725" t="s">
        <v>688</v>
      </c>
      <c r="G1928" s="519"/>
      <c r="H1928" s="520" t="s">
        <v>427</v>
      </c>
      <c r="I1928" s="521" t="s">
        <v>948</v>
      </c>
      <c r="J1928" s="522" t="s">
        <v>949</v>
      </c>
      <c r="K1928" s="471"/>
    </row>
    <row r="1929" spans="1:12">
      <c r="A1929" s="463"/>
      <c r="B1929" s="530"/>
      <c r="C1929" s="531"/>
      <c r="D1929" s="472"/>
      <c r="E1929" s="500"/>
      <c r="F1929" s="501"/>
      <c r="G1929" s="532"/>
      <c r="H1929" s="533"/>
      <c r="I1929" s="534"/>
      <c r="J1929" s="505">
        <f>H1929*I1929</f>
        <v>0</v>
      </c>
      <c r="K1929" s="471"/>
    </row>
    <row r="1930" spans="1:12">
      <c r="A1930" s="463"/>
      <c r="B1930" s="530"/>
      <c r="C1930" s="531"/>
      <c r="D1930" s="472"/>
      <c r="E1930" s="500"/>
      <c r="F1930" s="501"/>
      <c r="G1930" s="532"/>
      <c r="H1930" s="533"/>
      <c r="I1930" s="534"/>
      <c r="J1930" s="505">
        <f>H1930*I1930</f>
        <v>0</v>
      </c>
      <c r="K1930" s="471"/>
    </row>
    <row r="1931" spans="1:12">
      <c r="A1931" s="463"/>
      <c r="B1931" s="512" t="s">
        <v>946</v>
      </c>
      <c r="C1931" s="515"/>
      <c r="D1931" s="515"/>
      <c r="E1931" s="515"/>
      <c r="F1931" s="515"/>
      <c r="G1931" s="515"/>
      <c r="H1931" s="515"/>
      <c r="I1931" s="535" t="s">
        <v>175</v>
      </c>
      <c r="J1931" s="514">
        <f>SUM(J1929:J1930)</f>
        <v>0</v>
      </c>
      <c r="K1931" s="471"/>
    </row>
    <row r="1932" spans="1:12">
      <c r="A1932" s="463"/>
      <c r="B1932" s="536"/>
      <c r="C1932" s="536"/>
      <c r="D1932" s="536"/>
      <c r="E1932" s="536"/>
      <c r="F1932" s="536"/>
      <c r="G1932" s="536"/>
      <c r="H1932" s="536"/>
      <c r="I1932" s="537"/>
      <c r="J1932" s="536"/>
      <c r="K1932" s="471"/>
    </row>
    <row r="1933" spans="1:12">
      <c r="A1933" s="463"/>
      <c r="B1933" s="538" t="s">
        <v>952</v>
      </c>
      <c r="C1933" s="539"/>
      <c r="D1933" s="536"/>
      <c r="E1933" s="540">
        <v>1.5</v>
      </c>
      <c r="F1933" s="541" t="s">
        <v>1466</v>
      </c>
      <c r="G1933" s="519"/>
      <c r="H1933" s="519"/>
      <c r="I1933" s="542" t="s">
        <v>953</v>
      </c>
      <c r="J1933" s="514">
        <f>J1926+J1931</f>
        <v>159.49166666666667</v>
      </c>
      <c r="K1933" s="471"/>
    </row>
    <row r="1934" spans="1:12">
      <c r="A1934" s="463"/>
      <c r="B1934" s="543"/>
      <c r="C1934" s="536"/>
      <c r="D1934" s="536"/>
      <c r="E1934" s="544"/>
      <c r="F1934" s="545"/>
      <c r="G1934" s="545"/>
      <c r="H1934" s="545"/>
      <c r="I1934" s="537"/>
      <c r="J1934" s="536"/>
      <c r="K1934" s="471"/>
    </row>
    <row r="1935" spans="1:12" ht="20.399999999999999">
      <c r="A1935" s="463"/>
      <c r="B1935" s="1493" t="s">
        <v>362</v>
      </c>
      <c r="C1935" s="1494"/>
      <c r="D1935" s="1494"/>
      <c r="E1935" s="1495"/>
      <c r="F1935" s="546" t="s">
        <v>688</v>
      </c>
      <c r="G1935" s="547" t="s">
        <v>371</v>
      </c>
      <c r="H1935" s="520" t="s">
        <v>942</v>
      </c>
      <c r="I1935" s="548" t="s">
        <v>361</v>
      </c>
      <c r="J1935" s="549" t="s">
        <v>363</v>
      </c>
      <c r="K1935" s="471"/>
    </row>
    <row r="1936" spans="1:12">
      <c r="A1936" s="463"/>
      <c r="B1936" s="823" t="str">
        <f>B1923</f>
        <v>Rolo compactador liso</v>
      </c>
      <c r="C1936" s="531"/>
      <c r="D1936" s="531"/>
      <c r="E1936" s="500"/>
      <c r="F1936" s="553" t="str">
        <f>VLOOKUP(B1936,EQUIPAMENTOS!$A:$N,12,FALSE)</f>
        <v>Diesel S10</v>
      </c>
      <c r="G1936" s="554" t="s">
        <v>415</v>
      </c>
      <c r="H1936" s="560">
        <v>7.99</v>
      </c>
      <c r="I1936" s="556">
        <f>VLOOKUP(B1936,EQUIPAMENTOS!$A:$N,14,FALSE)</f>
        <v>16</v>
      </c>
      <c r="J1936" s="505">
        <f>H1936*I1936*E1923*F1923</f>
        <v>127.84</v>
      </c>
      <c r="K1936" s="471"/>
    </row>
    <row r="1937" spans="1:12">
      <c r="A1937" s="463"/>
      <c r="B1937" s="823"/>
      <c r="C1937" s="539"/>
      <c r="D1937" s="539"/>
      <c r="E1937" s="507"/>
      <c r="F1937" s="869"/>
      <c r="G1937" s="736"/>
      <c r="H1937" s="560"/>
      <c r="I1937" s="556"/>
      <c r="J1937" s="505"/>
      <c r="K1937" s="471"/>
    </row>
    <row r="1938" spans="1:12">
      <c r="A1938" s="463"/>
      <c r="B1938" s="563" t="s">
        <v>946</v>
      </c>
      <c r="C1938" s="536"/>
      <c r="D1938" s="536"/>
      <c r="E1938" s="536"/>
      <c r="F1938" s="536"/>
      <c r="G1938" s="536"/>
      <c r="H1938" s="564"/>
      <c r="I1938" s="565" t="s">
        <v>175</v>
      </c>
      <c r="J1938" s="514">
        <f>SUM(J1936:J1937)</f>
        <v>127.84</v>
      </c>
      <c r="K1938" s="471"/>
      <c r="L1938" s="6"/>
    </row>
    <row r="1939" spans="1:12">
      <c r="A1939" s="463"/>
      <c r="B1939" s="566"/>
      <c r="C1939" s="539"/>
      <c r="D1939" s="539"/>
      <c r="E1939" s="567"/>
      <c r="F1939" s="568"/>
      <c r="G1939" s="519"/>
      <c r="H1939" s="519"/>
      <c r="I1939" s="542"/>
      <c r="J1939" s="567"/>
      <c r="K1939" s="471"/>
    </row>
    <row r="1940" spans="1:12" ht="20.399999999999999">
      <c r="A1940" s="463"/>
      <c r="B1940" s="1493" t="s">
        <v>955</v>
      </c>
      <c r="C1940" s="1494"/>
      <c r="D1940" s="1494"/>
      <c r="E1940" s="1494"/>
      <c r="F1940" s="1495"/>
      <c r="G1940" s="569" t="s">
        <v>372</v>
      </c>
      <c r="H1940" s="519" t="s">
        <v>956</v>
      </c>
      <c r="I1940" s="570" t="s">
        <v>942</v>
      </c>
      <c r="J1940" s="522" t="s">
        <v>363</v>
      </c>
      <c r="K1940" s="471"/>
    </row>
    <row r="1941" spans="1:12">
      <c r="A1941" s="463"/>
      <c r="B1941" s="571"/>
      <c r="C1941" s="572"/>
      <c r="D1941" s="573"/>
      <c r="E1941" s="573"/>
      <c r="F1941" s="574"/>
      <c r="G1941" s="502"/>
      <c r="H1941" s="502"/>
      <c r="I1941" s="575"/>
      <c r="J1941" s="505"/>
      <c r="K1941" s="471"/>
    </row>
    <row r="1942" spans="1:12">
      <c r="A1942" s="463"/>
      <c r="B1942" s="576"/>
      <c r="C1942" s="577"/>
      <c r="D1942" s="578"/>
      <c r="E1942" s="578"/>
      <c r="F1942" s="579"/>
      <c r="G1942" s="502"/>
      <c r="H1942" s="502"/>
      <c r="I1942" s="575"/>
      <c r="J1942" s="505"/>
      <c r="K1942" s="471"/>
    </row>
    <row r="1943" spans="1:12">
      <c r="A1943" s="463"/>
      <c r="B1943" s="1496" t="s">
        <v>175</v>
      </c>
      <c r="C1943" s="1496"/>
      <c r="D1943" s="1496"/>
      <c r="E1943" s="1496"/>
      <c r="F1943" s="1496"/>
      <c r="G1943" s="1496"/>
      <c r="H1943" s="1496"/>
      <c r="I1943" s="1496"/>
      <c r="J1943" s="514">
        <f>SUM(J1941:J1942)</f>
        <v>0</v>
      </c>
      <c r="K1943" s="471"/>
    </row>
    <row r="1944" spans="1:12">
      <c r="A1944" s="463"/>
      <c r="B1944" s="580"/>
      <c r="C1944" s="524"/>
      <c r="D1944" s="524"/>
      <c r="E1944" s="581"/>
      <c r="F1944" s="582"/>
      <c r="G1944" s="583"/>
      <c r="H1944" s="583"/>
      <c r="I1944" s="584"/>
      <c r="J1944" s="585"/>
      <c r="K1944" s="471"/>
    </row>
    <row r="1945" spans="1:12">
      <c r="A1945" s="463"/>
      <c r="B1945" s="586" t="s">
        <v>957</v>
      </c>
      <c r="C1945" s="586"/>
      <c r="D1945" s="563"/>
      <c r="E1945" s="536"/>
      <c r="F1945" s="536"/>
      <c r="G1945" s="536"/>
      <c r="H1945" s="587"/>
      <c r="I1945" s="588"/>
      <c r="J1945" s="514">
        <f>(J1933+J1938+J1943)/E1933</f>
        <v>191.55444444444447</v>
      </c>
      <c r="K1945" s="471"/>
    </row>
    <row r="1946" spans="1:12">
      <c r="A1946" s="463"/>
      <c r="B1946" s="566"/>
      <c r="C1946" s="539"/>
      <c r="D1946" s="539"/>
      <c r="E1946" s="567"/>
      <c r="F1946" s="568"/>
      <c r="G1946" s="519"/>
      <c r="H1946" s="519"/>
      <c r="I1946" s="542"/>
      <c r="J1946" s="589"/>
      <c r="K1946" s="471"/>
    </row>
    <row r="1947" spans="1:12" ht="20.399999999999999">
      <c r="A1947" s="463"/>
      <c r="B1947" s="1493" t="s">
        <v>958</v>
      </c>
      <c r="C1947" s="1494"/>
      <c r="D1947" s="1494"/>
      <c r="E1947" s="1494"/>
      <c r="F1947" s="1495"/>
      <c r="G1947" s="569" t="s">
        <v>372</v>
      </c>
      <c r="H1947" s="519" t="s">
        <v>956</v>
      </c>
      <c r="I1947" s="570" t="s">
        <v>942</v>
      </c>
      <c r="J1947" s="522" t="s">
        <v>363</v>
      </c>
      <c r="K1947" s="471"/>
    </row>
    <row r="1948" spans="1:12">
      <c r="A1948" s="463"/>
      <c r="B1948" s="571" t="s">
        <v>1504</v>
      </c>
      <c r="C1948" s="572"/>
      <c r="D1948" s="573"/>
      <c r="E1948" s="573"/>
      <c r="F1948" s="574"/>
      <c r="G1948" s="502">
        <v>1</v>
      </c>
      <c r="H1948" s="502" t="s">
        <v>1007</v>
      </c>
      <c r="I1948" s="575">
        <f>J1938*0.15</f>
        <v>19.175999999999998</v>
      </c>
      <c r="J1948" s="505">
        <f>G1948*I1948</f>
        <v>19.175999999999998</v>
      </c>
      <c r="K1948" s="471"/>
      <c r="L1948" s="2"/>
    </row>
    <row r="1949" spans="1:12">
      <c r="A1949" s="463"/>
      <c r="B1949" s="576" t="s">
        <v>1505</v>
      </c>
      <c r="C1949" s="577"/>
      <c r="D1949" s="578"/>
      <c r="E1949" s="578"/>
      <c r="F1949" s="579"/>
      <c r="G1949" s="502">
        <v>1</v>
      </c>
      <c r="H1949" s="502" t="s">
        <v>1007</v>
      </c>
      <c r="I1949" s="575">
        <v>50.989737273007051</v>
      </c>
      <c r="J1949" s="505">
        <f>G1949*I1949</f>
        <v>50.989737273007051</v>
      </c>
      <c r="K1949" s="471"/>
      <c r="L1949" s="6"/>
    </row>
    <row r="1950" spans="1:12">
      <c r="A1950" s="463"/>
      <c r="B1950" s="576" t="s">
        <v>1506</v>
      </c>
      <c r="C1950" s="577"/>
      <c r="D1950" s="578"/>
      <c r="E1950" s="578"/>
      <c r="F1950" s="579"/>
      <c r="G1950" s="502">
        <v>1</v>
      </c>
      <c r="H1950" s="502" t="s">
        <v>1007</v>
      </c>
      <c r="I1950" s="575">
        <f>J1938*0.06</f>
        <v>7.6703999999999999</v>
      </c>
      <c r="J1950" s="505">
        <f>G1950*I1950</f>
        <v>7.6703999999999999</v>
      </c>
      <c r="K1950" s="471"/>
    </row>
    <row r="1951" spans="1:12">
      <c r="A1951" s="463"/>
      <c r="B1951" s="590"/>
      <c r="C1951" s="591"/>
      <c r="D1951" s="592"/>
      <c r="E1951" s="592"/>
      <c r="F1951" s="593"/>
      <c r="G1951" s="502"/>
      <c r="H1951" s="502"/>
      <c r="I1951" s="575"/>
      <c r="J1951" s="505">
        <f>G1951*I1951</f>
        <v>0</v>
      </c>
      <c r="K1951" s="471"/>
    </row>
    <row r="1952" spans="1:12">
      <c r="A1952" s="463"/>
      <c r="B1952" s="594"/>
      <c r="C1952" s="536"/>
      <c r="D1952" s="536"/>
      <c r="E1952" s="595"/>
      <c r="F1952" s="596"/>
      <c r="G1952" s="545"/>
      <c r="H1952" s="545"/>
      <c r="I1952" s="537" t="s">
        <v>175</v>
      </c>
      <c r="J1952" s="514">
        <f>SUM(J1948:J1951)</f>
        <v>77.836137273007054</v>
      </c>
      <c r="K1952" s="471"/>
    </row>
    <row r="1953" spans="1:12">
      <c r="A1953" s="463"/>
      <c r="B1953" s="597"/>
      <c r="C1953" s="536"/>
      <c r="D1953" s="536"/>
      <c r="E1953" s="595"/>
      <c r="F1953" s="596"/>
      <c r="G1953" s="545"/>
      <c r="H1953" s="545"/>
      <c r="I1953" s="537"/>
      <c r="J1953" s="595"/>
      <c r="K1953" s="471"/>
    </row>
    <row r="1954" spans="1:12" ht="20.399999999999999">
      <c r="A1954" s="463"/>
      <c r="B1954" s="598" t="s">
        <v>959</v>
      </c>
      <c r="C1954" s="598"/>
      <c r="D1954" s="598"/>
      <c r="E1954" s="599"/>
      <c r="F1954" s="600" t="s">
        <v>372</v>
      </c>
      <c r="G1954" s="569" t="s">
        <v>960</v>
      </c>
      <c r="H1954" s="519" t="s">
        <v>942</v>
      </c>
      <c r="I1954" s="570" t="s">
        <v>361</v>
      </c>
      <c r="J1954" s="522" t="s">
        <v>363</v>
      </c>
      <c r="K1954" s="471"/>
    </row>
    <row r="1955" spans="1:12">
      <c r="A1955" s="463"/>
      <c r="B1955" s="571"/>
      <c r="C1955" s="572"/>
      <c r="D1955" s="573"/>
      <c r="E1955" s="574"/>
      <c r="F1955" s="502"/>
      <c r="G1955" s="502"/>
      <c r="H1955" s="624"/>
      <c r="I1955" s="575"/>
      <c r="J1955" s="505"/>
      <c r="K1955" s="471"/>
    </row>
    <row r="1956" spans="1:12">
      <c r="A1956" s="463"/>
      <c r="B1956" s="590" t="s">
        <v>946</v>
      </c>
      <c r="C1956" s="591"/>
      <c r="D1956" s="592"/>
      <c r="E1956" s="593" t="s">
        <v>946</v>
      </c>
      <c r="F1956" s="509">
        <v>0</v>
      </c>
      <c r="G1956" s="509">
        <v>0</v>
      </c>
      <c r="H1956" s="509">
        <v>0</v>
      </c>
      <c r="I1956" s="601">
        <v>0</v>
      </c>
      <c r="J1956" s="505">
        <f>I1956*H1956*G1956*F1956</f>
        <v>0</v>
      </c>
      <c r="K1956" s="471"/>
    </row>
    <row r="1957" spans="1:12">
      <c r="A1957" s="463"/>
      <c r="B1957" s="594"/>
      <c r="C1957" s="536"/>
      <c r="D1957" s="536"/>
      <c r="E1957" s="595"/>
      <c r="F1957" s="596"/>
      <c r="G1957" s="545"/>
      <c r="H1957" s="545"/>
      <c r="I1957" s="537" t="s">
        <v>175</v>
      </c>
      <c r="J1957" s="514">
        <f>SUM(J1955:J1956)</f>
        <v>0</v>
      </c>
      <c r="K1957" s="471"/>
    </row>
    <row r="1958" spans="1:12">
      <c r="A1958" s="463"/>
      <c r="B1958" s="536"/>
      <c r="C1958" s="536"/>
      <c r="D1958" s="536"/>
      <c r="E1958" s="536"/>
      <c r="F1958" s="536"/>
      <c r="G1958" s="536"/>
      <c r="H1958" s="536"/>
      <c r="I1958" s="537"/>
      <c r="J1958" s="536"/>
      <c r="K1958" s="471"/>
    </row>
    <row r="1959" spans="1:12">
      <c r="A1959" s="463"/>
      <c r="B1959" s="1481" t="s">
        <v>963</v>
      </c>
      <c r="C1959" s="1482"/>
      <c r="D1959" s="1482"/>
      <c r="E1959" s="1482"/>
      <c r="F1959" s="1482"/>
      <c r="G1959" s="1482"/>
      <c r="H1959" s="1482"/>
      <c r="I1959" s="1483"/>
      <c r="J1959" s="586">
        <f>J1945+J1952</f>
        <v>269.39058171745154</v>
      </c>
      <c r="K1959" s="471"/>
      <c r="L1959">
        <v>269.39058171745154</v>
      </c>
    </row>
    <row r="1960" spans="1:12">
      <c r="A1960" s="463"/>
      <c r="B1960" s="524"/>
      <c r="C1960" s="524"/>
      <c r="D1960" s="524"/>
      <c r="E1960" s="524"/>
      <c r="F1960" s="524"/>
      <c r="G1960" s="524"/>
      <c r="H1960" s="524"/>
      <c r="I1960" s="584"/>
      <c r="J1960" s="524"/>
      <c r="K1960" s="471"/>
    </row>
    <row r="1961" spans="1:12">
      <c r="A1961" s="463"/>
      <c r="B1961" s="602"/>
      <c r="C1961" s="572"/>
      <c r="D1961" s="572"/>
      <c r="E1961" s="572"/>
      <c r="F1961" s="572"/>
      <c r="G1961" s="572"/>
      <c r="H1961" s="572"/>
      <c r="I1961" s="572"/>
      <c r="J1961" s="603"/>
      <c r="K1961" s="471"/>
    </row>
    <row r="1962" spans="1:12">
      <c r="A1962" s="463"/>
      <c r="B1962" s="604"/>
      <c r="C1962" s="605"/>
      <c r="D1962" s="606"/>
      <c r="E1962" s="606"/>
      <c r="F1962" s="607" t="s">
        <v>946</v>
      </c>
      <c r="G1962" s="608" t="s">
        <v>946</v>
      </c>
      <c r="H1962" s="605"/>
      <c r="I1962" s="605"/>
      <c r="J1962" s="609"/>
      <c r="K1962" s="471"/>
    </row>
    <row r="1963" spans="1:12">
      <c r="A1963" s="463"/>
      <c r="B1963" s="472"/>
      <c r="C1963" s="472"/>
      <c r="D1963" s="472"/>
      <c r="E1963" s="472"/>
      <c r="F1963" s="472"/>
      <c r="G1963" s="472"/>
      <c r="H1963" s="472"/>
      <c r="I1963" s="472"/>
      <c r="J1963" s="472"/>
      <c r="K1963" s="471"/>
    </row>
    <row r="1964" spans="1:12">
      <c r="A1964" s="463"/>
      <c r="B1964" s="610" t="str">
        <f>PLANEJAMENTO!F2</f>
        <v>OPERAÇÃO DE SUPRESSÃO E SUMP</v>
      </c>
      <c r="C1964" s="611"/>
      <c r="D1964" s="611"/>
      <c r="E1964" s="611"/>
      <c r="F1964" s="612"/>
      <c r="G1964" s="613" t="s">
        <v>363</v>
      </c>
      <c r="H1964" s="515"/>
      <c r="I1964" s="515"/>
      <c r="J1964" s="518"/>
      <c r="K1964" s="471"/>
    </row>
    <row r="1965" spans="1:12">
      <c r="A1965" s="463"/>
      <c r="B1965" s="614" t="str">
        <f>PLANEJAMENTO!F3</f>
        <v>MARA ROSA</v>
      </c>
      <c r="C1965" s="615"/>
      <c r="D1965" s="615"/>
      <c r="E1965" s="615"/>
      <c r="F1965" s="616"/>
      <c r="G1965" s="1484" t="s">
        <v>964</v>
      </c>
      <c r="H1965" s="1485"/>
      <c r="I1965" s="1485"/>
      <c r="J1965" s="1486"/>
      <c r="K1965" s="471"/>
    </row>
    <row r="1966" spans="1:12">
      <c r="A1966" s="463"/>
      <c r="B1966" s="617"/>
      <c r="C1966" s="618"/>
      <c r="D1966" s="618"/>
      <c r="E1966" s="618"/>
      <c r="F1966" s="619"/>
      <c r="G1966" s="620"/>
      <c r="H1966" s="1487"/>
      <c r="I1966" s="1488"/>
      <c r="J1966" s="1489"/>
      <c r="K1966" s="471"/>
    </row>
    <row r="1967" spans="1:12" ht="15" thickBot="1">
      <c r="A1967" s="621"/>
      <c r="B1967" s="622"/>
      <c r="C1967" s="622"/>
      <c r="D1967" s="622"/>
      <c r="E1967" s="622"/>
      <c r="F1967" s="622"/>
      <c r="G1967" s="622"/>
      <c r="H1967" s="622"/>
      <c r="I1967" s="622"/>
      <c r="J1967" s="622"/>
      <c r="K1967" s="623"/>
    </row>
    <row r="1968" spans="1:12">
      <c r="A1968" s="463"/>
      <c r="B1968" s="472"/>
      <c r="C1968" s="472"/>
      <c r="D1968" s="472"/>
      <c r="E1968" s="472"/>
      <c r="F1968" s="472"/>
      <c r="G1968" s="472"/>
      <c r="H1968" s="472"/>
      <c r="I1968" s="472"/>
      <c r="J1968" s="472"/>
      <c r="K1968" s="471"/>
    </row>
    <row r="1969" spans="1:12">
      <c r="A1969" s="463"/>
      <c r="B1969" s="464" t="s">
        <v>178</v>
      </c>
      <c r="C1969" s="465"/>
      <c r="D1969" s="466" t="s">
        <v>936</v>
      </c>
      <c r="E1969" s="467"/>
      <c r="F1969" s="468"/>
      <c r="G1969" s="468"/>
      <c r="H1969" s="469"/>
      <c r="I1969" s="469"/>
      <c r="J1969" s="470"/>
      <c r="K1969" s="471"/>
    </row>
    <row r="1970" spans="1:12">
      <c r="A1970" s="463"/>
      <c r="B1970" s="472"/>
      <c r="C1970" s="472"/>
      <c r="D1970" s="472"/>
      <c r="E1970" s="472"/>
      <c r="F1970" s="472"/>
      <c r="G1970" s="472"/>
      <c r="H1970" s="472"/>
      <c r="I1970" s="472"/>
      <c r="J1970" s="472"/>
      <c r="K1970" s="471"/>
    </row>
    <row r="1971" spans="1:12">
      <c r="A1971" s="463"/>
      <c r="B1971" s="473"/>
      <c r="C1971" s="474" t="s">
        <v>937</v>
      </c>
      <c r="D1971" s="1497" t="s">
        <v>250</v>
      </c>
      <c r="E1971" s="1498"/>
      <c r="F1971" s="1498"/>
      <c r="G1971" s="1498"/>
      <c r="H1971" s="1498"/>
      <c r="I1971" s="1499"/>
      <c r="J1971" s="475" t="s">
        <v>267</v>
      </c>
      <c r="K1971" s="471"/>
    </row>
    <row r="1972" spans="1:12">
      <c r="A1972" s="463"/>
      <c r="B1972" s="476"/>
      <c r="C1972" s="477">
        <f ca="1">TODAY()</f>
        <v>46140</v>
      </c>
      <c r="D1972" s="681" t="s">
        <v>1510</v>
      </c>
      <c r="E1972" s="479"/>
      <c r="F1972" s="479"/>
      <c r="G1972" s="479"/>
      <c r="H1972" s="479"/>
      <c r="I1972" s="480"/>
      <c r="J1972" s="481" t="str">
        <f>F1987</f>
        <v>H</v>
      </c>
      <c r="K1972" s="471"/>
    </row>
    <row r="1973" spans="1:12">
      <c r="A1973" s="463"/>
      <c r="B1973" s="482"/>
      <c r="C1973" s="482"/>
      <c r="D1973" s="482"/>
      <c r="E1973" s="482"/>
      <c r="F1973" s="482"/>
      <c r="G1973" s="482"/>
      <c r="H1973" s="482"/>
      <c r="I1973" s="483"/>
      <c r="J1973" s="484"/>
      <c r="K1973" s="471"/>
    </row>
    <row r="1974" spans="1:12">
      <c r="A1974" s="463"/>
      <c r="B1974" s="1484" t="s">
        <v>938</v>
      </c>
      <c r="C1974" s="1486"/>
      <c r="D1974" s="1502" t="s">
        <v>688</v>
      </c>
      <c r="E1974" s="1504" t="s">
        <v>939</v>
      </c>
      <c r="F1974" s="485" t="s">
        <v>940</v>
      </c>
      <c r="G1974" s="486"/>
      <c r="H1974" s="485" t="s">
        <v>941</v>
      </c>
      <c r="I1974" s="486"/>
      <c r="J1974" s="487" t="s">
        <v>942</v>
      </c>
      <c r="K1974" s="471"/>
    </row>
    <row r="1975" spans="1:12">
      <c r="A1975" s="463"/>
      <c r="B1975" s="1500"/>
      <c r="C1975" s="1501"/>
      <c r="D1975" s="1503"/>
      <c r="E1975" s="1505"/>
      <c r="F1975" s="488" t="s">
        <v>943</v>
      </c>
      <c r="G1975" s="488" t="s">
        <v>944</v>
      </c>
      <c r="H1975" s="488" t="s">
        <v>943</v>
      </c>
      <c r="I1975" s="489" t="s">
        <v>944</v>
      </c>
      <c r="J1975" s="490" t="s">
        <v>945</v>
      </c>
      <c r="K1975" s="471"/>
    </row>
    <row r="1976" spans="1:12">
      <c r="A1976" s="463"/>
      <c r="B1976" s="491" t="s">
        <v>647</v>
      </c>
      <c r="C1976" s="492"/>
      <c r="D1976" s="493"/>
      <c r="E1976" s="494">
        <v>1</v>
      </c>
      <c r="F1976" s="494">
        <v>1</v>
      </c>
      <c r="G1976" s="495">
        <f>1-F1976</f>
        <v>0</v>
      </c>
      <c r="H1976" s="503">
        <f>VLOOKUP(B1976,EQUIPAMENTOS!$A:$J,10,FALSE)</f>
        <v>192.58333333333334</v>
      </c>
      <c r="I1976" s="504">
        <f>H1976</f>
        <v>192.58333333333334</v>
      </c>
      <c r="J1976" s="505">
        <f>H1976*F1976*E1976+I1976*G1976*E1976</f>
        <v>192.58333333333334</v>
      </c>
      <c r="K1976" s="471"/>
    </row>
    <row r="1977" spans="1:12">
      <c r="A1977" s="463"/>
      <c r="B1977" s="499"/>
      <c r="C1977" s="500"/>
      <c r="D1977" s="501"/>
      <c r="E1977" s="872"/>
      <c r="F1977" s="872"/>
      <c r="G1977" s="502"/>
      <c r="H1977" s="503"/>
      <c r="I1977" s="504"/>
      <c r="J1977" s="505"/>
      <c r="K1977" s="471"/>
    </row>
    <row r="1978" spans="1:12">
      <c r="A1978" s="463"/>
      <c r="B1978" s="506"/>
      <c r="C1978" s="507"/>
      <c r="D1978" s="508"/>
      <c r="E1978" s="509"/>
      <c r="F1978" s="509"/>
      <c r="G1978" s="509"/>
      <c r="H1978" s="561"/>
      <c r="I1978" s="510"/>
      <c r="J1978" s="505"/>
      <c r="K1978" s="471"/>
    </row>
    <row r="1979" spans="1:12">
      <c r="A1979" s="463"/>
      <c r="B1979" s="512" t="s">
        <v>946</v>
      </c>
      <c r="C1979" s="482"/>
      <c r="D1979" s="482"/>
      <c r="E1979" s="482"/>
      <c r="F1979" s="482"/>
      <c r="G1979" s="482"/>
      <c r="H1979" s="482"/>
      <c r="I1979" s="513" t="s">
        <v>175</v>
      </c>
      <c r="J1979" s="514">
        <f>SUM(J1976:J1978)</f>
        <v>192.58333333333334</v>
      </c>
      <c r="K1979" s="471"/>
      <c r="L1979" s="6">
        <f>J1979/E1987</f>
        <v>148.14102564102564</v>
      </c>
    </row>
    <row r="1980" spans="1:12">
      <c r="A1980" s="463"/>
      <c r="B1980" s="515"/>
      <c r="C1980" s="515"/>
      <c r="D1980" s="515"/>
      <c r="E1980" s="515"/>
      <c r="F1980" s="515"/>
      <c r="G1980" s="515"/>
      <c r="H1980" s="515"/>
      <c r="I1980" s="516"/>
      <c r="J1980" s="517"/>
      <c r="K1980" s="471"/>
    </row>
    <row r="1981" spans="1:12" ht="20.399999999999999">
      <c r="A1981" s="463"/>
      <c r="B1981" s="1490" t="s">
        <v>947</v>
      </c>
      <c r="C1981" s="1491"/>
      <c r="D1981" s="1491"/>
      <c r="E1981" s="1492"/>
      <c r="F1981" s="725" t="s">
        <v>688</v>
      </c>
      <c r="G1981" s="519"/>
      <c r="H1981" s="520" t="s">
        <v>427</v>
      </c>
      <c r="I1981" s="521" t="s">
        <v>948</v>
      </c>
      <c r="J1981" s="522" t="s">
        <v>949</v>
      </c>
      <c r="K1981" s="471"/>
    </row>
    <row r="1982" spans="1:12">
      <c r="A1982" s="463"/>
      <c r="B1982" s="523"/>
      <c r="C1982" s="524"/>
      <c r="D1982" s="525"/>
      <c r="E1982" s="526"/>
      <c r="F1982" s="527"/>
      <c r="G1982" s="528"/>
      <c r="H1982" s="529"/>
      <c r="I1982" s="534"/>
      <c r="J1982" s="505">
        <f>H1982*I1982</f>
        <v>0</v>
      </c>
      <c r="K1982" s="471"/>
    </row>
    <row r="1983" spans="1:12">
      <c r="A1983" s="463"/>
      <c r="B1983" s="530"/>
      <c r="C1983" s="531"/>
      <c r="D1983" s="472"/>
      <c r="E1983" s="500"/>
      <c r="F1983" s="501"/>
      <c r="G1983" s="532"/>
      <c r="H1983" s="533"/>
      <c r="I1983" s="534"/>
      <c r="J1983" s="505">
        <f>H1983*I1983</f>
        <v>0</v>
      </c>
      <c r="K1983" s="471"/>
    </row>
    <row r="1984" spans="1:12">
      <c r="A1984" s="463"/>
      <c r="B1984" s="530"/>
      <c r="C1984" s="531"/>
      <c r="D1984" s="472"/>
      <c r="E1984" s="500"/>
      <c r="F1984" s="501"/>
      <c r="G1984" s="532"/>
      <c r="H1984" s="533"/>
      <c r="I1984" s="534"/>
      <c r="J1984" s="505">
        <f>H1984*I1984</f>
        <v>0</v>
      </c>
      <c r="K1984" s="471"/>
    </row>
    <row r="1985" spans="1:12">
      <c r="A1985" s="463"/>
      <c r="B1985" s="512" t="s">
        <v>946</v>
      </c>
      <c r="C1985" s="515"/>
      <c r="D1985" s="515"/>
      <c r="E1985" s="515"/>
      <c r="F1985" s="515"/>
      <c r="G1985" s="515"/>
      <c r="H1985" s="515"/>
      <c r="I1985" s="535" t="s">
        <v>175</v>
      </c>
      <c r="J1985" s="514">
        <f>SUM(J1982:J1984)</f>
        <v>0</v>
      </c>
      <c r="K1985" s="471"/>
    </row>
    <row r="1986" spans="1:12">
      <c r="A1986" s="463"/>
      <c r="B1986" s="536"/>
      <c r="C1986" s="536"/>
      <c r="D1986" s="536"/>
      <c r="E1986" s="536"/>
      <c r="F1986" s="536"/>
      <c r="G1986" s="536"/>
      <c r="H1986" s="536"/>
      <c r="I1986" s="537"/>
      <c r="J1986" s="536"/>
      <c r="K1986" s="471"/>
    </row>
    <row r="1987" spans="1:12">
      <c r="A1987" s="463"/>
      <c r="B1987" s="538" t="s">
        <v>952</v>
      </c>
      <c r="C1987" s="539"/>
      <c r="D1987" s="536"/>
      <c r="E1987" s="540">
        <v>1.3</v>
      </c>
      <c r="F1987" s="541" t="s">
        <v>1466</v>
      </c>
      <c r="G1987" s="519"/>
      <c r="H1987" s="519"/>
      <c r="I1987" s="542" t="s">
        <v>953</v>
      </c>
      <c r="J1987" s="514">
        <f>J1979+J1985</f>
        <v>192.58333333333334</v>
      </c>
      <c r="K1987" s="471"/>
    </row>
    <row r="1988" spans="1:12">
      <c r="A1988" s="463"/>
      <c r="B1988" s="543"/>
      <c r="C1988" s="536"/>
      <c r="D1988" s="536"/>
      <c r="E1988" s="544"/>
      <c r="F1988" s="545"/>
      <c r="G1988" s="545"/>
      <c r="H1988" s="545"/>
      <c r="I1988" s="537"/>
      <c r="J1988" s="536"/>
      <c r="K1988" s="471"/>
    </row>
    <row r="1989" spans="1:12" ht="20.399999999999999">
      <c r="A1989" s="463"/>
      <c r="B1989" s="1493" t="s">
        <v>362</v>
      </c>
      <c r="C1989" s="1494"/>
      <c r="D1989" s="1494"/>
      <c r="E1989" s="1495"/>
      <c r="F1989" s="546" t="s">
        <v>688</v>
      </c>
      <c r="G1989" s="547" t="s">
        <v>371</v>
      </c>
      <c r="H1989" s="520" t="s">
        <v>942</v>
      </c>
      <c r="I1989" s="548" t="s">
        <v>361</v>
      </c>
      <c r="J1989" s="549" t="s">
        <v>363</v>
      </c>
      <c r="K1989" s="471"/>
    </row>
    <row r="1990" spans="1:12">
      <c r="A1990" s="463"/>
      <c r="B1990" s="823" t="str">
        <f>B1976</f>
        <v>Pá carregadeira</v>
      </c>
      <c r="C1990" s="532"/>
      <c r="D1990" s="532"/>
      <c r="E1990" s="822"/>
      <c r="F1990" s="553" t="str">
        <f>VLOOKUP(B1990,EQUIPAMENTOS!$A:$N,12,FALSE)</f>
        <v>Diesel S10</v>
      </c>
      <c r="G1990" s="554" t="s">
        <v>415</v>
      </c>
      <c r="H1990" s="560">
        <v>7.99</v>
      </c>
      <c r="I1990" s="556">
        <f>VLOOKUP(B1990,EQUIPAMENTOS!$A:$N,14,FALSE)</f>
        <v>16</v>
      </c>
      <c r="J1990" s="505">
        <f>H1990*I1990*E1976*F1976</f>
        <v>127.84</v>
      </c>
      <c r="K1990" s="471"/>
    </row>
    <row r="1991" spans="1:12">
      <c r="A1991" s="463"/>
      <c r="B1991" s="823"/>
      <c r="C1991" s="531"/>
      <c r="D1991" s="531"/>
      <c r="E1991" s="500"/>
      <c r="F1991" s="553"/>
      <c r="G1991" s="554"/>
      <c r="H1991" s="560"/>
      <c r="I1991" s="556"/>
      <c r="J1991" s="505"/>
      <c r="K1991" s="471"/>
    </row>
    <row r="1992" spans="1:12">
      <c r="A1992" s="463"/>
      <c r="B1992" s="823"/>
      <c r="C1992" s="539"/>
      <c r="D1992" s="539"/>
      <c r="E1992" s="507"/>
      <c r="F1992" s="869"/>
      <c r="G1992" s="736"/>
      <c r="H1992" s="560"/>
      <c r="I1992" s="556"/>
      <c r="J1992" s="505"/>
      <c r="K1992" s="471"/>
    </row>
    <row r="1993" spans="1:12">
      <c r="A1993" s="463"/>
      <c r="B1993" s="563" t="s">
        <v>946</v>
      </c>
      <c r="C1993" s="536"/>
      <c r="D1993" s="536"/>
      <c r="E1993" s="536"/>
      <c r="F1993" s="536"/>
      <c r="G1993" s="536"/>
      <c r="H1993" s="564"/>
      <c r="I1993" s="565" t="s">
        <v>175</v>
      </c>
      <c r="J1993" s="514">
        <f>SUM(J1990:J1992)</f>
        <v>127.84</v>
      </c>
      <c r="K1993" s="471"/>
      <c r="L1993" s="6">
        <f>J1993/E1987</f>
        <v>98.338461538461544</v>
      </c>
    </row>
    <row r="1994" spans="1:12">
      <c r="A1994" s="463"/>
      <c r="B1994" s="566"/>
      <c r="C1994" s="539"/>
      <c r="D1994" s="539"/>
      <c r="E1994" s="567"/>
      <c r="F1994" s="568"/>
      <c r="G1994" s="519"/>
      <c r="H1994" s="519"/>
      <c r="I1994" s="542"/>
      <c r="J1994" s="567"/>
      <c r="K1994" s="471"/>
    </row>
    <row r="1995" spans="1:12" ht="20.399999999999999">
      <c r="A1995" s="463"/>
      <c r="B1995" s="1493" t="s">
        <v>955</v>
      </c>
      <c r="C1995" s="1494"/>
      <c r="D1995" s="1494"/>
      <c r="E1995" s="1494"/>
      <c r="F1995" s="1495"/>
      <c r="G1995" s="569" t="s">
        <v>372</v>
      </c>
      <c r="H1995" s="519" t="s">
        <v>956</v>
      </c>
      <c r="I1995" s="570" t="s">
        <v>942</v>
      </c>
      <c r="J1995" s="522" t="s">
        <v>363</v>
      </c>
      <c r="K1995" s="471"/>
    </row>
    <row r="1996" spans="1:12">
      <c r="A1996" s="463"/>
      <c r="B1996" s="571"/>
      <c r="C1996" s="572"/>
      <c r="D1996" s="573"/>
      <c r="E1996" s="573"/>
      <c r="F1996" s="574"/>
      <c r="G1996" s="502"/>
      <c r="H1996" s="502"/>
      <c r="I1996" s="575"/>
      <c r="J1996" s="505"/>
      <c r="K1996" s="471"/>
    </row>
    <row r="1997" spans="1:12">
      <c r="A1997" s="463"/>
      <c r="B1997" s="576"/>
      <c r="C1997" s="577"/>
      <c r="D1997" s="578"/>
      <c r="E1997" s="578"/>
      <c r="F1997" s="579"/>
      <c r="G1997" s="502"/>
      <c r="H1997" s="502"/>
      <c r="I1997" s="575"/>
      <c r="J1997" s="505"/>
      <c r="K1997" s="471"/>
    </row>
    <row r="1998" spans="1:12">
      <c r="A1998" s="463"/>
      <c r="B1998" s="1496" t="s">
        <v>175</v>
      </c>
      <c r="C1998" s="1496"/>
      <c r="D1998" s="1496"/>
      <c r="E1998" s="1496"/>
      <c r="F1998" s="1496"/>
      <c r="G1998" s="1496"/>
      <c r="H1998" s="1496"/>
      <c r="I1998" s="1496"/>
      <c r="J1998" s="514">
        <f>SUM(J1996:J1997)</f>
        <v>0</v>
      </c>
      <c r="K1998" s="471"/>
    </row>
    <row r="1999" spans="1:12">
      <c r="A1999" s="463"/>
      <c r="B1999" s="580"/>
      <c r="C1999" s="524"/>
      <c r="D1999" s="524"/>
      <c r="E1999" s="581"/>
      <c r="F1999" s="582"/>
      <c r="G1999" s="583"/>
      <c r="H1999" s="583"/>
      <c r="I1999" s="584"/>
      <c r="J1999" s="585"/>
      <c r="K1999" s="471"/>
    </row>
    <row r="2000" spans="1:12">
      <c r="A2000" s="463"/>
      <c r="B2000" s="586" t="s">
        <v>957</v>
      </c>
      <c r="C2000" s="586"/>
      <c r="D2000" s="563"/>
      <c r="E2000" s="536"/>
      <c r="F2000" s="536"/>
      <c r="G2000" s="536"/>
      <c r="H2000" s="587"/>
      <c r="I2000" s="588"/>
      <c r="J2000" s="514">
        <f>(J1987+J1993+J1998)/E1987</f>
        <v>246.47948717948719</v>
      </c>
      <c r="K2000" s="471"/>
    </row>
    <row r="2001" spans="1:12">
      <c r="A2001" s="463"/>
      <c r="B2001" s="566"/>
      <c r="C2001" s="539"/>
      <c r="D2001" s="539"/>
      <c r="E2001" s="567"/>
      <c r="F2001" s="568"/>
      <c r="G2001" s="519"/>
      <c r="H2001" s="519"/>
      <c r="I2001" s="542"/>
      <c r="J2001" s="589"/>
      <c r="K2001" s="471"/>
    </row>
    <row r="2002" spans="1:12" ht="20.399999999999999">
      <c r="A2002" s="463"/>
      <c r="B2002" s="1493" t="s">
        <v>958</v>
      </c>
      <c r="C2002" s="1494"/>
      <c r="D2002" s="1494"/>
      <c r="E2002" s="1494"/>
      <c r="F2002" s="1495"/>
      <c r="G2002" s="569" t="s">
        <v>372</v>
      </c>
      <c r="H2002" s="519" t="s">
        <v>956</v>
      </c>
      <c r="I2002" s="570" t="s">
        <v>942</v>
      </c>
      <c r="J2002" s="522" t="s">
        <v>363</v>
      </c>
      <c r="K2002" s="471"/>
    </row>
    <row r="2003" spans="1:12">
      <c r="A2003" s="463"/>
      <c r="B2003" s="571" t="s">
        <v>1504</v>
      </c>
      <c r="C2003" s="572"/>
      <c r="D2003" s="573"/>
      <c r="E2003" s="573"/>
      <c r="F2003" s="574"/>
      <c r="G2003" s="502">
        <v>1</v>
      </c>
      <c r="H2003" s="502" t="s">
        <v>1007</v>
      </c>
      <c r="I2003" s="575">
        <f>J1993*0.15</f>
        <v>19.175999999999998</v>
      </c>
      <c r="J2003" s="505">
        <f t="shared" ref="J2003:J2006" si="8">G2003*I2003</f>
        <v>19.175999999999998</v>
      </c>
      <c r="K2003" s="471"/>
      <c r="L2003" s="1032"/>
    </row>
    <row r="2004" spans="1:12">
      <c r="A2004" s="463"/>
      <c r="B2004" s="576" t="s">
        <v>1505</v>
      </c>
      <c r="C2004" s="577"/>
      <c r="D2004" s="578"/>
      <c r="E2004" s="578"/>
      <c r="F2004" s="579"/>
      <c r="G2004" s="502">
        <v>1</v>
      </c>
      <c r="H2004" s="502" t="s">
        <v>1007</v>
      </c>
      <c r="I2004" s="575">
        <v>51.956188355949621</v>
      </c>
      <c r="J2004" s="505">
        <f t="shared" si="8"/>
        <v>51.956188355949621</v>
      </c>
      <c r="K2004" s="471"/>
      <c r="L2004" s="6"/>
    </row>
    <row r="2005" spans="1:12">
      <c r="A2005" s="463"/>
      <c r="B2005" s="576" t="s">
        <v>1506</v>
      </c>
      <c r="C2005" s="577"/>
      <c r="D2005" s="578"/>
      <c r="E2005" s="578"/>
      <c r="F2005" s="579"/>
      <c r="G2005" s="502">
        <v>1</v>
      </c>
      <c r="H2005" s="502" t="s">
        <v>1007</v>
      </c>
      <c r="I2005" s="575">
        <f>J1993*0.06</f>
        <v>7.6703999999999999</v>
      </c>
      <c r="J2005" s="505">
        <f t="shared" si="8"/>
        <v>7.6703999999999999</v>
      </c>
      <c r="K2005" s="471"/>
    </row>
    <row r="2006" spans="1:12">
      <c r="A2006" s="463"/>
      <c r="B2006" s="590"/>
      <c r="C2006" s="591"/>
      <c r="D2006" s="592"/>
      <c r="E2006" s="592"/>
      <c r="F2006" s="593"/>
      <c r="G2006" s="502"/>
      <c r="H2006" s="502"/>
      <c r="I2006" s="575"/>
      <c r="J2006" s="505">
        <f t="shared" si="8"/>
        <v>0</v>
      </c>
      <c r="K2006" s="471"/>
    </row>
    <row r="2007" spans="1:12">
      <c r="A2007" s="463"/>
      <c r="B2007" s="594"/>
      <c r="C2007" s="536"/>
      <c r="D2007" s="536"/>
      <c r="E2007" s="595"/>
      <c r="F2007" s="596"/>
      <c r="G2007" s="545"/>
      <c r="H2007" s="545"/>
      <c r="I2007" s="537" t="s">
        <v>175</v>
      </c>
      <c r="J2007" s="514">
        <f>SUM(J2003:J2006)</f>
        <v>78.802588355949624</v>
      </c>
      <c r="K2007" s="471"/>
    </row>
    <row r="2008" spans="1:12">
      <c r="A2008" s="463"/>
      <c r="B2008" s="597"/>
      <c r="C2008" s="536"/>
      <c r="D2008" s="536"/>
      <c r="E2008" s="595"/>
      <c r="F2008" s="596"/>
      <c r="G2008" s="545"/>
      <c r="H2008" s="545"/>
      <c r="I2008" s="537"/>
      <c r="J2008" s="595"/>
      <c r="K2008" s="471"/>
    </row>
    <row r="2009" spans="1:12" ht="20.399999999999999">
      <c r="A2009" s="463"/>
      <c r="B2009" s="598" t="s">
        <v>959</v>
      </c>
      <c r="C2009" s="598"/>
      <c r="D2009" s="598"/>
      <c r="E2009" s="599"/>
      <c r="F2009" s="600" t="s">
        <v>372</v>
      </c>
      <c r="G2009" s="569" t="s">
        <v>960</v>
      </c>
      <c r="H2009" s="519" t="s">
        <v>942</v>
      </c>
      <c r="I2009" s="570" t="s">
        <v>361</v>
      </c>
      <c r="J2009" s="522" t="s">
        <v>363</v>
      </c>
      <c r="K2009" s="471"/>
    </row>
    <row r="2010" spans="1:12">
      <c r="A2010" s="463"/>
      <c r="B2010" s="571"/>
      <c r="C2010" s="572"/>
      <c r="D2010" s="573"/>
      <c r="E2010" s="574"/>
      <c r="F2010" s="502"/>
      <c r="G2010" s="502"/>
      <c r="H2010" s="624"/>
      <c r="I2010" s="575"/>
      <c r="J2010" s="505"/>
      <c r="K2010" s="471"/>
    </row>
    <row r="2011" spans="1:12">
      <c r="A2011" s="463"/>
      <c r="B2011" s="590" t="s">
        <v>946</v>
      </c>
      <c r="C2011" s="591"/>
      <c r="D2011" s="592"/>
      <c r="E2011" s="593" t="s">
        <v>946</v>
      </c>
      <c r="F2011" s="509">
        <v>0</v>
      </c>
      <c r="G2011" s="509">
        <v>0</v>
      </c>
      <c r="H2011" s="509">
        <v>0</v>
      </c>
      <c r="I2011" s="601">
        <v>0</v>
      </c>
      <c r="J2011" s="505">
        <f>I2011*H2011*G2011*F2011</f>
        <v>0</v>
      </c>
      <c r="K2011" s="471"/>
    </row>
    <row r="2012" spans="1:12">
      <c r="A2012" s="463"/>
      <c r="B2012" s="594"/>
      <c r="C2012" s="536"/>
      <c r="D2012" s="536"/>
      <c r="E2012" s="595"/>
      <c r="F2012" s="596"/>
      <c r="G2012" s="545"/>
      <c r="H2012" s="545"/>
      <c r="I2012" s="537" t="s">
        <v>175</v>
      </c>
      <c r="J2012" s="514">
        <f>SUM(J2010:J2011)</f>
        <v>0</v>
      </c>
      <c r="K2012" s="471"/>
    </row>
    <row r="2013" spans="1:12">
      <c r="A2013" s="463"/>
      <c r="B2013" s="536"/>
      <c r="C2013" s="536"/>
      <c r="D2013" s="536"/>
      <c r="E2013" s="536"/>
      <c r="F2013" s="536"/>
      <c r="G2013" s="536"/>
      <c r="H2013" s="536"/>
      <c r="I2013" s="537"/>
      <c r="J2013" s="536"/>
      <c r="K2013" s="471"/>
    </row>
    <row r="2014" spans="1:12">
      <c r="A2014" s="463"/>
      <c r="B2014" s="1481" t="s">
        <v>963</v>
      </c>
      <c r="C2014" s="1482"/>
      <c r="D2014" s="1482"/>
      <c r="E2014" s="1482"/>
      <c r="F2014" s="1482"/>
      <c r="G2014" s="1482"/>
      <c r="H2014" s="1482"/>
      <c r="I2014" s="1483"/>
      <c r="J2014" s="586">
        <f>J2000+J2007</f>
        <v>325.28207553543683</v>
      </c>
      <c r="K2014" s="471"/>
      <c r="L2014">
        <v>325.28207553543683</v>
      </c>
    </row>
    <row r="2015" spans="1:12">
      <c r="A2015" s="463"/>
      <c r="B2015" s="524"/>
      <c r="C2015" s="524"/>
      <c r="D2015" s="524"/>
      <c r="E2015" s="524"/>
      <c r="F2015" s="524"/>
      <c r="G2015" s="524"/>
      <c r="H2015" s="524"/>
      <c r="I2015" s="584"/>
      <c r="J2015" s="524"/>
      <c r="K2015" s="471"/>
    </row>
    <row r="2016" spans="1:12">
      <c r="A2016" s="463"/>
      <c r="B2016" s="602"/>
      <c r="C2016" s="572"/>
      <c r="D2016" s="572"/>
      <c r="E2016" s="572"/>
      <c r="F2016" s="572"/>
      <c r="G2016" s="572"/>
      <c r="H2016" s="572"/>
      <c r="I2016" s="572"/>
      <c r="J2016" s="603"/>
      <c r="K2016" s="471"/>
    </row>
    <row r="2017" spans="1:11">
      <c r="A2017" s="463"/>
      <c r="B2017" s="604"/>
      <c r="C2017" s="605"/>
      <c r="D2017" s="606"/>
      <c r="E2017" s="606"/>
      <c r="F2017" s="607" t="s">
        <v>946</v>
      </c>
      <c r="G2017" s="608" t="s">
        <v>946</v>
      </c>
      <c r="H2017" s="605"/>
      <c r="I2017" s="605"/>
      <c r="J2017" s="609"/>
      <c r="K2017" s="471"/>
    </row>
    <row r="2018" spans="1:11">
      <c r="A2018" s="463"/>
      <c r="B2018" s="472"/>
      <c r="C2018" s="472"/>
      <c r="D2018" s="472"/>
      <c r="E2018" s="472"/>
      <c r="F2018" s="472"/>
      <c r="G2018" s="472"/>
      <c r="H2018" s="472"/>
      <c r="I2018" s="472"/>
      <c r="J2018" s="472"/>
      <c r="K2018" s="471"/>
    </row>
    <row r="2019" spans="1:11">
      <c r="A2019" s="463"/>
      <c r="B2019" s="610" t="str">
        <f>PLANEJAMENTO!F2</f>
        <v>OPERAÇÃO DE SUPRESSÃO E SUMP</v>
      </c>
      <c r="C2019" s="611"/>
      <c r="D2019" s="611"/>
      <c r="E2019" s="611"/>
      <c r="F2019" s="612"/>
      <c r="G2019" s="613" t="s">
        <v>363</v>
      </c>
      <c r="H2019" s="515"/>
      <c r="I2019" s="515"/>
      <c r="J2019" s="518"/>
      <c r="K2019" s="471"/>
    </row>
    <row r="2020" spans="1:11">
      <c r="A2020" s="463"/>
      <c r="B2020" s="614" t="str">
        <f>PLANEJAMENTO!F3</f>
        <v>MARA ROSA</v>
      </c>
      <c r="C2020" s="615"/>
      <c r="D2020" s="615"/>
      <c r="E2020" s="615"/>
      <c r="F2020" s="616"/>
      <c r="G2020" s="1484" t="s">
        <v>964</v>
      </c>
      <c r="H2020" s="1485"/>
      <c r="I2020" s="1485"/>
      <c r="J2020" s="1486"/>
      <c r="K2020" s="471"/>
    </row>
    <row r="2021" spans="1:11">
      <c r="A2021" s="463"/>
      <c r="B2021" s="617"/>
      <c r="C2021" s="618"/>
      <c r="D2021" s="618"/>
      <c r="E2021" s="618"/>
      <c r="F2021" s="619"/>
      <c r="G2021" s="620"/>
      <c r="H2021" s="1487"/>
      <c r="I2021" s="1488"/>
      <c r="J2021" s="1489"/>
      <c r="K2021" s="471"/>
    </row>
    <row r="2022" spans="1:11" ht="15" thickBot="1">
      <c r="A2022" s="621"/>
      <c r="B2022" s="622"/>
      <c r="C2022" s="622"/>
      <c r="D2022" s="622"/>
      <c r="E2022" s="622"/>
      <c r="F2022" s="622"/>
      <c r="G2022" s="622"/>
      <c r="H2022" s="622"/>
      <c r="I2022" s="622"/>
      <c r="J2022" s="622"/>
      <c r="K2022" s="623"/>
    </row>
    <row r="2023" spans="1:11">
      <c r="A2023" s="463"/>
      <c r="B2023" s="472"/>
      <c r="C2023" s="472"/>
      <c r="D2023" s="472"/>
      <c r="E2023" s="472"/>
      <c r="F2023" s="472"/>
      <c r="G2023" s="472"/>
      <c r="H2023" s="472"/>
      <c r="I2023" s="472"/>
      <c r="J2023" s="472"/>
      <c r="K2023" s="471"/>
    </row>
    <row r="2024" spans="1:11">
      <c r="A2024" s="463"/>
      <c r="B2024" s="464" t="s">
        <v>178</v>
      </c>
      <c r="C2024" s="465"/>
      <c r="D2024" s="466" t="s">
        <v>936</v>
      </c>
      <c r="E2024" s="467"/>
      <c r="F2024" s="468"/>
      <c r="G2024" s="468"/>
      <c r="H2024" s="469"/>
      <c r="I2024" s="469"/>
      <c r="J2024" s="470"/>
      <c r="K2024" s="471"/>
    </row>
    <row r="2025" spans="1:11">
      <c r="A2025" s="463"/>
      <c r="B2025" s="472"/>
      <c r="C2025" s="472"/>
      <c r="D2025" s="472"/>
      <c r="E2025" s="472"/>
      <c r="F2025" s="472"/>
      <c r="G2025" s="472"/>
      <c r="H2025" s="472"/>
      <c r="I2025" s="472"/>
      <c r="J2025" s="472"/>
      <c r="K2025" s="471"/>
    </row>
    <row r="2026" spans="1:11">
      <c r="A2026" s="463"/>
      <c r="B2026" s="473"/>
      <c r="C2026" s="474" t="s">
        <v>937</v>
      </c>
      <c r="D2026" s="1497" t="s">
        <v>250</v>
      </c>
      <c r="E2026" s="1498"/>
      <c r="F2026" s="1498"/>
      <c r="G2026" s="1498"/>
      <c r="H2026" s="1498"/>
      <c r="I2026" s="1499"/>
      <c r="J2026" s="475" t="s">
        <v>267</v>
      </c>
      <c r="K2026" s="471"/>
    </row>
    <row r="2027" spans="1:11">
      <c r="A2027" s="463"/>
      <c r="B2027" s="476"/>
      <c r="C2027" s="477">
        <f ca="1">TODAY()</f>
        <v>46140</v>
      </c>
      <c r="D2027" s="681" t="s">
        <v>1511</v>
      </c>
      <c r="E2027" s="479"/>
      <c r="F2027" s="479"/>
      <c r="G2027" s="479"/>
      <c r="H2027" s="479"/>
      <c r="I2027" s="480"/>
      <c r="J2027" s="481" t="str">
        <f>F2042</f>
        <v>H</v>
      </c>
      <c r="K2027" s="471"/>
    </row>
    <row r="2028" spans="1:11">
      <c r="A2028" s="463"/>
      <c r="B2028" s="482"/>
      <c r="C2028" s="482"/>
      <c r="D2028" s="482"/>
      <c r="E2028" s="482"/>
      <c r="F2028" s="482"/>
      <c r="G2028" s="482"/>
      <c r="H2028" s="482"/>
      <c r="I2028" s="483"/>
      <c r="J2028" s="484"/>
      <c r="K2028" s="471"/>
    </row>
    <row r="2029" spans="1:11">
      <c r="A2029" s="463"/>
      <c r="B2029" s="1484" t="s">
        <v>938</v>
      </c>
      <c r="C2029" s="1486"/>
      <c r="D2029" s="1502" t="s">
        <v>688</v>
      </c>
      <c r="E2029" s="1504" t="s">
        <v>939</v>
      </c>
      <c r="F2029" s="485" t="s">
        <v>940</v>
      </c>
      <c r="G2029" s="486"/>
      <c r="H2029" s="485" t="s">
        <v>941</v>
      </c>
      <c r="I2029" s="486"/>
      <c r="J2029" s="487" t="s">
        <v>942</v>
      </c>
      <c r="K2029" s="471"/>
    </row>
    <row r="2030" spans="1:11">
      <c r="A2030" s="463"/>
      <c r="B2030" s="1500"/>
      <c r="C2030" s="1501"/>
      <c r="D2030" s="1503"/>
      <c r="E2030" s="1505"/>
      <c r="F2030" s="488" t="s">
        <v>943</v>
      </c>
      <c r="G2030" s="488" t="s">
        <v>944</v>
      </c>
      <c r="H2030" s="488" t="s">
        <v>943</v>
      </c>
      <c r="I2030" s="489" t="s">
        <v>944</v>
      </c>
      <c r="J2030" s="490" t="s">
        <v>945</v>
      </c>
      <c r="K2030" s="471"/>
    </row>
    <row r="2031" spans="1:11">
      <c r="A2031" s="463"/>
      <c r="B2031" s="491" t="s">
        <v>642</v>
      </c>
      <c r="C2031" s="492"/>
      <c r="D2031" s="493"/>
      <c r="E2031" s="494">
        <v>1</v>
      </c>
      <c r="F2031" s="494">
        <v>1</v>
      </c>
      <c r="G2031" s="495">
        <f>1-F2031</f>
        <v>0</v>
      </c>
      <c r="H2031" s="503">
        <f>VLOOKUP(B2031,EQUIPAMENTOS!$A:$J,10,FALSE)</f>
        <v>190</v>
      </c>
      <c r="I2031" s="504">
        <f>H2031</f>
        <v>190</v>
      </c>
      <c r="J2031" s="505">
        <f>H2031*F2031*E2031+I2031*G2031*E2031</f>
        <v>190</v>
      </c>
      <c r="K2031" s="471"/>
    </row>
    <row r="2032" spans="1:11">
      <c r="A2032" s="463"/>
      <c r="B2032" s="499"/>
      <c r="C2032" s="500"/>
      <c r="D2032" s="501"/>
      <c r="E2032" s="872"/>
      <c r="F2032" s="872"/>
      <c r="G2032" s="502"/>
      <c r="H2032" s="503"/>
      <c r="I2032" s="504"/>
      <c r="J2032" s="505"/>
      <c r="K2032" s="471"/>
    </row>
    <row r="2033" spans="1:12">
      <c r="A2033" s="463"/>
      <c r="B2033" s="506"/>
      <c r="C2033" s="507"/>
      <c r="D2033" s="508"/>
      <c r="E2033" s="509"/>
      <c r="F2033" s="509"/>
      <c r="G2033" s="509"/>
      <c r="H2033" s="561"/>
      <c r="I2033" s="510"/>
      <c r="J2033" s="505"/>
      <c r="K2033" s="471"/>
    </row>
    <row r="2034" spans="1:12">
      <c r="A2034" s="463"/>
      <c r="B2034" s="512" t="s">
        <v>946</v>
      </c>
      <c r="C2034" s="482"/>
      <c r="D2034" s="482"/>
      <c r="E2034" s="482"/>
      <c r="F2034" s="482"/>
      <c r="G2034" s="482"/>
      <c r="H2034" s="482"/>
      <c r="I2034" s="513" t="s">
        <v>175</v>
      </c>
      <c r="J2034" s="514">
        <f>SUM(J2031:J2033)</f>
        <v>190</v>
      </c>
      <c r="K2034" s="471"/>
    </row>
    <row r="2035" spans="1:12">
      <c r="A2035" s="463"/>
      <c r="B2035" s="515"/>
      <c r="C2035" s="515"/>
      <c r="D2035" s="515"/>
      <c r="E2035" s="515"/>
      <c r="F2035" s="515"/>
      <c r="G2035" s="515"/>
      <c r="H2035" s="515"/>
      <c r="I2035" s="516"/>
      <c r="J2035" s="517"/>
      <c r="K2035" s="471"/>
    </row>
    <row r="2036" spans="1:12" ht="20.399999999999999">
      <c r="A2036" s="463"/>
      <c r="B2036" s="1490" t="s">
        <v>947</v>
      </c>
      <c r="C2036" s="1491"/>
      <c r="D2036" s="1491"/>
      <c r="E2036" s="1492"/>
      <c r="F2036" s="725" t="s">
        <v>688</v>
      </c>
      <c r="G2036" s="519"/>
      <c r="H2036" s="520" t="s">
        <v>427</v>
      </c>
      <c r="I2036" s="521" t="s">
        <v>948</v>
      </c>
      <c r="J2036" s="522" t="s">
        <v>949</v>
      </c>
      <c r="K2036" s="471"/>
    </row>
    <row r="2037" spans="1:12">
      <c r="A2037" s="463"/>
      <c r="B2037" s="523"/>
      <c r="C2037" s="524"/>
      <c r="D2037" s="525"/>
      <c r="E2037" s="526"/>
      <c r="F2037" s="527"/>
      <c r="G2037" s="528"/>
      <c r="H2037" s="529"/>
      <c r="I2037" s="534"/>
      <c r="J2037" s="505">
        <f>H2037*I2037</f>
        <v>0</v>
      </c>
      <c r="K2037" s="471"/>
    </row>
    <row r="2038" spans="1:12">
      <c r="A2038" s="463"/>
      <c r="B2038" s="530"/>
      <c r="C2038" s="531"/>
      <c r="D2038" s="472"/>
      <c r="E2038" s="500"/>
      <c r="F2038" s="501"/>
      <c r="G2038" s="532"/>
      <c r="H2038" s="533"/>
      <c r="I2038" s="534"/>
      <c r="J2038" s="505">
        <f>H2038*I2038</f>
        <v>0</v>
      </c>
      <c r="K2038" s="471"/>
    </row>
    <row r="2039" spans="1:12">
      <c r="A2039" s="463"/>
      <c r="B2039" s="530"/>
      <c r="C2039" s="531"/>
      <c r="D2039" s="472"/>
      <c r="E2039" s="500"/>
      <c r="F2039" s="501"/>
      <c r="G2039" s="532"/>
      <c r="H2039" s="533"/>
      <c r="I2039" s="534"/>
      <c r="J2039" s="505">
        <f>H2039*I2039</f>
        <v>0</v>
      </c>
      <c r="K2039" s="471"/>
    </row>
    <row r="2040" spans="1:12">
      <c r="A2040" s="463"/>
      <c r="B2040" s="512" t="s">
        <v>946</v>
      </c>
      <c r="C2040" s="515"/>
      <c r="D2040" s="515"/>
      <c r="E2040" s="515"/>
      <c r="F2040" s="515"/>
      <c r="G2040" s="515"/>
      <c r="H2040" s="515"/>
      <c r="I2040" s="535" t="s">
        <v>175</v>
      </c>
      <c r="J2040" s="514">
        <f>SUM(J2037:J2039)</f>
        <v>0</v>
      </c>
      <c r="K2040" s="471"/>
    </row>
    <row r="2041" spans="1:12">
      <c r="A2041" s="463"/>
      <c r="B2041" s="536"/>
      <c r="C2041" s="536"/>
      <c r="D2041" s="536"/>
      <c r="E2041" s="536"/>
      <c r="F2041" s="536"/>
      <c r="G2041" s="536"/>
      <c r="H2041" s="536"/>
      <c r="I2041" s="537"/>
      <c r="J2041" s="536"/>
      <c r="K2041" s="471"/>
    </row>
    <row r="2042" spans="1:12">
      <c r="A2042" s="463"/>
      <c r="B2042" s="538" t="s">
        <v>952</v>
      </c>
      <c r="C2042" s="539"/>
      <c r="D2042" s="536"/>
      <c r="E2042" s="540">
        <v>1.6</v>
      </c>
      <c r="F2042" s="541" t="s">
        <v>1466</v>
      </c>
      <c r="G2042" s="519"/>
      <c r="H2042" s="519"/>
      <c r="I2042" s="542" t="s">
        <v>953</v>
      </c>
      <c r="J2042" s="514">
        <f>J2034+J2040</f>
        <v>190</v>
      </c>
      <c r="K2042" s="471"/>
    </row>
    <row r="2043" spans="1:12">
      <c r="A2043" s="463"/>
      <c r="B2043" s="543"/>
      <c r="C2043" s="536"/>
      <c r="D2043" s="536"/>
      <c r="E2043" s="544"/>
      <c r="F2043" s="545"/>
      <c r="G2043" s="545"/>
      <c r="H2043" s="545"/>
      <c r="I2043" s="537"/>
      <c r="J2043" s="536"/>
      <c r="K2043" s="471"/>
    </row>
    <row r="2044" spans="1:12" ht="20.399999999999999">
      <c r="A2044" s="463"/>
      <c r="B2044" s="1493" t="s">
        <v>362</v>
      </c>
      <c r="C2044" s="1494"/>
      <c r="D2044" s="1494"/>
      <c r="E2044" s="1495"/>
      <c r="F2044" s="546" t="s">
        <v>688</v>
      </c>
      <c r="G2044" s="547" t="s">
        <v>371</v>
      </c>
      <c r="H2044" s="520" t="s">
        <v>942</v>
      </c>
      <c r="I2044" s="548" t="s">
        <v>361</v>
      </c>
      <c r="J2044" s="549" t="s">
        <v>363</v>
      </c>
      <c r="K2044" s="471"/>
    </row>
    <row r="2045" spans="1:12">
      <c r="A2045" s="463"/>
      <c r="B2045" s="823" t="str">
        <f>B2031</f>
        <v>Motoniveladora 140K</v>
      </c>
      <c r="C2045" s="532"/>
      <c r="D2045" s="532"/>
      <c r="E2045" s="822"/>
      <c r="F2045" s="553" t="str">
        <f>VLOOKUP(B2045,EQUIPAMENTOS!$A:$N,12,FALSE)</f>
        <v>Diesel S10</v>
      </c>
      <c r="G2045" s="554" t="s">
        <v>415</v>
      </c>
      <c r="H2045" s="560">
        <v>7.99</v>
      </c>
      <c r="I2045" s="556">
        <f>VLOOKUP(B2045,EQUIPAMENTOS!$A:$N,14,FALSE)</f>
        <v>28</v>
      </c>
      <c r="J2045" s="505">
        <f>H2045*I2045*E2031*F2031</f>
        <v>223.72</v>
      </c>
      <c r="K2045" s="471"/>
    </row>
    <row r="2046" spans="1:12">
      <c r="A2046" s="463"/>
      <c r="B2046" s="823"/>
      <c r="C2046" s="531"/>
      <c r="D2046" s="531"/>
      <c r="E2046" s="500"/>
      <c r="F2046" s="553"/>
      <c r="G2046" s="554"/>
      <c r="H2046" s="560"/>
      <c r="I2046" s="556"/>
      <c r="J2046" s="505"/>
      <c r="K2046" s="471"/>
    </row>
    <row r="2047" spans="1:12">
      <c r="A2047" s="463"/>
      <c r="B2047" s="823"/>
      <c r="C2047" s="539"/>
      <c r="D2047" s="539"/>
      <c r="E2047" s="507"/>
      <c r="F2047" s="869"/>
      <c r="G2047" s="736"/>
      <c r="H2047" s="560"/>
      <c r="I2047" s="556"/>
      <c r="J2047" s="505"/>
      <c r="K2047" s="471"/>
    </row>
    <row r="2048" spans="1:12">
      <c r="A2048" s="463"/>
      <c r="B2048" s="563" t="s">
        <v>946</v>
      </c>
      <c r="C2048" s="536"/>
      <c r="D2048" s="536"/>
      <c r="E2048" s="536"/>
      <c r="F2048" s="536"/>
      <c r="G2048" s="536"/>
      <c r="H2048" s="564"/>
      <c r="I2048" s="565" t="s">
        <v>175</v>
      </c>
      <c r="J2048" s="514">
        <f>SUM(J2045:J2047)</f>
        <v>223.72</v>
      </c>
      <c r="K2048" s="471"/>
      <c r="L2048" s="6">
        <f>J2048/E2042</f>
        <v>139.82499999999999</v>
      </c>
    </row>
    <row r="2049" spans="1:12">
      <c r="A2049" s="463"/>
      <c r="B2049" s="566"/>
      <c r="C2049" s="539"/>
      <c r="D2049" s="539"/>
      <c r="E2049" s="567"/>
      <c r="F2049" s="568"/>
      <c r="G2049" s="519"/>
      <c r="H2049" s="519"/>
      <c r="I2049" s="542"/>
      <c r="J2049" s="567"/>
      <c r="K2049" s="471"/>
    </row>
    <row r="2050" spans="1:12" ht="20.399999999999999">
      <c r="A2050" s="463"/>
      <c r="B2050" s="1493" t="s">
        <v>955</v>
      </c>
      <c r="C2050" s="1494"/>
      <c r="D2050" s="1494"/>
      <c r="E2050" s="1494"/>
      <c r="F2050" s="1495"/>
      <c r="G2050" s="569" t="s">
        <v>372</v>
      </c>
      <c r="H2050" s="519" t="s">
        <v>956</v>
      </c>
      <c r="I2050" s="570" t="s">
        <v>942</v>
      </c>
      <c r="J2050" s="522" t="s">
        <v>363</v>
      </c>
      <c r="K2050" s="471"/>
    </row>
    <row r="2051" spans="1:12">
      <c r="A2051" s="463"/>
      <c r="B2051" s="571"/>
      <c r="C2051" s="572"/>
      <c r="D2051" s="573"/>
      <c r="E2051" s="573"/>
      <c r="F2051" s="574"/>
      <c r="G2051" s="502"/>
      <c r="H2051" s="502"/>
      <c r="I2051" s="575"/>
      <c r="J2051" s="505"/>
      <c r="K2051" s="471"/>
    </row>
    <row r="2052" spans="1:12">
      <c r="A2052" s="463"/>
      <c r="B2052" s="576"/>
      <c r="C2052" s="577"/>
      <c r="D2052" s="578"/>
      <c r="E2052" s="578"/>
      <c r="F2052" s="579"/>
      <c r="G2052" s="502"/>
      <c r="H2052" s="502"/>
      <c r="I2052" s="575"/>
      <c r="J2052" s="505"/>
      <c r="K2052" s="471"/>
    </row>
    <row r="2053" spans="1:12">
      <c r="A2053" s="463"/>
      <c r="B2053" s="1496" t="s">
        <v>175</v>
      </c>
      <c r="C2053" s="1496"/>
      <c r="D2053" s="1496"/>
      <c r="E2053" s="1496"/>
      <c r="F2053" s="1496"/>
      <c r="G2053" s="1496"/>
      <c r="H2053" s="1496"/>
      <c r="I2053" s="1496"/>
      <c r="J2053" s="514">
        <f>SUM(J2051:J2052)</f>
        <v>0</v>
      </c>
      <c r="K2053" s="471"/>
    </row>
    <row r="2054" spans="1:12">
      <c r="A2054" s="463"/>
      <c r="B2054" s="580"/>
      <c r="C2054" s="524"/>
      <c r="D2054" s="524"/>
      <c r="E2054" s="581"/>
      <c r="F2054" s="582"/>
      <c r="G2054" s="583"/>
      <c r="H2054" s="583"/>
      <c r="I2054" s="584"/>
      <c r="J2054" s="585"/>
      <c r="K2054" s="471"/>
    </row>
    <row r="2055" spans="1:12">
      <c r="A2055" s="463"/>
      <c r="B2055" s="586" t="s">
        <v>957</v>
      </c>
      <c r="C2055" s="586"/>
      <c r="D2055" s="563"/>
      <c r="E2055" s="536"/>
      <c r="F2055" s="536"/>
      <c r="G2055" s="536"/>
      <c r="H2055" s="587"/>
      <c r="I2055" s="588"/>
      <c r="J2055" s="514">
        <f>(J2042+J2048+J2053)/E2042</f>
        <v>258.57499999999999</v>
      </c>
      <c r="K2055" s="471"/>
    </row>
    <row r="2056" spans="1:12">
      <c r="A2056" s="463"/>
      <c r="B2056" s="566"/>
      <c r="C2056" s="539"/>
      <c r="D2056" s="539"/>
      <c r="E2056" s="567"/>
      <c r="F2056" s="568"/>
      <c r="G2056" s="519"/>
      <c r="H2056" s="519"/>
      <c r="I2056" s="542"/>
      <c r="J2056" s="589"/>
      <c r="K2056" s="471"/>
    </row>
    <row r="2057" spans="1:12" ht="20.399999999999999">
      <c r="A2057" s="463"/>
      <c r="B2057" s="1493" t="s">
        <v>958</v>
      </c>
      <c r="C2057" s="1494"/>
      <c r="D2057" s="1494"/>
      <c r="E2057" s="1494"/>
      <c r="F2057" s="1495"/>
      <c r="G2057" s="569" t="s">
        <v>372</v>
      </c>
      <c r="H2057" s="519" t="s">
        <v>956</v>
      </c>
      <c r="I2057" s="570" t="s">
        <v>942</v>
      </c>
      <c r="J2057" s="522" t="s">
        <v>363</v>
      </c>
      <c r="K2057" s="471"/>
    </row>
    <row r="2058" spans="1:12">
      <c r="A2058" s="463"/>
      <c r="B2058" s="571" t="s">
        <v>1504</v>
      </c>
      <c r="C2058" s="572"/>
      <c r="D2058" s="573"/>
      <c r="E2058" s="573"/>
      <c r="F2058" s="574"/>
      <c r="G2058" s="502">
        <v>1</v>
      </c>
      <c r="H2058" s="502" t="s">
        <v>1007</v>
      </c>
      <c r="I2058" s="575">
        <f>J2048*0.15</f>
        <v>33.558</v>
      </c>
      <c r="J2058" s="505">
        <f t="shared" ref="J2058:J2061" si="9">G2058*I2058</f>
        <v>33.558</v>
      </c>
      <c r="K2058" s="471"/>
    </row>
    <row r="2059" spans="1:12">
      <c r="A2059" s="463"/>
      <c r="B2059" s="576" t="s">
        <v>1505</v>
      </c>
      <c r="C2059" s="577"/>
      <c r="D2059" s="578"/>
      <c r="E2059" s="578"/>
      <c r="F2059" s="579"/>
      <c r="G2059" s="502">
        <v>1</v>
      </c>
      <c r="H2059" s="502" t="s">
        <v>1007</v>
      </c>
      <c r="I2059" s="575">
        <v>74.485689061549934</v>
      </c>
      <c r="J2059" s="505">
        <f t="shared" si="9"/>
        <v>74.485689061549934</v>
      </c>
      <c r="K2059" s="471"/>
      <c r="L2059" s="2"/>
    </row>
    <row r="2060" spans="1:12">
      <c r="A2060" s="463"/>
      <c r="B2060" s="576" t="s">
        <v>1506</v>
      </c>
      <c r="C2060" s="577"/>
      <c r="D2060" s="578"/>
      <c r="E2060" s="578"/>
      <c r="F2060" s="579"/>
      <c r="G2060" s="502">
        <v>1</v>
      </c>
      <c r="H2060" s="502" t="s">
        <v>1007</v>
      </c>
      <c r="I2060" s="575">
        <f>J2048*0.06</f>
        <v>13.4232</v>
      </c>
      <c r="J2060" s="505">
        <f t="shared" si="9"/>
        <v>13.4232</v>
      </c>
      <c r="K2060" s="471"/>
      <c r="L2060" s="6"/>
    </row>
    <row r="2061" spans="1:12">
      <c r="A2061" s="463"/>
      <c r="B2061" s="590"/>
      <c r="C2061" s="591"/>
      <c r="D2061" s="592"/>
      <c r="E2061" s="592"/>
      <c r="F2061" s="593"/>
      <c r="G2061" s="502"/>
      <c r="H2061" s="502"/>
      <c r="I2061" s="575"/>
      <c r="J2061" s="505">
        <f t="shared" si="9"/>
        <v>0</v>
      </c>
      <c r="K2061" s="471"/>
    </row>
    <row r="2062" spans="1:12">
      <c r="A2062" s="463"/>
      <c r="B2062" s="594"/>
      <c r="C2062" s="536"/>
      <c r="D2062" s="536"/>
      <c r="E2062" s="595"/>
      <c r="F2062" s="596"/>
      <c r="G2062" s="545"/>
      <c r="H2062" s="545"/>
      <c r="I2062" s="537" t="s">
        <v>175</v>
      </c>
      <c r="J2062" s="514">
        <f>SUM(J2058:J2061)</f>
        <v>121.46688906154994</v>
      </c>
      <c r="K2062" s="471"/>
    </row>
    <row r="2063" spans="1:12">
      <c r="A2063" s="463"/>
      <c r="B2063" s="597"/>
      <c r="C2063" s="536"/>
      <c r="D2063" s="536"/>
      <c r="E2063" s="595"/>
      <c r="F2063" s="596"/>
      <c r="G2063" s="545"/>
      <c r="H2063" s="545"/>
      <c r="I2063" s="537"/>
      <c r="J2063" s="595"/>
      <c r="K2063" s="471"/>
    </row>
    <row r="2064" spans="1:12" ht="20.399999999999999">
      <c r="A2064" s="463"/>
      <c r="B2064" s="598" t="s">
        <v>959</v>
      </c>
      <c r="C2064" s="598"/>
      <c r="D2064" s="598"/>
      <c r="E2064" s="599"/>
      <c r="F2064" s="600" t="s">
        <v>372</v>
      </c>
      <c r="G2064" s="569" t="s">
        <v>960</v>
      </c>
      <c r="H2064" s="519" t="s">
        <v>942</v>
      </c>
      <c r="I2064" s="570" t="s">
        <v>361</v>
      </c>
      <c r="J2064" s="522" t="s">
        <v>363</v>
      </c>
      <c r="K2064" s="471"/>
    </row>
    <row r="2065" spans="1:12">
      <c r="A2065" s="463"/>
      <c r="B2065" s="571"/>
      <c r="C2065" s="572"/>
      <c r="D2065" s="573"/>
      <c r="E2065" s="574"/>
      <c r="F2065" s="502"/>
      <c r="G2065" s="502"/>
      <c r="H2065" s="624"/>
      <c r="I2065" s="575"/>
      <c r="J2065" s="505"/>
      <c r="K2065" s="471"/>
    </row>
    <row r="2066" spans="1:12">
      <c r="A2066" s="463"/>
      <c r="B2066" s="590" t="s">
        <v>946</v>
      </c>
      <c r="C2066" s="591"/>
      <c r="D2066" s="592"/>
      <c r="E2066" s="593" t="s">
        <v>946</v>
      </c>
      <c r="F2066" s="509">
        <v>0</v>
      </c>
      <c r="G2066" s="509">
        <v>0</v>
      </c>
      <c r="H2066" s="509">
        <v>0</v>
      </c>
      <c r="I2066" s="601">
        <v>0</v>
      </c>
      <c r="J2066" s="505">
        <f>I2066*H2066*G2066*F2066</f>
        <v>0</v>
      </c>
      <c r="K2066" s="471"/>
    </row>
    <row r="2067" spans="1:12">
      <c r="A2067" s="463"/>
      <c r="B2067" s="594"/>
      <c r="C2067" s="536"/>
      <c r="D2067" s="536"/>
      <c r="E2067" s="595"/>
      <c r="F2067" s="596"/>
      <c r="G2067" s="545"/>
      <c r="H2067" s="545"/>
      <c r="I2067" s="537" t="s">
        <v>175</v>
      </c>
      <c r="J2067" s="514">
        <f>SUM(J2065:J2066)</f>
        <v>0</v>
      </c>
      <c r="K2067" s="471"/>
    </row>
    <row r="2068" spans="1:12">
      <c r="A2068" s="463"/>
      <c r="B2068" s="536"/>
      <c r="C2068" s="536"/>
      <c r="D2068" s="536"/>
      <c r="E2068" s="536"/>
      <c r="F2068" s="536"/>
      <c r="G2068" s="536"/>
      <c r="H2068" s="536"/>
      <c r="I2068" s="537"/>
      <c r="J2068" s="536"/>
      <c r="K2068" s="471"/>
    </row>
    <row r="2069" spans="1:12">
      <c r="A2069" s="463"/>
      <c r="B2069" s="1481" t="s">
        <v>963</v>
      </c>
      <c r="C2069" s="1482"/>
      <c r="D2069" s="1482"/>
      <c r="E2069" s="1482"/>
      <c r="F2069" s="1482"/>
      <c r="G2069" s="1482"/>
      <c r="H2069" s="1482"/>
      <c r="I2069" s="1483"/>
      <c r="J2069" s="586">
        <f>J2055+J2062</f>
        <v>380.04188906154991</v>
      </c>
      <c r="K2069" s="471"/>
      <c r="L2069">
        <v>380.04188906154991</v>
      </c>
    </row>
    <row r="2070" spans="1:12">
      <c r="A2070" s="463"/>
      <c r="B2070" s="524"/>
      <c r="C2070" s="524"/>
      <c r="D2070" s="524"/>
      <c r="E2070" s="524"/>
      <c r="F2070" s="524"/>
      <c r="G2070" s="524"/>
      <c r="H2070" s="524"/>
      <c r="I2070" s="584"/>
      <c r="J2070" s="524"/>
      <c r="K2070" s="471"/>
    </row>
    <row r="2071" spans="1:12">
      <c r="A2071" s="463"/>
      <c r="B2071" s="602"/>
      <c r="C2071" s="572"/>
      <c r="D2071" s="572"/>
      <c r="E2071" s="572"/>
      <c r="F2071" s="572"/>
      <c r="G2071" s="572"/>
      <c r="H2071" s="572"/>
      <c r="I2071" s="572"/>
      <c r="J2071" s="603"/>
      <c r="K2071" s="471"/>
    </row>
    <row r="2072" spans="1:12">
      <c r="A2072" s="463"/>
      <c r="B2072" s="604"/>
      <c r="C2072" s="605"/>
      <c r="D2072" s="606"/>
      <c r="E2072" s="606"/>
      <c r="F2072" s="607" t="s">
        <v>946</v>
      </c>
      <c r="G2072" s="608" t="s">
        <v>946</v>
      </c>
      <c r="H2072" s="605"/>
      <c r="I2072" s="605"/>
      <c r="J2072" s="609"/>
      <c r="K2072" s="471"/>
    </row>
    <row r="2073" spans="1:12">
      <c r="A2073" s="463"/>
      <c r="B2073" s="472"/>
      <c r="C2073" s="472"/>
      <c r="D2073" s="472"/>
      <c r="E2073" s="472"/>
      <c r="F2073" s="472"/>
      <c r="G2073" s="472"/>
      <c r="H2073" s="472"/>
      <c r="I2073" s="472"/>
      <c r="J2073" s="472"/>
      <c r="K2073" s="471"/>
    </row>
    <row r="2074" spans="1:12">
      <c r="A2074" s="463"/>
      <c r="B2074" s="610" t="str">
        <f>PLANEJAMENTO!F2</f>
        <v>OPERAÇÃO DE SUPRESSÃO E SUMP</v>
      </c>
      <c r="C2074" s="611"/>
      <c r="D2074" s="611"/>
      <c r="E2074" s="611"/>
      <c r="F2074" s="612"/>
      <c r="G2074" s="613" t="s">
        <v>363</v>
      </c>
      <c r="H2074" s="515"/>
      <c r="I2074" s="515"/>
      <c r="J2074" s="518"/>
      <c r="K2074" s="471"/>
    </row>
    <row r="2075" spans="1:12">
      <c r="A2075" s="463"/>
      <c r="B2075" s="614" t="str">
        <f>PLANEJAMENTO!F3</f>
        <v>MARA ROSA</v>
      </c>
      <c r="C2075" s="615"/>
      <c r="D2075" s="615"/>
      <c r="E2075" s="615"/>
      <c r="F2075" s="616"/>
      <c r="G2075" s="1484" t="s">
        <v>964</v>
      </c>
      <c r="H2075" s="1485"/>
      <c r="I2075" s="1485"/>
      <c r="J2075" s="1486"/>
      <c r="K2075" s="471"/>
    </row>
    <row r="2076" spans="1:12">
      <c r="A2076" s="463"/>
      <c r="B2076" s="617"/>
      <c r="C2076" s="618"/>
      <c r="D2076" s="618"/>
      <c r="E2076" s="618"/>
      <c r="F2076" s="619"/>
      <c r="G2076" s="620"/>
      <c r="H2076" s="1487"/>
      <c r="I2076" s="1488"/>
      <c r="J2076" s="1489"/>
      <c r="K2076" s="471"/>
    </row>
    <row r="2077" spans="1:12" ht="15" thickBot="1">
      <c r="A2077" s="621"/>
      <c r="B2077" s="622"/>
      <c r="C2077" s="622"/>
      <c r="D2077" s="622"/>
      <c r="E2077" s="622"/>
      <c r="F2077" s="622"/>
      <c r="G2077" s="622"/>
      <c r="H2077" s="622"/>
      <c r="I2077" s="622"/>
      <c r="J2077" s="622"/>
      <c r="K2077" s="623"/>
    </row>
    <row r="2078" spans="1:12">
      <c r="A2078" s="463"/>
      <c r="B2078" s="472"/>
      <c r="C2078" s="472"/>
      <c r="D2078" s="472"/>
      <c r="E2078" s="472"/>
      <c r="F2078" s="472"/>
      <c r="G2078" s="472"/>
      <c r="H2078" s="472"/>
      <c r="I2078" s="472"/>
      <c r="J2078" s="472"/>
      <c r="K2078" s="471"/>
    </row>
    <row r="2079" spans="1:12">
      <c r="A2079" s="463"/>
      <c r="B2079" s="464" t="s">
        <v>178</v>
      </c>
      <c r="C2079" s="465"/>
      <c r="D2079" s="466" t="s">
        <v>936</v>
      </c>
      <c r="E2079" s="467"/>
      <c r="F2079" s="468"/>
      <c r="G2079" s="468"/>
      <c r="H2079" s="469"/>
      <c r="I2079" s="469"/>
      <c r="J2079" s="470"/>
      <c r="K2079" s="471"/>
    </row>
    <row r="2080" spans="1:12">
      <c r="A2080" s="463"/>
      <c r="B2080" s="472"/>
      <c r="C2080" s="472"/>
      <c r="D2080" s="472"/>
      <c r="E2080" s="472"/>
      <c r="F2080" s="472"/>
      <c r="G2080" s="472"/>
      <c r="H2080" s="472"/>
      <c r="I2080" s="472"/>
      <c r="J2080" s="472"/>
      <c r="K2080" s="471"/>
    </row>
    <row r="2081" spans="1:12">
      <c r="A2081" s="463"/>
      <c r="B2081" s="473"/>
      <c r="C2081" s="474" t="s">
        <v>937</v>
      </c>
      <c r="D2081" s="1497" t="s">
        <v>250</v>
      </c>
      <c r="E2081" s="1498"/>
      <c r="F2081" s="1498"/>
      <c r="G2081" s="1498"/>
      <c r="H2081" s="1498"/>
      <c r="I2081" s="1499"/>
      <c r="J2081" s="475" t="s">
        <v>267</v>
      </c>
      <c r="K2081" s="471"/>
    </row>
    <row r="2082" spans="1:12">
      <c r="A2082" s="463"/>
      <c r="B2082" s="476"/>
      <c r="C2082" s="477">
        <f ca="1">TODAY()</f>
        <v>46140</v>
      </c>
      <c r="D2082" s="681" t="s">
        <v>1512</v>
      </c>
      <c r="E2082" s="479"/>
      <c r="F2082" s="479"/>
      <c r="G2082" s="479"/>
      <c r="H2082" s="479"/>
      <c r="I2082" s="480"/>
      <c r="J2082" s="481" t="str">
        <f>F2099</f>
        <v>H</v>
      </c>
      <c r="K2082" s="471"/>
    </row>
    <row r="2083" spans="1:12">
      <c r="A2083" s="463"/>
      <c r="B2083" s="482"/>
      <c r="C2083" s="482"/>
      <c r="D2083" s="482"/>
      <c r="E2083" s="482"/>
      <c r="F2083" s="482"/>
      <c r="G2083" s="482"/>
      <c r="H2083" s="482"/>
      <c r="I2083" s="483"/>
      <c r="J2083" s="484"/>
      <c r="K2083" s="471"/>
    </row>
    <row r="2084" spans="1:12">
      <c r="A2084" s="463"/>
      <c r="B2084" s="1484" t="s">
        <v>938</v>
      </c>
      <c r="C2084" s="1486"/>
      <c r="D2084" s="1502" t="s">
        <v>688</v>
      </c>
      <c r="E2084" s="1504" t="s">
        <v>939</v>
      </c>
      <c r="F2084" s="485" t="s">
        <v>940</v>
      </c>
      <c r="G2084" s="486"/>
      <c r="H2084" s="485" t="s">
        <v>941</v>
      </c>
      <c r="I2084" s="486"/>
      <c r="J2084" s="487" t="s">
        <v>942</v>
      </c>
      <c r="K2084" s="471"/>
    </row>
    <row r="2085" spans="1:12">
      <c r="A2085" s="463"/>
      <c r="B2085" s="1500"/>
      <c r="C2085" s="1501"/>
      <c r="D2085" s="1503"/>
      <c r="E2085" s="1505"/>
      <c r="F2085" s="488" t="s">
        <v>943</v>
      </c>
      <c r="G2085" s="488" t="s">
        <v>944</v>
      </c>
      <c r="H2085" s="488" t="s">
        <v>943</v>
      </c>
      <c r="I2085" s="489" t="s">
        <v>944</v>
      </c>
      <c r="J2085" s="490" t="s">
        <v>945</v>
      </c>
      <c r="K2085" s="471"/>
    </row>
    <row r="2086" spans="1:12">
      <c r="A2086" s="463"/>
      <c r="B2086" s="491" t="s">
        <v>669</v>
      </c>
      <c r="C2086" s="492"/>
      <c r="D2086" s="493"/>
      <c r="E2086" s="494">
        <v>1</v>
      </c>
      <c r="F2086" s="494">
        <v>1</v>
      </c>
      <c r="G2086" s="495">
        <f>1-F2086</f>
        <v>0</v>
      </c>
      <c r="H2086" s="503">
        <f>VLOOKUP(B2086,EQUIPAMENTOS!$A:$J,10,FALSE)</f>
        <v>214.36944444444444</v>
      </c>
      <c r="I2086" s="504">
        <f>H2086</f>
        <v>214.36944444444444</v>
      </c>
      <c r="J2086" s="505">
        <f>H2086*F2086*E2086+I2086*G2086*E2086</f>
        <v>214.36944444444444</v>
      </c>
      <c r="K2086" s="471"/>
    </row>
    <row r="2087" spans="1:12">
      <c r="A2087" s="463"/>
      <c r="B2087" s="499"/>
      <c r="C2087" s="500"/>
      <c r="D2087" s="501"/>
      <c r="E2087" s="872"/>
      <c r="F2087" s="872"/>
      <c r="G2087" s="502"/>
      <c r="H2087" s="503"/>
      <c r="I2087" s="504"/>
      <c r="J2087" s="505">
        <f>H2087*F2087*E2087+I2087*G2087*E2087</f>
        <v>0</v>
      </c>
      <c r="K2087" s="471"/>
    </row>
    <row r="2088" spans="1:12">
      <c r="A2088" s="463"/>
      <c r="B2088" s="499"/>
      <c r="C2088" s="500"/>
      <c r="D2088" s="501"/>
      <c r="E2088" s="872"/>
      <c r="F2088" s="872"/>
      <c r="G2088" s="502"/>
      <c r="H2088" s="503"/>
      <c r="I2088" s="504"/>
      <c r="J2088" s="505"/>
      <c r="K2088" s="471"/>
    </row>
    <row r="2089" spans="1:12">
      <c r="A2089" s="463"/>
      <c r="B2089" s="506"/>
      <c r="C2089" s="507"/>
      <c r="D2089" s="508"/>
      <c r="E2089" s="509"/>
      <c r="F2089" s="509"/>
      <c r="G2089" s="509"/>
      <c r="H2089" s="561"/>
      <c r="I2089" s="510"/>
      <c r="J2089" s="505"/>
      <c r="K2089" s="471"/>
    </row>
    <row r="2090" spans="1:12">
      <c r="A2090" s="463"/>
      <c r="B2090" s="512" t="s">
        <v>946</v>
      </c>
      <c r="C2090" s="482"/>
      <c r="D2090" s="482"/>
      <c r="E2090" s="482"/>
      <c r="F2090" s="482"/>
      <c r="G2090" s="482"/>
      <c r="H2090" s="482"/>
      <c r="I2090" s="513" t="s">
        <v>175</v>
      </c>
      <c r="J2090" s="514">
        <f>SUM(J2086:J2089)</f>
        <v>214.36944444444444</v>
      </c>
      <c r="K2090" s="471"/>
      <c r="L2090" s="6">
        <f>J2090/E2099</f>
        <v>133.98090277777777</v>
      </c>
    </row>
    <row r="2091" spans="1:12">
      <c r="A2091" s="463"/>
      <c r="B2091" s="515"/>
      <c r="C2091" s="515"/>
      <c r="D2091" s="515"/>
      <c r="E2091" s="515"/>
      <c r="F2091" s="515"/>
      <c r="G2091" s="515"/>
      <c r="H2091" s="515"/>
      <c r="I2091" s="516"/>
      <c r="J2091" s="517"/>
      <c r="K2091" s="471"/>
    </row>
    <row r="2092" spans="1:12" ht="20.399999999999999">
      <c r="A2092" s="463"/>
      <c r="B2092" s="1490" t="s">
        <v>947</v>
      </c>
      <c r="C2092" s="1491"/>
      <c r="D2092" s="1491"/>
      <c r="E2092" s="1492"/>
      <c r="F2092" s="725" t="s">
        <v>688</v>
      </c>
      <c r="G2092" s="519"/>
      <c r="H2092" s="520" t="s">
        <v>427</v>
      </c>
      <c r="I2092" s="521" t="s">
        <v>948</v>
      </c>
      <c r="J2092" s="522" t="s">
        <v>949</v>
      </c>
      <c r="K2092" s="471"/>
    </row>
    <row r="2093" spans="1:12">
      <c r="A2093" s="463"/>
      <c r="B2093" s="523"/>
      <c r="C2093" s="524"/>
      <c r="D2093" s="525"/>
      <c r="E2093" s="526"/>
      <c r="F2093" s="527"/>
      <c r="G2093" s="528"/>
      <c r="H2093" s="529"/>
      <c r="I2093" s="534"/>
      <c r="J2093" s="505">
        <f>H2093*I2093</f>
        <v>0</v>
      </c>
      <c r="K2093" s="471"/>
    </row>
    <row r="2094" spans="1:12">
      <c r="A2094" s="463"/>
      <c r="B2094" s="530"/>
      <c r="C2094" s="531"/>
      <c r="D2094" s="472"/>
      <c r="E2094" s="500"/>
      <c r="F2094" s="501"/>
      <c r="G2094" s="532"/>
      <c r="H2094" s="533"/>
      <c r="I2094" s="534"/>
      <c r="J2094" s="505">
        <f>H2094*I2094</f>
        <v>0</v>
      </c>
      <c r="K2094" s="471"/>
    </row>
    <row r="2095" spans="1:12">
      <c r="A2095" s="463"/>
      <c r="B2095" s="530"/>
      <c r="C2095" s="531"/>
      <c r="D2095" s="472"/>
      <c r="E2095" s="500"/>
      <c r="F2095" s="501"/>
      <c r="G2095" s="532"/>
      <c r="H2095" s="533"/>
      <c r="I2095" s="534"/>
      <c r="J2095" s="505">
        <f>H2095*I2095</f>
        <v>0</v>
      </c>
      <c r="K2095" s="471"/>
    </row>
    <row r="2096" spans="1:12">
      <c r="A2096" s="463"/>
      <c r="B2096" s="530"/>
      <c r="C2096" s="531"/>
      <c r="D2096" s="472"/>
      <c r="E2096" s="500"/>
      <c r="F2096" s="501"/>
      <c r="G2096" s="532"/>
      <c r="H2096" s="533"/>
      <c r="I2096" s="534"/>
      <c r="J2096" s="505">
        <f>H2096*I2096</f>
        <v>0</v>
      </c>
      <c r="K2096" s="471"/>
    </row>
    <row r="2097" spans="1:12">
      <c r="A2097" s="463"/>
      <c r="B2097" s="512" t="s">
        <v>946</v>
      </c>
      <c r="C2097" s="515"/>
      <c r="D2097" s="515"/>
      <c r="E2097" s="515"/>
      <c r="F2097" s="515"/>
      <c r="G2097" s="515"/>
      <c r="H2097" s="515"/>
      <c r="I2097" s="535" t="s">
        <v>175</v>
      </c>
      <c r="J2097" s="514">
        <f>SUM(J2093:J2096)</f>
        <v>0</v>
      </c>
      <c r="K2097" s="471"/>
    </row>
    <row r="2098" spans="1:12">
      <c r="A2098" s="463"/>
      <c r="B2098" s="536"/>
      <c r="C2098" s="536"/>
      <c r="D2098" s="536"/>
      <c r="E2098" s="536"/>
      <c r="F2098" s="536"/>
      <c r="G2098" s="536"/>
      <c r="H2098" s="536"/>
      <c r="I2098" s="537"/>
      <c r="J2098" s="536"/>
      <c r="K2098" s="471"/>
    </row>
    <row r="2099" spans="1:12">
      <c r="A2099" s="463"/>
      <c r="B2099" s="538" t="s">
        <v>952</v>
      </c>
      <c r="C2099" s="539"/>
      <c r="D2099" s="536"/>
      <c r="E2099" s="540">
        <v>1.6</v>
      </c>
      <c r="F2099" s="541" t="s">
        <v>1466</v>
      </c>
      <c r="G2099" s="519"/>
      <c r="H2099" s="519"/>
      <c r="I2099" s="542" t="s">
        <v>953</v>
      </c>
      <c r="J2099" s="514">
        <f>J2090+J2097</f>
        <v>214.36944444444444</v>
      </c>
      <c r="K2099" s="471"/>
    </row>
    <row r="2100" spans="1:12">
      <c r="A2100" s="463"/>
      <c r="B2100" s="543"/>
      <c r="C2100" s="536"/>
      <c r="D2100" s="536"/>
      <c r="E2100" s="544"/>
      <c r="F2100" s="545"/>
      <c r="G2100" s="545"/>
      <c r="H2100" s="545"/>
      <c r="I2100" s="537"/>
      <c r="J2100" s="536"/>
      <c r="K2100" s="471"/>
    </row>
    <row r="2101" spans="1:12" ht="20.399999999999999">
      <c r="A2101" s="463"/>
      <c r="B2101" s="1493" t="s">
        <v>362</v>
      </c>
      <c r="C2101" s="1494"/>
      <c r="D2101" s="1494"/>
      <c r="E2101" s="1495"/>
      <c r="F2101" s="546" t="s">
        <v>688</v>
      </c>
      <c r="G2101" s="547" t="s">
        <v>371</v>
      </c>
      <c r="H2101" s="520" t="s">
        <v>942</v>
      </c>
      <c r="I2101" s="548" t="s">
        <v>361</v>
      </c>
      <c r="J2101" s="549" t="s">
        <v>363</v>
      </c>
      <c r="K2101" s="471"/>
    </row>
    <row r="2102" spans="1:12">
      <c r="A2102" s="463"/>
      <c r="B2102" s="823" t="str">
        <f>B2086</f>
        <v>Trator de esteiras 20T</v>
      </c>
      <c r="C2102" s="532"/>
      <c r="D2102" s="532"/>
      <c r="E2102" s="822"/>
      <c r="F2102" s="553" t="str">
        <f>VLOOKUP(B2102,EQUIPAMENTOS!$A:$N,12,FALSE)</f>
        <v>Diesel S10</v>
      </c>
      <c r="G2102" s="554" t="s">
        <v>415</v>
      </c>
      <c r="H2102" s="560">
        <v>7.99</v>
      </c>
      <c r="I2102" s="556">
        <f>VLOOKUP(B2102,EQUIPAMENTOS!$A:$N,14,FALSE)</f>
        <v>26</v>
      </c>
      <c r="J2102" s="505">
        <f>H2102*I2102*E2086*F2086</f>
        <v>207.74</v>
      </c>
      <c r="K2102" s="471"/>
    </row>
    <row r="2103" spans="1:12">
      <c r="A2103" s="463"/>
      <c r="B2103" s="823"/>
      <c r="C2103" s="539"/>
      <c r="D2103" s="539"/>
      <c r="E2103" s="507"/>
      <c r="F2103" s="869"/>
      <c r="G2103" s="736"/>
      <c r="H2103" s="560"/>
      <c r="I2103" s="556"/>
      <c r="J2103" s="505"/>
      <c r="K2103" s="471"/>
    </row>
    <row r="2104" spans="1:12">
      <c r="A2104" s="463"/>
      <c r="B2104" s="563" t="s">
        <v>946</v>
      </c>
      <c r="C2104" s="536"/>
      <c r="D2104" s="536"/>
      <c r="E2104" s="536"/>
      <c r="F2104" s="536"/>
      <c r="G2104" s="536"/>
      <c r="H2104" s="564"/>
      <c r="I2104" s="565" t="s">
        <v>175</v>
      </c>
      <c r="J2104" s="514">
        <f>SUM(J2102:J2103)</f>
        <v>207.74</v>
      </c>
      <c r="K2104" s="471"/>
      <c r="L2104" s="6">
        <f>J2104/E2099</f>
        <v>129.83750000000001</v>
      </c>
    </row>
    <row r="2105" spans="1:12">
      <c r="A2105" s="463"/>
      <c r="B2105" s="566"/>
      <c r="C2105" s="539"/>
      <c r="D2105" s="539"/>
      <c r="E2105" s="567"/>
      <c r="F2105" s="568"/>
      <c r="G2105" s="519"/>
      <c r="H2105" s="519"/>
      <c r="I2105" s="542"/>
      <c r="J2105" s="567"/>
      <c r="K2105" s="471"/>
    </row>
    <row r="2106" spans="1:12" ht="20.399999999999999">
      <c r="A2106" s="463"/>
      <c r="B2106" s="1493" t="s">
        <v>955</v>
      </c>
      <c r="C2106" s="1494"/>
      <c r="D2106" s="1494"/>
      <c r="E2106" s="1494"/>
      <c r="F2106" s="1495"/>
      <c r="G2106" s="569" t="s">
        <v>372</v>
      </c>
      <c r="H2106" s="519" t="s">
        <v>956</v>
      </c>
      <c r="I2106" s="570" t="s">
        <v>942</v>
      </c>
      <c r="J2106" s="522" t="s">
        <v>363</v>
      </c>
      <c r="K2106" s="471"/>
    </row>
    <row r="2107" spans="1:12">
      <c r="A2107" s="463"/>
      <c r="B2107" s="571"/>
      <c r="C2107" s="572"/>
      <c r="D2107" s="573"/>
      <c r="E2107" s="573"/>
      <c r="F2107" s="574"/>
      <c r="G2107" s="502"/>
      <c r="H2107" s="502"/>
      <c r="I2107" s="575"/>
      <c r="J2107" s="505"/>
      <c r="K2107" s="471"/>
    </row>
    <row r="2108" spans="1:12">
      <c r="A2108" s="463"/>
      <c r="B2108" s="576"/>
      <c r="C2108" s="577"/>
      <c r="D2108" s="578"/>
      <c r="E2108" s="578"/>
      <c r="F2108" s="579"/>
      <c r="G2108" s="502"/>
      <c r="H2108" s="502"/>
      <c r="I2108" s="575"/>
      <c r="J2108" s="505"/>
      <c r="K2108" s="471"/>
    </row>
    <row r="2109" spans="1:12">
      <c r="A2109" s="463"/>
      <c r="B2109" s="1496" t="s">
        <v>175</v>
      </c>
      <c r="C2109" s="1496"/>
      <c r="D2109" s="1496"/>
      <c r="E2109" s="1496"/>
      <c r="F2109" s="1496"/>
      <c r="G2109" s="1496"/>
      <c r="H2109" s="1496"/>
      <c r="I2109" s="1496"/>
      <c r="J2109" s="514">
        <f>SUM(J2107:J2108)</f>
        <v>0</v>
      </c>
      <c r="K2109" s="471"/>
    </row>
    <row r="2110" spans="1:12">
      <c r="A2110" s="463"/>
      <c r="B2110" s="580"/>
      <c r="C2110" s="524"/>
      <c r="D2110" s="524"/>
      <c r="E2110" s="581"/>
      <c r="F2110" s="582"/>
      <c r="G2110" s="583"/>
      <c r="H2110" s="583"/>
      <c r="I2110" s="584"/>
      <c r="J2110" s="585"/>
      <c r="K2110" s="471"/>
    </row>
    <row r="2111" spans="1:12">
      <c r="A2111" s="463"/>
      <c r="B2111" s="586" t="s">
        <v>957</v>
      </c>
      <c r="C2111" s="586"/>
      <c r="D2111" s="563"/>
      <c r="E2111" s="536"/>
      <c r="F2111" s="536"/>
      <c r="G2111" s="536"/>
      <c r="H2111" s="587"/>
      <c r="I2111" s="588"/>
      <c r="J2111" s="514">
        <f>(J2099+J2104+J2109)/E2099</f>
        <v>263.81840277777775</v>
      </c>
      <c r="K2111" s="471"/>
    </row>
    <row r="2112" spans="1:12">
      <c r="A2112" s="463"/>
      <c r="B2112" s="566"/>
      <c r="C2112" s="539"/>
      <c r="D2112" s="539"/>
      <c r="E2112" s="567"/>
      <c r="F2112" s="568"/>
      <c r="G2112" s="519"/>
      <c r="H2112" s="519"/>
      <c r="I2112" s="542"/>
      <c r="J2112" s="589"/>
      <c r="K2112" s="471"/>
    </row>
    <row r="2113" spans="1:12" ht="20.399999999999999">
      <c r="A2113" s="463"/>
      <c r="B2113" s="1493" t="s">
        <v>958</v>
      </c>
      <c r="C2113" s="1494"/>
      <c r="D2113" s="1494"/>
      <c r="E2113" s="1494"/>
      <c r="F2113" s="1495"/>
      <c r="G2113" s="569" t="s">
        <v>372</v>
      </c>
      <c r="H2113" s="519" t="s">
        <v>956</v>
      </c>
      <c r="I2113" s="570" t="s">
        <v>942</v>
      </c>
      <c r="J2113" s="522" t="s">
        <v>363</v>
      </c>
      <c r="K2113" s="471"/>
    </row>
    <row r="2114" spans="1:12">
      <c r="A2114" s="463"/>
      <c r="B2114" s="571" t="s">
        <v>1504</v>
      </c>
      <c r="C2114" s="572"/>
      <c r="D2114" s="573"/>
      <c r="E2114" s="573"/>
      <c r="F2114" s="574"/>
      <c r="G2114" s="502">
        <v>1</v>
      </c>
      <c r="H2114" s="502" t="s">
        <v>1007</v>
      </c>
      <c r="I2114" s="575">
        <f>J2104*0.15</f>
        <v>31.161000000000001</v>
      </c>
      <c r="J2114" s="505">
        <f t="shared" ref="J2114:J2117" si="10">G2114*I2114</f>
        <v>31.161000000000001</v>
      </c>
      <c r="K2114" s="471"/>
      <c r="L2114" s="2"/>
    </row>
    <row r="2115" spans="1:12">
      <c r="A2115" s="463"/>
      <c r="B2115" s="576" t="s">
        <v>1505</v>
      </c>
      <c r="C2115" s="577"/>
      <c r="D2115" s="578"/>
      <c r="E2115" s="578"/>
      <c r="F2115" s="579"/>
      <c r="G2115" s="502">
        <v>1</v>
      </c>
      <c r="H2115" s="502" t="s">
        <v>1007</v>
      </c>
      <c r="I2115" s="575">
        <v>72.598086283772176</v>
      </c>
      <c r="J2115" s="505">
        <f t="shared" si="10"/>
        <v>72.598086283772176</v>
      </c>
      <c r="K2115" s="471"/>
      <c r="L2115" s="6"/>
    </row>
    <row r="2116" spans="1:12">
      <c r="A2116" s="463"/>
      <c r="B2116" s="576" t="s">
        <v>1506</v>
      </c>
      <c r="C2116" s="577"/>
      <c r="D2116" s="578"/>
      <c r="E2116" s="578"/>
      <c r="F2116" s="579"/>
      <c r="G2116" s="502">
        <v>1</v>
      </c>
      <c r="H2116" s="502" t="s">
        <v>1007</v>
      </c>
      <c r="I2116" s="575">
        <f>J2104*0.06</f>
        <v>12.464399999999999</v>
      </c>
      <c r="J2116" s="505">
        <f t="shared" si="10"/>
        <v>12.464399999999999</v>
      </c>
      <c r="K2116" s="471"/>
    </row>
    <row r="2117" spans="1:12">
      <c r="A2117" s="463"/>
      <c r="B2117" s="590"/>
      <c r="C2117" s="591"/>
      <c r="D2117" s="592"/>
      <c r="E2117" s="592"/>
      <c r="F2117" s="593"/>
      <c r="G2117" s="502"/>
      <c r="H2117" s="502"/>
      <c r="I2117" s="575"/>
      <c r="J2117" s="505">
        <f t="shared" si="10"/>
        <v>0</v>
      </c>
      <c r="K2117" s="471"/>
    </row>
    <row r="2118" spans="1:12">
      <c r="A2118" s="463"/>
      <c r="B2118" s="594"/>
      <c r="C2118" s="536"/>
      <c r="D2118" s="536"/>
      <c r="E2118" s="595"/>
      <c r="F2118" s="596"/>
      <c r="G2118" s="545"/>
      <c r="H2118" s="545"/>
      <c r="I2118" s="537" t="s">
        <v>175</v>
      </c>
      <c r="J2118" s="514">
        <f>SUM(J2114:J2117)</f>
        <v>116.22348628377217</v>
      </c>
      <c r="K2118" s="471"/>
    </row>
    <row r="2119" spans="1:12">
      <c r="A2119" s="463"/>
      <c r="B2119" s="597"/>
      <c r="C2119" s="536"/>
      <c r="D2119" s="536"/>
      <c r="E2119" s="595"/>
      <c r="F2119" s="596"/>
      <c r="G2119" s="545"/>
      <c r="H2119" s="545"/>
      <c r="I2119" s="537"/>
      <c r="J2119" s="595"/>
      <c r="K2119" s="471"/>
    </row>
    <row r="2120" spans="1:12" ht="20.399999999999999">
      <c r="A2120" s="463"/>
      <c r="B2120" s="598" t="s">
        <v>959</v>
      </c>
      <c r="C2120" s="598"/>
      <c r="D2120" s="598"/>
      <c r="E2120" s="599"/>
      <c r="F2120" s="600" t="s">
        <v>372</v>
      </c>
      <c r="G2120" s="569" t="s">
        <v>960</v>
      </c>
      <c r="H2120" s="519" t="s">
        <v>942</v>
      </c>
      <c r="I2120" s="570" t="s">
        <v>361</v>
      </c>
      <c r="J2120" s="522" t="s">
        <v>363</v>
      </c>
      <c r="K2120" s="471"/>
    </row>
    <row r="2121" spans="1:12">
      <c r="A2121" s="463"/>
      <c r="B2121" s="571"/>
      <c r="C2121" s="572"/>
      <c r="D2121" s="573"/>
      <c r="E2121" s="574"/>
      <c r="F2121" s="502"/>
      <c r="G2121" s="502"/>
      <c r="H2121" s="624"/>
      <c r="I2121" s="575"/>
      <c r="J2121" s="505"/>
      <c r="K2121" s="471"/>
    </row>
    <row r="2122" spans="1:12">
      <c r="A2122" s="463"/>
      <c r="B2122" s="590" t="s">
        <v>946</v>
      </c>
      <c r="C2122" s="591"/>
      <c r="D2122" s="592"/>
      <c r="E2122" s="593" t="s">
        <v>946</v>
      </c>
      <c r="F2122" s="509">
        <v>0</v>
      </c>
      <c r="G2122" s="509">
        <v>0</v>
      </c>
      <c r="H2122" s="509">
        <v>0</v>
      </c>
      <c r="I2122" s="601">
        <v>0</v>
      </c>
      <c r="J2122" s="505">
        <f>I2122*H2122*G2122*F2122</f>
        <v>0</v>
      </c>
      <c r="K2122" s="471"/>
    </row>
    <row r="2123" spans="1:12">
      <c r="A2123" s="463"/>
      <c r="B2123" s="594"/>
      <c r="C2123" s="536"/>
      <c r="D2123" s="536"/>
      <c r="E2123" s="595"/>
      <c r="F2123" s="596"/>
      <c r="G2123" s="545"/>
      <c r="H2123" s="545"/>
      <c r="I2123" s="537" t="s">
        <v>175</v>
      </c>
      <c r="J2123" s="514">
        <f>SUM(J2121:J2122)</f>
        <v>0</v>
      </c>
      <c r="K2123" s="471"/>
    </row>
    <row r="2124" spans="1:12">
      <c r="A2124" s="463"/>
      <c r="B2124" s="536"/>
      <c r="C2124" s="536"/>
      <c r="D2124" s="536"/>
      <c r="E2124" s="536"/>
      <c r="F2124" s="536"/>
      <c r="G2124" s="536"/>
      <c r="H2124" s="536"/>
      <c r="I2124" s="537"/>
      <c r="J2124" s="536"/>
      <c r="K2124" s="471"/>
    </row>
    <row r="2125" spans="1:12">
      <c r="A2125" s="463"/>
      <c r="B2125" s="1481" t="s">
        <v>963</v>
      </c>
      <c r="C2125" s="1482"/>
      <c r="D2125" s="1482"/>
      <c r="E2125" s="1482"/>
      <c r="F2125" s="1482"/>
      <c r="G2125" s="1482"/>
      <c r="H2125" s="1482"/>
      <c r="I2125" s="1483"/>
      <c r="J2125" s="586">
        <f>J2111+J2118</f>
        <v>380.04188906154991</v>
      </c>
      <c r="K2125" s="471"/>
      <c r="L2125">
        <v>380.04188906154991</v>
      </c>
    </row>
    <row r="2126" spans="1:12">
      <c r="A2126" s="463"/>
      <c r="B2126" s="524"/>
      <c r="C2126" s="524"/>
      <c r="D2126" s="524"/>
      <c r="E2126" s="524"/>
      <c r="F2126" s="524"/>
      <c r="G2126" s="524"/>
      <c r="H2126" s="524"/>
      <c r="I2126" s="584"/>
      <c r="J2126" s="524"/>
      <c r="K2126" s="471"/>
    </row>
    <row r="2127" spans="1:12">
      <c r="A2127" s="463"/>
      <c r="B2127" s="602"/>
      <c r="C2127" s="572"/>
      <c r="D2127" s="572"/>
      <c r="E2127" s="572"/>
      <c r="F2127" s="572"/>
      <c r="G2127" s="572"/>
      <c r="H2127" s="572"/>
      <c r="I2127" s="572"/>
      <c r="J2127" s="603"/>
      <c r="K2127" s="471"/>
    </row>
    <row r="2128" spans="1:12">
      <c r="A2128" s="463"/>
      <c r="B2128" s="604"/>
      <c r="C2128" s="605"/>
      <c r="D2128" s="606"/>
      <c r="E2128" s="606"/>
      <c r="F2128" s="607" t="s">
        <v>946</v>
      </c>
      <c r="G2128" s="608" t="s">
        <v>946</v>
      </c>
      <c r="H2128" s="605"/>
      <c r="I2128" s="605"/>
      <c r="J2128" s="609"/>
      <c r="K2128" s="471"/>
    </row>
    <row r="2129" spans="1:11">
      <c r="A2129" s="463"/>
      <c r="B2129" s="472"/>
      <c r="C2129" s="472"/>
      <c r="D2129" s="472"/>
      <c r="E2129" s="472"/>
      <c r="F2129" s="472"/>
      <c r="G2129" s="472"/>
      <c r="H2129" s="472"/>
      <c r="I2129" s="472"/>
      <c r="J2129" s="472"/>
      <c r="K2129" s="471"/>
    </row>
    <row r="2130" spans="1:11">
      <c r="A2130" s="463"/>
      <c r="B2130" s="610" t="str">
        <f>PLANEJAMENTO!F2</f>
        <v>OPERAÇÃO DE SUPRESSÃO E SUMP</v>
      </c>
      <c r="C2130" s="611"/>
      <c r="D2130" s="611"/>
      <c r="E2130" s="611"/>
      <c r="F2130" s="612"/>
      <c r="G2130" s="613" t="s">
        <v>363</v>
      </c>
      <c r="H2130" s="515"/>
      <c r="I2130" s="515"/>
      <c r="J2130" s="518"/>
      <c r="K2130" s="471"/>
    </row>
    <row r="2131" spans="1:11">
      <c r="A2131" s="463"/>
      <c r="B2131" s="614" t="str">
        <f>PLANEJAMENTO!F3</f>
        <v>MARA ROSA</v>
      </c>
      <c r="C2131" s="615"/>
      <c r="D2131" s="615"/>
      <c r="E2131" s="615"/>
      <c r="F2131" s="616"/>
      <c r="G2131" s="1484" t="s">
        <v>964</v>
      </c>
      <c r="H2131" s="1485"/>
      <c r="I2131" s="1485"/>
      <c r="J2131" s="1486"/>
      <c r="K2131" s="471"/>
    </row>
    <row r="2132" spans="1:11">
      <c r="A2132" s="463"/>
      <c r="B2132" s="617"/>
      <c r="C2132" s="618"/>
      <c r="D2132" s="618"/>
      <c r="E2132" s="618"/>
      <c r="F2132" s="619"/>
      <c r="G2132" s="620"/>
      <c r="H2132" s="1487"/>
      <c r="I2132" s="1488"/>
      <c r="J2132" s="1489"/>
      <c r="K2132" s="471"/>
    </row>
    <row r="2133" spans="1:11" ht="15" thickBot="1">
      <c r="A2133" s="621"/>
      <c r="B2133" s="622"/>
      <c r="C2133" s="622"/>
      <c r="D2133" s="622"/>
      <c r="E2133" s="622"/>
      <c r="F2133" s="622"/>
      <c r="G2133" s="622"/>
      <c r="H2133" s="622"/>
      <c r="I2133" s="622"/>
      <c r="J2133" s="622"/>
      <c r="K2133" s="623"/>
    </row>
    <row r="2134" spans="1:11">
      <c r="A2134" s="463"/>
      <c r="B2134" s="472"/>
      <c r="C2134" s="472"/>
      <c r="D2134" s="472"/>
      <c r="E2134" s="472"/>
      <c r="F2134" s="472"/>
      <c r="G2134" s="472"/>
      <c r="H2134" s="472"/>
      <c r="I2134" s="472"/>
      <c r="J2134" s="472"/>
      <c r="K2134" s="471"/>
    </row>
    <row r="2135" spans="1:11">
      <c r="A2135" s="463"/>
      <c r="B2135" s="464" t="s">
        <v>178</v>
      </c>
      <c r="C2135" s="465"/>
      <c r="D2135" s="466" t="s">
        <v>936</v>
      </c>
      <c r="E2135" s="467"/>
      <c r="F2135" s="468"/>
      <c r="G2135" s="468"/>
      <c r="H2135" s="469"/>
      <c r="I2135" s="469"/>
      <c r="J2135" s="470"/>
      <c r="K2135" s="471"/>
    </row>
    <row r="2136" spans="1:11">
      <c r="A2136" s="463"/>
      <c r="B2136" s="472"/>
      <c r="C2136" s="472"/>
      <c r="D2136" s="472"/>
      <c r="E2136" s="472"/>
      <c r="F2136" s="472"/>
      <c r="G2136" s="472"/>
      <c r="H2136" s="472"/>
      <c r="I2136" s="472"/>
      <c r="J2136" s="472"/>
      <c r="K2136" s="471"/>
    </row>
    <row r="2137" spans="1:11">
      <c r="A2137" s="463"/>
      <c r="B2137" s="473"/>
      <c r="C2137" s="474" t="s">
        <v>937</v>
      </c>
      <c r="D2137" s="1497" t="s">
        <v>250</v>
      </c>
      <c r="E2137" s="1498"/>
      <c r="F2137" s="1498"/>
      <c r="G2137" s="1498"/>
      <c r="H2137" s="1498"/>
      <c r="I2137" s="1499"/>
      <c r="J2137" s="475" t="s">
        <v>267</v>
      </c>
      <c r="K2137" s="471"/>
    </row>
    <row r="2138" spans="1:11">
      <c r="A2138" s="463"/>
      <c r="B2138" s="476"/>
      <c r="C2138" s="477">
        <f ca="1">TODAY()</f>
        <v>46140</v>
      </c>
      <c r="D2138" s="681" t="s">
        <v>1513</v>
      </c>
      <c r="E2138" s="479"/>
      <c r="F2138" s="479"/>
      <c r="G2138" s="479"/>
      <c r="H2138" s="479"/>
      <c r="I2138" s="480"/>
      <c r="J2138" s="481" t="str">
        <f>F2154</f>
        <v>H</v>
      </c>
      <c r="K2138" s="471"/>
    </row>
    <row r="2139" spans="1:11">
      <c r="A2139" s="463"/>
      <c r="B2139" s="482"/>
      <c r="C2139" s="482"/>
      <c r="D2139" s="482"/>
      <c r="E2139" s="482"/>
      <c r="F2139" s="482"/>
      <c r="G2139" s="482"/>
      <c r="H2139" s="482"/>
      <c r="I2139" s="483"/>
      <c r="J2139" s="484"/>
      <c r="K2139" s="471"/>
    </row>
    <row r="2140" spans="1:11">
      <c r="A2140" s="463"/>
      <c r="B2140" s="1484" t="s">
        <v>938</v>
      </c>
      <c r="C2140" s="1486"/>
      <c r="D2140" s="1502" t="s">
        <v>688</v>
      </c>
      <c r="E2140" s="1504" t="s">
        <v>939</v>
      </c>
      <c r="F2140" s="485" t="s">
        <v>940</v>
      </c>
      <c r="G2140" s="486"/>
      <c r="H2140" s="485" t="s">
        <v>941</v>
      </c>
      <c r="I2140" s="486"/>
      <c r="J2140" s="487" t="s">
        <v>942</v>
      </c>
      <c r="K2140" s="471"/>
    </row>
    <row r="2141" spans="1:11">
      <c r="A2141" s="463"/>
      <c r="B2141" s="1500"/>
      <c r="C2141" s="1501"/>
      <c r="D2141" s="1503"/>
      <c r="E2141" s="1505"/>
      <c r="F2141" s="488" t="s">
        <v>943</v>
      </c>
      <c r="G2141" s="488" t="s">
        <v>944</v>
      </c>
      <c r="H2141" s="488" t="s">
        <v>943</v>
      </c>
      <c r="I2141" s="489" t="s">
        <v>944</v>
      </c>
      <c r="J2141" s="490" t="s">
        <v>945</v>
      </c>
      <c r="K2141" s="471"/>
    </row>
    <row r="2142" spans="1:11">
      <c r="A2142" s="463"/>
      <c r="B2142" s="491" t="s">
        <v>1373</v>
      </c>
      <c r="C2142" s="492"/>
      <c r="D2142" s="493"/>
      <c r="E2142" s="494">
        <v>1</v>
      </c>
      <c r="F2142" s="494">
        <v>1</v>
      </c>
      <c r="G2142" s="495">
        <f>1-F2142</f>
        <v>0</v>
      </c>
      <c r="H2142" s="503">
        <f>VLOOKUP(B2142,EQUIPAMENTOS!$A:$J,10,FALSE)</f>
        <v>125</v>
      </c>
      <c r="I2142" s="504">
        <f>H2142</f>
        <v>125</v>
      </c>
      <c r="J2142" s="505">
        <f>H2142*F2142*E2142+I2142*G2142*E2142</f>
        <v>125</v>
      </c>
      <c r="K2142" s="471"/>
    </row>
    <row r="2143" spans="1:11">
      <c r="A2143" s="463"/>
      <c r="B2143" s="499"/>
      <c r="C2143" s="500"/>
      <c r="D2143" s="501"/>
      <c r="E2143" s="872"/>
      <c r="F2143" s="872"/>
      <c r="G2143" s="502"/>
      <c r="H2143" s="503"/>
      <c r="I2143" s="504"/>
      <c r="J2143" s="505">
        <f>H2143*F2143*E2143+I2143*G2143*E2143</f>
        <v>0</v>
      </c>
      <c r="K2143" s="471"/>
    </row>
    <row r="2144" spans="1:11">
      <c r="A2144" s="463"/>
      <c r="B2144" s="499"/>
      <c r="C2144" s="500"/>
      <c r="D2144" s="501"/>
      <c r="E2144" s="872"/>
      <c r="F2144" s="872"/>
      <c r="G2144" s="502"/>
      <c r="H2144" s="503"/>
      <c r="I2144" s="504"/>
      <c r="J2144" s="505"/>
      <c r="K2144" s="471"/>
    </row>
    <row r="2145" spans="1:12">
      <c r="A2145" s="463"/>
      <c r="B2145" s="506"/>
      <c r="C2145" s="507"/>
      <c r="D2145" s="508"/>
      <c r="E2145" s="509"/>
      <c r="F2145" s="509"/>
      <c r="G2145" s="509"/>
      <c r="H2145" s="561"/>
      <c r="I2145" s="510"/>
      <c r="J2145" s="505"/>
      <c r="K2145" s="471"/>
    </row>
    <row r="2146" spans="1:12">
      <c r="A2146" s="463"/>
      <c r="B2146" s="512" t="s">
        <v>946</v>
      </c>
      <c r="C2146" s="482"/>
      <c r="D2146" s="482"/>
      <c r="E2146" s="482"/>
      <c r="F2146" s="482"/>
      <c r="G2146" s="482"/>
      <c r="H2146" s="482"/>
      <c r="I2146" s="513" t="s">
        <v>175</v>
      </c>
      <c r="J2146" s="514">
        <f>SUM(J2142:J2145)</f>
        <v>125</v>
      </c>
      <c r="K2146" s="471"/>
      <c r="L2146" s="6">
        <f>J2146/E2154</f>
        <v>189.39393939393938</v>
      </c>
    </row>
    <row r="2147" spans="1:12">
      <c r="A2147" s="463"/>
      <c r="B2147" s="515"/>
      <c r="C2147" s="515"/>
      <c r="D2147" s="515"/>
      <c r="E2147" s="515"/>
      <c r="F2147" s="515"/>
      <c r="G2147" s="515"/>
      <c r="H2147" s="515"/>
      <c r="I2147" s="516"/>
      <c r="J2147" s="517"/>
      <c r="K2147" s="471"/>
    </row>
    <row r="2148" spans="1:12" ht="20.399999999999999">
      <c r="A2148" s="463"/>
      <c r="B2148" s="1490" t="s">
        <v>947</v>
      </c>
      <c r="C2148" s="1491"/>
      <c r="D2148" s="1491"/>
      <c r="E2148" s="1492"/>
      <c r="F2148" s="725" t="s">
        <v>688</v>
      </c>
      <c r="G2148" s="519"/>
      <c r="H2148" s="520" t="s">
        <v>427</v>
      </c>
      <c r="I2148" s="521" t="s">
        <v>948</v>
      </c>
      <c r="J2148" s="522" t="s">
        <v>949</v>
      </c>
      <c r="K2148" s="471"/>
    </row>
    <row r="2149" spans="1:12">
      <c r="A2149" s="463"/>
      <c r="B2149" s="523"/>
      <c r="C2149" s="524"/>
      <c r="D2149" s="525"/>
      <c r="E2149" s="526"/>
      <c r="F2149" s="527"/>
      <c r="G2149" s="528"/>
      <c r="H2149" s="529"/>
      <c r="I2149" s="534"/>
      <c r="J2149" s="505">
        <f>H2149*I2149</f>
        <v>0</v>
      </c>
      <c r="K2149" s="471"/>
    </row>
    <row r="2150" spans="1:12">
      <c r="A2150" s="463"/>
      <c r="B2150" s="530"/>
      <c r="C2150" s="531"/>
      <c r="D2150" s="472"/>
      <c r="E2150" s="500"/>
      <c r="F2150" s="501"/>
      <c r="G2150" s="532"/>
      <c r="H2150" s="533"/>
      <c r="I2150" s="534"/>
      <c r="J2150" s="505">
        <f>H2150*I2150</f>
        <v>0</v>
      </c>
      <c r="K2150" s="471"/>
    </row>
    <row r="2151" spans="1:12">
      <c r="A2151" s="463"/>
      <c r="B2151" s="530"/>
      <c r="C2151" s="531"/>
      <c r="D2151" s="472"/>
      <c r="E2151" s="500"/>
      <c r="F2151" s="501"/>
      <c r="G2151" s="532"/>
      <c r="H2151" s="533"/>
      <c r="I2151" s="534"/>
      <c r="J2151" s="505">
        <f>H2151*I2151</f>
        <v>0</v>
      </c>
      <c r="K2151" s="471"/>
    </row>
    <row r="2152" spans="1:12">
      <c r="A2152" s="463"/>
      <c r="B2152" s="512" t="s">
        <v>946</v>
      </c>
      <c r="C2152" s="515"/>
      <c r="D2152" s="515"/>
      <c r="E2152" s="515"/>
      <c r="F2152" s="515"/>
      <c r="G2152" s="515"/>
      <c r="H2152" s="515"/>
      <c r="I2152" s="535" t="s">
        <v>175</v>
      </c>
      <c r="J2152" s="514">
        <f>SUM(J2149:J2151)</f>
        <v>0</v>
      </c>
      <c r="K2152" s="471"/>
    </row>
    <row r="2153" spans="1:12">
      <c r="A2153" s="463"/>
      <c r="B2153" s="536"/>
      <c r="C2153" s="536"/>
      <c r="D2153" s="536"/>
      <c r="E2153" s="536"/>
      <c r="F2153" s="536"/>
      <c r="G2153" s="536"/>
      <c r="H2153" s="536"/>
      <c r="I2153" s="537"/>
      <c r="J2153" s="536"/>
      <c r="K2153" s="471"/>
    </row>
    <row r="2154" spans="1:12">
      <c r="A2154" s="463"/>
      <c r="B2154" s="538" t="s">
        <v>952</v>
      </c>
      <c r="C2154" s="539"/>
      <c r="D2154" s="536"/>
      <c r="E2154" s="540">
        <v>0.66</v>
      </c>
      <c r="F2154" s="541" t="s">
        <v>1466</v>
      </c>
      <c r="G2154" s="519"/>
      <c r="H2154" s="519"/>
      <c r="I2154" s="542" t="s">
        <v>953</v>
      </c>
      <c r="J2154" s="514">
        <f>J2146+J2152</f>
        <v>125</v>
      </c>
      <c r="K2154" s="471"/>
    </row>
    <row r="2155" spans="1:12">
      <c r="A2155" s="463"/>
      <c r="B2155" s="543"/>
      <c r="C2155" s="536"/>
      <c r="D2155" s="536"/>
      <c r="E2155" s="544"/>
      <c r="F2155" s="545"/>
      <c r="G2155" s="545"/>
      <c r="H2155" s="545"/>
      <c r="I2155" s="537"/>
      <c r="J2155" s="536"/>
      <c r="K2155" s="471"/>
    </row>
    <row r="2156" spans="1:12" ht="20.399999999999999">
      <c r="A2156" s="463"/>
      <c r="B2156" s="1493" t="s">
        <v>362</v>
      </c>
      <c r="C2156" s="1494"/>
      <c r="D2156" s="1494"/>
      <c r="E2156" s="1495"/>
      <c r="F2156" s="546" t="s">
        <v>688</v>
      </c>
      <c r="G2156" s="547" t="s">
        <v>371</v>
      </c>
      <c r="H2156" s="520" t="s">
        <v>942</v>
      </c>
      <c r="I2156" s="548" t="s">
        <v>361</v>
      </c>
      <c r="J2156" s="549" t="s">
        <v>363</v>
      </c>
      <c r="K2156" s="471"/>
    </row>
    <row r="2157" spans="1:12">
      <c r="A2157" s="463"/>
      <c r="B2157" s="823" t="str">
        <f>B2142</f>
        <v>Caminhão Pipa 20.000 l</v>
      </c>
      <c r="C2157" s="532"/>
      <c r="D2157" s="532"/>
      <c r="E2157" s="822"/>
      <c r="F2157" s="553" t="str">
        <f>VLOOKUP(B2157,EQUIPAMENTOS!$A:$N,12,FALSE)</f>
        <v>Diesel S10</v>
      </c>
      <c r="G2157" s="554" t="s">
        <v>415</v>
      </c>
      <c r="H2157" s="560">
        <v>7.99</v>
      </c>
      <c r="I2157" s="556">
        <f>VLOOKUP(B2157,EQUIPAMENTOS!$A:$N,14,FALSE)</f>
        <v>7</v>
      </c>
      <c r="J2157" s="505">
        <f>H2157*I2157*E2142*F2142</f>
        <v>55.93</v>
      </c>
      <c r="K2157" s="471"/>
    </row>
    <row r="2158" spans="1:12">
      <c r="A2158" s="463"/>
      <c r="B2158" s="823"/>
      <c r="C2158" s="539"/>
      <c r="D2158" s="539"/>
      <c r="E2158" s="507"/>
      <c r="F2158" s="869"/>
      <c r="G2158" s="736"/>
      <c r="H2158" s="560"/>
      <c r="I2158" s="556"/>
      <c r="J2158" s="505"/>
      <c r="K2158" s="471"/>
    </row>
    <row r="2159" spans="1:12">
      <c r="A2159" s="463"/>
      <c r="B2159" s="563" t="s">
        <v>946</v>
      </c>
      <c r="C2159" s="536"/>
      <c r="D2159" s="536"/>
      <c r="E2159" s="536"/>
      <c r="F2159" s="536"/>
      <c r="G2159" s="536"/>
      <c r="H2159" s="564"/>
      <c r="I2159" s="565" t="s">
        <v>175</v>
      </c>
      <c r="J2159" s="514">
        <f>SUM(J2157:J2158)</f>
        <v>55.93</v>
      </c>
      <c r="K2159" s="471"/>
      <c r="L2159" s="6">
        <f>J2159/E2154</f>
        <v>84.742424242424235</v>
      </c>
    </row>
    <row r="2160" spans="1:12">
      <c r="A2160" s="463"/>
      <c r="B2160" s="566"/>
      <c r="C2160" s="539"/>
      <c r="D2160" s="539"/>
      <c r="E2160" s="567"/>
      <c r="F2160" s="568"/>
      <c r="G2160" s="519"/>
      <c r="H2160" s="519"/>
      <c r="I2160" s="542"/>
      <c r="J2160" s="567"/>
      <c r="K2160" s="471"/>
    </row>
    <row r="2161" spans="1:12" ht="20.399999999999999">
      <c r="A2161" s="463"/>
      <c r="B2161" s="1493" t="s">
        <v>955</v>
      </c>
      <c r="C2161" s="1494"/>
      <c r="D2161" s="1494"/>
      <c r="E2161" s="1494"/>
      <c r="F2161" s="1495"/>
      <c r="G2161" s="569" t="s">
        <v>372</v>
      </c>
      <c r="H2161" s="519" t="s">
        <v>956</v>
      </c>
      <c r="I2161" s="570" t="s">
        <v>942</v>
      </c>
      <c r="J2161" s="522" t="s">
        <v>363</v>
      </c>
      <c r="K2161" s="471"/>
    </row>
    <row r="2162" spans="1:12">
      <c r="A2162" s="463"/>
      <c r="B2162" s="571"/>
      <c r="C2162" s="572"/>
      <c r="D2162" s="573"/>
      <c r="E2162" s="573"/>
      <c r="F2162" s="574"/>
      <c r="G2162" s="502"/>
      <c r="H2162" s="502"/>
      <c r="I2162" s="575"/>
      <c r="J2162" s="505"/>
      <c r="K2162" s="471"/>
    </row>
    <row r="2163" spans="1:12">
      <c r="A2163" s="463"/>
      <c r="B2163" s="576"/>
      <c r="C2163" s="577"/>
      <c r="D2163" s="578"/>
      <c r="E2163" s="578"/>
      <c r="F2163" s="579"/>
      <c r="G2163" s="502"/>
      <c r="H2163" s="502"/>
      <c r="I2163" s="575"/>
      <c r="J2163" s="505"/>
      <c r="K2163" s="471"/>
    </row>
    <row r="2164" spans="1:12">
      <c r="A2164" s="463"/>
      <c r="B2164" s="1496" t="s">
        <v>175</v>
      </c>
      <c r="C2164" s="1496"/>
      <c r="D2164" s="1496"/>
      <c r="E2164" s="1496"/>
      <c r="F2164" s="1496"/>
      <c r="G2164" s="1496"/>
      <c r="H2164" s="1496"/>
      <c r="I2164" s="1496"/>
      <c r="J2164" s="514">
        <f>SUM(J2162:J2163)</f>
        <v>0</v>
      </c>
      <c r="K2164" s="471"/>
    </row>
    <row r="2165" spans="1:12">
      <c r="A2165" s="463"/>
      <c r="B2165" s="580"/>
      <c r="C2165" s="524"/>
      <c r="D2165" s="524"/>
      <c r="E2165" s="581"/>
      <c r="F2165" s="582"/>
      <c r="G2165" s="583"/>
      <c r="H2165" s="583"/>
      <c r="I2165" s="584"/>
      <c r="J2165" s="585"/>
      <c r="K2165" s="471"/>
    </row>
    <row r="2166" spans="1:12">
      <c r="A2166" s="463"/>
      <c r="B2166" s="586" t="s">
        <v>957</v>
      </c>
      <c r="C2166" s="586"/>
      <c r="D2166" s="563"/>
      <c r="E2166" s="536"/>
      <c r="F2166" s="536"/>
      <c r="G2166" s="536"/>
      <c r="H2166" s="587"/>
      <c r="I2166" s="588"/>
      <c r="J2166" s="514">
        <f>(J2154+J2159+J2164)/E2154</f>
        <v>274.13636363636363</v>
      </c>
      <c r="K2166" s="471"/>
    </row>
    <row r="2167" spans="1:12">
      <c r="A2167" s="463"/>
      <c r="B2167" s="566"/>
      <c r="C2167" s="539"/>
      <c r="D2167" s="539"/>
      <c r="E2167" s="567"/>
      <c r="F2167" s="568"/>
      <c r="G2167" s="519"/>
      <c r="H2167" s="519"/>
      <c r="I2167" s="542"/>
      <c r="J2167" s="589"/>
      <c r="K2167" s="471"/>
    </row>
    <row r="2168" spans="1:12" ht="20.399999999999999">
      <c r="A2168" s="463"/>
      <c r="B2168" s="1493" t="s">
        <v>958</v>
      </c>
      <c r="C2168" s="1494"/>
      <c r="D2168" s="1494"/>
      <c r="E2168" s="1494"/>
      <c r="F2168" s="1495"/>
      <c r="G2168" s="569" t="s">
        <v>372</v>
      </c>
      <c r="H2168" s="519" t="s">
        <v>956</v>
      </c>
      <c r="I2168" s="570" t="s">
        <v>942</v>
      </c>
      <c r="J2168" s="522" t="s">
        <v>363</v>
      </c>
      <c r="K2168" s="471"/>
    </row>
    <row r="2169" spans="1:12">
      <c r="A2169" s="463"/>
      <c r="B2169" s="571" t="s">
        <v>1504</v>
      </c>
      <c r="C2169" s="572"/>
      <c r="D2169" s="573"/>
      <c r="E2169" s="573"/>
      <c r="F2169" s="574"/>
      <c r="G2169" s="502">
        <v>1</v>
      </c>
      <c r="H2169" s="502" t="s">
        <v>1007</v>
      </c>
      <c r="I2169" s="575">
        <f>J2159*0.15</f>
        <v>8.3895</v>
      </c>
      <c r="J2169" s="505">
        <f t="shared" ref="J2169:J2172" si="11">G2169*I2169</f>
        <v>8.3895</v>
      </c>
      <c r="K2169" s="471"/>
    </row>
    <row r="2170" spans="1:12">
      <c r="A2170" s="463"/>
      <c r="B2170" s="576" t="s">
        <v>1505</v>
      </c>
      <c r="C2170" s="577"/>
      <c r="D2170" s="578"/>
      <c r="E2170" s="578"/>
      <c r="F2170" s="579"/>
      <c r="G2170" s="502">
        <v>1</v>
      </c>
      <c r="H2170" s="502" t="s">
        <v>1007</v>
      </c>
      <c r="I2170" s="575">
        <v>32.965035910964275</v>
      </c>
      <c r="J2170" s="505">
        <f t="shared" si="11"/>
        <v>32.965035910964275</v>
      </c>
      <c r="K2170" s="471"/>
      <c r="L2170" s="2"/>
    </row>
    <row r="2171" spans="1:12">
      <c r="A2171" s="463"/>
      <c r="B2171" s="576" t="s">
        <v>1506</v>
      </c>
      <c r="C2171" s="577"/>
      <c r="D2171" s="578"/>
      <c r="E2171" s="578"/>
      <c r="F2171" s="579"/>
      <c r="G2171" s="502">
        <v>1</v>
      </c>
      <c r="H2171" s="502" t="s">
        <v>1007</v>
      </c>
      <c r="I2171" s="575">
        <f>J2159*0.06</f>
        <v>3.3557999999999999</v>
      </c>
      <c r="J2171" s="505">
        <f t="shared" si="11"/>
        <v>3.3557999999999999</v>
      </c>
      <c r="K2171" s="471"/>
      <c r="L2171" s="6"/>
    </row>
    <row r="2172" spans="1:12">
      <c r="A2172" s="463"/>
      <c r="B2172" s="590"/>
      <c r="C2172" s="591"/>
      <c r="D2172" s="592"/>
      <c r="E2172" s="592"/>
      <c r="F2172" s="593"/>
      <c r="G2172" s="502"/>
      <c r="H2172" s="502"/>
      <c r="I2172" s="575"/>
      <c r="J2172" s="505">
        <f t="shared" si="11"/>
        <v>0</v>
      </c>
      <c r="K2172" s="471"/>
    </row>
    <row r="2173" spans="1:12">
      <c r="A2173" s="463"/>
      <c r="B2173" s="594"/>
      <c r="C2173" s="536"/>
      <c r="D2173" s="536"/>
      <c r="E2173" s="595"/>
      <c r="F2173" s="596"/>
      <c r="G2173" s="545"/>
      <c r="H2173" s="545"/>
      <c r="I2173" s="537" t="s">
        <v>175</v>
      </c>
      <c r="J2173" s="514">
        <f>SUM(J2169:J2172)</f>
        <v>44.710335910964275</v>
      </c>
      <c r="K2173" s="471"/>
    </row>
    <row r="2174" spans="1:12">
      <c r="A2174" s="463"/>
      <c r="B2174" s="597"/>
      <c r="C2174" s="536"/>
      <c r="D2174" s="536"/>
      <c r="E2174" s="595"/>
      <c r="F2174" s="596"/>
      <c r="G2174" s="545"/>
      <c r="H2174" s="545"/>
      <c r="I2174" s="537"/>
      <c r="J2174" s="595"/>
      <c r="K2174" s="471"/>
    </row>
    <row r="2175" spans="1:12" ht="20.399999999999999">
      <c r="A2175" s="463"/>
      <c r="B2175" s="598" t="s">
        <v>959</v>
      </c>
      <c r="C2175" s="598"/>
      <c r="D2175" s="598"/>
      <c r="E2175" s="599"/>
      <c r="F2175" s="600" t="s">
        <v>372</v>
      </c>
      <c r="G2175" s="569" t="s">
        <v>960</v>
      </c>
      <c r="H2175" s="519" t="s">
        <v>942</v>
      </c>
      <c r="I2175" s="570" t="s">
        <v>361</v>
      </c>
      <c r="J2175" s="522" t="s">
        <v>363</v>
      </c>
      <c r="K2175" s="471"/>
    </row>
    <row r="2176" spans="1:12">
      <c r="A2176" s="463"/>
      <c r="B2176" s="571"/>
      <c r="C2176" s="572"/>
      <c r="D2176" s="573"/>
      <c r="E2176" s="574"/>
      <c r="F2176" s="502"/>
      <c r="G2176" s="502"/>
      <c r="H2176" s="624"/>
      <c r="I2176" s="575"/>
      <c r="J2176" s="505"/>
      <c r="K2176" s="471"/>
    </row>
    <row r="2177" spans="1:12">
      <c r="A2177" s="463"/>
      <c r="B2177" s="590" t="s">
        <v>946</v>
      </c>
      <c r="C2177" s="591"/>
      <c r="D2177" s="592"/>
      <c r="E2177" s="593" t="s">
        <v>946</v>
      </c>
      <c r="F2177" s="509">
        <v>0</v>
      </c>
      <c r="G2177" s="509">
        <v>0</v>
      </c>
      <c r="H2177" s="509">
        <v>0</v>
      </c>
      <c r="I2177" s="601">
        <v>0</v>
      </c>
      <c r="J2177" s="505">
        <f>I2177*H2177*G2177*F2177</f>
        <v>0</v>
      </c>
      <c r="K2177" s="471"/>
    </row>
    <row r="2178" spans="1:12">
      <c r="A2178" s="463"/>
      <c r="B2178" s="594"/>
      <c r="C2178" s="536"/>
      <c r="D2178" s="536"/>
      <c r="E2178" s="595"/>
      <c r="F2178" s="596"/>
      <c r="G2178" s="545"/>
      <c r="H2178" s="545"/>
      <c r="I2178" s="537" t="s">
        <v>175</v>
      </c>
      <c r="J2178" s="514">
        <f>SUM(J2176:J2177)</f>
        <v>0</v>
      </c>
      <c r="K2178" s="471"/>
    </row>
    <row r="2179" spans="1:12">
      <c r="A2179" s="463"/>
      <c r="B2179" s="536"/>
      <c r="C2179" s="536"/>
      <c r="D2179" s="536"/>
      <c r="E2179" s="536"/>
      <c r="F2179" s="536"/>
      <c r="G2179" s="536"/>
      <c r="H2179" s="536"/>
      <c r="I2179" s="537"/>
      <c r="J2179" s="536"/>
      <c r="K2179" s="471"/>
    </row>
    <row r="2180" spans="1:12">
      <c r="A2180" s="463"/>
      <c r="B2180" s="1481" t="s">
        <v>963</v>
      </c>
      <c r="C2180" s="1482"/>
      <c r="D2180" s="1482"/>
      <c r="E2180" s="1482"/>
      <c r="F2180" s="1482"/>
      <c r="G2180" s="1482"/>
      <c r="H2180" s="1482"/>
      <c r="I2180" s="1483"/>
      <c r="J2180" s="586">
        <f>J2166+J2173</f>
        <v>318.84669954732789</v>
      </c>
      <c r="K2180" s="471"/>
      <c r="L2180">
        <v>318.84669954732789</v>
      </c>
    </row>
    <row r="2181" spans="1:12">
      <c r="A2181" s="463"/>
      <c r="B2181" s="524"/>
      <c r="C2181" s="524"/>
      <c r="D2181" s="524"/>
      <c r="E2181" s="524"/>
      <c r="F2181" s="524"/>
      <c r="G2181" s="524"/>
      <c r="H2181" s="524"/>
      <c r="I2181" s="584"/>
      <c r="J2181" s="524"/>
      <c r="K2181" s="471"/>
    </row>
    <row r="2182" spans="1:12">
      <c r="A2182" s="463"/>
      <c r="B2182" s="602"/>
      <c r="C2182" s="572"/>
      <c r="D2182" s="572"/>
      <c r="E2182" s="572"/>
      <c r="F2182" s="572"/>
      <c r="G2182" s="572"/>
      <c r="H2182" s="572"/>
      <c r="I2182" s="572"/>
      <c r="J2182" s="603"/>
      <c r="K2182" s="471"/>
    </row>
    <row r="2183" spans="1:12">
      <c r="A2183" s="463"/>
      <c r="B2183" s="604"/>
      <c r="C2183" s="605"/>
      <c r="D2183" s="606"/>
      <c r="E2183" s="606"/>
      <c r="F2183" s="607" t="s">
        <v>946</v>
      </c>
      <c r="G2183" s="608" t="s">
        <v>946</v>
      </c>
      <c r="H2183" s="605"/>
      <c r="I2183" s="605"/>
      <c r="J2183" s="609"/>
      <c r="K2183" s="471"/>
    </row>
    <row r="2184" spans="1:12">
      <c r="A2184" s="463"/>
      <c r="B2184" s="472"/>
      <c r="C2184" s="472"/>
      <c r="D2184" s="472"/>
      <c r="E2184" s="472"/>
      <c r="F2184" s="472"/>
      <c r="G2184" s="472"/>
      <c r="H2184" s="472"/>
      <c r="I2184" s="472"/>
      <c r="J2184" s="472"/>
      <c r="K2184" s="471"/>
    </row>
    <row r="2185" spans="1:12">
      <c r="A2185" s="463"/>
      <c r="B2185" s="610" t="str">
        <f>PLANEJAMENTO!F2</f>
        <v>OPERAÇÃO DE SUPRESSÃO E SUMP</v>
      </c>
      <c r="C2185" s="611"/>
      <c r="D2185" s="611"/>
      <c r="E2185" s="611"/>
      <c r="F2185" s="612"/>
      <c r="G2185" s="613" t="s">
        <v>363</v>
      </c>
      <c r="H2185" s="515"/>
      <c r="I2185" s="515"/>
      <c r="J2185" s="518"/>
      <c r="K2185" s="471"/>
    </row>
    <row r="2186" spans="1:12">
      <c r="A2186" s="463"/>
      <c r="B2186" s="614" t="str">
        <f>PLANEJAMENTO!F3</f>
        <v>MARA ROSA</v>
      </c>
      <c r="C2186" s="615"/>
      <c r="D2186" s="615"/>
      <c r="E2186" s="615"/>
      <c r="F2186" s="616"/>
      <c r="G2186" s="1484" t="s">
        <v>964</v>
      </c>
      <c r="H2186" s="1485"/>
      <c r="I2186" s="1485"/>
      <c r="J2186" s="1486"/>
      <c r="K2186" s="471"/>
    </row>
    <row r="2187" spans="1:12">
      <c r="A2187" s="463"/>
      <c r="B2187" s="617"/>
      <c r="C2187" s="618"/>
      <c r="D2187" s="618"/>
      <c r="E2187" s="618"/>
      <c r="F2187" s="619"/>
      <c r="G2187" s="620"/>
      <c r="H2187" s="1487"/>
      <c r="I2187" s="1488"/>
      <c r="J2187" s="1489"/>
      <c r="K2187" s="471"/>
    </row>
    <row r="2188" spans="1:12" ht="15" thickBot="1">
      <c r="A2188" s="621"/>
      <c r="B2188" s="622"/>
      <c r="C2188" s="622"/>
      <c r="D2188" s="622"/>
      <c r="E2188" s="622"/>
      <c r="F2188" s="622"/>
      <c r="G2188" s="622"/>
      <c r="H2188" s="622"/>
      <c r="I2188" s="622"/>
      <c r="J2188" s="622"/>
      <c r="K2188" s="623"/>
    </row>
    <row r="2189" spans="1:12">
      <c r="A2189" s="463"/>
      <c r="B2189" s="472"/>
      <c r="C2189" s="472"/>
      <c r="D2189" s="472"/>
      <c r="E2189" s="472"/>
      <c r="F2189" s="472"/>
      <c r="G2189" s="472"/>
      <c r="H2189" s="472"/>
      <c r="I2189" s="472"/>
      <c r="J2189" s="472"/>
      <c r="K2189" s="471"/>
    </row>
    <row r="2190" spans="1:12">
      <c r="A2190" s="463"/>
      <c r="B2190" s="464" t="s">
        <v>178</v>
      </c>
      <c r="C2190" s="465"/>
      <c r="D2190" s="466" t="s">
        <v>936</v>
      </c>
      <c r="E2190" s="467"/>
      <c r="F2190" s="468"/>
      <c r="G2190" s="468"/>
      <c r="H2190" s="469"/>
      <c r="I2190" s="469"/>
      <c r="J2190" s="470"/>
      <c r="K2190" s="471"/>
    </row>
    <row r="2191" spans="1:12">
      <c r="A2191" s="463"/>
      <c r="B2191" s="472"/>
      <c r="C2191" s="472"/>
      <c r="D2191" s="472"/>
      <c r="E2191" s="472"/>
      <c r="F2191" s="472"/>
      <c r="G2191" s="472"/>
      <c r="H2191" s="472"/>
      <c r="I2191" s="472"/>
      <c r="J2191" s="472"/>
      <c r="K2191" s="471"/>
    </row>
    <row r="2192" spans="1:12">
      <c r="A2192" s="463"/>
      <c r="B2192" s="473"/>
      <c r="C2192" s="474" t="s">
        <v>937</v>
      </c>
      <c r="D2192" s="1497" t="s">
        <v>250</v>
      </c>
      <c r="E2192" s="1498"/>
      <c r="F2192" s="1498"/>
      <c r="G2192" s="1498"/>
      <c r="H2192" s="1498"/>
      <c r="I2192" s="1499"/>
      <c r="J2192" s="475" t="s">
        <v>267</v>
      </c>
      <c r="K2192" s="471"/>
    </row>
    <row r="2193" spans="1:12">
      <c r="A2193" s="463"/>
      <c r="B2193" s="476"/>
      <c r="C2193" s="477">
        <f ca="1">TODAY()</f>
        <v>46140</v>
      </c>
      <c r="D2193" s="681" t="s">
        <v>1514</v>
      </c>
      <c r="E2193" s="479"/>
      <c r="F2193" s="479"/>
      <c r="G2193" s="479"/>
      <c r="H2193" s="479"/>
      <c r="I2193" s="480"/>
      <c r="J2193" s="481" t="str">
        <f>F2211</f>
        <v>H</v>
      </c>
      <c r="K2193" s="471"/>
    </row>
    <row r="2194" spans="1:12">
      <c r="A2194" s="463"/>
      <c r="B2194" s="482"/>
      <c r="C2194" s="482"/>
      <c r="D2194" s="482"/>
      <c r="E2194" s="482"/>
      <c r="F2194" s="482"/>
      <c r="G2194" s="482"/>
      <c r="H2194" s="482"/>
      <c r="I2194" s="483"/>
      <c r="J2194" s="484"/>
      <c r="K2194" s="471"/>
    </row>
    <row r="2195" spans="1:12">
      <c r="A2195" s="463"/>
      <c r="B2195" s="1484" t="s">
        <v>938</v>
      </c>
      <c r="C2195" s="1486"/>
      <c r="D2195" s="1502" t="s">
        <v>688</v>
      </c>
      <c r="E2195" s="1504" t="s">
        <v>939</v>
      </c>
      <c r="F2195" s="485" t="s">
        <v>940</v>
      </c>
      <c r="G2195" s="486"/>
      <c r="H2195" s="485" t="s">
        <v>941</v>
      </c>
      <c r="I2195" s="486"/>
      <c r="J2195" s="487" t="s">
        <v>942</v>
      </c>
      <c r="K2195" s="471"/>
    </row>
    <row r="2196" spans="1:12">
      <c r="A2196" s="463"/>
      <c r="B2196" s="1500"/>
      <c r="C2196" s="1501"/>
      <c r="D2196" s="1503"/>
      <c r="E2196" s="1505"/>
      <c r="F2196" s="488" t="s">
        <v>943</v>
      </c>
      <c r="G2196" s="488" t="s">
        <v>944</v>
      </c>
      <c r="H2196" s="488" t="s">
        <v>943</v>
      </c>
      <c r="I2196" s="489" t="s">
        <v>944</v>
      </c>
      <c r="J2196" s="490" t="s">
        <v>945</v>
      </c>
      <c r="K2196" s="471"/>
    </row>
    <row r="2197" spans="1:12">
      <c r="A2197" s="463"/>
      <c r="B2197" s="491" t="s">
        <v>1105</v>
      </c>
      <c r="C2197" s="492"/>
      <c r="D2197" s="493"/>
      <c r="E2197" s="494">
        <v>1</v>
      </c>
      <c r="F2197" s="494">
        <v>1</v>
      </c>
      <c r="G2197" s="495">
        <f>1-F2197</f>
        <v>0</v>
      </c>
      <c r="H2197" s="503">
        <f>VLOOKUP(B2197,EQUIPAMENTOS!$A:$J,10,FALSE)</f>
        <v>140</v>
      </c>
      <c r="I2197" s="504">
        <f>H2197</f>
        <v>140</v>
      </c>
      <c r="J2197" s="505">
        <f>H2197*F2197*E2197+I2197*G2197*E2197</f>
        <v>140</v>
      </c>
      <c r="K2197" s="471"/>
    </row>
    <row r="2198" spans="1:12">
      <c r="A2198" s="463"/>
      <c r="B2198" s="499"/>
      <c r="C2198" s="500"/>
      <c r="D2198" s="501"/>
      <c r="E2198" s="872"/>
      <c r="F2198" s="872"/>
      <c r="G2198" s="502"/>
      <c r="H2198" s="503"/>
      <c r="I2198" s="504"/>
      <c r="J2198" s="505">
        <f>H2198*F2198*E2198+I2198*G2198*E2198</f>
        <v>0</v>
      </c>
      <c r="K2198" s="471"/>
    </row>
    <row r="2199" spans="1:12">
      <c r="A2199" s="463"/>
      <c r="B2199" s="499"/>
      <c r="C2199" s="500"/>
      <c r="D2199" s="501"/>
      <c r="E2199" s="872"/>
      <c r="F2199" s="872"/>
      <c r="G2199" s="502"/>
      <c r="H2199" s="503"/>
      <c r="I2199" s="504"/>
      <c r="J2199" s="505"/>
      <c r="K2199" s="471"/>
    </row>
    <row r="2200" spans="1:12">
      <c r="A2200" s="463"/>
      <c r="B2200" s="506"/>
      <c r="C2200" s="507"/>
      <c r="D2200" s="508"/>
      <c r="E2200" s="509"/>
      <c r="F2200" s="509"/>
      <c r="G2200" s="509"/>
      <c r="H2200" s="561"/>
      <c r="I2200" s="510"/>
      <c r="J2200" s="505"/>
      <c r="K2200" s="471"/>
    </row>
    <row r="2201" spans="1:12">
      <c r="A2201" s="463"/>
      <c r="B2201" s="512" t="s">
        <v>946</v>
      </c>
      <c r="C2201" s="482"/>
      <c r="D2201" s="482"/>
      <c r="E2201" s="482"/>
      <c r="F2201" s="482"/>
      <c r="G2201" s="482"/>
      <c r="H2201" s="482"/>
      <c r="I2201" s="513" t="s">
        <v>175</v>
      </c>
      <c r="J2201" s="514">
        <f>SUM(J2197:J2200)</f>
        <v>140</v>
      </c>
      <c r="K2201" s="471"/>
      <c r="L2201" s="6">
        <f>J2201/E2211</f>
        <v>186.66666666666666</v>
      </c>
    </row>
    <row r="2202" spans="1:12">
      <c r="A2202" s="463"/>
      <c r="B2202" s="515"/>
      <c r="C2202" s="515"/>
      <c r="D2202" s="515"/>
      <c r="E2202" s="515"/>
      <c r="F2202" s="515"/>
      <c r="G2202" s="515"/>
      <c r="H2202" s="515"/>
      <c r="I2202" s="516"/>
      <c r="J2202" s="517"/>
      <c r="K2202" s="471"/>
    </row>
    <row r="2203" spans="1:12" ht="20.399999999999999">
      <c r="A2203" s="463"/>
      <c r="B2203" s="1490" t="s">
        <v>947</v>
      </c>
      <c r="C2203" s="1491"/>
      <c r="D2203" s="1491"/>
      <c r="E2203" s="1492"/>
      <c r="F2203" s="725" t="s">
        <v>688</v>
      </c>
      <c r="G2203" s="519"/>
      <c r="H2203" s="520" t="s">
        <v>427</v>
      </c>
      <c r="I2203" s="521" t="s">
        <v>948</v>
      </c>
      <c r="J2203" s="522" t="s">
        <v>949</v>
      </c>
      <c r="K2203" s="471"/>
    </row>
    <row r="2204" spans="1:12">
      <c r="A2204" s="463"/>
      <c r="B2204" s="523"/>
      <c r="C2204" s="524"/>
      <c r="D2204" s="525"/>
      <c r="E2204" s="526"/>
      <c r="F2204" s="527"/>
      <c r="G2204" s="528"/>
      <c r="H2204" s="529"/>
      <c r="I2204" s="534"/>
      <c r="J2204" s="505">
        <f>H2204*I2204</f>
        <v>0</v>
      </c>
      <c r="K2204" s="471"/>
    </row>
    <row r="2205" spans="1:12">
      <c r="A2205" s="463"/>
      <c r="B2205" s="530"/>
      <c r="C2205" s="531"/>
      <c r="D2205" s="472"/>
      <c r="E2205" s="500"/>
      <c r="F2205" s="501"/>
      <c r="G2205" s="532"/>
      <c r="H2205" s="533"/>
      <c r="I2205" s="534"/>
      <c r="J2205" s="505">
        <f>H2205*I2205</f>
        <v>0</v>
      </c>
      <c r="K2205" s="471"/>
    </row>
    <row r="2206" spans="1:12">
      <c r="A2206" s="463"/>
      <c r="B2206" s="530"/>
      <c r="C2206" s="531"/>
      <c r="D2206" s="472"/>
      <c r="E2206" s="500"/>
      <c r="F2206" s="501"/>
      <c r="G2206" s="532"/>
      <c r="H2206" s="533"/>
      <c r="I2206" s="534"/>
      <c r="J2206" s="505">
        <f>H2206*I2206</f>
        <v>0</v>
      </c>
      <c r="K2206" s="471"/>
    </row>
    <row r="2207" spans="1:12">
      <c r="A2207" s="463"/>
      <c r="B2207" s="530"/>
      <c r="C2207" s="531"/>
      <c r="D2207" s="472"/>
      <c r="E2207" s="500"/>
      <c r="F2207" s="501"/>
      <c r="G2207" s="532"/>
      <c r="H2207" s="533"/>
      <c r="I2207" s="534"/>
      <c r="J2207" s="505">
        <f>H2207*I2207</f>
        <v>0</v>
      </c>
      <c r="K2207" s="471"/>
    </row>
    <row r="2208" spans="1:12">
      <c r="A2208" s="463"/>
      <c r="B2208" s="530"/>
      <c r="C2208" s="531"/>
      <c r="D2208" s="472"/>
      <c r="E2208" s="500"/>
      <c r="F2208" s="501"/>
      <c r="G2208" s="532"/>
      <c r="H2208" s="533"/>
      <c r="I2208" s="534"/>
      <c r="J2208" s="505">
        <f>H2208*I2208</f>
        <v>0</v>
      </c>
      <c r="K2208" s="471"/>
    </row>
    <row r="2209" spans="1:12">
      <c r="A2209" s="463"/>
      <c r="B2209" s="512" t="s">
        <v>946</v>
      </c>
      <c r="C2209" s="515"/>
      <c r="D2209" s="515"/>
      <c r="E2209" s="515"/>
      <c r="F2209" s="515"/>
      <c r="G2209" s="515"/>
      <c r="H2209" s="515"/>
      <c r="I2209" s="535" t="s">
        <v>175</v>
      </c>
      <c r="J2209" s="514">
        <f>SUM(J2204:J2208)</f>
        <v>0</v>
      </c>
      <c r="K2209" s="471"/>
    </row>
    <row r="2210" spans="1:12">
      <c r="A2210" s="463"/>
      <c r="B2210" s="536"/>
      <c r="C2210" s="536"/>
      <c r="D2210" s="536"/>
      <c r="E2210" s="536"/>
      <c r="F2210" s="536"/>
      <c r="G2210" s="536"/>
      <c r="H2210" s="536"/>
      <c r="I2210" s="537"/>
      <c r="J2210" s="536"/>
      <c r="K2210" s="471"/>
    </row>
    <row r="2211" spans="1:12">
      <c r="A2211" s="463"/>
      <c r="B2211" s="538" t="s">
        <v>952</v>
      </c>
      <c r="C2211" s="539"/>
      <c r="D2211" s="536"/>
      <c r="E2211" s="540">
        <v>0.75</v>
      </c>
      <c r="F2211" s="541" t="s">
        <v>1466</v>
      </c>
      <c r="G2211" s="519"/>
      <c r="H2211" s="519"/>
      <c r="I2211" s="542" t="s">
        <v>953</v>
      </c>
      <c r="J2211" s="514">
        <f>J2201+J2209</f>
        <v>140</v>
      </c>
      <c r="K2211" s="471"/>
    </row>
    <row r="2212" spans="1:12">
      <c r="A2212" s="463"/>
      <c r="B2212" s="543"/>
      <c r="C2212" s="536"/>
      <c r="D2212" s="536"/>
      <c r="E2212" s="544"/>
      <c r="F2212" s="545"/>
      <c r="G2212" s="545"/>
      <c r="H2212" s="545"/>
      <c r="I2212" s="537"/>
      <c r="J2212" s="536"/>
      <c r="K2212" s="471"/>
    </row>
    <row r="2213" spans="1:12" ht="20.399999999999999">
      <c r="A2213" s="463"/>
      <c r="B2213" s="1493" t="s">
        <v>362</v>
      </c>
      <c r="C2213" s="1494"/>
      <c r="D2213" s="1494"/>
      <c r="E2213" s="1495"/>
      <c r="F2213" s="546" t="s">
        <v>688</v>
      </c>
      <c r="G2213" s="547" t="s">
        <v>371</v>
      </c>
      <c r="H2213" s="520" t="s">
        <v>942</v>
      </c>
      <c r="I2213" s="548" t="s">
        <v>361</v>
      </c>
      <c r="J2213" s="549" t="s">
        <v>363</v>
      </c>
      <c r="K2213" s="471"/>
    </row>
    <row r="2214" spans="1:12">
      <c r="A2214" s="463"/>
      <c r="B2214" s="823" t="str">
        <f>B2197</f>
        <v>Caminhão comboio</v>
      </c>
      <c r="C2214" s="532"/>
      <c r="D2214" s="532"/>
      <c r="E2214" s="822"/>
      <c r="F2214" s="553" t="str">
        <f>VLOOKUP(B2214,EQUIPAMENTOS!$A:$N,12,FALSE)</f>
        <v>Diesel S10</v>
      </c>
      <c r="G2214" s="554" t="s">
        <v>415</v>
      </c>
      <c r="H2214" s="560">
        <v>7.99</v>
      </c>
      <c r="I2214" s="556">
        <f>VLOOKUP(B2214,EQUIPAMENTOS!$A:$N,14,FALSE)</f>
        <v>4</v>
      </c>
      <c r="J2214" s="505">
        <f>H2214*I2214*E2197*F2197</f>
        <v>31.96</v>
      </c>
      <c r="K2214" s="471"/>
    </row>
    <row r="2215" spans="1:12">
      <c r="A2215" s="463"/>
      <c r="B2215" s="823"/>
      <c r="C2215" s="531"/>
      <c r="D2215" s="531"/>
      <c r="E2215" s="500"/>
      <c r="F2215" s="553"/>
      <c r="G2215" s="554"/>
      <c r="H2215" s="560"/>
      <c r="I2215" s="556"/>
      <c r="J2215" s="505">
        <f>H2215*I2215*E2198*F2198</f>
        <v>0</v>
      </c>
      <c r="K2215" s="471"/>
    </row>
    <row r="2216" spans="1:12">
      <c r="A2216" s="463"/>
      <c r="B2216" s="823"/>
      <c r="C2216" s="539"/>
      <c r="D2216" s="539"/>
      <c r="E2216" s="507"/>
      <c r="F2216" s="869"/>
      <c r="G2216" s="736"/>
      <c r="H2216" s="560"/>
      <c r="I2216" s="556"/>
      <c r="J2216" s="505"/>
      <c r="K2216" s="471"/>
    </row>
    <row r="2217" spans="1:12">
      <c r="A2217" s="463"/>
      <c r="B2217" s="563" t="s">
        <v>946</v>
      </c>
      <c r="C2217" s="536"/>
      <c r="D2217" s="536"/>
      <c r="E2217" s="536"/>
      <c r="F2217" s="536"/>
      <c r="G2217" s="536"/>
      <c r="H2217" s="564"/>
      <c r="I2217" s="565" t="s">
        <v>175</v>
      </c>
      <c r="J2217" s="514">
        <f>SUM(J2214:J2216)</f>
        <v>31.96</v>
      </c>
      <c r="K2217" s="471"/>
      <c r="L2217" s="6">
        <f>J2217/E2211</f>
        <v>42.613333333333337</v>
      </c>
    </row>
    <row r="2218" spans="1:12">
      <c r="A2218" s="463"/>
      <c r="B2218" s="566"/>
      <c r="C2218" s="539"/>
      <c r="D2218" s="539"/>
      <c r="E2218" s="567"/>
      <c r="F2218" s="568"/>
      <c r="G2218" s="519"/>
      <c r="H2218" s="519"/>
      <c r="I2218" s="542"/>
      <c r="J2218" s="567"/>
      <c r="K2218" s="471"/>
    </row>
    <row r="2219" spans="1:12" ht="20.399999999999999">
      <c r="A2219" s="463"/>
      <c r="B2219" s="1493" t="s">
        <v>955</v>
      </c>
      <c r="C2219" s="1494"/>
      <c r="D2219" s="1494"/>
      <c r="E2219" s="1494"/>
      <c r="F2219" s="1495"/>
      <c r="G2219" s="569" t="s">
        <v>372</v>
      </c>
      <c r="H2219" s="519" t="s">
        <v>956</v>
      </c>
      <c r="I2219" s="570" t="s">
        <v>942</v>
      </c>
      <c r="J2219" s="522" t="s">
        <v>363</v>
      </c>
      <c r="K2219" s="471"/>
    </row>
    <row r="2220" spans="1:12">
      <c r="A2220" s="463"/>
      <c r="B2220" s="571"/>
      <c r="C2220" s="572"/>
      <c r="D2220" s="573"/>
      <c r="E2220" s="573"/>
      <c r="F2220" s="574"/>
      <c r="G2220" s="502"/>
      <c r="H2220" s="502"/>
      <c r="I2220" s="575"/>
      <c r="J2220" s="505"/>
      <c r="K2220" s="471"/>
    </row>
    <row r="2221" spans="1:12">
      <c r="A2221" s="463"/>
      <c r="B2221" s="576"/>
      <c r="C2221" s="577"/>
      <c r="D2221" s="578"/>
      <c r="E2221" s="578"/>
      <c r="F2221" s="579"/>
      <c r="G2221" s="502"/>
      <c r="H2221" s="502"/>
      <c r="I2221" s="575"/>
      <c r="J2221" s="505"/>
      <c r="K2221" s="471"/>
    </row>
    <row r="2222" spans="1:12">
      <c r="A2222" s="463"/>
      <c r="B2222" s="1496" t="s">
        <v>175</v>
      </c>
      <c r="C2222" s="1496"/>
      <c r="D2222" s="1496"/>
      <c r="E2222" s="1496"/>
      <c r="F2222" s="1496"/>
      <c r="G2222" s="1496"/>
      <c r="H2222" s="1496"/>
      <c r="I2222" s="1496"/>
      <c r="J2222" s="514">
        <f>SUM(J2220:J2221)</f>
        <v>0</v>
      </c>
      <c r="K2222" s="471"/>
    </row>
    <row r="2223" spans="1:12">
      <c r="A2223" s="463"/>
      <c r="B2223" s="580"/>
      <c r="C2223" s="524"/>
      <c r="D2223" s="524"/>
      <c r="E2223" s="581"/>
      <c r="F2223" s="582"/>
      <c r="G2223" s="583"/>
      <c r="H2223" s="583"/>
      <c r="I2223" s="584"/>
      <c r="J2223" s="585"/>
      <c r="K2223" s="471"/>
    </row>
    <row r="2224" spans="1:12">
      <c r="A2224" s="463"/>
      <c r="B2224" s="586" t="s">
        <v>957</v>
      </c>
      <c r="C2224" s="586"/>
      <c r="D2224" s="563"/>
      <c r="E2224" s="536"/>
      <c r="F2224" s="536"/>
      <c r="G2224" s="536"/>
      <c r="H2224" s="587"/>
      <c r="I2224" s="588"/>
      <c r="J2224" s="514">
        <f>(J2211+J2217+J2222)/E2211</f>
        <v>229.28</v>
      </c>
      <c r="K2224" s="471"/>
    </row>
    <row r="2225" spans="1:12">
      <c r="A2225" s="463"/>
      <c r="B2225" s="566"/>
      <c r="C2225" s="539"/>
      <c r="D2225" s="539"/>
      <c r="E2225" s="567"/>
      <c r="F2225" s="568"/>
      <c r="G2225" s="519"/>
      <c r="H2225" s="519"/>
      <c r="I2225" s="542"/>
      <c r="J2225" s="589"/>
      <c r="K2225" s="471"/>
    </row>
    <row r="2226" spans="1:12" ht="20.399999999999999">
      <c r="A2226" s="463"/>
      <c r="B2226" s="1493" t="s">
        <v>958</v>
      </c>
      <c r="C2226" s="1494"/>
      <c r="D2226" s="1494"/>
      <c r="E2226" s="1494"/>
      <c r="F2226" s="1495"/>
      <c r="G2226" s="569" t="s">
        <v>372</v>
      </c>
      <c r="H2226" s="519" t="s">
        <v>956</v>
      </c>
      <c r="I2226" s="570" t="s">
        <v>942</v>
      </c>
      <c r="J2226" s="522" t="s">
        <v>363</v>
      </c>
      <c r="K2226" s="471"/>
    </row>
    <row r="2227" spans="1:12">
      <c r="A2227" s="463"/>
      <c r="B2227" s="571" t="s">
        <v>1504</v>
      </c>
      <c r="C2227" s="572"/>
      <c r="D2227" s="573"/>
      <c r="E2227" s="573"/>
      <c r="F2227" s="574"/>
      <c r="G2227" s="502">
        <v>1</v>
      </c>
      <c r="H2227" s="502" t="s">
        <v>1007</v>
      </c>
      <c r="I2227" s="575">
        <f>J2217*0.15</f>
        <v>4.7939999999999996</v>
      </c>
      <c r="J2227" s="505">
        <f t="shared" ref="J2227:J2230" si="12">G2227*I2227</f>
        <v>4.7939999999999996</v>
      </c>
      <c r="K2227" s="471"/>
      <c r="L2227" s="2"/>
    </row>
    <row r="2228" spans="1:12">
      <c r="A2228" s="463"/>
      <c r="B2228" s="576" t="s">
        <v>1505</v>
      </c>
      <c r="C2228" s="577"/>
      <c r="D2228" s="578"/>
      <c r="E2228" s="578"/>
      <c r="F2228" s="579"/>
      <c r="G2228" s="502">
        <v>1</v>
      </c>
      <c r="H2228" s="502" t="s">
        <v>1007</v>
      </c>
      <c r="I2228" s="575">
        <v>17.369659374366606</v>
      </c>
      <c r="J2228" s="505">
        <f t="shared" si="12"/>
        <v>17.369659374366606</v>
      </c>
      <c r="K2228" s="471"/>
      <c r="L2228" s="2"/>
    </row>
    <row r="2229" spans="1:12">
      <c r="A2229" s="463"/>
      <c r="B2229" s="576" t="s">
        <v>1506</v>
      </c>
      <c r="C2229" s="577"/>
      <c r="D2229" s="578"/>
      <c r="E2229" s="578"/>
      <c r="F2229" s="579"/>
      <c r="G2229" s="502">
        <v>1</v>
      </c>
      <c r="H2229" s="502" t="s">
        <v>1007</v>
      </c>
      <c r="I2229" s="575">
        <f>J2217*0.06</f>
        <v>1.9176</v>
      </c>
      <c r="J2229" s="505">
        <f t="shared" si="12"/>
        <v>1.9176</v>
      </c>
      <c r="K2229" s="471"/>
      <c r="L2229" s="6"/>
    </row>
    <row r="2230" spans="1:12">
      <c r="A2230" s="463"/>
      <c r="B2230" s="590"/>
      <c r="C2230" s="591"/>
      <c r="D2230" s="592"/>
      <c r="E2230" s="592"/>
      <c r="F2230" s="593"/>
      <c r="G2230" s="502"/>
      <c r="H2230" s="502"/>
      <c r="I2230" s="575"/>
      <c r="J2230" s="505">
        <f t="shared" si="12"/>
        <v>0</v>
      </c>
      <c r="K2230" s="471"/>
    </row>
    <row r="2231" spans="1:12">
      <c r="A2231" s="463"/>
      <c r="B2231" s="594"/>
      <c r="C2231" s="536"/>
      <c r="D2231" s="536"/>
      <c r="E2231" s="595"/>
      <c r="F2231" s="596"/>
      <c r="G2231" s="545"/>
      <c r="H2231" s="545"/>
      <c r="I2231" s="537" t="s">
        <v>175</v>
      </c>
      <c r="J2231" s="514">
        <f>SUM(J2227:J2230)</f>
        <v>24.081259374366606</v>
      </c>
      <c r="K2231" s="471"/>
    </row>
    <row r="2232" spans="1:12">
      <c r="A2232" s="463"/>
      <c r="B2232" s="597"/>
      <c r="C2232" s="536"/>
      <c r="D2232" s="536"/>
      <c r="E2232" s="595"/>
      <c r="F2232" s="596"/>
      <c r="G2232" s="545"/>
      <c r="H2232" s="545"/>
      <c r="I2232" s="537"/>
      <c r="J2232" s="595"/>
      <c r="K2232" s="471"/>
    </row>
    <row r="2233" spans="1:12" ht="20.399999999999999">
      <c r="A2233" s="463"/>
      <c r="B2233" s="598" t="s">
        <v>959</v>
      </c>
      <c r="C2233" s="598"/>
      <c r="D2233" s="598"/>
      <c r="E2233" s="599"/>
      <c r="F2233" s="600" t="s">
        <v>372</v>
      </c>
      <c r="G2233" s="569" t="s">
        <v>960</v>
      </c>
      <c r="H2233" s="519" t="s">
        <v>942</v>
      </c>
      <c r="I2233" s="570" t="s">
        <v>361</v>
      </c>
      <c r="J2233" s="522" t="s">
        <v>363</v>
      </c>
      <c r="K2233" s="471"/>
    </row>
    <row r="2234" spans="1:12">
      <c r="A2234" s="463"/>
      <c r="B2234" s="571"/>
      <c r="C2234" s="572"/>
      <c r="D2234" s="573"/>
      <c r="E2234" s="574"/>
      <c r="F2234" s="502"/>
      <c r="G2234" s="502"/>
      <c r="H2234" s="624"/>
      <c r="I2234" s="575"/>
      <c r="J2234" s="505"/>
      <c r="K2234" s="471"/>
    </row>
    <row r="2235" spans="1:12">
      <c r="A2235" s="463"/>
      <c r="B2235" s="590" t="s">
        <v>946</v>
      </c>
      <c r="C2235" s="591"/>
      <c r="D2235" s="592"/>
      <c r="E2235" s="593" t="s">
        <v>946</v>
      </c>
      <c r="F2235" s="509">
        <v>0</v>
      </c>
      <c r="G2235" s="509">
        <v>0</v>
      </c>
      <c r="H2235" s="509">
        <v>0</v>
      </c>
      <c r="I2235" s="601">
        <v>0</v>
      </c>
      <c r="J2235" s="505">
        <f>I2235*H2235*G2235*F2235</f>
        <v>0</v>
      </c>
      <c r="K2235" s="471"/>
    </row>
    <row r="2236" spans="1:12">
      <c r="A2236" s="463"/>
      <c r="B2236" s="594"/>
      <c r="C2236" s="536"/>
      <c r="D2236" s="536"/>
      <c r="E2236" s="595"/>
      <c r="F2236" s="596"/>
      <c r="G2236" s="545"/>
      <c r="H2236" s="545"/>
      <c r="I2236" s="537" t="s">
        <v>175</v>
      </c>
      <c r="J2236" s="514">
        <f>SUM(J2234:J2235)</f>
        <v>0</v>
      </c>
      <c r="K2236" s="471"/>
    </row>
    <row r="2237" spans="1:12">
      <c r="A2237" s="463"/>
      <c r="B2237" s="536"/>
      <c r="C2237" s="536"/>
      <c r="D2237" s="536"/>
      <c r="E2237" s="536"/>
      <c r="F2237" s="536"/>
      <c r="G2237" s="536"/>
      <c r="H2237" s="536"/>
      <c r="I2237" s="537"/>
      <c r="J2237" s="536"/>
      <c r="K2237" s="471"/>
    </row>
    <row r="2238" spans="1:12">
      <c r="A2238" s="463"/>
      <c r="B2238" s="1481" t="s">
        <v>963</v>
      </c>
      <c r="C2238" s="1482"/>
      <c r="D2238" s="1482"/>
      <c r="E2238" s="1482"/>
      <c r="F2238" s="1482"/>
      <c r="G2238" s="1482"/>
      <c r="H2238" s="1482"/>
      <c r="I2238" s="1483"/>
      <c r="J2238" s="586">
        <f>J2224+J2231</f>
        <v>253.3612593743666</v>
      </c>
      <c r="K2238" s="471"/>
      <c r="L2238">
        <v>253.3612593743666</v>
      </c>
    </row>
    <row r="2239" spans="1:12">
      <c r="A2239" s="463"/>
      <c r="B2239" s="524"/>
      <c r="C2239" s="524"/>
      <c r="D2239" s="524"/>
      <c r="E2239" s="524"/>
      <c r="F2239" s="524"/>
      <c r="G2239" s="524"/>
      <c r="H2239" s="524"/>
      <c r="I2239" s="584"/>
      <c r="J2239" s="524"/>
      <c r="K2239" s="471"/>
    </row>
    <row r="2240" spans="1:12">
      <c r="A2240" s="463"/>
      <c r="B2240" s="602"/>
      <c r="C2240" s="572"/>
      <c r="D2240" s="572"/>
      <c r="E2240" s="572"/>
      <c r="F2240" s="572"/>
      <c r="G2240" s="572"/>
      <c r="H2240" s="572"/>
      <c r="I2240" s="572"/>
      <c r="J2240" s="603"/>
      <c r="K2240" s="471"/>
    </row>
    <row r="2241" spans="1:11">
      <c r="A2241" s="463"/>
      <c r="B2241" s="604"/>
      <c r="C2241" s="605"/>
      <c r="D2241" s="606"/>
      <c r="E2241" s="606"/>
      <c r="F2241" s="607" t="s">
        <v>946</v>
      </c>
      <c r="G2241" s="608" t="s">
        <v>946</v>
      </c>
      <c r="H2241" s="605"/>
      <c r="I2241" s="605"/>
      <c r="J2241" s="609"/>
      <c r="K2241" s="471"/>
    </row>
    <row r="2242" spans="1:11">
      <c r="A2242" s="463"/>
      <c r="B2242" s="472"/>
      <c r="C2242" s="472"/>
      <c r="D2242" s="472"/>
      <c r="E2242" s="472"/>
      <c r="F2242" s="472"/>
      <c r="G2242" s="472"/>
      <c r="H2242" s="472"/>
      <c r="I2242" s="472"/>
      <c r="J2242" s="472"/>
      <c r="K2242" s="471"/>
    </row>
    <row r="2243" spans="1:11">
      <c r="A2243" s="463"/>
      <c r="B2243" s="610" t="str">
        <f>PLANEJAMENTO!F2</f>
        <v>OPERAÇÃO DE SUPRESSÃO E SUMP</v>
      </c>
      <c r="C2243" s="611"/>
      <c r="D2243" s="611"/>
      <c r="E2243" s="611"/>
      <c r="F2243" s="612"/>
      <c r="G2243" s="613" t="s">
        <v>363</v>
      </c>
      <c r="H2243" s="515"/>
      <c r="I2243" s="515"/>
      <c r="J2243" s="518"/>
      <c r="K2243" s="471"/>
    </row>
    <row r="2244" spans="1:11">
      <c r="A2244" s="463"/>
      <c r="B2244" s="614" t="str">
        <f>PLANEJAMENTO!F3</f>
        <v>MARA ROSA</v>
      </c>
      <c r="C2244" s="615"/>
      <c r="D2244" s="615"/>
      <c r="E2244" s="615"/>
      <c r="F2244" s="616"/>
      <c r="G2244" s="1484" t="s">
        <v>964</v>
      </c>
      <c r="H2244" s="1485"/>
      <c r="I2244" s="1485"/>
      <c r="J2244" s="1486"/>
      <c r="K2244" s="471"/>
    </row>
    <row r="2245" spans="1:11">
      <c r="A2245" s="463"/>
      <c r="B2245" s="617"/>
      <c r="C2245" s="618"/>
      <c r="D2245" s="618"/>
      <c r="E2245" s="618"/>
      <c r="F2245" s="619"/>
      <c r="G2245" s="620"/>
      <c r="H2245" s="1487"/>
      <c r="I2245" s="1488"/>
      <c r="J2245" s="1489"/>
      <c r="K2245" s="471"/>
    </row>
    <row r="2246" spans="1:11" ht="15" thickBot="1">
      <c r="A2246" s="621"/>
      <c r="B2246" s="622"/>
      <c r="C2246" s="622"/>
      <c r="D2246" s="622"/>
      <c r="E2246" s="622"/>
      <c r="F2246" s="622"/>
      <c r="G2246" s="622"/>
      <c r="H2246" s="622"/>
      <c r="I2246" s="622"/>
      <c r="J2246" s="622"/>
      <c r="K2246" s="623"/>
    </row>
  </sheetData>
  <mergeCells count="457">
    <mergeCell ref="B2238:I2238"/>
    <mergeCell ref="G2244:J2244"/>
    <mergeCell ref="H2245:J2245"/>
    <mergeCell ref="D1701:I1701"/>
    <mergeCell ref="B1704:C1705"/>
    <mergeCell ref="D1704:D1705"/>
    <mergeCell ref="E1704:E1705"/>
    <mergeCell ref="B1711:E1711"/>
    <mergeCell ref="B1718:E1718"/>
    <mergeCell ref="B1722:F1722"/>
    <mergeCell ref="B1725:I1725"/>
    <mergeCell ref="B1729:F1729"/>
    <mergeCell ref="B1741:I1741"/>
    <mergeCell ref="G1747:J1747"/>
    <mergeCell ref="B1793:I1793"/>
    <mergeCell ref="G1799:J1799"/>
    <mergeCell ref="D1753:I1753"/>
    <mergeCell ref="B1756:C1757"/>
    <mergeCell ref="D1756:D1757"/>
    <mergeCell ref="E1756:E1757"/>
    <mergeCell ref="B1763:E1763"/>
    <mergeCell ref="B1770:E1770"/>
    <mergeCell ref="B1774:F1774"/>
    <mergeCell ref="B1777:I1777"/>
    <mergeCell ref="B2203:E2203"/>
    <mergeCell ref="B2213:E2213"/>
    <mergeCell ref="B2219:F2219"/>
    <mergeCell ref="B2222:I2222"/>
    <mergeCell ref="B2226:F2226"/>
    <mergeCell ref="G229:J229"/>
    <mergeCell ref="H230:J230"/>
    <mergeCell ref="D178:I178"/>
    <mergeCell ref="B181:C182"/>
    <mergeCell ref="D181:D182"/>
    <mergeCell ref="E181:E182"/>
    <mergeCell ref="B190:E190"/>
    <mergeCell ref="B198:E198"/>
    <mergeCell ref="B1781:F1781"/>
    <mergeCell ref="B2180:I2180"/>
    <mergeCell ref="G2186:J2186"/>
    <mergeCell ref="H2187:J2187"/>
    <mergeCell ref="D2192:I2192"/>
    <mergeCell ref="B2195:C2196"/>
    <mergeCell ref="D2195:D2196"/>
    <mergeCell ref="E2195:E2196"/>
    <mergeCell ref="B2148:E2148"/>
    <mergeCell ref="B2156:E2156"/>
    <mergeCell ref="B2161:F2161"/>
    <mergeCell ref="B2164:I2164"/>
    <mergeCell ref="B2168:F2168"/>
    <mergeCell ref="B2125:I2125"/>
    <mergeCell ref="G2131:J2131"/>
    <mergeCell ref="H2132:J2132"/>
    <mergeCell ref="D2137:I2137"/>
    <mergeCell ref="B2140:C2141"/>
    <mergeCell ref="D2140:D2141"/>
    <mergeCell ref="E2140:E2141"/>
    <mergeCell ref="B2092:E2092"/>
    <mergeCell ref="B2101:E2101"/>
    <mergeCell ref="B2106:F2106"/>
    <mergeCell ref="B2109:I2109"/>
    <mergeCell ref="B2113:F2113"/>
    <mergeCell ref="B2069:I2069"/>
    <mergeCell ref="G2075:J2075"/>
    <mergeCell ref="H2076:J2076"/>
    <mergeCell ref="D2081:I2081"/>
    <mergeCell ref="B2084:C2085"/>
    <mergeCell ref="D2084:D2085"/>
    <mergeCell ref="E2084:E2085"/>
    <mergeCell ref="B2036:E2036"/>
    <mergeCell ref="B2044:E2044"/>
    <mergeCell ref="B2050:F2050"/>
    <mergeCell ref="B2053:I2053"/>
    <mergeCell ref="B2057:F2057"/>
    <mergeCell ref="B2014:I2014"/>
    <mergeCell ref="G2020:J2020"/>
    <mergeCell ref="H2021:J2021"/>
    <mergeCell ref="D2026:I2026"/>
    <mergeCell ref="B2029:C2030"/>
    <mergeCell ref="D2029:D2030"/>
    <mergeCell ref="E2029:E2030"/>
    <mergeCell ref="B1981:E1981"/>
    <mergeCell ref="B1989:E1989"/>
    <mergeCell ref="B1995:F1995"/>
    <mergeCell ref="B1998:I1998"/>
    <mergeCell ref="B2002:F2002"/>
    <mergeCell ref="B1959:I1959"/>
    <mergeCell ref="G1965:J1965"/>
    <mergeCell ref="H1966:J1966"/>
    <mergeCell ref="D1971:I1971"/>
    <mergeCell ref="B1974:C1975"/>
    <mergeCell ref="D1974:D1975"/>
    <mergeCell ref="E1974:E1975"/>
    <mergeCell ref="B1928:E1928"/>
    <mergeCell ref="B1935:E1935"/>
    <mergeCell ref="B1940:F1940"/>
    <mergeCell ref="B1943:I1943"/>
    <mergeCell ref="B1947:F1947"/>
    <mergeCell ref="B1906:I1906"/>
    <mergeCell ref="G1912:J1912"/>
    <mergeCell ref="D1918:I1918"/>
    <mergeCell ref="B1921:C1922"/>
    <mergeCell ref="D1921:D1922"/>
    <mergeCell ref="E1921:E1922"/>
    <mergeCell ref="B1872:E1872"/>
    <mergeCell ref="B1880:E1880"/>
    <mergeCell ref="B1886:F1886"/>
    <mergeCell ref="B1889:I1889"/>
    <mergeCell ref="B1893:F1893"/>
    <mergeCell ref="D1805:I1805"/>
    <mergeCell ref="B1808:C1809"/>
    <mergeCell ref="D1808:D1809"/>
    <mergeCell ref="E1808:E1809"/>
    <mergeCell ref="B1849:I1849"/>
    <mergeCell ref="G1855:J1855"/>
    <mergeCell ref="H1856:J1856"/>
    <mergeCell ref="D1861:I1861"/>
    <mergeCell ref="B1864:C1865"/>
    <mergeCell ref="D1864:D1865"/>
    <mergeCell ref="E1864:E1865"/>
    <mergeCell ref="B1816:E1816"/>
    <mergeCell ref="B1824:E1824"/>
    <mergeCell ref="B1829:F1829"/>
    <mergeCell ref="B1832:I1832"/>
    <mergeCell ref="B1836:F1836"/>
    <mergeCell ref="B1602:E1602"/>
    <mergeCell ref="B1610:E1610"/>
    <mergeCell ref="B1634:I1634"/>
    <mergeCell ref="B1615:F1615"/>
    <mergeCell ref="B1618:I1618"/>
    <mergeCell ref="B1622:F1622"/>
    <mergeCell ref="G1640:J1640"/>
    <mergeCell ref="D1646:I1646"/>
    <mergeCell ref="B1649:C1650"/>
    <mergeCell ref="D1649:D1650"/>
    <mergeCell ref="E1649:E1650"/>
    <mergeCell ref="B1579:I1579"/>
    <mergeCell ref="G1585:J1585"/>
    <mergeCell ref="D1591:I1591"/>
    <mergeCell ref="B1594:C1595"/>
    <mergeCell ref="D1594:D1595"/>
    <mergeCell ref="E1594:E1595"/>
    <mergeCell ref="B1547:E1547"/>
    <mergeCell ref="B1555:E1555"/>
    <mergeCell ref="B1560:F1560"/>
    <mergeCell ref="B1563:I1563"/>
    <mergeCell ref="B1567:F1567"/>
    <mergeCell ref="B1524:I1524"/>
    <mergeCell ref="G1530:J1530"/>
    <mergeCell ref="D1536:I1536"/>
    <mergeCell ref="B1539:C1540"/>
    <mergeCell ref="D1539:D1540"/>
    <mergeCell ref="E1539:E1540"/>
    <mergeCell ref="B1492:E1492"/>
    <mergeCell ref="B1500:E1500"/>
    <mergeCell ref="B1505:F1505"/>
    <mergeCell ref="B1508:I1508"/>
    <mergeCell ref="B1512:F1512"/>
    <mergeCell ref="B1469:I1469"/>
    <mergeCell ref="G1475:J1475"/>
    <mergeCell ref="D1481:I1481"/>
    <mergeCell ref="B1484:C1485"/>
    <mergeCell ref="D1484:D1485"/>
    <mergeCell ref="E1484:E1485"/>
    <mergeCell ref="B1437:E1437"/>
    <mergeCell ref="B1445:E1445"/>
    <mergeCell ref="B1450:F1450"/>
    <mergeCell ref="B1453:I1453"/>
    <mergeCell ref="B1457:F1457"/>
    <mergeCell ref="B1382:E1382"/>
    <mergeCell ref="B1414:I1414"/>
    <mergeCell ref="G1420:J1420"/>
    <mergeCell ref="D1426:I1426"/>
    <mergeCell ref="B1429:C1430"/>
    <mergeCell ref="D1429:D1430"/>
    <mergeCell ref="E1429:E1430"/>
    <mergeCell ref="B1390:E1390"/>
    <mergeCell ref="B1395:F1395"/>
    <mergeCell ref="B1398:I1398"/>
    <mergeCell ref="B1402:F1402"/>
    <mergeCell ref="B1374:C1375"/>
    <mergeCell ref="D1374:D1375"/>
    <mergeCell ref="E1374:E1375"/>
    <mergeCell ref="B1272:E1272"/>
    <mergeCell ref="B1280:E1280"/>
    <mergeCell ref="B1285:F1285"/>
    <mergeCell ref="B1288:I1288"/>
    <mergeCell ref="B1292:F1292"/>
    <mergeCell ref="B1327:E1327"/>
    <mergeCell ref="B1335:E1335"/>
    <mergeCell ref="B1340:F1340"/>
    <mergeCell ref="B1343:I1343"/>
    <mergeCell ref="B1347:F1347"/>
    <mergeCell ref="B1359:I1359"/>
    <mergeCell ref="G1365:J1365"/>
    <mergeCell ref="E1264:E1265"/>
    <mergeCell ref="B1217:E1217"/>
    <mergeCell ref="B1225:E1225"/>
    <mergeCell ref="B1230:F1230"/>
    <mergeCell ref="B1233:I1233"/>
    <mergeCell ref="B1237:F1237"/>
    <mergeCell ref="B1304:I1304"/>
    <mergeCell ref="G1310:J1310"/>
    <mergeCell ref="D1371:I1371"/>
    <mergeCell ref="B888:E888"/>
    <mergeCell ref="B894:F894"/>
    <mergeCell ref="B1154:C1155"/>
    <mergeCell ref="D1154:D1155"/>
    <mergeCell ref="E1154:E1155"/>
    <mergeCell ref="B1107:E1107"/>
    <mergeCell ref="B1115:E1115"/>
    <mergeCell ref="B1120:F1120"/>
    <mergeCell ref="B1123:I1123"/>
    <mergeCell ref="B1127:F1127"/>
    <mergeCell ref="B1084:I1084"/>
    <mergeCell ref="G1090:J1090"/>
    <mergeCell ref="D1096:I1096"/>
    <mergeCell ref="B1099:C1100"/>
    <mergeCell ref="D1099:D1100"/>
    <mergeCell ref="E1099:E1100"/>
    <mergeCell ref="B1052:E1052"/>
    <mergeCell ref="B1060:E1060"/>
    <mergeCell ref="B1065:F1065"/>
    <mergeCell ref="B1068:I1068"/>
    <mergeCell ref="B1072:F1072"/>
    <mergeCell ref="B897:I897"/>
    <mergeCell ref="B901:F901"/>
    <mergeCell ref="B913:I913"/>
    <mergeCell ref="B508:I508"/>
    <mergeCell ref="G514:J514"/>
    <mergeCell ref="H515:J515"/>
    <mergeCell ref="D577:I577"/>
    <mergeCell ref="B580:C581"/>
    <mergeCell ref="D580:D581"/>
    <mergeCell ref="E580:E581"/>
    <mergeCell ref="B475:E475"/>
    <mergeCell ref="B483:E483"/>
    <mergeCell ref="B491:F491"/>
    <mergeCell ref="B494:I494"/>
    <mergeCell ref="B498:F498"/>
    <mergeCell ref="D520:I520"/>
    <mergeCell ref="B523:C524"/>
    <mergeCell ref="D523:D524"/>
    <mergeCell ref="E523:E524"/>
    <mergeCell ref="B532:E532"/>
    <mergeCell ref="B540:E540"/>
    <mergeCell ref="B548:F548"/>
    <mergeCell ref="B551:I551"/>
    <mergeCell ref="B555:F555"/>
    <mergeCell ref="B565:I565"/>
    <mergeCell ref="G571:J571"/>
    <mergeCell ref="H572:J572"/>
    <mergeCell ref="D463:I463"/>
    <mergeCell ref="B466:C467"/>
    <mergeCell ref="D466:D467"/>
    <mergeCell ref="E466:E467"/>
    <mergeCell ref="B361:E361"/>
    <mergeCell ref="B369:E369"/>
    <mergeCell ref="B377:F377"/>
    <mergeCell ref="B380:I380"/>
    <mergeCell ref="B384:F384"/>
    <mergeCell ref="B426:E426"/>
    <mergeCell ref="B434:F434"/>
    <mergeCell ref="B437:I437"/>
    <mergeCell ref="B441:F441"/>
    <mergeCell ref="B451:I451"/>
    <mergeCell ref="G457:J457"/>
    <mergeCell ref="H458:J458"/>
    <mergeCell ref="B166:I166"/>
    <mergeCell ref="G172:J172"/>
    <mergeCell ref="H173:J173"/>
    <mergeCell ref="D349:I349"/>
    <mergeCell ref="B352:C353"/>
    <mergeCell ref="D352:D353"/>
    <mergeCell ref="E352:E353"/>
    <mergeCell ref="B206:F206"/>
    <mergeCell ref="B209:I209"/>
    <mergeCell ref="D235:I235"/>
    <mergeCell ref="B238:C239"/>
    <mergeCell ref="D238:D239"/>
    <mergeCell ref="E238:E239"/>
    <mergeCell ref="B247:E247"/>
    <mergeCell ref="B255:E255"/>
    <mergeCell ref="B263:F263"/>
    <mergeCell ref="B266:I266"/>
    <mergeCell ref="B270:F270"/>
    <mergeCell ref="B280:I280"/>
    <mergeCell ref="G286:J286"/>
    <mergeCell ref="H287:J287"/>
    <mergeCell ref="D292:I292"/>
    <mergeCell ref="B213:F213"/>
    <mergeCell ref="B223:I223"/>
    <mergeCell ref="B132:E132"/>
    <mergeCell ref="B141:E141"/>
    <mergeCell ref="B147:F147"/>
    <mergeCell ref="B150:I150"/>
    <mergeCell ref="B154:F154"/>
    <mergeCell ref="B108:I108"/>
    <mergeCell ref="G114:J114"/>
    <mergeCell ref="H115:J115"/>
    <mergeCell ref="D120:I120"/>
    <mergeCell ref="B123:C124"/>
    <mergeCell ref="D123:D124"/>
    <mergeCell ref="E123:E124"/>
    <mergeCell ref="B74:E74"/>
    <mergeCell ref="B82:E82"/>
    <mergeCell ref="B89:F89"/>
    <mergeCell ref="B92:I92"/>
    <mergeCell ref="B96:F96"/>
    <mergeCell ref="G56:J56"/>
    <mergeCell ref="H57:J57"/>
    <mergeCell ref="D62:I62"/>
    <mergeCell ref="B65:C66"/>
    <mergeCell ref="D65:D66"/>
    <mergeCell ref="E65:E66"/>
    <mergeCell ref="B31:F31"/>
    <mergeCell ref="B34:I34"/>
    <mergeCell ref="B38:F38"/>
    <mergeCell ref="B50:I50"/>
    <mergeCell ref="D4:I4"/>
    <mergeCell ref="B7:C8"/>
    <mergeCell ref="D7:D8"/>
    <mergeCell ref="E7:E8"/>
    <mergeCell ref="B16:E16"/>
    <mergeCell ref="B24:E24"/>
    <mergeCell ref="B337:I337"/>
    <mergeCell ref="G343:J343"/>
    <mergeCell ref="H344:J344"/>
    <mergeCell ref="D406:I406"/>
    <mergeCell ref="B409:C410"/>
    <mergeCell ref="D409:D410"/>
    <mergeCell ref="E409:E410"/>
    <mergeCell ref="B418:E418"/>
    <mergeCell ref="B295:C296"/>
    <mergeCell ref="D295:D296"/>
    <mergeCell ref="E295:E296"/>
    <mergeCell ref="B304:E304"/>
    <mergeCell ref="B312:E312"/>
    <mergeCell ref="B320:F320"/>
    <mergeCell ref="B323:I323"/>
    <mergeCell ref="B327:F327"/>
    <mergeCell ref="B394:I394"/>
    <mergeCell ref="G400:J400"/>
    <mergeCell ref="H401:J401"/>
    <mergeCell ref="D751:I751"/>
    <mergeCell ref="B754:C755"/>
    <mergeCell ref="D754:D755"/>
    <mergeCell ref="E754:E755"/>
    <mergeCell ref="B762:E762"/>
    <mergeCell ref="B771:E771"/>
    <mergeCell ref="B778:F778"/>
    <mergeCell ref="B623:I623"/>
    <mergeCell ref="G629:J629"/>
    <mergeCell ref="D693:I693"/>
    <mergeCell ref="B696:C697"/>
    <mergeCell ref="D696:D697"/>
    <mergeCell ref="E696:E697"/>
    <mergeCell ref="B588:E588"/>
    <mergeCell ref="B597:E597"/>
    <mergeCell ref="B604:F604"/>
    <mergeCell ref="B607:I607"/>
    <mergeCell ref="B611:F611"/>
    <mergeCell ref="B739:I739"/>
    <mergeCell ref="G745:J745"/>
    <mergeCell ref="B705:E705"/>
    <mergeCell ref="B714:E714"/>
    <mergeCell ref="D635:I635"/>
    <mergeCell ref="B638:C639"/>
    <mergeCell ref="D638:D639"/>
    <mergeCell ref="E638:E639"/>
    <mergeCell ref="B646:E646"/>
    <mergeCell ref="B655:E655"/>
    <mergeCell ref="B662:F662"/>
    <mergeCell ref="B665:I665"/>
    <mergeCell ref="B669:F669"/>
    <mergeCell ref="B681:I681"/>
    <mergeCell ref="G687:J687"/>
    <mergeCell ref="B720:F720"/>
    <mergeCell ref="B723:I723"/>
    <mergeCell ref="B727:F727"/>
    <mergeCell ref="B781:I781"/>
    <mergeCell ref="B785:F785"/>
    <mergeCell ref="B797:I797"/>
    <mergeCell ref="G803:J803"/>
    <mergeCell ref="D867:I867"/>
    <mergeCell ref="B870:C871"/>
    <mergeCell ref="D870:D871"/>
    <mergeCell ref="E870:E871"/>
    <mergeCell ref="B879:E879"/>
    <mergeCell ref="D809:I809"/>
    <mergeCell ref="B812:C813"/>
    <mergeCell ref="D812:D813"/>
    <mergeCell ref="E812:E813"/>
    <mergeCell ref="B821:E821"/>
    <mergeCell ref="B830:E830"/>
    <mergeCell ref="B836:F836"/>
    <mergeCell ref="B839:I839"/>
    <mergeCell ref="B843:F843"/>
    <mergeCell ref="B855:I855"/>
    <mergeCell ref="G861:J861"/>
    <mergeCell ref="G919:J919"/>
    <mergeCell ref="D925:I925"/>
    <mergeCell ref="B928:C929"/>
    <mergeCell ref="D928:D929"/>
    <mergeCell ref="E928:E929"/>
    <mergeCell ref="B936:E936"/>
    <mergeCell ref="B945:E945"/>
    <mergeCell ref="B952:F952"/>
    <mergeCell ref="B955:I955"/>
    <mergeCell ref="B959:F959"/>
    <mergeCell ref="B971:I971"/>
    <mergeCell ref="G977:J977"/>
    <mergeCell ref="D983:I983"/>
    <mergeCell ref="B986:C987"/>
    <mergeCell ref="D986:D987"/>
    <mergeCell ref="E986:E987"/>
    <mergeCell ref="B995:E995"/>
    <mergeCell ref="B1657:E1657"/>
    <mergeCell ref="B1194:I1194"/>
    <mergeCell ref="D1151:I1151"/>
    <mergeCell ref="G1200:J1200"/>
    <mergeCell ref="D1206:I1206"/>
    <mergeCell ref="B1209:C1210"/>
    <mergeCell ref="D1209:D1210"/>
    <mergeCell ref="E1209:E1210"/>
    <mergeCell ref="B1162:E1162"/>
    <mergeCell ref="B1170:E1170"/>
    <mergeCell ref="B1175:F1175"/>
    <mergeCell ref="B1178:I1178"/>
    <mergeCell ref="B1182:F1182"/>
    <mergeCell ref="B1249:I1249"/>
    <mergeCell ref="G1255:J1255"/>
    <mergeCell ref="D1261:I1261"/>
    <mergeCell ref="B1665:E1665"/>
    <mergeCell ref="B1670:F1670"/>
    <mergeCell ref="B1673:I1673"/>
    <mergeCell ref="B1677:F1677"/>
    <mergeCell ref="B1689:I1689"/>
    <mergeCell ref="G1695:J1695"/>
    <mergeCell ref="B1004:E1004"/>
    <mergeCell ref="B1010:F1010"/>
    <mergeCell ref="B1013:I1013"/>
    <mergeCell ref="B1017:F1017"/>
    <mergeCell ref="B1029:I1029"/>
    <mergeCell ref="G1035:J1035"/>
    <mergeCell ref="D1316:I1316"/>
    <mergeCell ref="B1319:C1320"/>
    <mergeCell ref="D1319:D1320"/>
    <mergeCell ref="E1319:E1320"/>
    <mergeCell ref="D1041:I1041"/>
    <mergeCell ref="B1044:C1045"/>
    <mergeCell ref="D1044:D1045"/>
    <mergeCell ref="E1044:E1045"/>
    <mergeCell ref="B1139:I1139"/>
    <mergeCell ref="G1145:J1145"/>
    <mergeCell ref="B1264:C1265"/>
    <mergeCell ref="D1264:D1265"/>
  </mergeCells>
  <pageMargins left="0.511811024" right="0.511811024" top="0.78740157499999996" bottom="0.78740157499999996" header="0.31496062000000002" footer="0.31496062000000002"/>
  <pageSetup paperSize="9" scale="57" orientation="portrait" r:id="rId1"/>
  <rowBreaks count="39" manualBreakCount="39">
    <brk id="58" max="10" man="1"/>
    <brk id="116" max="10" man="1"/>
    <brk id="174" max="10" man="1"/>
    <brk id="231" max="10" man="1"/>
    <brk id="288" max="10" man="1"/>
    <brk id="345" max="10" man="1"/>
    <brk id="402" max="10" man="1"/>
    <brk id="459" max="10" man="1"/>
    <brk id="516" max="10" man="1"/>
    <brk id="573" max="10" man="1"/>
    <brk id="631" max="10" man="1"/>
    <brk id="689" max="10" man="1"/>
    <brk id="747" max="10" man="1"/>
    <brk id="805" max="10" man="1"/>
    <brk id="863" max="10" man="1"/>
    <brk id="921" max="10" man="1"/>
    <brk id="979" max="10" man="1"/>
    <brk id="1037" max="10" man="1"/>
    <brk id="1092" max="10" man="1"/>
    <brk id="1147" max="10" man="1"/>
    <brk id="1202" max="10" man="1"/>
    <brk id="1257" max="10" man="1"/>
    <brk id="1312" max="10" man="1"/>
    <brk id="1367" max="10" man="1"/>
    <brk id="1422" max="10" man="1"/>
    <brk id="1477" max="10" man="1"/>
    <brk id="1532" max="10" man="1"/>
    <brk id="1587" max="10" man="1"/>
    <brk id="1642" max="10" man="1"/>
    <brk id="1697" max="10" man="1"/>
    <brk id="1749" max="10" man="1"/>
    <brk id="1801" max="10" man="1"/>
    <brk id="1857" max="10" man="1"/>
    <brk id="1914" max="10" man="1"/>
    <brk id="1967" max="10" man="1"/>
    <brk id="2022" max="10" man="1"/>
    <brk id="2077" max="10" man="1"/>
    <brk id="2133" max="10" man="1"/>
    <brk id="2188" max="10" man="1"/>
  </rowBreak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47CAB-2F78-427C-BFEB-786FCAEFB96E}">
  <sheetPr codeName="Planilha29">
    <tabColor theme="7" tint="0.39997558519241921"/>
  </sheetPr>
  <dimension ref="A1:R504"/>
  <sheetViews>
    <sheetView showGridLines="0" zoomScale="90" zoomScaleNormal="90" workbookViewId="0">
      <pane ySplit="2" topLeftCell="A3" activePane="bottomLeft" state="frozen"/>
      <selection activeCell="M34" sqref="M34:O34"/>
      <selection pane="bottomLeft" activeCell="M3" sqref="M3"/>
    </sheetView>
  </sheetViews>
  <sheetFormatPr defaultRowHeight="14.4"/>
  <cols>
    <col min="1" max="1" width="53.44140625" bestFit="1" customWidth="1"/>
    <col min="3" max="3" width="8.44140625" style="183" bestFit="1" customWidth="1"/>
    <col min="4" max="4" width="15.44140625" bestFit="1" customWidth="1"/>
    <col min="5" max="5" width="23.33203125" bestFit="1" customWidth="1"/>
    <col min="6" max="6" width="13.6640625" hidden="1" customWidth="1"/>
    <col min="7" max="7" width="15.109375" hidden="1" customWidth="1"/>
    <col min="10" max="10" width="5.109375" customWidth="1"/>
    <col min="11" max="11" width="12.6640625" customWidth="1"/>
    <col min="12" max="12" width="34.33203125" customWidth="1"/>
    <col min="13" max="13" width="14.6640625" customWidth="1"/>
    <col min="14" max="14" width="15.44140625" customWidth="1"/>
    <col min="15" max="15" width="27.109375" customWidth="1"/>
    <col min="16" max="16" width="3.5546875" customWidth="1"/>
    <col min="17" max="17" width="20.88671875" customWidth="1"/>
    <col min="18" max="18" width="5" customWidth="1"/>
  </cols>
  <sheetData>
    <row r="1" spans="1:18" ht="36" customHeight="1">
      <c r="K1" s="720" t="s">
        <v>1107</v>
      </c>
      <c r="Q1" s="998" t="s">
        <v>1432</v>
      </c>
    </row>
    <row r="2" spans="1:18" ht="42.75" customHeight="1">
      <c r="A2" s="207" t="s">
        <v>462</v>
      </c>
      <c r="B2" s="207" t="s">
        <v>463</v>
      </c>
      <c r="C2" s="207" t="s">
        <v>114</v>
      </c>
      <c r="D2" s="207" t="s">
        <v>464</v>
      </c>
      <c r="E2" s="207" t="s">
        <v>465</v>
      </c>
      <c r="F2" s="374" t="s">
        <v>466</v>
      </c>
      <c r="G2" s="374" t="s">
        <v>467</v>
      </c>
      <c r="K2" s="717">
        <v>1</v>
      </c>
      <c r="L2" s="718" t="s">
        <v>468</v>
      </c>
      <c r="M2" s="718" t="s">
        <v>469</v>
      </c>
      <c r="N2" s="718" t="s">
        <v>470</v>
      </c>
      <c r="O2" s="719" t="s">
        <v>471</v>
      </c>
      <c r="Q2">
        <v>220</v>
      </c>
      <c r="R2">
        <v>2.0099999999999998</v>
      </c>
    </row>
    <row r="3" spans="1:18">
      <c r="A3" t="s">
        <v>472</v>
      </c>
      <c r="B3" t="s">
        <v>473</v>
      </c>
      <c r="C3" s="183" t="s">
        <v>474</v>
      </c>
      <c r="D3" s="236">
        <f>M3</f>
        <v>1962.6</v>
      </c>
      <c r="E3" s="236">
        <f t="shared" ref="E3:E33" si="0">IF($C3="h",$D3+($D3*HORISTA),IF($C3="mês",$D3+($D3*MENSALISTA),D3))</f>
        <v>4042.9560000000001</v>
      </c>
      <c r="F3" s="458" t="e">
        <f>SUMIF(EQUIPE!$B$1:$B$135,$B3,EQUIPE!$G$1:$G$135)+SUMIF(#REF!,$B3,#REF!)+SUMIF(#REF!,$B3,#REF!)+SUMIF(DRE!$B$1:$B$405,$B3,DRE!$G$1:$G$405)+SUMIF(AGUA!$B$1:$B$489,$B3,AGUA!$G$1:$G$489)</f>
        <v>#REF!</v>
      </c>
      <c r="G3" s="458">
        <f>SUMIF(ADM!$B$1:$B$496,$B3,ADM!$G$1:$G$496)+SUMIF(TOP!$B$1:$B$484,$B3,TOP!$G$1:$G$484)+SUMIF(LAB!$B$1:$B$487,$B3,LAB!$G$1:$G$487)+SUMIF(QSMS!$B$1:$B$479,$B3,QSMS!$G$1:$G$479)+SUMIF(MEC!$B$1:$B$500,$B3,MEC!$G$1:$G$500)</f>
        <v>2</v>
      </c>
      <c r="L3" s="996" t="s">
        <v>472</v>
      </c>
      <c r="M3" s="404">
        <f>1962.6*K2</f>
        <v>1962.6</v>
      </c>
      <c r="N3" s="404">
        <f>M3/$Q$2</f>
        <v>8.92090909090909</v>
      </c>
      <c r="O3" s="404">
        <f>(M3*$R$2)/$Q$2</f>
        <v>17.93102727272727</v>
      </c>
      <c r="R3" s="38"/>
    </row>
    <row r="4" spans="1:18">
      <c r="A4" t="s">
        <v>475</v>
      </c>
      <c r="B4" t="s">
        <v>476</v>
      </c>
      <c r="C4" s="183" t="s">
        <v>474</v>
      </c>
      <c r="D4" s="236">
        <f>M4</f>
        <v>1720.4</v>
      </c>
      <c r="E4" s="236">
        <f>IF($C4="h",$D4+($D4*HORISTA),IF($C4="mês",$D4+($D4*MENSALISTA),D4))</f>
        <v>3544.0240000000003</v>
      </c>
      <c r="F4" s="458" t="e">
        <f>SUMIF(EQUIPE!$B$1:$B$135,$B4,EQUIPE!$G$1:$G$135)+SUMIF(#REF!,$B4,#REF!)+SUMIF(#REF!,$B4,#REF!)+SUMIF(DRE!$B$1:$B$405,$B4,DRE!$G$1:$G$405)+SUMIF(AGUA!$B$1:$B$489,$B4,AGUA!$G$1:$G$489)</f>
        <v>#REF!</v>
      </c>
      <c r="G4" s="458">
        <f>SUMIF(ADM!$B$1:$B$496,$B4,ADM!$G$1:$G$496)+SUMIF(TOP!$B$1:$B$484,$B4,TOP!$G$1:$G$484)+SUMIF(LAB!$B$1:$B$487,$B4,LAB!$G$1:$G$487)+SUMIF(QSMS!$B$1:$B$479,$B4,QSMS!$G$1:$G$479)+SUMIF(MEC!$B$1:$B$500,$B4,MEC!$G$1:$G$500)</f>
        <v>0</v>
      </c>
      <c r="L4" s="954" t="s">
        <v>475</v>
      </c>
      <c r="M4" s="404">
        <f>1720.4*K2</f>
        <v>1720.4</v>
      </c>
      <c r="N4" s="404">
        <f>M4/$Q$2</f>
        <v>7.82</v>
      </c>
      <c r="O4" s="404">
        <f>(M4*$R$2)/$Q$2</f>
        <v>15.7182</v>
      </c>
      <c r="R4" s="38"/>
    </row>
    <row r="5" spans="1:18">
      <c r="A5" t="s">
        <v>477</v>
      </c>
      <c r="B5" t="s">
        <v>478</v>
      </c>
      <c r="C5" s="183" t="s">
        <v>474</v>
      </c>
      <c r="D5" s="236">
        <f>M5</f>
        <v>2305.6</v>
      </c>
      <c r="E5" s="236">
        <f t="shared" si="0"/>
        <v>4749.5360000000001</v>
      </c>
      <c r="F5" s="458" t="e">
        <f>SUMIF(EQUIPE!$B$1:$B$135,$B5,EQUIPE!$G$1:$G$135)+SUMIF(#REF!,$B5,#REF!)+SUMIF(#REF!,$B5,#REF!)+SUMIF(DRE!$B$1:$B$405,$B5,DRE!$G$1:$G$405)+SUMIF(AGUA!$B$1:$B$489,$B5,AGUA!$G$1:$G$489)</f>
        <v>#REF!</v>
      </c>
      <c r="G5" s="458">
        <f>SUMIF(ADM!$B$1:$B$496,$B5,ADM!$G$1:$G$496)+SUMIF(TOP!$B$1:$B$484,$B5,TOP!$G$1:$G$484)+SUMIF(LAB!$B$1:$B$487,$B5,LAB!$G$1:$G$487)+SUMIF(QSMS!$B$1:$B$479,$B5,QSMS!$G$1:$G$479)+SUMIF(MEC!$B$1:$B$500,$B5,MEC!$G$1:$G$500)</f>
        <v>0</v>
      </c>
      <c r="L5" s="996" t="s">
        <v>477</v>
      </c>
      <c r="M5" s="404">
        <f>2305.6*K2</f>
        <v>2305.6</v>
      </c>
      <c r="N5" s="404">
        <f t="shared" ref="N5:N13" si="1">M5/$Q$2</f>
        <v>10.48</v>
      </c>
      <c r="O5" s="404">
        <f t="shared" ref="O5:O13" si="2">(M5*$R$2)/$Q$2</f>
        <v>21.064799999999998</v>
      </c>
    </row>
    <row r="6" spans="1:18">
      <c r="A6" t="s">
        <v>1162</v>
      </c>
      <c r="B6" t="s">
        <v>480</v>
      </c>
      <c r="C6" s="183" t="s">
        <v>474</v>
      </c>
      <c r="D6" s="236">
        <f>M15</f>
        <v>3300</v>
      </c>
      <c r="E6" s="236">
        <f t="shared" si="0"/>
        <v>6798</v>
      </c>
      <c r="F6" s="458" t="e">
        <f>SUMIF(EQUIPE!$B$1:$B$135,$B6,EQUIPE!$G$1:$G$135)+SUMIF(#REF!,$B6,#REF!)+SUMIF(#REF!,$B6,#REF!)+SUMIF(DRE!$B$1:$B$405,$B6,DRE!$G$1:$G$405)+SUMIF(AGUA!$B$1:$B$489,$B6,AGUA!$G$1:$G$489)</f>
        <v>#REF!</v>
      </c>
      <c r="G6" s="458">
        <f>SUMIF(ADM!$B$1:$B$496,$B6,ADM!$G$1:$G$496)+SUMIF(TOP!$B$1:$B$484,$B6,TOP!$G$1:$G$484)+SUMIF(LAB!$B$1:$B$487,$B6,LAB!$G$1:$G$487)+SUMIF(QSMS!$B$1:$B$479,$B6,QSMS!$G$1:$G$479)+SUMIF(MEC!$B$1:$B$500,$B6,MEC!$G$1:$G$500)</f>
        <v>0</v>
      </c>
      <c r="L6" s="996" t="s">
        <v>481</v>
      </c>
      <c r="M6" s="404">
        <f>2305.6*K2</f>
        <v>2305.6</v>
      </c>
      <c r="N6" s="404">
        <f t="shared" si="1"/>
        <v>10.48</v>
      </c>
      <c r="O6" s="404">
        <f t="shared" si="2"/>
        <v>21.064799999999998</v>
      </c>
    </row>
    <row r="7" spans="1:18">
      <c r="A7" t="s">
        <v>481</v>
      </c>
      <c r="B7" t="s">
        <v>482</v>
      </c>
      <c r="C7" s="183" t="s">
        <v>474</v>
      </c>
      <c r="D7" s="236">
        <f>M6</f>
        <v>2305.6</v>
      </c>
      <c r="E7" s="236">
        <f t="shared" si="0"/>
        <v>4749.5360000000001</v>
      </c>
      <c r="F7" s="458" t="e">
        <f>SUMIF(EQUIPE!$B$1:$B$135,$B7,EQUIPE!$G$1:$G$135)+SUMIF(#REF!,$B7,#REF!)+SUMIF(#REF!,$B7,#REF!)+SUMIF(DRE!$B$1:$B$405,$B7,DRE!$G$1:$G$405)+SUMIF(AGUA!$B$1:$B$489,$B7,AGUA!$G$1:$G$489)</f>
        <v>#REF!</v>
      </c>
      <c r="G7" s="458">
        <f>SUMIF(ADM!$B$1:$B$496,$B7,ADM!$G$1:$G$496)+SUMIF(TOP!$B$1:$B$484,$B7,TOP!$G$1:$G$484)+SUMIF(LAB!$B$1:$B$487,$B7,LAB!$G$1:$G$487)+SUMIF(QSMS!$B$1:$B$479,$B7,QSMS!$G$1:$G$479)+SUMIF(MEC!$B$1:$B$500,$B7,MEC!$G$1:$G$500)</f>
        <v>0</v>
      </c>
      <c r="L7" s="954" t="s">
        <v>483</v>
      </c>
      <c r="M7" s="404">
        <f>2798.4*K2</f>
        <v>2798.4</v>
      </c>
      <c r="N7" s="404">
        <f t="shared" si="1"/>
        <v>12.72</v>
      </c>
      <c r="O7" s="404">
        <f t="shared" si="2"/>
        <v>25.5672</v>
      </c>
    </row>
    <row r="8" spans="1:18">
      <c r="A8" t="s">
        <v>484</v>
      </c>
      <c r="B8" t="s">
        <v>485</v>
      </c>
      <c r="C8" s="183" t="s">
        <v>474</v>
      </c>
      <c r="D8" s="236">
        <f>M7</f>
        <v>2798.4</v>
      </c>
      <c r="E8" s="236">
        <f t="shared" si="0"/>
        <v>5764.7039999999997</v>
      </c>
      <c r="F8" s="458" t="e">
        <f>SUMIF(EQUIPE!$B$1:$B$135,$B8,EQUIPE!$G$1:$G$135)+SUMIF(#REF!,$B8,#REF!)+SUMIF(#REF!,$B8,#REF!)+SUMIF(DRE!$B$1:$B$405,$B8,DRE!$G$1:$G$405)+SUMIF(AGUA!$B$1:$B$489,$B8,AGUA!$G$1:$G$489)</f>
        <v>#REF!</v>
      </c>
      <c r="G8" s="458">
        <f>SUMIF(ADM!$B$1:$B$496,$B8,ADM!$G$1:$G$496)+SUMIF(TOP!$B$1:$B$484,$B8,TOP!$G$1:$G$484)+SUMIF(LAB!$B$1:$B$487,$B8,LAB!$G$1:$G$487)+SUMIF(QSMS!$B$1:$B$479,$B8,QSMS!$G$1:$G$479)+SUMIF(MEC!$B$1:$B$500,$B8,MEC!$G$1:$G$500)</f>
        <v>0</v>
      </c>
      <c r="L8" s="996" t="s">
        <v>486</v>
      </c>
      <c r="M8" s="404">
        <f>1674.2*K2</f>
        <v>1674.2</v>
      </c>
      <c r="N8" s="404">
        <f t="shared" si="1"/>
        <v>7.61</v>
      </c>
      <c r="O8" s="404">
        <f t="shared" si="2"/>
        <v>15.296099999999999</v>
      </c>
    </row>
    <row r="9" spans="1:18">
      <c r="A9" t="s">
        <v>487</v>
      </c>
      <c r="B9" t="s">
        <v>488</v>
      </c>
      <c r="C9" s="183" t="s">
        <v>474</v>
      </c>
      <c r="D9" s="236">
        <f>M8</f>
        <v>1674.2</v>
      </c>
      <c r="E9" s="236">
        <f t="shared" si="0"/>
        <v>3448.8519999999999</v>
      </c>
      <c r="F9" s="458" t="e">
        <f>SUMIF(EQUIPE!$B$1:$B$135,$B9,EQUIPE!$G$1:$G$135)+SUMIF(#REF!,$B9,#REF!)+SUMIF(#REF!,$B9,#REF!)+SUMIF(DRE!$B$1:$B$405,$B9,DRE!$G$1:$G$405)+SUMIF(AGUA!$B$1:$B$489,$B9,AGUA!$G$1:$G$489)</f>
        <v>#REF!</v>
      </c>
      <c r="G9" s="458">
        <f>SUMIF(ADM!$B$1:$B$496,$B9,ADM!$G$1:$G$496)+SUMIF(TOP!$B$1:$B$484,$B9,TOP!$G$1:$G$484)+SUMIF(LAB!$B$1:$B$487,$B9,LAB!$G$1:$G$487)+SUMIF(QSMS!$B$1:$B$479,$B9,QSMS!$G$1:$G$479)+SUMIF(MEC!$B$1:$B$500,$B9,MEC!$G$1:$G$500)</f>
        <v>0</v>
      </c>
      <c r="L9" s="996" t="s">
        <v>489</v>
      </c>
      <c r="M9" s="404">
        <f>1674.2*K2</f>
        <v>1674.2</v>
      </c>
      <c r="N9" s="404">
        <f t="shared" si="1"/>
        <v>7.61</v>
      </c>
      <c r="O9" s="404">
        <f t="shared" si="2"/>
        <v>15.296099999999999</v>
      </c>
    </row>
    <row r="10" spans="1:18">
      <c r="A10" t="s">
        <v>490</v>
      </c>
      <c r="B10" t="s">
        <v>491</v>
      </c>
      <c r="C10" s="183" t="s">
        <v>474</v>
      </c>
      <c r="D10" s="236">
        <f>M9</f>
        <v>1674.2</v>
      </c>
      <c r="E10" s="236">
        <f t="shared" si="0"/>
        <v>3448.8519999999999</v>
      </c>
      <c r="F10" s="458" t="e">
        <f>SUMIF(EQUIPE!$B$1:$B$135,$B10,EQUIPE!$G$1:$G$135)+SUMIF(#REF!,$B10,#REF!)+SUMIF(#REF!,$B10,#REF!)+SUMIF(DRE!$B$1:$B$405,$B10,DRE!$G$1:$G$405)+SUMIF(AGUA!$B$1:$B$489,$B10,AGUA!$G$1:$G$489)</f>
        <v>#REF!</v>
      </c>
      <c r="G10" s="458">
        <f>SUMIF(ADM!$B$1:$B$496,$B10,ADM!$G$1:$G$496)+SUMIF(TOP!$B$1:$B$484,$B10,TOP!$G$1:$G$484)+SUMIF(LAB!$B$1:$B$487,$B10,LAB!$G$1:$G$487)+SUMIF(QSMS!$B$1:$B$479,$B10,QSMS!$G$1:$G$479)+SUMIF(MEC!$B$1:$B$500,$B10,MEC!$G$1:$G$500)</f>
        <v>0</v>
      </c>
      <c r="L10" s="996" t="s">
        <v>492</v>
      </c>
      <c r="M10" s="404">
        <f>2805.6*K2</f>
        <v>2805.6</v>
      </c>
      <c r="N10" s="404">
        <f t="shared" si="1"/>
        <v>12.752727272727272</v>
      </c>
      <c r="O10" s="404">
        <f t="shared" si="2"/>
        <v>25.632981818181815</v>
      </c>
    </row>
    <row r="11" spans="1:18">
      <c r="A11" t="s">
        <v>433</v>
      </c>
      <c r="B11" t="s">
        <v>493</v>
      </c>
      <c r="C11" s="183" t="s">
        <v>474</v>
      </c>
      <c r="D11" s="236">
        <f>M11</f>
        <v>1674.2</v>
      </c>
      <c r="E11" s="236">
        <f t="shared" si="0"/>
        <v>3448.8519999999999</v>
      </c>
      <c r="F11" s="458" t="e">
        <f>SUMIF(EQUIPE!$B$1:$B$135,$B11,EQUIPE!$G$1:$G$135)+SUMIF(#REF!,$B11,#REF!)+SUMIF(#REF!,$B11,#REF!)+SUMIF(DRE!$B$1:$B$405,$B11,DRE!$G$1:$G$405)+SUMIF(AGUA!$B$1:$B$489,$B11,AGUA!$G$1:$G$489)</f>
        <v>#REF!</v>
      </c>
      <c r="G11" s="458">
        <f>SUMIF(ADM!$B$1:$B$496,$B11,ADM!$G$1:$G$496)+SUMIF(TOP!$B$1:$B$484,$B11,TOP!$G$1:$G$484)+SUMIF(LAB!$B$1:$B$487,$B11,LAB!$G$1:$G$487)+SUMIF(QSMS!$B$1:$B$479,$B11,QSMS!$G$1:$G$479)+SUMIF(MEC!$B$1:$B$500,$B11,MEC!$G$1:$G$500)</f>
        <v>0</v>
      </c>
      <c r="L11" s="996" t="s">
        <v>494</v>
      </c>
      <c r="M11" s="404">
        <f>1674.2*K2</f>
        <v>1674.2</v>
      </c>
      <c r="N11" s="404">
        <f t="shared" si="1"/>
        <v>7.61</v>
      </c>
      <c r="O11" s="404">
        <f t="shared" si="2"/>
        <v>15.296099999999999</v>
      </c>
    </row>
    <row r="12" spans="1:18">
      <c r="A12" t="s">
        <v>430</v>
      </c>
      <c r="B12" t="s">
        <v>495</v>
      </c>
      <c r="C12" s="183" t="s">
        <v>474</v>
      </c>
      <c r="D12" s="236">
        <f>M10</f>
        <v>2805.6</v>
      </c>
      <c r="E12" s="236">
        <f t="shared" si="0"/>
        <v>5779.5360000000001</v>
      </c>
      <c r="F12" s="458" t="e">
        <f>SUMIF(EQUIPE!$B$1:$B$135,$B12,EQUIPE!$G$1:$G$135)+SUMIF(#REF!,$B12,#REF!)+SUMIF(#REF!,$B12,#REF!)+SUMIF(DRE!$B$1:$B$405,$B12,DRE!$G$1:$G$405)+SUMIF(AGUA!$B$1:$B$489,$B12,AGUA!$G$1:$G$489)</f>
        <v>#REF!</v>
      </c>
      <c r="G12" s="458">
        <f>SUMIF(ADM!$B$1:$B$496,$B12,ADM!$G$1:$G$496)+SUMIF(TOP!$B$1:$B$484,$B12,TOP!$G$1:$G$484)+SUMIF(LAB!$B$1:$B$487,$B12,LAB!$G$1:$G$487)+SUMIF(QSMS!$B$1:$B$479,$B12,QSMS!$G$1:$G$479)+SUMIF(MEC!$B$1:$B$500,$B12,MEC!$G$1:$G$500)</f>
        <v>1</v>
      </c>
      <c r="L12" s="403" t="s">
        <v>496</v>
      </c>
      <c r="M12" s="404">
        <f>1548.8*K2</f>
        <v>1548.8</v>
      </c>
      <c r="N12" s="404">
        <f t="shared" si="1"/>
        <v>7.04</v>
      </c>
      <c r="O12" s="404">
        <f t="shared" si="2"/>
        <v>14.150399999999999</v>
      </c>
    </row>
    <row r="13" spans="1:18">
      <c r="A13" t="s">
        <v>497</v>
      </c>
      <c r="B13" t="s">
        <v>498</v>
      </c>
      <c r="C13" s="183" t="s">
        <v>474</v>
      </c>
      <c r="D13" s="236">
        <f>M12</f>
        <v>1548.8</v>
      </c>
      <c r="E13" s="236">
        <f t="shared" si="0"/>
        <v>3190.5280000000002</v>
      </c>
      <c r="F13" s="458" t="e">
        <f>SUMIF(EQUIPE!$B$1:$B$135,$B13,EQUIPE!$G$1:$G$135)+SUMIF(#REF!,$B13,#REF!)+SUMIF(#REF!,$B13,#REF!)+SUMIF(DRE!$B$1:$B$405,$B13,DRE!$G$1:$G$405)+SUMIF(AGUA!$B$1:$B$489,$B13,AGUA!$G$1:$G$489)</f>
        <v>#REF!</v>
      </c>
      <c r="G13" s="458">
        <f>SUMIF(ADM!$B$1:$B$496,$B13,ADM!$G$1:$G$496)+SUMIF(TOP!$B$1:$B$484,$B13,TOP!$G$1:$G$484)+SUMIF(LAB!$B$1:$B$487,$B13,LAB!$G$1:$G$487)+SUMIF(QSMS!$B$1:$B$479,$B13,QSMS!$G$1:$G$479)+SUMIF(MEC!$B$1:$B$500,$B13,MEC!$G$1:$G$500)</f>
        <v>1</v>
      </c>
      <c r="L13" s="403" t="s">
        <v>499</v>
      </c>
      <c r="M13" s="404">
        <f>1548.8*K2</f>
        <v>1548.8</v>
      </c>
      <c r="N13" s="404">
        <f t="shared" si="1"/>
        <v>7.04</v>
      </c>
      <c r="O13" s="404">
        <f t="shared" si="2"/>
        <v>14.150399999999999</v>
      </c>
    </row>
    <row r="14" spans="1:18">
      <c r="A14" t="s">
        <v>500</v>
      </c>
      <c r="B14" t="s">
        <v>501</v>
      </c>
      <c r="C14" s="183" t="s">
        <v>474</v>
      </c>
      <c r="D14" s="236">
        <f>M13</f>
        <v>1548.8</v>
      </c>
      <c r="E14" s="236">
        <f t="shared" si="0"/>
        <v>3190.5280000000002</v>
      </c>
      <c r="F14" s="458" t="e">
        <f>SUMIF(EQUIPE!$B$1:$B$135,$B14,EQUIPE!$G$1:$G$135)+SUMIF(#REF!,$B14,#REF!)+SUMIF(#REF!,$B14,#REF!)+SUMIF(DRE!$B$1:$B$405,$B14,DRE!$G$1:$G$405)+SUMIF(AGUA!$B$1:$B$489,$B14,AGUA!$G$1:$G$489)</f>
        <v>#REF!</v>
      </c>
      <c r="G14" s="458">
        <f>SUMIF(ADM!$B$1:$B$496,$B14,ADM!$G$1:$G$496)+SUMIF(TOP!$B$1:$B$484,$B14,TOP!$G$1:$G$484)+SUMIF(LAB!$B$1:$B$487,$B14,LAB!$G$1:$G$487)+SUMIF(QSMS!$B$1:$B$479,$B14,QSMS!$G$1:$G$479)+SUMIF(MEC!$B$1:$B$500,$B14,MEC!$G$1:$G$500)</f>
        <v>0</v>
      </c>
      <c r="L14" s="403" t="s">
        <v>502</v>
      </c>
      <c r="M14" s="404">
        <v>8000</v>
      </c>
      <c r="N14" s="404"/>
      <c r="O14" s="404"/>
      <c r="P14" s="39" t="s">
        <v>402</v>
      </c>
    </row>
    <row r="15" spans="1:18">
      <c r="A15" t="s">
        <v>502</v>
      </c>
      <c r="B15" t="s">
        <v>503</v>
      </c>
      <c r="C15" s="183" t="s">
        <v>504</v>
      </c>
      <c r="D15" s="236">
        <f>M14</f>
        <v>8000</v>
      </c>
      <c r="E15" s="236">
        <f t="shared" si="0"/>
        <v>8000</v>
      </c>
      <c r="F15" s="458" t="e">
        <f>SUMIF(EQUIPE!$B$1:$B$135,$B15,EQUIPE!$G$1:$G$135)+SUMIF(#REF!,$B15,#REF!)+SUMIF(#REF!,$B15,#REF!)+SUMIF(DRE!$B$1:$B$405,$B15,DRE!$G$1:$G$405)+SUMIF(AGUA!$B$1:$B$489,$B15,AGUA!$G$1:$G$489)</f>
        <v>#REF!</v>
      </c>
      <c r="G15" s="458">
        <f>SUMIF(ADM!$B$1:$B$496,$B15,ADM!$G$1:$G$496)+SUMIF(TOP!$B$1:$B$484,$B15,TOP!$G$1:$G$484)+SUMIF(LAB!$B$1:$B$487,$B15,LAB!$G$1:$G$487)+SUMIF(QSMS!$B$1:$B$479,$B15,QSMS!$G$1:$G$479)+SUMIF(MEC!$B$1:$B$500,$B15,MEC!$G$1:$G$500)</f>
        <v>1</v>
      </c>
      <c r="L15" s="403" t="s">
        <v>1162</v>
      </c>
      <c r="M15" s="404">
        <f>3300*K2</f>
        <v>3300</v>
      </c>
      <c r="N15" s="404">
        <f>M15/$Q$2</f>
        <v>15</v>
      </c>
      <c r="O15" s="404">
        <f>(M15*$R$2)/$Q$2</f>
        <v>30.149999999999995</v>
      </c>
    </row>
    <row r="16" spans="1:18">
      <c r="A16" t="s">
        <v>505</v>
      </c>
      <c r="B16" t="s">
        <v>506</v>
      </c>
      <c r="C16" s="183" t="s">
        <v>474</v>
      </c>
      <c r="D16" s="236">
        <f t="shared" ref="D16:D37" si="3">M16</f>
        <v>2543.1999999999998</v>
      </c>
      <c r="E16" s="236">
        <f t="shared" si="0"/>
        <v>5238.9920000000002</v>
      </c>
      <c r="F16" s="458" t="e">
        <f>SUMIF(EQUIPE!$B$1:$B$135,$B16,EQUIPE!$G$1:$G$135)+SUMIF(#REF!,$B16,#REF!)+SUMIF(#REF!,$B16,#REF!)+SUMIF(DRE!$B$1:$B$405,$B16,DRE!$G$1:$G$405)+SUMIF(AGUA!$B$1:$B$489,$B16,AGUA!$G$1:$G$489)</f>
        <v>#REF!</v>
      </c>
      <c r="G16" s="458">
        <f>SUMIF(ADM!$B$1:$B$496,$B16,ADM!$G$1:$G$496)+SUMIF(TOP!$B$1:$B$484,$B16,TOP!$G$1:$G$484)+SUMIF(LAB!$B$1:$B$487,$B16,LAB!$G$1:$G$487)+SUMIF(QSMS!$B$1:$B$479,$B16,QSMS!$G$1:$G$479)+SUMIF(MEC!$B$1:$B$500,$B16,MEC!$G$1:$G$500)</f>
        <v>0</v>
      </c>
      <c r="L16" s="403" t="s">
        <v>505</v>
      </c>
      <c r="M16" s="404">
        <f>2543.2*K2</f>
        <v>2543.1999999999998</v>
      </c>
      <c r="N16" s="404">
        <f>M16/$Q$2</f>
        <v>11.559999999999999</v>
      </c>
      <c r="O16" s="404">
        <f>(M16*$R$2)/$Q$2</f>
        <v>23.235599999999998</v>
      </c>
    </row>
    <row r="17" spans="1:17">
      <c r="A17" t="s">
        <v>507</v>
      </c>
      <c r="B17" t="s">
        <v>508</v>
      </c>
      <c r="C17" s="183" t="s">
        <v>474</v>
      </c>
      <c r="D17" s="236">
        <f>M17</f>
        <v>2305.6</v>
      </c>
      <c r="E17" s="236">
        <f t="shared" si="0"/>
        <v>4749.5360000000001</v>
      </c>
      <c r="F17" s="458" t="e">
        <f>SUMIF(EQUIPE!$B$1:$B$135,$B17,EQUIPE!$G$1:$G$135)+SUMIF(#REF!,$B17,#REF!)+SUMIF(#REF!,$B17,#REF!)+SUMIF(DRE!$B$1:$B$405,$B17,DRE!$G$1:$G$405)+SUMIF(AGUA!$B$1:$B$489,$B17,AGUA!$G$1:$G$489)</f>
        <v>#REF!</v>
      </c>
      <c r="G17" s="458">
        <f>SUMIF(ADM!$B$1:$B$496,$B17,ADM!$G$1:$G$496)+SUMIF(TOP!$B$1:$B$484,$B17,TOP!$G$1:$G$484)+SUMIF(LAB!$B$1:$B$487,$B17,LAB!$G$1:$G$487)+SUMIF(QSMS!$B$1:$B$479,$B17,QSMS!$G$1:$G$479)+SUMIF(MEC!$B$1:$B$500,$B17,MEC!$G$1:$G$500)</f>
        <v>0</v>
      </c>
      <c r="L17" s="996" t="s">
        <v>507</v>
      </c>
      <c r="M17" s="404">
        <f>2305.6*K2</f>
        <v>2305.6</v>
      </c>
      <c r="N17" s="404">
        <f>M17/$Q$2</f>
        <v>10.48</v>
      </c>
      <c r="O17" s="404">
        <f>(M17*$R$2)/$Q$2</f>
        <v>21.064799999999998</v>
      </c>
    </row>
    <row r="18" spans="1:17">
      <c r="A18" t="s">
        <v>509</v>
      </c>
      <c r="B18" t="s">
        <v>510</v>
      </c>
      <c r="C18" s="183" t="s">
        <v>474</v>
      </c>
      <c r="D18" s="236">
        <f>M18</f>
        <v>2305.6</v>
      </c>
      <c r="E18" s="236">
        <f t="shared" si="0"/>
        <v>4749.5360000000001</v>
      </c>
      <c r="F18" s="458" t="e">
        <f>SUMIF(EQUIPE!$B$1:$B$135,$B18,EQUIPE!$G$1:$G$135)+SUMIF(#REF!,$B18,#REF!)+SUMIF(#REF!,$B18,#REF!)+SUMIF(DRE!$B$1:$B$405,$B18,DRE!$G$1:$G$405)+SUMIF(AGUA!$B$1:$B$489,$B18,AGUA!$G$1:$G$489)</f>
        <v>#REF!</v>
      </c>
      <c r="G18" s="458">
        <f>SUMIF(ADM!$B$1:$B$496,$B18,ADM!$G$1:$G$496)+SUMIF(TOP!$B$1:$B$484,$B18,TOP!$G$1:$G$484)+SUMIF(LAB!$B$1:$B$487,$B18,LAB!$G$1:$G$487)+SUMIF(QSMS!$B$1:$B$479,$B18,QSMS!$G$1:$G$479)+SUMIF(MEC!$B$1:$B$500,$B18,MEC!$G$1:$G$500)</f>
        <v>0</v>
      </c>
      <c r="L18" s="996" t="s">
        <v>509</v>
      </c>
      <c r="M18" s="404">
        <f>2305.6*K2</f>
        <v>2305.6</v>
      </c>
      <c r="N18" s="404">
        <f>M18/$Q$2</f>
        <v>10.48</v>
      </c>
      <c r="O18" s="404">
        <f>(M18*$R$2)/$Q$2</f>
        <v>21.064799999999998</v>
      </c>
    </row>
    <row r="19" spans="1:17">
      <c r="A19" t="s">
        <v>511</v>
      </c>
      <c r="B19" t="s">
        <v>512</v>
      </c>
      <c r="C19" s="183" t="s">
        <v>474</v>
      </c>
      <c r="D19" s="236">
        <f>M19</f>
        <v>2305.6</v>
      </c>
      <c r="E19" s="236">
        <f t="shared" si="0"/>
        <v>4749.5360000000001</v>
      </c>
      <c r="F19" s="458" t="e">
        <f>SUMIF(EQUIPE!$B$1:$B$135,$B19,EQUIPE!$G$1:$G$135)+SUMIF(#REF!,$B19,#REF!)+SUMIF(#REF!,$B19,#REF!)+SUMIF(DRE!$B$1:$B$405,$B19,DRE!$G$1:$G$405)+SUMIF(AGUA!$B$1:$B$489,$B19,AGUA!$G$1:$G$489)</f>
        <v>#REF!</v>
      </c>
      <c r="G19" s="458">
        <f>SUMIF(ADM!$B$1:$B$496,$B19,ADM!$G$1:$G$496)+SUMIF(TOP!$B$1:$B$484,$B19,TOP!$G$1:$G$484)+SUMIF(LAB!$B$1:$B$487,$B19,LAB!$G$1:$G$487)+SUMIF(QSMS!$B$1:$B$479,$B19,QSMS!$G$1:$G$479)+SUMIF(MEC!$B$1:$B$500,$B19,MEC!$G$1:$G$500)</f>
        <v>0</v>
      </c>
      <c r="L19" s="996" t="s">
        <v>511</v>
      </c>
      <c r="M19" s="404">
        <f>2305.6*K2</f>
        <v>2305.6</v>
      </c>
      <c r="N19" s="404">
        <f>M19/$Q$2</f>
        <v>10.48</v>
      </c>
      <c r="O19" s="404">
        <f>(M19*$R$2)/$Q$2</f>
        <v>21.064799999999998</v>
      </c>
    </row>
    <row r="20" spans="1:17">
      <c r="A20" t="s">
        <v>513</v>
      </c>
      <c r="B20" t="s">
        <v>514</v>
      </c>
      <c r="C20" s="183" t="s">
        <v>504</v>
      </c>
      <c r="D20" s="236">
        <f t="shared" si="3"/>
        <v>15000</v>
      </c>
      <c r="E20" s="236">
        <f t="shared" si="0"/>
        <v>15000</v>
      </c>
      <c r="F20" s="458" t="e">
        <f>SUMIF(EQUIPE!$B$1:$B$135,$B20,EQUIPE!$G$1:$G$135)+SUMIF(#REF!,$B20,#REF!)+SUMIF(#REF!,$B20,#REF!)+SUMIF(DRE!$B$1:$B$405,$B20,DRE!$G$1:$G$405)+SUMIF(AGUA!$B$1:$B$489,$B20,AGUA!$G$1:$G$489)</f>
        <v>#REF!</v>
      </c>
      <c r="G20" s="458">
        <f>SUMIF(ADM!$B$1:$B$496,$B20,ADM!$G$1:$G$496)+SUMIF(TOP!$B$1:$B$484,$B20,TOP!$G$1:$G$484)+SUMIF(LAB!$B$1:$B$487,$B20,LAB!$G$1:$G$487)+SUMIF(QSMS!$B$1:$B$479,$B20,QSMS!$G$1:$G$479)+SUMIF(MEC!$B$1:$B$500,$B20,MEC!$G$1:$G$500)</f>
        <v>1</v>
      </c>
      <c r="L20" s="403" t="s">
        <v>513</v>
      </c>
      <c r="M20" s="404">
        <v>15000</v>
      </c>
      <c r="N20" s="404"/>
      <c r="O20" s="404"/>
      <c r="P20" s="39" t="s">
        <v>402</v>
      </c>
    </row>
    <row r="21" spans="1:17">
      <c r="A21" t="s">
        <v>515</v>
      </c>
      <c r="B21" t="s">
        <v>516</v>
      </c>
      <c r="C21" s="183" t="s">
        <v>504</v>
      </c>
      <c r="D21" s="236">
        <f t="shared" si="3"/>
        <v>12000</v>
      </c>
      <c r="E21" s="236">
        <f t="shared" si="0"/>
        <v>12000</v>
      </c>
      <c r="F21" s="458" t="e">
        <f>SUMIF(EQUIPE!$B$1:$B$135,$B21,EQUIPE!$G$1:$G$135)+SUMIF(#REF!,$B21,#REF!)+SUMIF(#REF!,$B21,#REF!)+SUMIF(DRE!$B$1:$B$405,$B21,DRE!$G$1:$G$405)+SUMIF(AGUA!$B$1:$B$489,$B21,AGUA!$G$1:$G$489)</f>
        <v>#REF!</v>
      </c>
      <c r="G21" s="458">
        <f>SUMIF(ADM!$B$1:$B$496,$B21,ADM!$G$1:$G$496)+SUMIF(TOP!$B$1:$B$484,$B21,TOP!$G$1:$G$484)+SUMIF(LAB!$B$1:$B$487,$B21,LAB!$G$1:$G$487)+SUMIF(QSMS!$B$1:$B$479,$B21,QSMS!$G$1:$G$479)+SUMIF(MEC!$B$1:$B$500,$B21,MEC!$G$1:$G$500)</f>
        <v>0</v>
      </c>
      <c r="L21" s="403" t="s">
        <v>515</v>
      </c>
      <c r="M21" s="404">
        <f>12000</f>
        <v>12000</v>
      </c>
      <c r="N21" s="404"/>
      <c r="O21" s="404"/>
      <c r="P21" s="39" t="s">
        <v>402</v>
      </c>
    </row>
    <row r="22" spans="1:17">
      <c r="A22" t="s">
        <v>517</v>
      </c>
      <c r="B22" t="s">
        <v>518</v>
      </c>
      <c r="C22" s="183" t="s">
        <v>474</v>
      </c>
      <c r="D22" s="236">
        <f t="shared" si="3"/>
        <v>3843.4</v>
      </c>
      <c r="E22" s="236">
        <f t="shared" si="0"/>
        <v>7917.4040000000005</v>
      </c>
      <c r="F22" s="458" t="e">
        <f>SUMIF(EQUIPE!$B$1:$B$135,$B22,EQUIPE!$G$1:$G$135)+SUMIF(#REF!,$B22,#REF!)+SUMIF(#REF!,$B22,#REF!)+SUMIF(DRE!$B$1:$B$405,$B22,DRE!$G$1:$G$405)+SUMIF(AGUA!$B$1:$B$489,$B22,AGUA!$G$1:$G$489)</f>
        <v>#REF!</v>
      </c>
      <c r="G22" s="458">
        <f>SUMIF(ADM!$B$1:$B$496,$B22,ADM!$G$1:$G$496)+SUMIF(TOP!$B$1:$B$484,$B22,TOP!$G$1:$G$484)+SUMIF(LAB!$B$1:$B$487,$B22,LAB!$G$1:$G$487)+SUMIF(QSMS!$B$1:$B$479,$B22,QSMS!$G$1:$G$479)+SUMIF(MEC!$B$1:$B$500,$B22,MEC!$G$1:$G$500)</f>
        <v>0</v>
      </c>
      <c r="L22" s="996" t="s">
        <v>517</v>
      </c>
      <c r="M22" s="404">
        <f>3843.4*K2</f>
        <v>3843.4</v>
      </c>
      <c r="N22" s="404">
        <f>M22/$Q$2</f>
        <v>17.47</v>
      </c>
      <c r="O22" s="404">
        <f>(M22*$R$2)/$Q$2</f>
        <v>35.114699999999999</v>
      </c>
      <c r="P22" s="39"/>
    </row>
    <row r="23" spans="1:17">
      <c r="A23" t="s">
        <v>519</v>
      </c>
      <c r="B23" t="s">
        <v>520</v>
      </c>
      <c r="C23" s="183" t="s">
        <v>474</v>
      </c>
      <c r="D23" s="236">
        <f t="shared" si="3"/>
        <v>3843.4</v>
      </c>
      <c r="E23" s="236">
        <f t="shared" si="0"/>
        <v>7917.4040000000005</v>
      </c>
      <c r="F23" s="458" t="e">
        <f>SUMIF(EQUIPE!$B$1:$B$135,$B23,EQUIPE!$G$1:$G$135)+SUMIF(#REF!,$B23,#REF!)+SUMIF(#REF!,$B23,#REF!)+SUMIF(DRE!$B$1:$B$405,$B23,DRE!$G$1:$G$405)+SUMIF(AGUA!$B$1:$B$489,$B23,AGUA!$G$1:$G$489)</f>
        <v>#REF!</v>
      </c>
      <c r="G23" s="458">
        <f>SUMIF(ADM!$B$1:$B$496,$B23,ADM!$G$1:$G$496)+SUMIF(TOP!$B$1:$B$484,$B23,TOP!$G$1:$G$484)+SUMIF(LAB!$B$1:$B$487,$B23,LAB!$G$1:$G$487)+SUMIF(QSMS!$B$1:$B$479,$B23,QSMS!$G$1:$G$479)+SUMIF(MEC!$B$1:$B$500,$B23,MEC!$G$1:$G$500)</f>
        <v>0</v>
      </c>
      <c r="L23" s="996" t="s">
        <v>519</v>
      </c>
      <c r="M23" s="404">
        <f>3843.4*K2</f>
        <v>3843.4</v>
      </c>
      <c r="N23" s="404">
        <f>M23/$Q$2</f>
        <v>17.47</v>
      </c>
      <c r="O23" s="404">
        <f>(M23*$R$2)/$Q$2</f>
        <v>35.114699999999999</v>
      </c>
      <c r="P23" s="39"/>
    </row>
    <row r="24" spans="1:17">
      <c r="A24" t="s">
        <v>521</v>
      </c>
      <c r="B24" t="s">
        <v>522</v>
      </c>
      <c r="C24" s="183" t="s">
        <v>474</v>
      </c>
      <c r="D24" s="236">
        <f t="shared" si="3"/>
        <v>3843.4</v>
      </c>
      <c r="E24" s="236">
        <f t="shared" si="0"/>
        <v>7917.4040000000005</v>
      </c>
      <c r="F24" s="458" t="e">
        <f>SUMIF(EQUIPE!$B$1:$B$135,$B24,EQUIPE!$G$1:$G$135)+SUMIF(#REF!,$B24,#REF!)+SUMIF(#REF!,$B24,#REF!)+SUMIF(DRE!$B$1:$B$405,$B24,DRE!$G$1:$G$405)+SUMIF(AGUA!$B$1:$B$489,$B24,AGUA!$G$1:$G$489)</f>
        <v>#REF!</v>
      </c>
      <c r="G24" s="458">
        <f>SUMIF(ADM!$B$1:$B$496,$B24,ADM!$G$1:$G$496)+SUMIF(TOP!$B$1:$B$484,$B24,TOP!$G$1:$G$484)+SUMIF(LAB!$B$1:$B$487,$B24,LAB!$G$1:$G$487)+SUMIF(QSMS!$B$1:$B$479,$B24,QSMS!$G$1:$G$479)+SUMIF(MEC!$B$1:$B$500,$B24,MEC!$G$1:$G$500)</f>
        <v>0</v>
      </c>
      <c r="L24" s="996" t="s">
        <v>521</v>
      </c>
      <c r="M24" s="404">
        <f>3843.4*K2</f>
        <v>3843.4</v>
      </c>
      <c r="N24" s="404">
        <f>M24/$Q$2</f>
        <v>17.47</v>
      </c>
      <c r="O24" s="404">
        <f>(M24*$R$2)/$Q$2</f>
        <v>35.114699999999999</v>
      </c>
      <c r="P24" s="39"/>
    </row>
    <row r="25" spans="1:17">
      <c r="A25" t="s">
        <v>523</v>
      </c>
      <c r="B25" t="s">
        <v>524</v>
      </c>
      <c r="C25" s="183" t="s">
        <v>474</v>
      </c>
      <c r="D25" s="236">
        <f t="shared" si="3"/>
        <v>3843.4</v>
      </c>
      <c r="E25" s="236">
        <f t="shared" si="0"/>
        <v>7917.4040000000005</v>
      </c>
      <c r="F25" s="458" t="e">
        <f>SUMIF(EQUIPE!$B$1:$B$135,$B25,EQUIPE!$G$1:$G$135)+SUMIF(#REF!,$B25,#REF!)+SUMIF(#REF!,$B25,#REF!)+SUMIF(DRE!$B$1:$B$405,$B25,DRE!$G$1:$G$405)+SUMIF(AGUA!$B$1:$B$489,$B25,AGUA!$G$1:$G$489)</f>
        <v>#REF!</v>
      </c>
      <c r="G25" s="458">
        <f>SUMIF(ADM!$B$1:$B$496,$B25,ADM!$G$1:$G$496)+SUMIF(TOP!$B$1:$B$484,$B25,TOP!$G$1:$G$484)+SUMIF(LAB!$B$1:$B$487,$B25,LAB!$G$1:$G$487)+SUMIF(QSMS!$B$1:$B$479,$B25,QSMS!$G$1:$G$479)+SUMIF(MEC!$B$1:$B$500,$B25,MEC!$G$1:$G$500)</f>
        <v>0</v>
      </c>
      <c r="L25" s="996" t="s">
        <v>523</v>
      </c>
      <c r="M25" s="404">
        <f>3843.4*K2</f>
        <v>3843.4</v>
      </c>
      <c r="N25" s="404">
        <f>M25/$Q$2</f>
        <v>17.47</v>
      </c>
      <c r="O25" s="404">
        <f>(M25*$R$2)/$Q$2</f>
        <v>35.114699999999999</v>
      </c>
      <c r="P25" s="39"/>
    </row>
    <row r="26" spans="1:17">
      <c r="A26" t="s">
        <v>525</v>
      </c>
      <c r="B26" t="s">
        <v>526</v>
      </c>
      <c r="C26" s="183" t="s">
        <v>504</v>
      </c>
      <c r="D26" s="236">
        <f t="shared" si="3"/>
        <v>18000</v>
      </c>
      <c r="E26" s="236">
        <f t="shared" si="0"/>
        <v>18000</v>
      </c>
      <c r="F26" s="458" t="e">
        <f>SUMIF(EQUIPE!$B$1:$B$135,$B26,EQUIPE!$G$1:$G$135)+SUMIF(#REF!,$B26,#REF!)+SUMIF(#REF!,$B26,#REF!)+SUMIF(DRE!$B$1:$B$405,$B26,DRE!$G$1:$G$405)+SUMIF(AGUA!$B$1:$B$489,$B26,AGUA!$G$1:$G$489)</f>
        <v>#REF!</v>
      </c>
      <c r="G26" s="458">
        <f>SUMIF(ADM!$B$1:$B$496,$B26,ADM!$G$1:$G$496)+SUMIF(TOP!$B$1:$B$484,$B26,TOP!$G$1:$G$484)+SUMIF(LAB!$B$1:$B$487,$B26,LAB!$G$1:$G$487)+SUMIF(QSMS!$B$1:$B$479,$B26,QSMS!$G$1:$G$479)+SUMIF(MEC!$B$1:$B$500,$B26,MEC!$G$1:$G$500)</f>
        <v>1</v>
      </c>
      <c r="L26" s="403" t="s">
        <v>525</v>
      </c>
      <c r="M26" s="404">
        <v>18000</v>
      </c>
      <c r="N26" s="404"/>
      <c r="O26" s="404"/>
      <c r="P26" s="39" t="s">
        <v>402</v>
      </c>
    </row>
    <row r="27" spans="1:17">
      <c r="A27" t="s">
        <v>435</v>
      </c>
      <c r="B27" t="s">
        <v>527</v>
      </c>
      <c r="C27" s="183" t="s">
        <v>504</v>
      </c>
      <c r="D27" s="236">
        <f t="shared" si="3"/>
        <v>12000</v>
      </c>
      <c r="E27" s="236">
        <f t="shared" si="0"/>
        <v>12000</v>
      </c>
      <c r="F27" s="458" t="e">
        <f>SUMIF(EQUIPE!$B$1:$B$135,$B27,EQUIPE!$G$1:$G$135)+SUMIF(#REF!,$B27,#REF!)+SUMIF(#REF!,$B27,#REF!)+SUMIF(DRE!$B$1:$B$405,$B27,DRE!$G$1:$G$405)+SUMIF(AGUA!$B$1:$B$489,$B27,AGUA!$G$1:$G$489)</f>
        <v>#REF!</v>
      </c>
      <c r="G27" s="458">
        <f>SUMIF(ADM!$B$1:$B$496,$B27,ADM!$G$1:$G$496)+SUMIF(TOP!$B$1:$B$484,$B27,TOP!$G$1:$G$484)+SUMIF(LAB!$B$1:$B$487,$B27,LAB!$G$1:$G$487)+SUMIF(QSMS!$B$1:$B$479,$B27,QSMS!$G$1:$G$479)+SUMIF(MEC!$B$1:$B$500,$B27,MEC!$G$1:$G$500)</f>
        <v>0</v>
      </c>
      <c r="L27" s="403" t="s">
        <v>435</v>
      </c>
      <c r="M27" s="404">
        <v>12000</v>
      </c>
      <c r="N27" s="404"/>
      <c r="O27" s="404"/>
      <c r="P27" s="39" t="s">
        <v>402</v>
      </c>
    </row>
    <row r="28" spans="1:17">
      <c r="A28" t="s">
        <v>528</v>
      </c>
      <c r="B28" t="s">
        <v>529</v>
      </c>
      <c r="C28" s="183" t="s">
        <v>504</v>
      </c>
      <c r="D28" s="236">
        <f t="shared" si="3"/>
        <v>6870</v>
      </c>
      <c r="E28" s="236">
        <f t="shared" si="0"/>
        <v>6870</v>
      </c>
      <c r="F28" s="458" t="e">
        <f>SUMIF(EQUIPE!$B$1:$B$135,$B28,EQUIPE!$G$1:$G$135)+SUMIF(#REF!,$B28,#REF!)+SUMIF(#REF!,$B28,#REF!)+SUMIF(DRE!$B$1:$B$405,$B28,DRE!$G$1:$G$405)+SUMIF(AGUA!$B$1:$B$489,$B28,AGUA!$G$1:$G$489)</f>
        <v>#REF!</v>
      </c>
      <c r="G28" s="458">
        <f>SUMIF(ADM!$B$1:$B$496,$B28,ADM!$G$1:$G$496)+SUMIF(TOP!$B$1:$B$484,$B28,TOP!$G$1:$G$484)+SUMIF(LAB!$B$1:$B$487,$B28,LAB!$G$1:$G$487)+SUMIF(QSMS!$B$1:$B$479,$B28,QSMS!$G$1:$G$479)+SUMIF(MEC!$B$1:$B$500,$B28,MEC!$G$1:$G$500)</f>
        <v>0</v>
      </c>
      <c r="L28" s="403" t="s">
        <v>528</v>
      </c>
      <c r="M28" s="404">
        <v>6870</v>
      </c>
      <c r="N28" s="404"/>
      <c r="O28" s="404"/>
      <c r="P28" s="39"/>
    </row>
    <row r="29" spans="1:17">
      <c r="A29" t="s">
        <v>530</v>
      </c>
      <c r="B29" t="s">
        <v>531</v>
      </c>
      <c r="C29" s="183" t="s">
        <v>504</v>
      </c>
      <c r="D29" s="236">
        <f t="shared" si="3"/>
        <v>25000</v>
      </c>
      <c r="E29" s="236">
        <f t="shared" si="0"/>
        <v>25000</v>
      </c>
      <c r="F29" s="458" t="e">
        <f>SUMIF(EQUIPE!$B$1:$B$135,$B29,EQUIPE!$G$1:$G$135)+SUMIF(#REF!,$B29,#REF!)+SUMIF(#REF!,$B29,#REF!)+SUMIF(DRE!$B$1:$B$405,$B29,DRE!$G$1:$G$405)+SUMIF(AGUA!$B$1:$B$489,$B29,AGUA!$G$1:$G$489)</f>
        <v>#REF!</v>
      </c>
      <c r="G29" s="458">
        <f>SUMIF(ADM!$B$1:$B$496,$B29,ADM!$G$1:$G$496)+SUMIF(TOP!$B$1:$B$484,$B29,TOP!$G$1:$G$484)+SUMIF(LAB!$B$1:$B$487,$B29,LAB!$G$1:$G$487)+SUMIF(QSMS!$B$1:$B$479,$B29,QSMS!$G$1:$G$479)+SUMIF(MEC!$B$1:$B$500,$B29,MEC!$G$1:$G$500)</f>
        <v>0</v>
      </c>
      <c r="L29" s="403" t="s">
        <v>530</v>
      </c>
      <c r="M29" s="404">
        <v>25000</v>
      </c>
      <c r="N29" s="404"/>
      <c r="O29" s="404"/>
      <c r="P29" s="39" t="s">
        <v>402</v>
      </c>
    </row>
    <row r="30" spans="1:17">
      <c r="A30" t="s">
        <v>532</v>
      </c>
      <c r="B30" t="s">
        <v>533</v>
      </c>
      <c r="C30" s="183" t="s">
        <v>504</v>
      </c>
      <c r="D30" s="236">
        <f t="shared" si="3"/>
        <v>18000</v>
      </c>
      <c r="E30" s="236">
        <f t="shared" si="0"/>
        <v>18000</v>
      </c>
      <c r="F30" s="458" t="e">
        <f>SUMIF(EQUIPE!$B$1:$B$135,$B30,EQUIPE!$G$1:$G$135)+SUMIF(#REF!,$B30,#REF!)+SUMIF(#REF!,$B30,#REF!)+SUMIF(DRE!$B$1:$B$405,$B30,DRE!$G$1:$G$405)+SUMIF(AGUA!$B$1:$B$489,$B30,AGUA!$G$1:$G$489)</f>
        <v>#REF!</v>
      </c>
      <c r="G30" s="458">
        <f>SUMIF(ADM!$B$1:$B$496,$B30,ADM!$G$1:$G$496)+SUMIF(TOP!$B$1:$B$484,$B30,TOP!$G$1:$G$484)+SUMIF(LAB!$B$1:$B$487,$B30,LAB!$G$1:$G$487)+SUMIF(QSMS!$B$1:$B$479,$B30,QSMS!$G$1:$G$479)+SUMIF(MEC!$B$1:$B$500,$B30,MEC!$G$1:$G$500)</f>
        <v>0</v>
      </c>
      <c r="L30" s="403" t="s">
        <v>532</v>
      </c>
      <c r="M30" s="404">
        <v>18000</v>
      </c>
      <c r="N30" s="404"/>
      <c r="O30" s="404"/>
      <c r="P30" s="39" t="s">
        <v>402</v>
      </c>
    </row>
    <row r="31" spans="1:17">
      <c r="A31" t="s">
        <v>534</v>
      </c>
      <c r="B31" t="s">
        <v>535</v>
      </c>
      <c r="C31" s="183" t="s">
        <v>474</v>
      </c>
      <c r="D31" s="236">
        <f t="shared" si="3"/>
        <v>2305.6</v>
      </c>
      <c r="E31" s="236">
        <f t="shared" si="0"/>
        <v>4749.5360000000001</v>
      </c>
      <c r="F31" s="458" t="e">
        <f>SUMIF(EQUIPE!$B$1:$B$135,$B31,EQUIPE!$G$1:$G$135)+SUMIF(#REF!,$B31,#REF!)+SUMIF(#REF!,$B31,#REF!)+SUMIF(DRE!$B$1:$B$405,$B31,DRE!$G$1:$G$405)+SUMIF(AGUA!$B$1:$B$489,$B31,AGUA!$G$1:$G$489)</f>
        <v>#REF!</v>
      </c>
      <c r="G31" s="458">
        <f>SUMIF(ADM!$B$1:$B$496,$B31,ADM!$G$1:$G$496)+SUMIF(TOP!$B$1:$B$484,$B31,TOP!$G$1:$G$484)+SUMIF(LAB!$B$1:$B$487,$B31,LAB!$G$1:$G$487)+SUMIF(QSMS!$B$1:$B$479,$B31,QSMS!$G$1:$G$479)+SUMIF(MEC!$B$1:$B$500,$B31,MEC!$G$1:$G$500)</f>
        <v>0</v>
      </c>
      <c r="L31" s="996" t="s">
        <v>534</v>
      </c>
      <c r="M31" s="404">
        <f>2305.6*K2</f>
        <v>2305.6</v>
      </c>
      <c r="N31" s="404">
        <f>M31/$Q$2</f>
        <v>10.48</v>
      </c>
      <c r="O31" s="404">
        <f>(M31*$R$2)/$Q$2</f>
        <v>21.064799999999998</v>
      </c>
      <c r="Q31" s="40" t="s">
        <v>536</v>
      </c>
    </row>
    <row r="32" spans="1:17">
      <c r="A32" t="s">
        <v>432</v>
      </c>
      <c r="B32" t="s">
        <v>537</v>
      </c>
      <c r="C32" s="183" t="s">
        <v>504</v>
      </c>
      <c r="D32" s="236">
        <f>M32</f>
        <v>12000</v>
      </c>
      <c r="E32" s="236">
        <f t="shared" si="0"/>
        <v>12000</v>
      </c>
      <c r="F32" s="458" t="e">
        <f>SUMIF(EQUIPE!$B$1:$B$135,$B32,EQUIPE!$G$1:$G$135)+SUMIF(#REF!,$B32,#REF!)+SUMIF(#REF!,$B32,#REF!)+SUMIF(DRE!$B$1:$B$405,$B32,DRE!$G$1:$G$405)+SUMIF(AGUA!$B$1:$B$489,$B32,AGUA!$G$1:$G$489)</f>
        <v>#REF!</v>
      </c>
      <c r="G32" s="458">
        <f>SUMIF(ADM!$B$1:$B$496,$B32,ADM!$G$1:$G$496)+SUMIF(TOP!$B$1:$B$484,$B32,TOP!$G$1:$G$484)+SUMIF(LAB!$B$1:$B$487,$B32,LAB!$G$1:$G$487)+SUMIF(QSMS!$B$1:$B$479,$B32,QSMS!$G$1:$G$479)+SUMIF(MEC!$B$1:$B$500,$B32,MEC!$G$1:$G$500)</f>
        <v>0</v>
      </c>
      <c r="L32" s="403" t="s">
        <v>432</v>
      </c>
      <c r="M32" s="404">
        <v>12000</v>
      </c>
      <c r="N32" s="404"/>
      <c r="O32" s="404"/>
      <c r="P32" s="39" t="s">
        <v>402</v>
      </c>
      <c r="Q32" s="40"/>
    </row>
    <row r="33" spans="1:16">
      <c r="A33" t="s">
        <v>538</v>
      </c>
      <c r="B33" t="s">
        <v>539</v>
      </c>
      <c r="C33" s="183" t="s">
        <v>474</v>
      </c>
      <c r="D33" s="236">
        <f t="shared" si="3"/>
        <v>2305.6</v>
      </c>
      <c r="E33" s="236">
        <f t="shared" si="0"/>
        <v>4749.5360000000001</v>
      </c>
      <c r="F33" s="458" t="e">
        <f>SUMIF(EQUIPE!$B$1:$B$135,$B33,EQUIPE!$G$1:$G$135)+SUMIF(#REF!,$B33,#REF!)+SUMIF(#REF!,$B33,#REF!)+SUMIF(DRE!$B$1:$B$405,$B33,DRE!$G$1:$G$405)+SUMIF(AGUA!$B$1:$B$489,$B33,AGUA!$G$1:$G$489)</f>
        <v>#REF!</v>
      </c>
      <c r="G33" s="458">
        <f>SUMIF(ADM!$B$1:$B$496,$B33,ADM!$G$1:$G$496)+SUMIF(TOP!$B$1:$B$484,$B33,TOP!$G$1:$G$484)+SUMIF(LAB!$B$1:$B$487,$B33,LAB!$G$1:$G$487)+SUMIF(QSMS!$B$1:$B$479,$B33,QSMS!$G$1:$G$479)+SUMIF(MEC!$B$1:$B$500,$B33,MEC!$G$1:$G$500)</f>
        <v>0</v>
      </c>
      <c r="L33" s="996" t="s">
        <v>538</v>
      </c>
      <c r="M33" s="404">
        <f>2305.6*K2</f>
        <v>2305.6</v>
      </c>
      <c r="N33" s="404">
        <f>M33/$Q$2</f>
        <v>10.48</v>
      </c>
      <c r="O33" s="404">
        <f>(M33*$R$2)/$Q$2</f>
        <v>21.064799999999998</v>
      </c>
      <c r="P33" s="39"/>
    </row>
    <row r="34" spans="1:16">
      <c r="A34" t="s">
        <v>540</v>
      </c>
      <c r="B34" t="s">
        <v>541</v>
      </c>
      <c r="C34" s="183" t="s">
        <v>474</v>
      </c>
      <c r="D34" s="236">
        <f t="shared" si="3"/>
        <v>2853</v>
      </c>
      <c r="E34" s="236">
        <f t="shared" ref="E34:E66" si="4">IF($C34="h",$D34+($D34*HORISTA),IF($C34="mês",$D34+($D34*MENSALISTA),D34))</f>
        <v>5877.18</v>
      </c>
      <c r="F34" s="458" t="e">
        <f>SUMIF(EQUIPE!$B$1:$B$135,$B34,EQUIPE!$G$1:$G$135)+SUMIF(#REF!,$B34,#REF!)+SUMIF(#REF!,$B34,#REF!)+SUMIF(DRE!$B$1:$B$405,$B34,DRE!$G$1:$G$405)+SUMIF(AGUA!$B$1:$B$489,$B34,AGUA!$G$1:$G$489)</f>
        <v>#REF!</v>
      </c>
      <c r="G34" s="458">
        <f>SUMIF(ADM!$B$1:$B$496,$B34,ADM!$G$1:$G$496)+SUMIF(TOP!$B$1:$B$484,$B34,TOP!$G$1:$G$484)+SUMIF(LAB!$B$1:$B$487,$B34,LAB!$G$1:$G$487)+SUMIF(QSMS!$B$1:$B$479,$B34,QSMS!$G$1:$G$479)+SUMIF(MEC!$B$1:$B$500,$B34,MEC!$G$1:$G$500)</f>
        <v>0</v>
      </c>
      <c r="L34" s="403" t="s">
        <v>540</v>
      </c>
      <c r="M34" s="404">
        <f>2853*K2</f>
        <v>2853</v>
      </c>
      <c r="N34" s="404">
        <f>M34/$Q$2</f>
        <v>12.968181818181819</v>
      </c>
      <c r="O34" s="404">
        <f>(M34*$R$2)/$Q$2</f>
        <v>26.066045454545453</v>
      </c>
    </row>
    <row r="35" spans="1:16">
      <c r="A35" t="s">
        <v>542</v>
      </c>
      <c r="B35" t="s">
        <v>543</v>
      </c>
      <c r="C35" s="183" t="s">
        <v>474</v>
      </c>
      <c r="D35" s="236">
        <f t="shared" si="3"/>
        <v>2956.5</v>
      </c>
      <c r="E35" s="236">
        <f t="shared" si="4"/>
        <v>6090.39</v>
      </c>
      <c r="F35" s="458" t="e">
        <f>SUMIF(EQUIPE!$B$1:$B$135,$B35,EQUIPE!$G$1:$G$135)+SUMIF(#REF!,$B35,#REF!)+SUMIF(#REF!,$B35,#REF!)+SUMIF(DRE!$B$1:$B$405,$B35,DRE!$G$1:$G$405)+SUMIF(AGUA!$B$1:$B$489,$B35,AGUA!$G$1:$G$489)</f>
        <v>#REF!</v>
      </c>
      <c r="G35" s="458">
        <f>SUMIF(ADM!$B$1:$B$496,$B35,ADM!$G$1:$G$496)+SUMIF(TOP!$B$1:$B$484,$B35,TOP!$G$1:$G$484)+SUMIF(LAB!$B$1:$B$487,$B35,LAB!$G$1:$G$487)+SUMIF(QSMS!$B$1:$B$479,$B35,QSMS!$G$1:$G$479)+SUMIF(MEC!$B$1:$B$500,$B35,MEC!$G$1:$G$500)</f>
        <v>1</v>
      </c>
      <c r="L35" s="403" t="s">
        <v>542</v>
      </c>
      <c r="M35" s="404">
        <f>2956.5*K2</f>
        <v>2956.5</v>
      </c>
      <c r="N35" s="404">
        <f t="shared" ref="N35:N72" si="5">M35/$Q$2</f>
        <v>13.438636363636364</v>
      </c>
      <c r="O35" s="404">
        <f t="shared" ref="O35:O55" si="6">(M35*$R$2)/$Q$2</f>
        <v>27.011659090909088</v>
      </c>
    </row>
    <row r="36" spans="1:16">
      <c r="A36" t="s">
        <v>544</v>
      </c>
      <c r="B36" t="s">
        <v>545</v>
      </c>
      <c r="C36" s="183" t="s">
        <v>474</v>
      </c>
      <c r="D36" s="236">
        <f t="shared" si="3"/>
        <v>3130</v>
      </c>
      <c r="E36" s="236">
        <f t="shared" si="4"/>
        <v>6447.8</v>
      </c>
      <c r="F36" s="458" t="e">
        <f>SUMIF(EQUIPE!$B$1:$B$135,$B36,EQUIPE!$G$1:$G$135)+SUMIF(#REF!,$B36,#REF!)+SUMIF(#REF!,$B36,#REF!)+SUMIF(DRE!$B$1:$B$405,$B36,DRE!$G$1:$G$405)+SUMIF(AGUA!$B$1:$B$489,$B36,AGUA!$G$1:$G$489)</f>
        <v>#REF!</v>
      </c>
      <c r="G36" s="458">
        <f>SUMIF(ADM!$B$1:$B$496,$B36,ADM!$G$1:$G$496)+SUMIF(TOP!$B$1:$B$484,$B36,TOP!$G$1:$G$484)+SUMIF(LAB!$B$1:$B$487,$B36,LAB!$G$1:$G$487)+SUMIF(QSMS!$B$1:$B$479,$B36,QSMS!$G$1:$G$479)+SUMIF(MEC!$B$1:$B$500,$B36,MEC!$G$1:$G$500)</f>
        <v>1</v>
      </c>
      <c r="L36" s="403" t="s">
        <v>544</v>
      </c>
      <c r="M36" s="404">
        <f>3130*K2</f>
        <v>3130</v>
      </c>
      <c r="N36" s="404">
        <f t="shared" si="5"/>
        <v>14.227272727272727</v>
      </c>
      <c r="O36" s="404">
        <f t="shared" si="6"/>
        <v>28.596818181818179</v>
      </c>
    </row>
    <row r="37" spans="1:16">
      <c r="A37" t="s">
        <v>1171</v>
      </c>
      <c r="B37" t="s">
        <v>546</v>
      </c>
      <c r="C37" s="183" t="s">
        <v>474</v>
      </c>
      <c r="D37" s="236">
        <f t="shared" si="3"/>
        <v>2530</v>
      </c>
      <c r="E37" s="236">
        <f t="shared" si="4"/>
        <v>5211.8</v>
      </c>
      <c r="F37" s="458" t="e">
        <f>SUMIF(EQUIPE!$B$1:$B$135,$B37,EQUIPE!$G$1:$G$135)+SUMIF(#REF!,$B37,#REF!)+SUMIF(#REF!,$B37,#REF!)+SUMIF(DRE!$B$1:$B$405,$B37,DRE!$G$1:$G$405)+SUMIF(AGUA!$B$1:$B$489,$B37,AGUA!$G$1:$G$489)</f>
        <v>#REF!</v>
      </c>
      <c r="G37" s="458">
        <f>SUMIF(ADM!$B$1:$B$496,$B37,ADM!$G$1:$G$496)+SUMIF(TOP!$B$1:$B$484,$B37,TOP!$G$1:$G$484)+SUMIF(LAB!$B$1:$B$487,$B37,LAB!$G$1:$G$487)+SUMIF(QSMS!$B$1:$B$479,$B37,QSMS!$G$1:$G$479)+SUMIF(MEC!$B$1:$B$500,$B37,MEC!$G$1:$G$500)</f>
        <v>0</v>
      </c>
      <c r="L37" s="403" t="s">
        <v>1163</v>
      </c>
      <c r="M37" s="404">
        <f>2530*K2</f>
        <v>2530</v>
      </c>
      <c r="N37" s="404">
        <f t="shared" si="5"/>
        <v>11.5</v>
      </c>
      <c r="O37" s="404">
        <f t="shared" si="6"/>
        <v>23.114999999999998</v>
      </c>
    </row>
    <row r="38" spans="1:16">
      <c r="A38" t="s">
        <v>547</v>
      </c>
      <c r="B38" t="s">
        <v>548</v>
      </c>
      <c r="C38" s="183" t="s">
        <v>474</v>
      </c>
      <c r="D38" s="236">
        <f>M64</f>
        <v>2656.5</v>
      </c>
      <c r="E38" s="236">
        <f t="shared" si="4"/>
        <v>5472.39</v>
      </c>
      <c r="F38" s="458" t="e">
        <f>SUMIF(EQUIPE!$B$1:$B$135,$B38,EQUIPE!$G$1:$G$135)+SUMIF(#REF!,$B38,#REF!)+SUMIF(#REF!,$B38,#REF!)+SUMIF(DRE!$B$1:$B$405,$B38,DRE!$G$1:$G$405)+SUMIF(AGUA!$B$1:$B$489,$B38,AGUA!$G$1:$G$489)</f>
        <v>#REF!</v>
      </c>
      <c r="G38" s="458">
        <f>SUMIF(ADM!$B$1:$B$496,$B38,ADM!$G$1:$G$496)+SUMIF(TOP!$B$1:$B$484,$B38,TOP!$G$1:$G$484)+SUMIF(LAB!$B$1:$B$487,$B38,LAB!$G$1:$G$487)+SUMIF(QSMS!$B$1:$B$479,$B38,QSMS!$G$1:$G$479)+SUMIF(MEC!$B$1:$B$500,$B38,MEC!$G$1:$G$500)</f>
        <v>1</v>
      </c>
      <c r="L38" s="403" t="s">
        <v>549</v>
      </c>
      <c r="M38" s="404">
        <f>2035*K2</f>
        <v>2035</v>
      </c>
      <c r="N38" s="404">
        <f t="shared" si="5"/>
        <v>9.25</v>
      </c>
      <c r="O38" s="404">
        <f t="shared" si="6"/>
        <v>18.592499999999998</v>
      </c>
    </row>
    <row r="39" spans="1:16">
      <c r="A39" t="s">
        <v>550</v>
      </c>
      <c r="B39" t="s">
        <v>551</v>
      </c>
      <c r="C39" s="183" t="s">
        <v>474</v>
      </c>
      <c r="D39" s="236">
        <f>M38</f>
        <v>2035</v>
      </c>
      <c r="E39" s="236">
        <f t="shared" si="4"/>
        <v>4192.1000000000004</v>
      </c>
      <c r="F39" s="458" t="e">
        <f>SUMIF(EQUIPE!$B$1:$B$135,$B39,EQUIPE!$G$1:$G$135)+SUMIF(#REF!,$B39,#REF!)+SUMIF(#REF!,$B39,#REF!)+SUMIF(DRE!$B$1:$B$405,$B39,DRE!$G$1:$G$405)+SUMIF(AGUA!$B$1:$B$489,$B39,AGUA!$G$1:$G$489)</f>
        <v>#REF!</v>
      </c>
      <c r="G39" s="458">
        <f>SUMIF(ADM!$B$1:$B$496,$B39,ADM!$G$1:$G$496)+SUMIF(TOP!$B$1:$B$484,$B39,TOP!$G$1:$G$484)+SUMIF(LAB!$B$1:$B$487,$B39,LAB!$G$1:$G$487)+SUMIF(QSMS!$B$1:$B$479,$B39,QSMS!$G$1:$G$479)+SUMIF(MEC!$B$1:$B$500,$B39,MEC!$G$1:$G$500)</f>
        <v>0</v>
      </c>
      <c r="L39" s="403" t="s">
        <v>552</v>
      </c>
      <c r="M39" s="404">
        <f>2035*K2</f>
        <v>2035</v>
      </c>
      <c r="N39" s="404">
        <f t="shared" si="5"/>
        <v>9.25</v>
      </c>
      <c r="O39" s="404">
        <f t="shared" si="6"/>
        <v>18.592499999999998</v>
      </c>
    </row>
    <row r="40" spans="1:16">
      <c r="A40" t="s">
        <v>552</v>
      </c>
      <c r="B40" t="s">
        <v>553</v>
      </c>
      <c r="C40" s="183" t="s">
        <v>474</v>
      </c>
      <c r="D40" s="236">
        <f t="shared" ref="D40:D52" si="7">M39</f>
        <v>2035</v>
      </c>
      <c r="E40" s="236">
        <f t="shared" si="4"/>
        <v>4192.1000000000004</v>
      </c>
      <c r="F40" s="458" t="e">
        <f>SUMIF(EQUIPE!$B$1:$B$135,$B40,EQUIPE!$G$1:$G$135)+SUMIF(#REF!,$B40,#REF!)+SUMIF(#REF!,$B40,#REF!)+SUMIF(DRE!$B$1:$B$405,$B40,DRE!$G$1:$G$405)+SUMIF(AGUA!$B$1:$B$489,$B40,AGUA!$G$1:$G$489)</f>
        <v>#REF!</v>
      </c>
      <c r="G40" s="458">
        <f>SUMIF(ADM!$B$1:$B$496,$B40,ADM!$G$1:$G$496)+SUMIF(TOP!$B$1:$B$484,$B40,TOP!$G$1:$G$484)+SUMIF(LAB!$B$1:$B$487,$B40,LAB!$G$1:$G$487)+SUMIF(QSMS!$B$1:$B$479,$B40,QSMS!$G$1:$G$479)+SUMIF(MEC!$B$1:$B$500,$B40,MEC!$G$1:$G$500)</f>
        <v>0</v>
      </c>
      <c r="L40" s="403" t="s">
        <v>554</v>
      </c>
      <c r="M40" s="404">
        <f>2035*K2</f>
        <v>2035</v>
      </c>
      <c r="N40" s="404">
        <f t="shared" si="5"/>
        <v>9.25</v>
      </c>
      <c r="O40" s="404">
        <f t="shared" si="6"/>
        <v>18.592499999999998</v>
      </c>
    </row>
    <row r="41" spans="1:16">
      <c r="A41" t="s">
        <v>554</v>
      </c>
      <c r="B41" t="s">
        <v>555</v>
      </c>
      <c r="C41" s="183" t="s">
        <v>474</v>
      </c>
      <c r="D41" s="236">
        <f>M40</f>
        <v>2035</v>
      </c>
      <c r="E41" s="236">
        <f t="shared" si="4"/>
        <v>4192.1000000000004</v>
      </c>
      <c r="F41" s="458" t="e">
        <f>SUMIF(EQUIPE!$B$1:$B$135,$B41,EQUIPE!$G$1:$G$135)+SUMIF(#REF!,$B41,#REF!)+SUMIF(#REF!,$B41,#REF!)+SUMIF(DRE!$B$1:$B$405,$B41,DRE!$G$1:$G$405)+SUMIF(AGUA!$B$1:$B$489,$B41,AGUA!$G$1:$G$489)</f>
        <v>#REF!</v>
      </c>
      <c r="G41" s="458">
        <f>SUMIF(ADM!$B$1:$B$496,$B41,ADM!$G$1:$G$496)+SUMIF(TOP!$B$1:$B$484,$B41,TOP!$G$1:$G$484)+SUMIF(LAB!$B$1:$B$487,$B41,LAB!$G$1:$G$487)+SUMIF(QSMS!$B$1:$B$479,$B41,QSMS!$G$1:$G$479)+SUMIF(MEC!$B$1:$B$500,$B41,MEC!$G$1:$G$500)</f>
        <v>0</v>
      </c>
      <c r="L41" s="996" t="s">
        <v>556</v>
      </c>
      <c r="M41" s="404">
        <f>3843.4*K2</f>
        <v>3843.4</v>
      </c>
      <c r="N41" s="404">
        <f t="shared" si="5"/>
        <v>17.47</v>
      </c>
      <c r="O41" s="404">
        <f t="shared" si="6"/>
        <v>35.114699999999999</v>
      </c>
    </row>
    <row r="42" spans="1:16">
      <c r="A42" t="s">
        <v>556</v>
      </c>
      <c r="B42" t="s">
        <v>557</v>
      </c>
      <c r="C42" s="183" t="s">
        <v>474</v>
      </c>
      <c r="D42" s="236">
        <f t="shared" si="7"/>
        <v>3843.4</v>
      </c>
      <c r="E42" s="236">
        <f t="shared" si="4"/>
        <v>7917.4040000000005</v>
      </c>
      <c r="F42" s="458" t="e">
        <f>SUMIF(EQUIPE!$B$1:$B$135,$B42,EQUIPE!$G$1:$G$135)+SUMIF(#REF!,$B42,#REF!)+SUMIF(#REF!,$B42,#REF!)+SUMIF(DRE!$B$1:$B$405,$B42,DRE!$G$1:$G$405)+SUMIF(AGUA!$B$1:$B$489,$B42,AGUA!$G$1:$G$489)</f>
        <v>#REF!</v>
      </c>
      <c r="G42" s="458">
        <f>SUMIF(ADM!$B$1:$B$496,$B42,ADM!$G$1:$G$496)+SUMIF(TOP!$B$1:$B$484,$B42,TOP!$G$1:$G$484)+SUMIF(LAB!$B$1:$B$487,$B42,LAB!$G$1:$G$487)+SUMIF(QSMS!$B$1:$B$479,$B42,QSMS!$G$1:$G$479)+SUMIF(MEC!$B$1:$B$500,$B42,MEC!$G$1:$G$500)</f>
        <v>0</v>
      </c>
      <c r="L42" s="996" t="s">
        <v>558</v>
      </c>
      <c r="M42" s="404">
        <f>2305.6*K2</f>
        <v>2305.6</v>
      </c>
      <c r="N42" s="404">
        <f t="shared" si="5"/>
        <v>10.48</v>
      </c>
      <c r="O42" s="404">
        <f t="shared" si="6"/>
        <v>21.064799999999998</v>
      </c>
      <c r="P42" s="38"/>
    </row>
    <row r="43" spans="1:16">
      <c r="A43" t="s">
        <v>558</v>
      </c>
      <c r="B43" t="s">
        <v>559</v>
      </c>
      <c r="C43" s="183" t="s">
        <v>474</v>
      </c>
      <c r="D43" s="236">
        <f t="shared" si="7"/>
        <v>2305.6</v>
      </c>
      <c r="E43" s="236">
        <f t="shared" si="4"/>
        <v>4749.5360000000001</v>
      </c>
      <c r="F43" s="458" t="e">
        <f>SUMIF(EQUIPE!$B$1:$B$135,$B43,EQUIPE!$G$1:$G$135)+SUMIF(#REF!,$B43,#REF!)+SUMIF(#REF!,$B43,#REF!)+SUMIF(DRE!$B$1:$B$405,$B43,DRE!$G$1:$G$405)+SUMIF(AGUA!$B$1:$B$489,$B43,AGUA!$G$1:$G$489)</f>
        <v>#REF!</v>
      </c>
      <c r="G43" s="458">
        <f>SUMIF(ADM!$B$1:$B$496,$B43,ADM!$G$1:$G$496)+SUMIF(TOP!$B$1:$B$484,$B43,TOP!$G$1:$G$484)+SUMIF(LAB!$B$1:$B$487,$B43,LAB!$G$1:$G$487)+SUMIF(QSMS!$B$1:$B$479,$B43,QSMS!$G$1:$G$479)+SUMIF(MEC!$B$1:$B$500,$B43,MEC!$G$1:$G$500)</f>
        <v>0</v>
      </c>
      <c r="L43" s="996" t="s">
        <v>560</v>
      </c>
      <c r="M43" s="404">
        <f>2305.6*K2</f>
        <v>2305.6</v>
      </c>
      <c r="N43" s="404">
        <f t="shared" si="5"/>
        <v>10.48</v>
      </c>
      <c r="O43" s="404">
        <f t="shared" si="6"/>
        <v>21.064799999999998</v>
      </c>
      <c r="P43" s="38"/>
    </row>
    <row r="44" spans="1:16">
      <c r="A44" t="s">
        <v>560</v>
      </c>
      <c r="B44" t="s">
        <v>561</v>
      </c>
      <c r="C44" s="183" t="s">
        <v>474</v>
      </c>
      <c r="D44" s="236">
        <f t="shared" si="7"/>
        <v>2305.6</v>
      </c>
      <c r="E44" s="236">
        <f t="shared" si="4"/>
        <v>4749.5360000000001</v>
      </c>
      <c r="F44" s="458" t="e">
        <f>SUMIF(EQUIPE!$B$1:$B$135,$B44,EQUIPE!$G$1:$G$135)+SUMIF(#REF!,$B44,#REF!)+SUMIF(#REF!,$B44,#REF!)+SUMIF(DRE!$B$1:$B$405,$B44,DRE!$G$1:$G$405)+SUMIF(AGUA!$B$1:$B$489,$B44,AGUA!$G$1:$G$489)</f>
        <v>#REF!</v>
      </c>
      <c r="G44" s="458">
        <f>SUMIF(ADM!$B$1:$B$496,$B44,ADM!$G$1:$G$496)+SUMIF(TOP!$B$1:$B$484,$B44,TOP!$G$1:$G$484)+SUMIF(LAB!$B$1:$B$487,$B44,LAB!$G$1:$G$487)+SUMIF(QSMS!$B$1:$B$479,$B44,QSMS!$G$1:$G$479)+SUMIF(MEC!$B$1:$B$500,$B44,MEC!$G$1:$G$500)</f>
        <v>0</v>
      </c>
      <c r="L44" s="996" t="s">
        <v>562</v>
      </c>
      <c r="M44" s="404">
        <f>3843.4*K2</f>
        <v>3843.4</v>
      </c>
      <c r="N44" s="404">
        <f t="shared" si="5"/>
        <v>17.47</v>
      </c>
      <c r="O44" s="404">
        <f t="shared" si="6"/>
        <v>35.114699999999999</v>
      </c>
    </row>
    <row r="45" spans="1:16">
      <c r="A45" t="s">
        <v>562</v>
      </c>
      <c r="B45" t="s">
        <v>563</v>
      </c>
      <c r="C45" s="183" t="s">
        <v>474</v>
      </c>
      <c r="D45" s="236">
        <f t="shared" si="7"/>
        <v>3843.4</v>
      </c>
      <c r="E45" s="236">
        <f t="shared" si="4"/>
        <v>7917.4040000000005</v>
      </c>
      <c r="F45" s="458" t="e">
        <f>SUMIF(EQUIPE!$B$1:$B$135,$B45,EQUIPE!$G$1:$G$135)+SUMIF(#REF!,$B45,#REF!)+SUMIF(#REF!,$B45,#REF!)+SUMIF(DRE!$B$1:$B$405,$B45,DRE!$G$1:$G$405)+SUMIF(AGUA!$B$1:$B$489,$B45,AGUA!$G$1:$G$489)</f>
        <v>#REF!</v>
      </c>
      <c r="G45" s="458">
        <f>SUMIF(ADM!$B$1:$B$496,$B45,ADM!$G$1:$G$496)+SUMIF(TOP!$B$1:$B$484,$B45,TOP!$G$1:$G$484)+SUMIF(LAB!$B$1:$B$487,$B45,LAB!$G$1:$G$487)+SUMIF(QSMS!$B$1:$B$479,$B45,QSMS!$G$1:$G$479)+SUMIF(MEC!$B$1:$B$500,$B45,MEC!$G$1:$G$500)</f>
        <v>1</v>
      </c>
      <c r="L45" s="996" t="s">
        <v>564</v>
      </c>
      <c r="M45" s="404">
        <f>2813.8*K2</f>
        <v>2813.8</v>
      </c>
      <c r="N45" s="404">
        <f t="shared" si="5"/>
        <v>12.790000000000001</v>
      </c>
      <c r="O45" s="404">
        <f t="shared" si="6"/>
        <v>25.707899999999999</v>
      </c>
    </row>
    <row r="46" spans="1:16">
      <c r="A46" t="s">
        <v>564</v>
      </c>
      <c r="B46" t="s">
        <v>565</v>
      </c>
      <c r="C46" s="183" t="s">
        <v>474</v>
      </c>
      <c r="D46" s="236">
        <f>M45</f>
        <v>2813.8</v>
      </c>
      <c r="E46" s="236">
        <f t="shared" si="4"/>
        <v>5796.4279999999999</v>
      </c>
      <c r="F46" s="458" t="e">
        <f>SUMIF(EQUIPE!$B$1:$B$135,$B46,EQUIPE!$G$1:$G$135)+SUMIF(#REF!,$B46,#REF!)+SUMIF(#REF!,$B46,#REF!)+SUMIF(DRE!$B$1:$B$405,$B46,DRE!$G$1:$G$405)+SUMIF(AGUA!$B$1:$B$489,$B46,AGUA!$G$1:$G$489)</f>
        <v>#REF!</v>
      </c>
      <c r="G46" s="458">
        <f>SUMIF(ADM!$B$1:$B$496,$B46,ADM!$G$1:$G$496)+SUMIF(TOP!$B$1:$B$484,$B46,TOP!$G$1:$G$484)+SUMIF(LAB!$B$1:$B$487,$B46,LAB!$G$1:$G$487)+SUMIF(QSMS!$B$1:$B$479,$B46,QSMS!$G$1:$G$479)+SUMIF(MEC!$B$1:$B$500,$B46,MEC!$G$1:$G$500)</f>
        <v>0</v>
      </c>
      <c r="L46" s="996" t="s">
        <v>566</v>
      </c>
      <c r="M46" s="404">
        <f>2805.6*K2</f>
        <v>2805.6</v>
      </c>
      <c r="N46" s="404">
        <f t="shared" si="5"/>
        <v>12.752727272727272</v>
      </c>
      <c r="O46" s="404">
        <f t="shared" si="6"/>
        <v>25.632981818181815</v>
      </c>
    </row>
    <row r="47" spans="1:16">
      <c r="A47" t="s">
        <v>566</v>
      </c>
      <c r="B47" t="s">
        <v>567</v>
      </c>
      <c r="C47" s="183" t="s">
        <v>474</v>
      </c>
      <c r="D47" s="236">
        <f t="shared" si="7"/>
        <v>2805.6</v>
      </c>
      <c r="E47" s="236">
        <f t="shared" si="4"/>
        <v>5779.5360000000001</v>
      </c>
      <c r="F47" s="458" t="e">
        <f>SUMIF(EQUIPE!$B$1:$B$135,$B47,EQUIPE!$G$1:$G$135)+SUMIF(#REF!,$B47,#REF!)+SUMIF(#REF!,$B47,#REF!)+SUMIF(DRE!$B$1:$B$405,$B47,DRE!$G$1:$G$405)+SUMIF(AGUA!$B$1:$B$489,$B47,AGUA!$G$1:$G$489)</f>
        <v>#REF!</v>
      </c>
      <c r="G47" s="458">
        <f>SUMIF(ADM!$B$1:$B$496,$B47,ADM!$G$1:$G$496)+SUMIF(TOP!$B$1:$B$484,$B47,TOP!$G$1:$G$484)+SUMIF(LAB!$B$1:$B$487,$B47,LAB!$G$1:$G$487)+SUMIF(QSMS!$B$1:$B$479,$B47,QSMS!$G$1:$G$479)+SUMIF(MEC!$B$1:$B$500,$B47,MEC!$G$1:$G$500)</f>
        <v>0</v>
      </c>
      <c r="L47" s="996" t="s">
        <v>568</v>
      </c>
      <c r="M47" s="404">
        <f>2305.6*K2</f>
        <v>2305.6</v>
      </c>
      <c r="N47" s="404">
        <f t="shared" si="5"/>
        <v>10.48</v>
      </c>
      <c r="O47" s="404">
        <f t="shared" si="6"/>
        <v>21.064799999999998</v>
      </c>
    </row>
    <row r="48" spans="1:16">
      <c r="A48" t="s">
        <v>568</v>
      </c>
      <c r="B48" t="s">
        <v>569</v>
      </c>
      <c r="C48" s="183" t="s">
        <v>474</v>
      </c>
      <c r="D48" s="236">
        <f t="shared" si="7"/>
        <v>2305.6</v>
      </c>
      <c r="E48" s="236">
        <f t="shared" si="4"/>
        <v>4749.5360000000001</v>
      </c>
      <c r="F48" s="458" t="e">
        <f>SUMIF(EQUIPE!$B$1:$B$135,$B48,EQUIPE!$G$1:$G$135)+SUMIF(#REF!,$B48,#REF!)+SUMIF(#REF!,$B48,#REF!)+SUMIF(DRE!$B$1:$B$405,$B48,DRE!$G$1:$G$405)+SUMIF(AGUA!$B$1:$B$489,$B48,AGUA!$G$1:$G$489)</f>
        <v>#REF!</v>
      </c>
      <c r="G48" s="458">
        <f>SUMIF(ADM!$B$1:$B$496,$B48,ADM!$G$1:$G$496)+SUMIF(TOP!$B$1:$B$484,$B48,TOP!$G$1:$G$484)+SUMIF(LAB!$B$1:$B$487,$B48,LAB!$G$1:$G$487)+SUMIF(QSMS!$B$1:$B$479,$B48,QSMS!$G$1:$G$479)+SUMIF(MEC!$B$1:$B$500,$B48,MEC!$G$1:$G$500)</f>
        <v>0</v>
      </c>
      <c r="L48" s="996" t="s">
        <v>570</v>
      </c>
      <c r="M48" s="404">
        <f>2305.6*K2</f>
        <v>2305.6</v>
      </c>
      <c r="N48" s="404">
        <f t="shared" si="5"/>
        <v>10.48</v>
      </c>
      <c r="O48" s="404">
        <f t="shared" si="6"/>
        <v>21.064799999999998</v>
      </c>
    </row>
    <row r="49" spans="1:17">
      <c r="A49" t="s">
        <v>570</v>
      </c>
      <c r="B49" t="s">
        <v>571</v>
      </c>
      <c r="C49" s="183" t="s">
        <v>474</v>
      </c>
      <c r="D49" s="236">
        <f>M48</f>
        <v>2305.6</v>
      </c>
      <c r="E49" s="236">
        <f t="shared" si="4"/>
        <v>4749.5360000000001</v>
      </c>
      <c r="F49" s="458" t="e">
        <f>SUMIF(EQUIPE!$B$1:$B$135,$B49,EQUIPE!$G$1:$G$135)+SUMIF(#REF!,$B49,#REF!)+SUMIF(#REF!,$B49,#REF!)+SUMIF(DRE!$B$1:$B$405,$B49,DRE!$G$1:$G$405)+SUMIF(AGUA!$B$1:$B$489,$B49,AGUA!$G$1:$G$489)</f>
        <v>#REF!</v>
      </c>
      <c r="G49" s="458">
        <f>SUMIF(ADM!$B$1:$B$496,$B49,ADM!$G$1:$G$496)+SUMIF(TOP!$B$1:$B$484,$B49,TOP!$G$1:$G$484)+SUMIF(LAB!$B$1:$B$487,$B49,LAB!$G$1:$G$487)+SUMIF(QSMS!$B$1:$B$479,$B49,QSMS!$G$1:$G$479)+SUMIF(MEC!$B$1:$B$500,$B49,MEC!$G$1:$G$500)</f>
        <v>0</v>
      </c>
      <c r="L49" s="996" t="s">
        <v>572</v>
      </c>
      <c r="M49" s="404">
        <f>3813.8*K2</f>
        <v>3813.8</v>
      </c>
      <c r="N49" s="404">
        <f t="shared" si="5"/>
        <v>17.335454545454546</v>
      </c>
      <c r="O49" s="404">
        <f t="shared" si="6"/>
        <v>34.844263636363635</v>
      </c>
    </row>
    <row r="50" spans="1:17">
      <c r="A50" t="s">
        <v>572</v>
      </c>
      <c r="B50" t="s">
        <v>573</v>
      </c>
      <c r="C50" s="183" t="s">
        <v>474</v>
      </c>
      <c r="D50" s="236">
        <f>M49</f>
        <v>3813.8</v>
      </c>
      <c r="E50" s="236">
        <f t="shared" si="4"/>
        <v>7856.4280000000008</v>
      </c>
      <c r="F50" s="458" t="e">
        <f>SUMIF(EQUIPE!$B$1:$B$135,$B50,EQUIPE!$G$1:$G$135)+SUMIF(#REF!,$B50,#REF!)+SUMIF(#REF!,$B50,#REF!)+SUMIF(DRE!$B$1:$B$405,$B50,DRE!$G$1:$G$405)+SUMIF(AGUA!$B$1:$B$489,$B50,AGUA!$G$1:$G$489)</f>
        <v>#REF!</v>
      </c>
      <c r="G50" s="458">
        <f>SUMIF(ADM!$B$1:$B$496,$B50,ADM!$G$1:$G$496)+SUMIF(TOP!$B$1:$B$484,$B50,TOP!$G$1:$G$484)+SUMIF(LAB!$B$1:$B$487,$B50,LAB!$G$1:$G$487)+SUMIF(QSMS!$B$1:$B$479,$B50,QSMS!$G$1:$G$479)+SUMIF(MEC!$B$1:$B$500,$B50,MEC!$G$1:$G$500)</f>
        <v>0</v>
      </c>
      <c r="L50" s="996" t="s">
        <v>574</v>
      </c>
      <c r="M50" s="404">
        <f>2305.6*K2</f>
        <v>2305.6</v>
      </c>
      <c r="N50" s="404">
        <f t="shared" si="5"/>
        <v>10.48</v>
      </c>
      <c r="O50" s="404">
        <f t="shared" si="6"/>
        <v>21.064799999999998</v>
      </c>
    </row>
    <row r="51" spans="1:17">
      <c r="A51" t="s">
        <v>574</v>
      </c>
      <c r="B51" t="s">
        <v>575</v>
      </c>
      <c r="C51" s="183" t="s">
        <v>474</v>
      </c>
      <c r="D51" s="236">
        <f t="shared" si="7"/>
        <v>2305.6</v>
      </c>
      <c r="E51" s="236">
        <f t="shared" si="4"/>
        <v>4749.5360000000001</v>
      </c>
      <c r="F51" s="458" t="e">
        <f>SUMIF(EQUIPE!$B$1:$B$135,$B51,EQUIPE!$G$1:$G$135)+SUMIF(#REF!,$B51,#REF!)+SUMIF(#REF!,$B51,#REF!)+SUMIF(DRE!$B$1:$B$405,$B51,DRE!$G$1:$G$405)+SUMIF(AGUA!$B$1:$B$489,$B51,AGUA!$G$1:$G$489)</f>
        <v>#REF!</v>
      </c>
      <c r="G51" s="458">
        <f>SUMIF(ADM!$B$1:$B$496,$B51,ADM!$G$1:$G$496)+SUMIF(TOP!$B$1:$B$484,$B51,TOP!$G$1:$G$484)+SUMIF(LAB!$B$1:$B$487,$B51,LAB!$G$1:$G$487)+SUMIF(QSMS!$B$1:$B$479,$B51,QSMS!$G$1:$G$479)+SUMIF(MEC!$B$1:$B$500,$B51,MEC!$G$1:$G$500)</f>
        <v>0</v>
      </c>
      <c r="L51" s="996" t="s">
        <v>576</v>
      </c>
      <c r="M51" s="404">
        <f>2305.6*K2</f>
        <v>2305.6</v>
      </c>
      <c r="N51" s="404">
        <f t="shared" si="5"/>
        <v>10.48</v>
      </c>
      <c r="O51" s="404">
        <f t="shared" si="6"/>
        <v>21.064799999999998</v>
      </c>
    </row>
    <row r="52" spans="1:17">
      <c r="A52" t="s">
        <v>576</v>
      </c>
      <c r="B52" t="s">
        <v>577</v>
      </c>
      <c r="C52" s="183" t="s">
        <v>474</v>
      </c>
      <c r="D52" s="236">
        <f t="shared" si="7"/>
        <v>2305.6</v>
      </c>
      <c r="E52" s="236">
        <f t="shared" si="4"/>
        <v>4749.5360000000001</v>
      </c>
      <c r="F52" s="458" t="e">
        <f>SUMIF(EQUIPE!$B$1:$B$135,$B52,EQUIPE!$G$1:$G$135)+SUMIF(#REF!,$B52,#REF!)+SUMIF(#REF!,$B52,#REF!)+SUMIF(DRE!$B$1:$B$405,$B52,DRE!$G$1:$G$405)+SUMIF(AGUA!$B$1:$B$489,$B52,AGUA!$G$1:$G$489)</f>
        <v>#REF!</v>
      </c>
      <c r="G52" s="458">
        <f>SUMIF(ADM!$B$1:$B$496,$B52,ADM!$G$1:$G$496)+SUMIF(TOP!$B$1:$B$484,$B52,TOP!$G$1:$G$484)+SUMIF(LAB!$B$1:$B$487,$B52,LAB!$G$1:$G$487)+SUMIF(QSMS!$B$1:$B$479,$B52,QSMS!$G$1:$G$479)+SUMIF(MEC!$B$1:$B$500,$B52,MEC!$G$1:$G$500)</f>
        <v>0</v>
      </c>
      <c r="L52" s="996" t="s">
        <v>988</v>
      </c>
      <c r="M52" s="404">
        <f>2305.6*K2</f>
        <v>2305.6</v>
      </c>
      <c r="N52" s="404">
        <f t="shared" si="5"/>
        <v>10.48</v>
      </c>
      <c r="O52" s="404">
        <f t="shared" si="6"/>
        <v>21.064799999999998</v>
      </c>
    </row>
    <row r="53" spans="1:17">
      <c r="A53" t="s">
        <v>579</v>
      </c>
      <c r="B53" t="s">
        <v>580</v>
      </c>
      <c r="C53" s="183" t="s">
        <v>474</v>
      </c>
      <c r="D53" s="236">
        <f>D46</f>
        <v>2813.8</v>
      </c>
      <c r="E53" s="236">
        <f t="shared" si="4"/>
        <v>5796.4279999999999</v>
      </c>
      <c r="F53" s="458" t="e">
        <f>SUMIF(EQUIPE!$B$1:$B$135,$B53,EQUIPE!$G$1:$G$135)+SUMIF(#REF!,$B53,#REF!)+SUMIF(#REF!,$B53,#REF!)+SUMIF(DRE!$B$1:$B$405,$B53,DRE!$G$1:$G$405)+SUMIF(AGUA!$B$1:$B$489,$B53,AGUA!$G$1:$G$489)</f>
        <v>#REF!</v>
      </c>
      <c r="G53" s="458">
        <f>SUMIF(ADM!$B$1:$B$496,$B53,ADM!$G$1:$G$496)+SUMIF(TOP!$B$1:$B$484,$B53,TOP!$G$1:$G$484)+SUMIF(LAB!$B$1:$B$487,$B53,LAB!$G$1:$G$487)+SUMIF(QSMS!$B$1:$B$479,$B53,QSMS!$G$1:$G$479)+SUMIF(MEC!$B$1:$B$500,$B53,MEC!$G$1:$G$500)</f>
        <v>0</v>
      </c>
      <c r="L53" s="996" t="s">
        <v>581</v>
      </c>
      <c r="M53" s="404">
        <f>2305.6*K2</f>
        <v>2305.6</v>
      </c>
      <c r="N53" s="404">
        <f t="shared" si="5"/>
        <v>10.48</v>
      </c>
      <c r="O53" s="404">
        <f t="shared" si="6"/>
        <v>21.064799999999998</v>
      </c>
    </row>
    <row r="54" spans="1:17">
      <c r="A54" t="s">
        <v>988</v>
      </c>
      <c r="B54" t="s">
        <v>582</v>
      </c>
      <c r="C54" s="183" t="s">
        <v>474</v>
      </c>
      <c r="D54" s="236">
        <f>M52</f>
        <v>2305.6</v>
      </c>
      <c r="E54" s="236">
        <f t="shared" si="4"/>
        <v>4749.5360000000001</v>
      </c>
      <c r="F54" s="458" t="e">
        <f>SUMIF(EQUIPE!$B$1:$B$135,$B54,EQUIPE!$G$1:$G$135)+SUMIF(#REF!,$B54,#REF!)+SUMIF(#REF!,$B54,#REF!)+SUMIF(DRE!$B$1:$B$405,$B54,DRE!$G$1:$G$405)+SUMIF(AGUA!$B$1:$B$489,$B54,AGUA!$G$1:$G$489)</f>
        <v>#REF!</v>
      </c>
      <c r="G54" s="458">
        <f>SUMIF(ADM!$B$1:$B$496,$B54,ADM!$G$1:$G$496)+SUMIF(TOP!$B$1:$B$484,$B54,TOP!$G$1:$G$484)+SUMIF(LAB!$B$1:$B$487,$B54,LAB!$G$1:$G$487)+SUMIF(QSMS!$B$1:$B$479,$B54,QSMS!$G$1:$G$479)+SUMIF(MEC!$B$1:$B$500,$B54,MEC!$G$1:$G$500)</f>
        <v>0</v>
      </c>
      <c r="L54" s="954" t="s">
        <v>583</v>
      </c>
      <c r="M54" s="404">
        <f>1548.8*K2</f>
        <v>1548.8</v>
      </c>
      <c r="N54" s="404">
        <f t="shared" si="5"/>
        <v>7.04</v>
      </c>
      <c r="O54" s="404">
        <f t="shared" si="6"/>
        <v>14.150399999999999</v>
      </c>
    </row>
    <row r="55" spans="1:17">
      <c r="A55" t="s">
        <v>581</v>
      </c>
      <c r="B55" t="s">
        <v>584</v>
      </c>
      <c r="C55" s="183" t="s">
        <v>474</v>
      </c>
      <c r="D55" s="236">
        <f t="shared" ref="D55:D61" si="8">M53</f>
        <v>2305.6</v>
      </c>
      <c r="E55" s="236">
        <f t="shared" si="4"/>
        <v>4749.5360000000001</v>
      </c>
      <c r="F55" s="458" t="e">
        <f>SUMIF(EQUIPE!$B$1:$B$135,$B55,EQUIPE!$G$1:$G$135)+SUMIF(#REF!,$B55,#REF!)+SUMIF(#REF!,$B55,#REF!)+SUMIF(DRE!$B$1:$B$405,$B55,DRE!$G$1:$G$405)+SUMIF(AGUA!$B$1:$B$489,$B55,AGUA!$G$1:$G$489)</f>
        <v>#REF!</v>
      </c>
      <c r="G55" s="458">
        <f>SUMIF(ADM!$B$1:$B$496,$B55,ADM!$G$1:$G$496)+SUMIF(TOP!$B$1:$B$484,$B55,TOP!$G$1:$G$484)+SUMIF(LAB!$B$1:$B$487,$B55,LAB!$G$1:$G$487)+SUMIF(QSMS!$B$1:$B$479,$B55,QSMS!$G$1:$G$479)+SUMIF(MEC!$B$1:$B$500,$B55,MEC!$G$1:$G$500)</f>
        <v>0</v>
      </c>
      <c r="L55" s="403" t="s">
        <v>585</v>
      </c>
      <c r="M55" s="404">
        <f>1518*K2</f>
        <v>1518</v>
      </c>
      <c r="N55" s="404">
        <f t="shared" si="5"/>
        <v>6.9</v>
      </c>
      <c r="O55" s="404">
        <f t="shared" si="6"/>
        <v>13.869</v>
      </c>
    </row>
    <row r="56" spans="1:17">
      <c r="A56" t="s">
        <v>583</v>
      </c>
      <c r="B56" t="s">
        <v>586</v>
      </c>
      <c r="C56" s="183" t="s">
        <v>474</v>
      </c>
      <c r="D56" s="236">
        <f t="shared" si="8"/>
        <v>1548.8</v>
      </c>
      <c r="E56" s="236">
        <f t="shared" si="4"/>
        <v>3190.5280000000002</v>
      </c>
      <c r="F56" s="458" t="e">
        <f>SUMIF(EQUIPE!$B$1:$B$135,$B56,EQUIPE!$G$1:$G$135)+SUMIF(#REF!,$B56,#REF!)+SUMIF(#REF!,$B56,#REF!)+SUMIF(DRE!$B$1:$B$405,$B56,DRE!$G$1:$G$405)+SUMIF(AGUA!$B$1:$B$489,$B56,AGUA!$G$1:$G$489)</f>
        <v>#REF!</v>
      </c>
      <c r="G56" s="458">
        <f>SUMIF(ADM!$B$1:$B$496,$B56,ADM!$G$1:$G$496)+SUMIF(TOP!$B$1:$B$484,$B56,TOP!$G$1:$G$484)+SUMIF(LAB!$B$1:$B$487,$B56,LAB!$G$1:$G$487)+SUMIF(QSMS!$B$1:$B$479,$B56,QSMS!$G$1:$G$479)+SUMIF(MEC!$B$1:$B$500,$B56,MEC!$G$1:$G$500)</f>
        <v>0</v>
      </c>
      <c r="L56" s="403" t="s">
        <v>434</v>
      </c>
      <c r="M56" s="404">
        <v>8500</v>
      </c>
      <c r="N56" s="404"/>
      <c r="O56" s="404"/>
      <c r="P56" s="39" t="s">
        <v>402</v>
      </c>
    </row>
    <row r="57" spans="1:17">
      <c r="A57" t="s">
        <v>585</v>
      </c>
      <c r="B57" t="s">
        <v>587</v>
      </c>
      <c r="C57" s="183" t="s">
        <v>474</v>
      </c>
      <c r="D57" s="236">
        <f t="shared" si="8"/>
        <v>1518</v>
      </c>
      <c r="E57" s="236">
        <f t="shared" si="4"/>
        <v>3127.08</v>
      </c>
      <c r="F57" s="458" t="e">
        <f>SUMIF(EQUIPE!$B$1:$B$135,$B57,EQUIPE!$G$1:$G$135)+SUMIF(#REF!,$B57,#REF!)+SUMIF(#REF!,$B57,#REF!)+SUMIF(DRE!$B$1:$B$405,$B57,DRE!$G$1:$G$405)+SUMIF(AGUA!$B$1:$B$489,$B57,AGUA!$G$1:$G$489)</f>
        <v>#REF!</v>
      </c>
      <c r="G57" s="458">
        <f>SUMIF(ADM!$B$1:$B$496,$B57,ADM!$G$1:$G$496)+SUMIF(TOP!$B$1:$B$484,$B57,TOP!$G$1:$G$484)+SUMIF(LAB!$B$1:$B$487,$B57,LAB!$G$1:$G$487)+SUMIF(QSMS!$B$1:$B$479,$B57,QSMS!$G$1:$G$479)+SUMIF(MEC!$B$1:$B$500,$B57,MEC!$G$1:$G$500)</f>
        <v>0</v>
      </c>
      <c r="L57" s="403" t="s">
        <v>428</v>
      </c>
      <c r="M57" s="404">
        <v>15000</v>
      </c>
      <c r="N57" s="404"/>
      <c r="O57" s="404"/>
      <c r="P57" s="39" t="s">
        <v>402</v>
      </c>
      <c r="Q57" s="40"/>
    </row>
    <row r="58" spans="1:17">
      <c r="A58" t="s">
        <v>434</v>
      </c>
      <c r="B58" t="s">
        <v>588</v>
      </c>
      <c r="C58" s="183" t="s">
        <v>504</v>
      </c>
      <c r="D58" s="236">
        <f t="shared" si="8"/>
        <v>8500</v>
      </c>
      <c r="E58" s="236">
        <f t="shared" si="4"/>
        <v>8500</v>
      </c>
      <c r="F58" s="458" t="e">
        <f>SUMIF(EQUIPE!$B$1:$B$135,$B58,EQUIPE!$G$1:$G$135)+SUMIF(#REF!,$B58,#REF!)+SUMIF(#REF!,$B58,#REF!)+SUMIF(DRE!$B$1:$B$405,$B58,DRE!$G$1:$G$405)+SUMIF(AGUA!$B$1:$B$489,$B58,AGUA!$G$1:$G$489)</f>
        <v>#REF!</v>
      </c>
      <c r="G58" s="458">
        <f>SUMIF(ADM!$B$1:$B$496,$B58,ADM!$G$1:$G$496)+SUMIF(TOP!$B$1:$B$484,$B58,TOP!$G$1:$G$484)+SUMIF(LAB!$B$1:$B$487,$B58,LAB!$G$1:$G$487)+SUMIF(QSMS!$B$1:$B$479,$B58,QSMS!$G$1:$G$479)+SUMIF(MEC!$B$1:$B$500,$B58,MEC!$G$1:$G$500)</f>
        <v>2</v>
      </c>
      <c r="L58" s="403" t="s">
        <v>589</v>
      </c>
      <c r="M58" s="404">
        <f>5000*K2</f>
        <v>5000</v>
      </c>
      <c r="N58" s="404">
        <f t="shared" si="5"/>
        <v>22.727272727272727</v>
      </c>
      <c r="O58" s="404">
        <f>(M58*$R$2)/$Q$2</f>
        <v>45.681818181818173</v>
      </c>
    </row>
    <row r="59" spans="1:17">
      <c r="A59" t="s">
        <v>428</v>
      </c>
      <c r="B59" t="s">
        <v>590</v>
      </c>
      <c r="C59" s="183" t="s">
        <v>504</v>
      </c>
      <c r="D59" s="236">
        <f t="shared" si="8"/>
        <v>15000</v>
      </c>
      <c r="E59" s="236">
        <f t="shared" si="4"/>
        <v>15000</v>
      </c>
      <c r="F59" s="458" t="e">
        <f>SUMIF(EQUIPE!$B$1:$B$135,$B59,EQUIPE!$G$1:$G$135)+SUMIF(#REF!,$B59,#REF!)+SUMIF(#REF!,$B59,#REF!)+SUMIF(DRE!$B$1:$B$405,$B59,DRE!$G$1:$G$405)+SUMIF(AGUA!$B$1:$B$489,$B59,AGUA!$G$1:$G$489)</f>
        <v>#REF!</v>
      </c>
      <c r="G59" s="458">
        <f>SUMIF(ADM!$B$1:$B$496,$B59,ADM!$G$1:$G$496)+SUMIF(TOP!$B$1:$B$484,$B59,TOP!$G$1:$G$484)+SUMIF(LAB!$B$1:$B$487,$B59,LAB!$G$1:$G$487)+SUMIF(QSMS!$B$1:$B$479,$B59,QSMS!$G$1:$G$479)+SUMIF(MEC!$B$1:$B$500,$B59,MEC!$G$1:$G$500)</f>
        <v>1</v>
      </c>
      <c r="L59" s="403" t="s">
        <v>591</v>
      </c>
      <c r="M59" s="404">
        <f>2483.8*K2</f>
        <v>2483.8000000000002</v>
      </c>
      <c r="N59" s="404">
        <f t="shared" si="5"/>
        <v>11.290000000000001</v>
      </c>
      <c r="O59" s="404">
        <f>(M59*$R$2)/$Q$2</f>
        <v>22.692900000000002</v>
      </c>
    </row>
    <row r="60" spans="1:17">
      <c r="A60" t="s">
        <v>589</v>
      </c>
      <c r="B60" t="s">
        <v>592</v>
      </c>
      <c r="C60" s="183" t="s">
        <v>474</v>
      </c>
      <c r="D60" s="236">
        <f t="shared" si="8"/>
        <v>5000</v>
      </c>
      <c r="E60" s="236">
        <f t="shared" si="4"/>
        <v>10300</v>
      </c>
      <c r="F60" s="458" t="e">
        <f>SUMIF(EQUIPE!$B$1:$B$135,$B60,EQUIPE!$G$1:$G$135)+SUMIF(#REF!,$B60,#REF!)+SUMIF(#REF!,$B60,#REF!)+SUMIF(DRE!$B$1:$B$405,$B60,DRE!$G$1:$G$405)+SUMIF(AGUA!$B$1:$B$489,$B60,AGUA!$G$1:$G$489)</f>
        <v>#REF!</v>
      </c>
      <c r="G60" s="458">
        <f>SUMIF(ADM!$B$1:$B$496,$B60,ADM!$G$1:$G$496)+SUMIF(TOP!$B$1:$B$484,$B60,TOP!$G$1:$G$484)+SUMIF(LAB!$B$1:$B$487,$B60,LAB!$G$1:$G$487)+SUMIF(QSMS!$B$1:$B$479,$B60,QSMS!$G$1:$G$479)+SUMIF(MEC!$B$1:$B$500,$B60,MEC!$G$1:$G$500)</f>
        <v>0</v>
      </c>
      <c r="L60" s="403" t="s">
        <v>1164</v>
      </c>
      <c r="M60" s="404">
        <v>2300</v>
      </c>
      <c r="N60" s="404">
        <f t="shared" si="5"/>
        <v>10.454545454545455</v>
      </c>
      <c r="O60" s="404">
        <f t="shared" ref="O60:O72" si="9">(M60*$R$2)/$Q$2</f>
        <v>21.013636363636358</v>
      </c>
    </row>
    <row r="61" spans="1:17">
      <c r="A61" t="s">
        <v>591</v>
      </c>
      <c r="B61" t="s">
        <v>593</v>
      </c>
      <c r="C61" s="183" t="s">
        <v>474</v>
      </c>
      <c r="D61" s="236">
        <f t="shared" si="8"/>
        <v>2483.8000000000002</v>
      </c>
      <c r="E61" s="236"/>
      <c r="F61" s="458"/>
      <c r="G61" s="458"/>
      <c r="L61" s="403" t="s">
        <v>1069</v>
      </c>
      <c r="M61" s="404">
        <f>1995.93*K2</f>
        <v>1995.93</v>
      </c>
      <c r="N61" s="404">
        <f t="shared" si="5"/>
        <v>9.0724090909090904</v>
      </c>
      <c r="O61" s="404">
        <f t="shared" si="9"/>
        <v>18.235542272727272</v>
      </c>
    </row>
    <row r="62" spans="1:17">
      <c r="A62" t="s">
        <v>436</v>
      </c>
      <c r="B62" t="s">
        <v>593</v>
      </c>
      <c r="C62" s="183" t="s">
        <v>504</v>
      </c>
      <c r="D62" s="236">
        <v>7000</v>
      </c>
      <c r="E62" s="236">
        <f t="shared" si="4"/>
        <v>7000</v>
      </c>
      <c r="F62" s="458" t="e">
        <f>SUMIF(EQUIPE!$B$1:$B$135,$B62,EQUIPE!$G$1:$G$135)+SUMIF(#REF!,$B62,#REF!)+SUMIF(#REF!,$B62,#REF!)+SUMIF(DRE!$B$1:$B$405,$B62,DRE!$G$1:$G$405)+SUMIF(AGUA!$B$1:$B$489,$B62,AGUA!$G$1:$G$489)</f>
        <v>#REF!</v>
      </c>
      <c r="G62" s="458">
        <f>SUMIF(ADM!$B$1:$B$496,$B62,ADM!$G$1:$G$496)+SUMIF(TOP!$B$1:$B$484,$B62,TOP!$G$1:$G$484)+SUMIF(LAB!$B$1:$B$487,$B62,LAB!$G$1:$G$487)+SUMIF(QSMS!$B$1:$B$479,$B62,QSMS!$G$1:$G$479)+SUMIF(MEC!$B$1:$B$500,$B62,MEC!$G$1:$G$500)</f>
        <v>0</v>
      </c>
      <c r="L62" s="403" t="s">
        <v>1196</v>
      </c>
      <c r="M62" s="404">
        <f>5000</f>
        <v>5000</v>
      </c>
      <c r="N62" s="404"/>
      <c r="O62" s="404"/>
      <c r="P62" s="39" t="s">
        <v>402</v>
      </c>
    </row>
    <row r="63" spans="1:17">
      <c r="A63" t="s">
        <v>547</v>
      </c>
      <c r="B63" t="s">
        <v>594</v>
      </c>
      <c r="C63" s="183" t="s">
        <v>474</v>
      </c>
      <c r="D63" s="236">
        <f>D37</f>
        <v>2530</v>
      </c>
      <c r="E63" s="236">
        <f t="shared" si="4"/>
        <v>5211.8</v>
      </c>
      <c r="F63" s="458" t="e">
        <f>SUMIF(EQUIPE!$B$1:$B$135,$B63,EQUIPE!$G$1:$G$135)+SUMIF(#REF!,$B63,#REF!)+SUMIF(#REF!,$B63,#REF!)+SUMIF(DRE!$B$1:$B$405,$B63,DRE!$G$1:$G$405)+SUMIF(AGUA!$B$1:$B$489,$B63,AGUA!$G$1:$G$489)</f>
        <v>#REF!</v>
      </c>
      <c r="G63" s="458">
        <f>SUMIF(ADM!$B$1:$B$496,$B63,ADM!$G$1:$G$496)+SUMIF(TOP!$B$1:$B$484,$B63,TOP!$G$1:$G$484)+SUMIF(LAB!$B$1:$B$487,$B63,LAB!$G$1:$G$487)+SUMIF(QSMS!$B$1:$B$479,$B63,QSMS!$G$1:$G$479)+SUMIF(MEC!$B$1:$B$500,$B63,MEC!$G$1:$G$500)</f>
        <v>0</v>
      </c>
      <c r="L63" s="954" t="s">
        <v>1165</v>
      </c>
      <c r="M63" s="404">
        <f>3542*K2</f>
        <v>3542</v>
      </c>
      <c r="N63" s="404">
        <f t="shared" si="5"/>
        <v>16.100000000000001</v>
      </c>
      <c r="O63" s="404">
        <f t="shared" si="9"/>
        <v>32.360999999999997</v>
      </c>
    </row>
    <row r="64" spans="1:17">
      <c r="A64" t="s">
        <v>595</v>
      </c>
      <c r="B64" t="s">
        <v>596</v>
      </c>
      <c r="C64" s="183" t="s">
        <v>474</v>
      </c>
      <c r="D64" s="236">
        <v>3000</v>
      </c>
      <c r="E64" s="236">
        <f t="shared" si="4"/>
        <v>6180</v>
      </c>
      <c r="F64" s="458" t="e">
        <f>SUMIF(EQUIPE!$B$1:$B$135,$B64,EQUIPE!$G$1:$G$135)+SUMIF(#REF!,$B64,#REF!)+SUMIF(#REF!,$B64,#REF!)+SUMIF(DRE!$B$1:$B$405,$B64,DRE!$G$1:$G$405)+SUMIF(AGUA!$B$1:$B$489,$B64,AGUA!$G$1:$G$489)</f>
        <v>#REF!</v>
      </c>
      <c r="G64" s="458">
        <f>SUMIF(ADM!$B$1:$B$496,$B64,ADM!$G$1:$G$496)+SUMIF(TOP!$B$1:$B$484,$B64,TOP!$G$1:$G$484)+SUMIF(LAB!$B$1:$B$487,$B64,LAB!$G$1:$G$487)+SUMIF(QSMS!$B$1:$B$479,$B64,QSMS!$G$1:$G$479)+SUMIF(MEC!$B$1:$B$500,$B64,MEC!$G$1:$G$500)</f>
        <v>0</v>
      </c>
      <c r="L64" s="403" t="s">
        <v>547</v>
      </c>
      <c r="M64" s="404">
        <f>2656.5*K2</f>
        <v>2656.5</v>
      </c>
      <c r="N64" s="403">
        <f t="shared" si="5"/>
        <v>12.074999999999999</v>
      </c>
      <c r="O64" s="403">
        <f t="shared" si="9"/>
        <v>24.27075</v>
      </c>
    </row>
    <row r="65" spans="1:16">
      <c r="A65" t="s">
        <v>597</v>
      </c>
      <c r="B65" t="s">
        <v>598</v>
      </c>
      <c r="C65" s="183" t="s">
        <v>474</v>
      </c>
      <c r="D65" s="236">
        <f>M65</f>
        <v>2956.17</v>
      </c>
      <c r="E65" s="236">
        <f t="shared" si="4"/>
        <v>6089.7102000000004</v>
      </c>
      <c r="F65" s="458" t="e">
        <f>SUMIF(EQUIPE!$B$1:$B$135,$B65,EQUIPE!$G$1:$G$135)+SUMIF(#REF!,$B65,#REF!)+SUMIF(#REF!,$B65,#REF!)+SUMIF(DRE!$B$1:$B$405,$B65,DRE!$G$1:$G$405)+SUMIF(AGUA!$B$1:$B$489,$B65,AGUA!$G$1:$G$489)</f>
        <v>#REF!</v>
      </c>
      <c r="G65" s="458">
        <f>SUMIF(ADM!$B$1:$B$496,$B65,ADM!$G$1:$G$496)+SUMIF(TOP!$B$1:$B$484,$B65,TOP!$G$1:$G$484)+SUMIF(LAB!$B$1:$B$487,$B65,LAB!$G$1:$G$487)+SUMIF(QSMS!$B$1:$B$479,$B65,QSMS!$G$1:$G$479)+SUMIF(MEC!$B$1:$B$500,$B65,MEC!$G$1:$G$500)</f>
        <v>0</v>
      </c>
      <c r="L65" s="403" t="s">
        <v>1166</v>
      </c>
      <c r="M65" s="404">
        <f>2956.17*K2</f>
        <v>2956.17</v>
      </c>
      <c r="N65" s="1037">
        <f t="shared" si="5"/>
        <v>13.437136363636364</v>
      </c>
      <c r="O65" s="403">
        <f t="shared" si="9"/>
        <v>27.008644090909087</v>
      </c>
    </row>
    <row r="66" spans="1:16">
      <c r="A66" t="s">
        <v>1164</v>
      </c>
      <c r="B66" t="s">
        <v>599</v>
      </c>
      <c r="C66" s="183" t="s">
        <v>474</v>
      </c>
      <c r="D66" s="236">
        <f>M60</f>
        <v>2300</v>
      </c>
      <c r="E66" s="236">
        <f t="shared" si="4"/>
        <v>4738</v>
      </c>
      <c r="F66" s="458" t="e">
        <f>SUMIF(EQUIPE!$B$1:$B$135,$B66,EQUIPE!$G$1:$G$135)+SUMIF(#REF!,$B66,#REF!)+SUMIF(#REF!,$B66,#REF!)+SUMIF(DRE!$B$1:$B$405,$B66,DRE!$G$1:$G$405)+SUMIF(AGUA!$B$1:$B$489,$B66,AGUA!$G$1:$G$489)</f>
        <v>#REF!</v>
      </c>
      <c r="G66" s="458">
        <f>SUMIF(ADM!$B$1:$B$496,$B66,ADM!$G$1:$G$496)+SUMIF(TOP!$B$1:$B$484,$B66,TOP!$G$1:$G$484)+SUMIF(LAB!$B$1:$B$487,$B66,LAB!$G$1:$G$487)+SUMIF(QSMS!$B$1:$B$479,$B66,QSMS!$G$1:$G$479)+SUMIF(MEC!$B$1:$B$500,$B66,MEC!$G$1:$G$500)</f>
        <v>2</v>
      </c>
      <c r="L66" s="403" t="s">
        <v>1167</v>
      </c>
      <c r="M66" s="404">
        <f>2594.04*K2</f>
        <v>2594.04</v>
      </c>
      <c r="N66" s="404">
        <f t="shared" si="5"/>
        <v>11.79109090909091</v>
      </c>
      <c r="O66" s="404">
        <f t="shared" si="9"/>
        <v>23.700092727272725</v>
      </c>
    </row>
    <row r="67" spans="1:16">
      <c r="A67" t="s">
        <v>1069</v>
      </c>
      <c r="B67" t="s">
        <v>1108</v>
      </c>
      <c r="C67" s="183" t="s">
        <v>474</v>
      </c>
      <c r="D67" s="236">
        <f>M61</f>
        <v>1995.93</v>
      </c>
      <c r="E67" s="236">
        <f t="shared" ref="E67:E80" si="10">IF($C67="h",$D67+($D67*HORISTA),IF($C67="mês",$D67+($D67*MENSALISTA),D67))</f>
        <v>4111.6158000000005</v>
      </c>
      <c r="F67" s="458" t="e">
        <f>SUMIF(EQUIPE!$B$1:$B$135,$B67,EQUIPE!$G$1:$G$135)+SUMIF(#REF!,$B67,#REF!)+SUMIF(#REF!,$B67,#REF!)+SUMIF(DRE!$B$1:$B$405,$B67,DRE!$G$1:$G$405)+SUMIF(AGUA!$B$1:$B$489,$B67,AGUA!$G$1:$G$489)</f>
        <v>#REF!</v>
      </c>
      <c r="G67" s="458">
        <f>SUMIF(ADM!$B$1:$B$496,$B67,ADM!$G$1:$G$496)+SUMIF(TOP!$B$1:$B$484,$B67,TOP!$G$1:$G$484)+SUMIF(LAB!$B$1:$B$487,$B67,LAB!$G$1:$G$487)+SUMIF(QSMS!$B$1:$B$479,$B67,QSMS!$G$1:$G$479)+SUMIF(MEC!$B$1:$B$500,$B67,MEC!$G$1:$G$500)</f>
        <v>0</v>
      </c>
      <c r="L67" s="403" t="s">
        <v>1168</v>
      </c>
      <c r="M67" s="404">
        <f>2525.77*K2</f>
        <v>2525.77</v>
      </c>
      <c r="N67" s="404">
        <f t="shared" si="5"/>
        <v>11.480772727272727</v>
      </c>
      <c r="O67" s="404">
        <f t="shared" si="9"/>
        <v>23.076353181818178</v>
      </c>
    </row>
    <row r="68" spans="1:16">
      <c r="A68" t="s">
        <v>1195</v>
      </c>
      <c r="B68" t="s">
        <v>1109</v>
      </c>
      <c r="C68" s="183" t="s">
        <v>504</v>
      </c>
      <c r="D68" s="236">
        <f>M62</f>
        <v>5000</v>
      </c>
      <c r="E68" s="236">
        <f t="shared" si="10"/>
        <v>5000</v>
      </c>
      <c r="F68" s="458" t="e">
        <f>SUMIF(EQUIPE!$B$1:$B$135,$B68,EQUIPE!$G$1:$G$135)+SUMIF(#REF!,$B68,#REF!)+SUMIF(#REF!,$B68,#REF!)+SUMIF(DRE!$B$1:$B$405,$B68,DRE!$G$1:$G$405)+SUMIF(AGUA!$B$1:$B$489,$B68,AGUA!$G$1:$G$489)</f>
        <v>#REF!</v>
      </c>
      <c r="G68" s="458">
        <f>SUMIF(ADM!$B$1:$B$496,$B68,ADM!$G$1:$G$496)+SUMIF(TOP!$B$1:$B$484,$B68,TOP!$G$1:$G$484)+SUMIF(LAB!$B$1:$B$487,$B68,LAB!$G$1:$G$487)+SUMIF(QSMS!$B$1:$B$479,$B68,QSMS!$G$1:$G$479)+SUMIF(MEC!$B$1:$B$500,$B68,MEC!$G$1:$G$500)</f>
        <v>0</v>
      </c>
      <c r="L68" s="403" t="s">
        <v>1169</v>
      </c>
      <c r="M68" s="404">
        <f>3360*K2</f>
        <v>3360</v>
      </c>
      <c r="N68" s="404">
        <f t="shared" si="5"/>
        <v>15.272727272727273</v>
      </c>
      <c r="O68" s="404">
        <f t="shared" si="9"/>
        <v>30.698181818181816</v>
      </c>
    </row>
    <row r="69" spans="1:16">
      <c r="A69" t="s">
        <v>1165</v>
      </c>
      <c r="B69" t="s">
        <v>1110</v>
      </c>
      <c r="C69" s="183" t="s">
        <v>474</v>
      </c>
      <c r="D69" s="236">
        <f>M63</f>
        <v>3542</v>
      </c>
      <c r="E69" s="236">
        <f t="shared" si="10"/>
        <v>7296.52</v>
      </c>
      <c r="F69" s="458" t="e">
        <f>SUMIF(EQUIPE!$B$1:$B$135,$B69,EQUIPE!$G$1:$G$135)+SUMIF(#REF!,$B69,#REF!)+SUMIF(#REF!,$B69,#REF!)+SUMIF(DRE!$B$1:$B$405,$B69,DRE!$G$1:$G$405)+SUMIF(AGUA!$B$1:$B$489,$B69,AGUA!$G$1:$G$489)</f>
        <v>#REF!</v>
      </c>
      <c r="G69" s="458">
        <f>SUMIF(ADM!$B$1:$B$496,$B69,ADM!$G$1:$G$496)+SUMIF(TOP!$B$1:$B$484,$B69,TOP!$G$1:$G$484)+SUMIF(LAB!$B$1:$B$487,$B69,LAB!$G$1:$G$487)+SUMIF(QSMS!$B$1:$B$479,$B69,QSMS!$G$1:$G$479)+SUMIF(MEC!$B$1:$B$500,$B69,MEC!$G$1:$G$500)</f>
        <v>0</v>
      </c>
      <c r="L69" s="403" t="s">
        <v>1170</v>
      </c>
      <c r="M69" s="404">
        <f>1000*K2</f>
        <v>1000</v>
      </c>
      <c r="N69" s="404">
        <f t="shared" si="5"/>
        <v>4.5454545454545459</v>
      </c>
      <c r="O69" s="404">
        <f t="shared" si="9"/>
        <v>9.1363636363636349</v>
      </c>
    </row>
    <row r="70" spans="1:16">
      <c r="A70" t="s">
        <v>1167</v>
      </c>
      <c r="B70" t="s">
        <v>1112</v>
      </c>
      <c r="C70" s="183" t="s">
        <v>474</v>
      </c>
      <c r="D70" s="236">
        <f>M66</f>
        <v>2594.04</v>
      </c>
      <c r="E70" s="236">
        <f t="shared" si="10"/>
        <v>5343.7224000000006</v>
      </c>
      <c r="F70" s="458" t="e">
        <f>SUMIF(EQUIPE!$B$1:$B$135,$B70,EQUIPE!$G$1:$G$135)+SUMIF(#REF!,$B70,#REF!)+SUMIF(#REF!,$B70,#REF!)+SUMIF(DRE!$B$1:$B$405,$B70,DRE!$G$1:$G$405)+SUMIF(AGUA!$B$1:$B$489,$B70,AGUA!$G$1:$G$489)</f>
        <v>#REF!</v>
      </c>
      <c r="G70" s="458">
        <f>SUMIF(ADM!$B$1:$B$496,$B70,ADM!$G$1:$G$496)+SUMIF(TOP!$B$1:$B$484,$B70,TOP!$G$1:$G$484)+SUMIF(LAB!$B$1:$B$487,$B70,LAB!$G$1:$G$487)+SUMIF(QSMS!$B$1:$B$479,$B70,QSMS!$G$1:$G$479)+SUMIF(MEC!$B$1:$B$500,$B70,MEC!$G$1:$G$500)</f>
        <v>0</v>
      </c>
      <c r="L70" s="403" t="s">
        <v>1116</v>
      </c>
      <c r="M70" s="404">
        <f>3391.5*K2</f>
        <v>3391.5</v>
      </c>
      <c r="N70" s="404">
        <f t="shared" si="5"/>
        <v>15.415909090909091</v>
      </c>
      <c r="O70" s="404">
        <f t="shared" si="9"/>
        <v>30.985977272727268</v>
      </c>
    </row>
    <row r="71" spans="1:16">
      <c r="A71" t="s">
        <v>1172</v>
      </c>
      <c r="B71" t="s">
        <v>1114</v>
      </c>
      <c r="C71" s="183" t="s">
        <v>474</v>
      </c>
      <c r="D71" s="236">
        <f>M67</f>
        <v>2525.77</v>
      </c>
      <c r="E71" s="236">
        <f t="shared" si="10"/>
        <v>5203.0861999999997</v>
      </c>
      <c r="F71" s="458" t="e">
        <f>SUMIF(EQUIPE!$B$1:$B$135,$B71,EQUIPE!$G$1:$G$135)+SUMIF(#REF!,$B71,#REF!)+SUMIF(#REF!,$B71,#REF!)+SUMIF(DRE!$B$1:$B$405,$B71,DRE!$G$1:$G$405)+SUMIF(AGUA!$B$1:$B$489,$B71,AGUA!$G$1:$G$489)</f>
        <v>#REF!</v>
      </c>
      <c r="G71" s="458">
        <f>SUMIF(ADM!$B$1:$B$496,$B71,ADM!$G$1:$G$496)+SUMIF(TOP!$B$1:$B$484,$B71,TOP!$G$1:$G$484)+SUMIF(LAB!$B$1:$B$487,$B71,LAB!$G$1:$G$487)+SUMIF(QSMS!$B$1:$B$479,$B71,QSMS!$G$1:$G$479)+SUMIF(MEC!$B$1:$B$500,$B71,MEC!$G$1:$G$500)</f>
        <v>0</v>
      </c>
      <c r="L71" s="955" t="s">
        <v>479</v>
      </c>
      <c r="M71" s="890">
        <f>2754.2*K2</f>
        <v>2754.2</v>
      </c>
      <c r="N71" s="890">
        <f t="shared" si="5"/>
        <v>12.519090909090908</v>
      </c>
      <c r="O71" s="890">
        <f t="shared" si="9"/>
        <v>25.163372727272723</v>
      </c>
    </row>
    <row r="72" spans="1:16">
      <c r="A72" t="str">
        <f t="shared" ref="A72:A79" si="11">L68</f>
        <v>Operador de maquinas da Const Civil</v>
      </c>
      <c r="B72" t="s">
        <v>1115</v>
      </c>
      <c r="C72" s="183" t="s">
        <v>474</v>
      </c>
      <c r="D72" s="236">
        <f>M68</f>
        <v>3360</v>
      </c>
      <c r="E72" s="236">
        <f t="shared" si="10"/>
        <v>6921.6</v>
      </c>
      <c r="F72" s="458" t="e">
        <f>SUMIF(EQUIPE!$B$1:$B$135,$B72,EQUIPE!$G$1:$G$135)+SUMIF(#REF!,$B72,#REF!)+SUMIF(#REF!,$B72,#REF!)+SUMIF(DRE!$B$1:$B$405,$B72,DRE!$G$1:$G$405)+SUMIF(AGUA!$B$1:$B$489,$B72,AGUA!$G$1:$G$489)</f>
        <v>#REF!</v>
      </c>
      <c r="G72" s="458">
        <f>SUMIF(ADM!$B$1:$B$496,$B72,ADM!$G$1:$G$496)+SUMIF(TOP!$B$1:$B$484,$B72,TOP!$G$1:$G$484)+SUMIF(LAB!$B$1:$B$487,$B72,LAB!$G$1:$G$487)+SUMIF(QSMS!$B$1:$B$479,$B72,QSMS!$G$1:$G$479)+SUMIF(MEC!$B$1:$B$500,$B72,MEC!$G$1:$G$500)</f>
        <v>0</v>
      </c>
      <c r="L72" s="403" t="s">
        <v>457</v>
      </c>
      <c r="M72" s="404">
        <v>7000</v>
      </c>
      <c r="N72" s="404">
        <f t="shared" si="5"/>
        <v>31.818181818181817</v>
      </c>
      <c r="O72" s="404">
        <f t="shared" si="9"/>
        <v>63.954545454545446</v>
      </c>
    </row>
    <row r="73" spans="1:16">
      <c r="A73" t="str">
        <f t="shared" si="11"/>
        <v>Estagiário</v>
      </c>
      <c r="B73" t="s">
        <v>1117</v>
      </c>
      <c r="C73" s="183" t="s">
        <v>474</v>
      </c>
      <c r="D73" s="236">
        <f>M69</f>
        <v>1000</v>
      </c>
      <c r="E73" s="236">
        <f t="shared" si="10"/>
        <v>2060</v>
      </c>
      <c r="F73" s="458" t="e">
        <f>SUMIF(EQUIPE!$B$1:$B$135,$B73,EQUIPE!$G$1:$G$135)+SUMIF(#REF!,$B73,#REF!)+SUMIF(#REF!,$B73,#REF!)+SUMIF(DRE!$B$1:$B$405,$B73,DRE!$G$1:$G$405)+SUMIF(AGUA!$B$1:$B$489,$B73,AGUA!$G$1:$G$489)</f>
        <v>#REF!</v>
      </c>
      <c r="G73" s="458">
        <f>SUMIF(ADM!$B$1:$B$496,$B73,ADM!$G$1:$G$496)+SUMIF(TOP!$B$1:$B$484,$B73,TOP!$G$1:$G$484)+SUMIF(LAB!$B$1:$B$487,$B73,LAB!$G$1:$G$487)+SUMIF(QSMS!$B$1:$B$479,$B73,QSMS!$G$1:$G$479)+SUMIF(MEC!$B$1:$B$500,$B73,MEC!$G$1:$G$500)</f>
        <v>0</v>
      </c>
      <c r="L73" s="403" t="s">
        <v>1188</v>
      </c>
      <c r="M73" s="404">
        <v>12000</v>
      </c>
      <c r="N73" s="404"/>
      <c r="O73" s="404"/>
      <c r="P73" t="s">
        <v>402</v>
      </c>
    </row>
    <row r="74" spans="1:16">
      <c r="A74" t="str">
        <f t="shared" si="11"/>
        <v>Motorista de caminhão munck</v>
      </c>
      <c r="B74" t="s">
        <v>1127</v>
      </c>
      <c r="C74" s="183" t="s">
        <v>474</v>
      </c>
      <c r="D74" s="236">
        <f>M70</f>
        <v>3391.5</v>
      </c>
      <c r="E74" s="236">
        <f t="shared" si="10"/>
        <v>6986.49</v>
      </c>
      <c r="F74" s="458" t="e">
        <f>SUMIF(EQUIPE!$B$1:$B$135,$B74,EQUIPE!$G$1:$G$135)+SUMIF(#REF!,$B74,#REF!)+SUMIF(#REF!,$B74,#REF!)+SUMIF(DRE!$B$1:$B$405,$B74,DRE!$G$1:$G$405)+SUMIF(AGUA!$B$1:$B$489,$B74,AGUA!$G$1:$G$489)</f>
        <v>#REF!</v>
      </c>
      <c r="G74" s="458">
        <f>SUMIF(ADM!$B$1:$B$496,$B74,ADM!$G$1:$G$496)+SUMIF(TOP!$B$1:$B$484,$B74,TOP!$G$1:$G$484)+SUMIF(LAB!$B$1:$B$487,$B74,LAB!$G$1:$G$487)+SUMIF(QSMS!$B$1:$B$479,$B74,QSMS!$G$1:$G$479)+SUMIF(MEC!$B$1:$B$500,$B74,MEC!$G$1:$G$500)</f>
        <v>0</v>
      </c>
      <c r="L74" s="403" t="s">
        <v>1190</v>
      </c>
      <c r="M74" s="404">
        <v>12000</v>
      </c>
      <c r="N74" s="404"/>
      <c r="O74" s="404"/>
      <c r="P74" t="s">
        <v>402</v>
      </c>
    </row>
    <row r="75" spans="1:16">
      <c r="A75" t="str">
        <f t="shared" si="11"/>
        <v>Apontador</v>
      </c>
      <c r="B75" t="s">
        <v>1128</v>
      </c>
      <c r="C75" s="183" t="s">
        <v>474</v>
      </c>
      <c r="D75" s="236">
        <f t="shared" ref="D75:D80" si="12">M71</f>
        <v>2754.2</v>
      </c>
      <c r="E75" s="236">
        <f t="shared" si="10"/>
        <v>5673.652</v>
      </c>
      <c r="F75" s="458" t="e">
        <f>SUMIF(EQUIPE!$B$1:$B$135,$B75,EQUIPE!$G$1:$G$135)+SUMIF(#REF!,$B75,#REF!)+SUMIF(#REF!,$B75,#REF!)+SUMIF(DRE!$B$1:$B$405,$B75,DRE!$G$1:$G$405)+SUMIF(AGUA!$B$1:$B$489,$B75,AGUA!$G$1:$G$489)</f>
        <v>#REF!</v>
      </c>
      <c r="G75" s="458">
        <f>SUMIF(ADM!$B$1:$B$496,$B75,ADM!$G$1:$G$496)+SUMIF(TOP!$B$1:$B$484,$B75,TOP!$G$1:$G$484)+SUMIF(LAB!$B$1:$B$487,$B75,LAB!$G$1:$G$487)+SUMIF(QSMS!$B$1:$B$479,$B75,QSMS!$G$1:$G$479)+SUMIF(MEC!$B$1:$B$500,$B75,MEC!$G$1:$G$500)</f>
        <v>1</v>
      </c>
      <c r="L75" s="403" t="s">
        <v>1192</v>
      </c>
      <c r="M75" s="404">
        <f>2543.2*K2</f>
        <v>2543.1999999999998</v>
      </c>
      <c r="N75" s="404">
        <f>M75/$Q$2</f>
        <v>11.559999999999999</v>
      </c>
      <c r="O75" s="404">
        <f>(M75*$R$2)/$Q$2</f>
        <v>23.235599999999998</v>
      </c>
    </row>
    <row r="76" spans="1:16">
      <c r="A76" t="str">
        <f t="shared" si="11"/>
        <v>MECÂNICO</v>
      </c>
      <c r="B76" t="s">
        <v>1187</v>
      </c>
      <c r="C76" s="183" t="s">
        <v>474</v>
      </c>
      <c r="D76" s="236">
        <f t="shared" si="12"/>
        <v>7000</v>
      </c>
      <c r="E76" s="236">
        <f t="shared" si="10"/>
        <v>14420</v>
      </c>
      <c r="F76" s="458" t="e">
        <f>SUMIF(EQUIPE!$B$1:$B$135,$B76,EQUIPE!$G$1:$G$135)+SUMIF(#REF!,$B76,#REF!)+SUMIF(#REF!,$B76,#REF!)+SUMIF(DRE!$B$1:$B$405,$B76,DRE!$G$1:$G$405)+SUMIF(AGUA!$B$1:$B$489,$B76,AGUA!$G$1:$G$489)</f>
        <v>#REF!</v>
      </c>
      <c r="G76" s="458">
        <f>SUMIF(ADM!$B$1:$B$496,$B76,ADM!$G$1:$G$496)+SUMIF(TOP!$B$1:$B$484,$B76,TOP!$G$1:$G$484)+SUMIF(LAB!$B$1:$B$487,$B76,LAB!$G$1:$G$487)+SUMIF(QSMS!$B$1:$B$479,$B76,QSMS!$G$1:$G$479)+SUMIF(MEC!$B$1:$B$500,$B76,MEC!$G$1:$G$500)</f>
        <v>1</v>
      </c>
      <c r="L76" s="954" t="s">
        <v>1272</v>
      </c>
      <c r="M76" s="404">
        <f>5060*K2</f>
        <v>5060</v>
      </c>
      <c r="N76" s="404">
        <f>M76/$Q$2</f>
        <v>23</v>
      </c>
      <c r="O76" s="404">
        <f>(M76*$R$2)/$Q$2</f>
        <v>46.23</v>
      </c>
    </row>
    <row r="77" spans="1:16">
      <c r="A77" t="str">
        <f t="shared" si="11"/>
        <v>Engenheiro Florestal</v>
      </c>
      <c r="B77" t="s">
        <v>1189</v>
      </c>
      <c r="C77" s="183" t="s">
        <v>504</v>
      </c>
      <c r="D77" s="236">
        <f t="shared" si="12"/>
        <v>12000</v>
      </c>
      <c r="E77" s="236">
        <f t="shared" si="10"/>
        <v>12000</v>
      </c>
      <c r="F77" s="459"/>
      <c r="G77" s="458"/>
      <c r="L77" s="984" t="s">
        <v>1403</v>
      </c>
      <c r="M77" s="404">
        <f>3325*K2</f>
        <v>3325</v>
      </c>
      <c r="N77" s="404">
        <f>M77/$Q$2</f>
        <v>15.113636363636363</v>
      </c>
      <c r="O77" s="404">
        <f>(M77*$R$2)/$Q$2</f>
        <v>30.378409090909088</v>
      </c>
    </row>
    <row r="78" spans="1:16">
      <c r="A78" t="str">
        <f t="shared" si="11"/>
        <v>Técnico de Planejamento</v>
      </c>
      <c r="B78" t="s">
        <v>1191</v>
      </c>
      <c r="C78" s="183" t="s">
        <v>504</v>
      </c>
      <c r="D78" s="236">
        <f t="shared" si="12"/>
        <v>12000</v>
      </c>
      <c r="E78" s="236">
        <f t="shared" si="10"/>
        <v>12000</v>
      </c>
      <c r="F78" s="459"/>
      <c r="G78" s="458"/>
      <c r="L78" s="997" t="s">
        <v>1412</v>
      </c>
      <c r="M78" s="404">
        <f>1674.2*K2</f>
        <v>1674.2</v>
      </c>
      <c r="N78" s="404">
        <f>M78/$Q$2</f>
        <v>7.61</v>
      </c>
      <c r="O78" s="404">
        <f>(M78*$R$2)/$Q$2</f>
        <v>15.296099999999999</v>
      </c>
    </row>
    <row r="79" spans="1:16">
      <c r="A79" t="str">
        <f t="shared" si="11"/>
        <v>Porteiro</v>
      </c>
      <c r="B79" t="s">
        <v>1193</v>
      </c>
      <c r="C79" s="183" t="s">
        <v>474</v>
      </c>
      <c r="D79" s="236">
        <f t="shared" si="12"/>
        <v>2543.1999999999998</v>
      </c>
      <c r="E79" s="236">
        <f t="shared" si="10"/>
        <v>5238.9920000000002</v>
      </c>
      <c r="F79" s="459"/>
      <c r="G79" s="458"/>
    </row>
    <row r="80" spans="1:16">
      <c r="A80" t="str">
        <f>L76</f>
        <v>Mestre de obras</v>
      </c>
      <c r="B80" t="s">
        <v>1273</v>
      </c>
      <c r="C80" s="183" t="s">
        <v>474</v>
      </c>
      <c r="D80" s="236">
        <f t="shared" si="12"/>
        <v>5060</v>
      </c>
      <c r="E80" s="236">
        <f t="shared" si="10"/>
        <v>10423.6</v>
      </c>
      <c r="F80" s="459"/>
      <c r="G80" s="458"/>
    </row>
    <row r="81" spans="1:7">
      <c r="A81" t="str">
        <f>L77</f>
        <v>Técnico de enfermagem</v>
      </c>
      <c r="B81" t="s">
        <v>1402</v>
      </c>
      <c r="C81" s="183" t="s">
        <v>474</v>
      </c>
      <c r="D81" s="236">
        <f t="shared" ref="D81" si="13">M77</f>
        <v>3325</v>
      </c>
      <c r="E81" s="236">
        <f t="shared" ref="E81" si="14">IF($C81="h",$D81+($D81*HORISTA),IF($C81="mês",$D81+($D81*MENSALISTA),D81))</f>
        <v>6849.5</v>
      </c>
      <c r="F81" s="459"/>
      <c r="G81" s="458"/>
    </row>
    <row r="82" spans="1:7">
      <c r="A82" t="str">
        <f>L78</f>
        <v>SINALEIRO</v>
      </c>
      <c r="B82" t="s">
        <v>1433</v>
      </c>
      <c r="C82" s="183" t="s">
        <v>474</v>
      </c>
      <c r="D82" s="236">
        <f t="shared" ref="D82" si="15">M78</f>
        <v>1674.2</v>
      </c>
      <c r="E82" s="236">
        <f t="shared" ref="E82" si="16">IF($C82="h",$D82+($D82*HORISTA),IF($C82="mês",$D82+($D82*MENSALISTA),D82))</f>
        <v>3448.8519999999999</v>
      </c>
      <c r="F82" s="459"/>
      <c r="G82" s="458"/>
    </row>
    <row r="83" spans="1:7">
      <c r="D83" s="236"/>
      <c r="E83" s="236">
        <f t="shared" ref="E83:E105" si="17">IF($C83="h",$D83+($D83*HORISTA),IF($C83="mês",$D83+($D83*MENSALISTA),D83))</f>
        <v>0</v>
      </c>
      <c r="F83" s="459"/>
      <c r="G83" s="458"/>
    </row>
    <row r="84" spans="1:7">
      <c r="D84" s="236"/>
      <c r="E84" s="236">
        <f t="shared" si="17"/>
        <v>0</v>
      </c>
      <c r="F84" s="459"/>
      <c r="G84" s="458"/>
    </row>
    <row r="85" spans="1:7">
      <c r="D85" s="236"/>
      <c r="E85" s="236">
        <f t="shared" si="17"/>
        <v>0</v>
      </c>
      <c r="F85" s="459"/>
      <c r="G85" s="458"/>
    </row>
    <row r="86" spans="1:7">
      <c r="D86" s="236"/>
      <c r="E86" s="236">
        <f t="shared" si="17"/>
        <v>0</v>
      </c>
      <c r="F86" s="459"/>
      <c r="G86" s="458"/>
    </row>
    <row r="87" spans="1:7">
      <c r="D87" s="236"/>
      <c r="E87" s="236">
        <f t="shared" si="17"/>
        <v>0</v>
      </c>
      <c r="F87" s="459"/>
      <c r="G87" s="458"/>
    </row>
    <row r="88" spans="1:7">
      <c r="D88" s="236"/>
      <c r="E88" s="236">
        <f t="shared" si="17"/>
        <v>0</v>
      </c>
      <c r="F88" s="459"/>
      <c r="G88" s="458"/>
    </row>
    <row r="89" spans="1:7">
      <c r="D89" s="236"/>
      <c r="E89" s="236">
        <f t="shared" si="17"/>
        <v>0</v>
      </c>
      <c r="F89" s="459"/>
      <c r="G89" s="458"/>
    </row>
    <row r="90" spans="1:7">
      <c r="D90" s="236"/>
      <c r="E90" s="236">
        <f t="shared" si="17"/>
        <v>0</v>
      </c>
      <c r="F90" s="459"/>
      <c r="G90" s="458"/>
    </row>
    <row r="91" spans="1:7">
      <c r="D91" s="236"/>
      <c r="E91" s="236">
        <f t="shared" si="17"/>
        <v>0</v>
      </c>
      <c r="F91" s="459"/>
      <c r="G91" s="458"/>
    </row>
    <row r="92" spans="1:7">
      <c r="D92" s="236"/>
      <c r="E92" s="236">
        <f t="shared" si="17"/>
        <v>0</v>
      </c>
      <c r="F92" s="459"/>
      <c r="G92" s="458"/>
    </row>
    <row r="93" spans="1:7">
      <c r="D93" s="236"/>
      <c r="E93" s="236">
        <f t="shared" si="17"/>
        <v>0</v>
      </c>
      <c r="F93" s="459"/>
      <c r="G93" s="458"/>
    </row>
    <row r="94" spans="1:7">
      <c r="D94" s="236"/>
      <c r="E94" s="236">
        <f t="shared" si="17"/>
        <v>0</v>
      </c>
      <c r="F94" s="459"/>
      <c r="G94" s="458"/>
    </row>
    <row r="95" spans="1:7">
      <c r="D95" s="236"/>
      <c r="E95" s="236">
        <f t="shared" si="17"/>
        <v>0</v>
      </c>
      <c r="F95" s="459"/>
      <c r="G95" s="458"/>
    </row>
    <row r="96" spans="1:7">
      <c r="D96" s="236"/>
      <c r="E96" s="236">
        <f t="shared" si="17"/>
        <v>0</v>
      </c>
      <c r="F96" s="459"/>
      <c r="G96" s="458"/>
    </row>
    <row r="97" spans="4:7">
      <c r="D97" s="236"/>
      <c r="E97" s="236">
        <f t="shared" si="17"/>
        <v>0</v>
      </c>
      <c r="F97" s="459"/>
      <c r="G97" s="458"/>
    </row>
    <row r="98" spans="4:7">
      <c r="D98" s="236"/>
      <c r="E98" s="236">
        <f t="shared" si="17"/>
        <v>0</v>
      </c>
      <c r="F98" s="459"/>
      <c r="G98" s="458"/>
    </row>
    <row r="99" spans="4:7">
      <c r="D99" s="236"/>
      <c r="E99" s="236">
        <f t="shared" si="17"/>
        <v>0</v>
      </c>
      <c r="F99" s="459"/>
      <c r="G99" s="458"/>
    </row>
    <row r="100" spans="4:7">
      <c r="D100" s="236"/>
      <c r="E100" s="236">
        <f t="shared" si="17"/>
        <v>0</v>
      </c>
      <c r="F100" s="459"/>
      <c r="G100" s="458"/>
    </row>
    <row r="101" spans="4:7">
      <c r="D101" s="236"/>
      <c r="E101" s="236">
        <f t="shared" si="17"/>
        <v>0</v>
      </c>
      <c r="F101" s="459"/>
      <c r="G101" s="458"/>
    </row>
    <row r="102" spans="4:7">
      <c r="D102" s="236"/>
      <c r="E102" s="236">
        <f t="shared" si="17"/>
        <v>0</v>
      </c>
      <c r="F102" s="459"/>
      <c r="G102" s="458"/>
    </row>
    <row r="103" spans="4:7">
      <c r="D103" s="236"/>
      <c r="E103" s="236">
        <f t="shared" si="17"/>
        <v>0</v>
      </c>
      <c r="F103" s="459"/>
      <c r="G103" s="458"/>
    </row>
    <row r="104" spans="4:7">
      <c r="D104" s="236"/>
      <c r="E104" s="236">
        <f t="shared" si="17"/>
        <v>0</v>
      </c>
      <c r="F104" s="459"/>
      <c r="G104" s="458"/>
    </row>
    <row r="105" spans="4:7">
      <c r="D105" s="236"/>
      <c r="E105" s="236">
        <f t="shared" si="17"/>
        <v>0</v>
      </c>
      <c r="F105" s="459"/>
      <c r="G105" s="458"/>
    </row>
    <row r="106" spans="4:7">
      <c r="D106" s="236"/>
      <c r="E106" s="236">
        <f t="shared" ref="E106:E169" si="18">IF($C106="h",$D106+($D106*HORISTA),IF($C106="mês",$D106+($D106*MENSALISTA),D106))</f>
        <v>0</v>
      </c>
      <c r="F106" s="459"/>
      <c r="G106" s="458"/>
    </row>
    <row r="107" spans="4:7">
      <c r="D107" s="236"/>
      <c r="E107" s="236">
        <f t="shared" si="18"/>
        <v>0</v>
      </c>
      <c r="F107" s="459"/>
      <c r="G107" s="458"/>
    </row>
    <row r="108" spans="4:7">
      <c r="D108" s="236"/>
      <c r="E108" s="236">
        <f t="shared" si="18"/>
        <v>0</v>
      </c>
      <c r="F108" s="459"/>
      <c r="G108" s="458"/>
    </row>
    <row r="109" spans="4:7">
      <c r="D109" s="236"/>
      <c r="E109" s="236">
        <f t="shared" si="18"/>
        <v>0</v>
      </c>
      <c r="F109" s="459"/>
      <c r="G109" s="458"/>
    </row>
    <row r="110" spans="4:7">
      <c r="D110" s="236"/>
      <c r="E110" s="236">
        <f t="shared" si="18"/>
        <v>0</v>
      </c>
      <c r="F110" s="459"/>
      <c r="G110" s="458"/>
    </row>
    <row r="111" spans="4:7">
      <c r="D111" s="236"/>
      <c r="E111" s="236">
        <f t="shared" si="18"/>
        <v>0</v>
      </c>
      <c r="F111" s="459"/>
      <c r="G111" s="458"/>
    </row>
    <row r="112" spans="4:7">
      <c r="D112" s="236"/>
      <c r="E112" s="236">
        <f t="shared" si="18"/>
        <v>0</v>
      </c>
      <c r="F112" s="459"/>
      <c r="G112" s="458"/>
    </row>
    <row r="113" spans="4:7">
      <c r="D113" s="236"/>
      <c r="E113" s="236">
        <f t="shared" si="18"/>
        <v>0</v>
      </c>
      <c r="F113" s="459"/>
      <c r="G113" s="458"/>
    </row>
    <row r="114" spans="4:7">
      <c r="D114" s="236"/>
      <c r="E114" s="236">
        <f t="shared" si="18"/>
        <v>0</v>
      </c>
      <c r="F114" s="459"/>
      <c r="G114" s="458"/>
    </row>
    <row r="115" spans="4:7">
      <c r="D115" s="236"/>
      <c r="E115" s="236">
        <f t="shared" si="18"/>
        <v>0</v>
      </c>
      <c r="F115" s="459"/>
      <c r="G115" s="458"/>
    </row>
    <row r="116" spans="4:7">
      <c r="D116" s="236"/>
      <c r="E116" s="236">
        <f t="shared" si="18"/>
        <v>0</v>
      </c>
      <c r="F116" s="459"/>
      <c r="G116" s="458"/>
    </row>
    <row r="117" spans="4:7">
      <c r="D117" s="236"/>
      <c r="E117" s="236">
        <f t="shared" si="18"/>
        <v>0</v>
      </c>
      <c r="F117" s="459"/>
      <c r="G117" s="458"/>
    </row>
    <row r="118" spans="4:7">
      <c r="D118" s="236"/>
      <c r="E118" s="236">
        <f t="shared" si="18"/>
        <v>0</v>
      </c>
      <c r="F118" s="459"/>
      <c r="G118" s="458"/>
    </row>
    <row r="119" spans="4:7">
      <c r="D119" s="236"/>
      <c r="E119" s="236">
        <f t="shared" si="18"/>
        <v>0</v>
      </c>
      <c r="F119" s="459"/>
      <c r="G119" s="458"/>
    </row>
    <row r="120" spans="4:7">
      <c r="D120" s="236"/>
      <c r="E120" s="236">
        <f t="shared" si="18"/>
        <v>0</v>
      </c>
      <c r="F120" s="459"/>
      <c r="G120" s="458"/>
    </row>
    <row r="121" spans="4:7">
      <c r="D121" s="236"/>
      <c r="E121" s="236">
        <f t="shared" si="18"/>
        <v>0</v>
      </c>
      <c r="F121" s="459"/>
      <c r="G121" s="458"/>
    </row>
    <row r="122" spans="4:7">
      <c r="D122" s="236"/>
      <c r="E122" s="236">
        <f t="shared" si="18"/>
        <v>0</v>
      </c>
      <c r="F122" s="459"/>
      <c r="G122" s="458"/>
    </row>
    <row r="123" spans="4:7">
      <c r="D123" s="236"/>
      <c r="E123" s="236">
        <f t="shared" si="18"/>
        <v>0</v>
      </c>
      <c r="F123" s="459"/>
      <c r="G123" s="458"/>
    </row>
    <row r="124" spans="4:7">
      <c r="D124" s="236"/>
      <c r="E124" s="236">
        <f t="shared" si="18"/>
        <v>0</v>
      </c>
      <c r="F124" s="459"/>
      <c r="G124" s="458"/>
    </row>
    <row r="125" spans="4:7">
      <c r="D125" s="236"/>
      <c r="E125" s="236">
        <f t="shared" si="18"/>
        <v>0</v>
      </c>
      <c r="F125" s="459"/>
      <c r="G125" s="458"/>
    </row>
    <row r="126" spans="4:7">
      <c r="D126" s="236"/>
      <c r="E126" s="236">
        <f t="shared" si="18"/>
        <v>0</v>
      </c>
      <c r="F126" s="459"/>
      <c r="G126" s="458"/>
    </row>
    <row r="127" spans="4:7">
      <c r="D127" s="236"/>
      <c r="E127" s="236">
        <f t="shared" si="18"/>
        <v>0</v>
      </c>
      <c r="F127" s="459"/>
      <c r="G127" s="458"/>
    </row>
    <row r="128" spans="4:7">
      <c r="D128" s="236"/>
      <c r="E128" s="236">
        <f t="shared" si="18"/>
        <v>0</v>
      </c>
      <c r="F128" s="459"/>
      <c r="G128" s="458"/>
    </row>
    <row r="129" spans="4:7">
      <c r="D129" s="236"/>
      <c r="E129" s="236">
        <f t="shared" si="18"/>
        <v>0</v>
      </c>
      <c r="F129" s="459"/>
      <c r="G129" s="458"/>
    </row>
    <row r="130" spans="4:7">
      <c r="D130" s="236"/>
      <c r="E130" s="236">
        <f t="shared" si="18"/>
        <v>0</v>
      </c>
      <c r="F130" s="459"/>
      <c r="G130" s="458"/>
    </row>
    <row r="131" spans="4:7">
      <c r="D131" s="236"/>
      <c r="E131" s="236">
        <f t="shared" si="18"/>
        <v>0</v>
      </c>
      <c r="F131" s="459"/>
      <c r="G131" s="458"/>
    </row>
    <row r="132" spans="4:7">
      <c r="D132" s="236"/>
      <c r="E132" s="236">
        <f t="shared" si="18"/>
        <v>0</v>
      </c>
      <c r="F132" s="459"/>
      <c r="G132" s="458"/>
    </row>
    <row r="133" spans="4:7">
      <c r="D133" s="236"/>
      <c r="E133" s="236">
        <f t="shared" si="18"/>
        <v>0</v>
      </c>
      <c r="F133" s="459"/>
      <c r="G133" s="458"/>
    </row>
    <row r="134" spans="4:7">
      <c r="D134" s="236"/>
      <c r="E134" s="236">
        <f t="shared" si="18"/>
        <v>0</v>
      </c>
      <c r="F134" s="459"/>
      <c r="G134" s="458"/>
    </row>
    <row r="135" spans="4:7">
      <c r="D135" s="236"/>
      <c r="E135" s="236">
        <f t="shared" si="18"/>
        <v>0</v>
      </c>
      <c r="F135" s="459"/>
      <c r="G135" s="458"/>
    </row>
    <row r="136" spans="4:7">
      <c r="D136" s="236"/>
      <c r="E136" s="236">
        <f t="shared" si="18"/>
        <v>0</v>
      </c>
      <c r="F136" s="459"/>
      <c r="G136" s="458"/>
    </row>
    <row r="137" spans="4:7">
      <c r="D137" s="236"/>
      <c r="E137" s="236">
        <f t="shared" si="18"/>
        <v>0</v>
      </c>
      <c r="F137" s="459"/>
      <c r="G137" s="458"/>
    </row>
    <row r="138" spans="4:7">
      <c r="D138" s="236"/>
      <c r="E138" s="236">
        <f t="shared" si="18"/>
        <v>0</v>
      </c>
      <c r="F138" s="459"/>
      <c r="G138" s="458"/>
    </row>
    <row r="139" spans="4:7">
      <c r="D139" s="236"/>
      <c r="E139" s="236">
        <f t="shared" si="18"/>
        <v>0</v>
      </c>
      <c r="F139" s="459"/>
      <c r="G139" s="458"/>
    </row>
    <row r="140" spans="4:7">
      <c r="D140" s="236"/>
      <c r="E140" s="236">
        <f t="shared" si="18"/>
        <v>0</v>
      </c>
      <c r="F140" s="459"/>
      <c r="G140" s="458"/>
    </row>
    <row r="141" spans="4:7">
      <c r="D141" s="236"/>
      <c r="E141" s="236">
        <f t="shared" si="18"/>
        <v>0</v>
      </c>
      <c r="F141" s="459"/>
      <c r="G141" s="458"/>
    </row>
    <row r="142" spans="4:7">
      <c r="D142" s="236"/>
      <c r="E142" s="236">
        <f t="shared" si="18"/>
        <v>0</v>
      </c>
      <c r="F142" s="459"/>
      <c r="G142" s="458"/>
    </row>
    <row r="143" spans="4:7">
      <c r="D143" s="236"/>
      <c r="E143" s="236">
        <f t="shared" si="18"/>
        <v>0</v>
      </c>
      <c r="F143" s="459"/>
      <c r="G143" s="458"/>
    </row>
    <row r="144" spans="4:7">
      <c r="D144" s="236"/>
      <c r="E144" s="236">
        <f t="shared" si="18"/>
        <v>0</v>
      </c>
      <c r="F144" s="459"/>
      <c r="G144" s="458"/>
    </row>
    <row r="145" spans="4:7">
      <c r="D145" s="236"/>
      <c r="E145" s="236">
        <f t="shared" si="18"/>
        <v>0</v>
      </c>
      <c r="F145" s="459"/>
      <c r="G145" s="458"/>
    </row>
    <row r="146" spans="4:7">
      <c r="D146" s="236"/>
      <c r="E146" s="236">
        <f t="shared" si="18"/>
        <v>0</v>
      </c>
      <c r="F146" s="459"/>
      <c r="G146" s="458"/>
    </row>
    <row r="147" spans="4:7">
      <c r="D147" s="236"/>
      <c r="E147" s="236">
        <f t="shared" si="18"/>
        <v>0</v>
      </c>
      <c r="F147" s="459"/>
      <c r="G147" s="458"/>
    </row>
    <row r="148" spans="4:7">
      <c r="D148" s="236"/>
      <c r="E148" s="236">
        <f t="shared" si="18"/>
        <v>0</v>
      </c>
      <c r="F148" s="459"/>
      <c r="G148" s="458"/>
    </row>
    <row r="149" spans="4:7">
      <c r="D149" s="236"/>
      <c r="E149" s="236">
        <f t="shared" si="18"/>
        <v>0</v>
      </c>
      <c r="F149" s="459"/>
      <c r="G149" s="458"/>
    </row>
    <row r="150" spans="4:7">
      <c r="D150" s="236"/>
      <c r="E150" s="236">
        <f t="shared" si="18"/>
        <v>0</v>
      </c>
      <c r="F150" s="459"/>
      <c r="G150" s="458"/>
    </row>
    <row r="151" spans="4:7">
      <c r="D151" s="236"/>
      <c r="E151" s="236">
        <f t="shared" si="18"/>
        <v>0</v>
      </c>
      <c r="F151" s="459"/>
      <c r="G151" s="458"/>
    </row>
    <row r="152" spans="4:7">
      <c r="D152" s="236"/>
      <c r="E152" s="236">
        <f t="shared" si="18"/>
        <v>0</v>
      </c>
      <c r="F152" s="459"/>
      <c r="G152" s="458"/>
    </row>
    <row r="153" spans="4:7">
      <c r="D153" s="236"/>
      <c r="E153" s="236">
        <f t="shared" si="18"/>
        <v>0</v>
      </c>
      <c r="F153" s="459"/>
      <c r="G153" s="458"/>
    </row>
    <row r="154" spans="4:7">
      <c r="D154" s="236"/>
      <c r="E154" s="236">
        <f t="shared" si="18"/>
        <v>0</v>
      </c>
      <c r="F154" s="459"/>
      <c r="G154" s="458"/>
    </row>
    <row r="155" spans="4:7">
      <c r="D155" s="236"/>
      <c r="E155" s="236">
        <f t="shared" si="18"/>
        <v>0</v>
      </c>
      <c r="F155" s="459"/>
      <c r="G155" s="458"/>
    </row>
    <row r="156" spans="4:7">
      <c r="D156" s="236"/>
      <c r="E156" s="236">
        <f t="shared" si="18"/>
        <v>0</v>
      </c>
      <c r="F156" s="459"/>
      <c r="G156" s="458"/>
    </row>
    <row r="157" spans="4:7">
      <c r="D157" s="236"/>
      <c r="E157" s="236">
        <f t="shared" si="18"/>
        <v>0</v>
      </c>
      <c r="F157" s="459"/>
      <c r="G157" s="458"/>
    </row>
    <row r="158" spans="4:7">
      <c r="D158" s="236"/>
      <c r="E158" s="236">
        <f t="shared" si="18"/>
        <v>0</v>
      </c>
      <c r="F158" s="459"/>
      <c r="G158" s="458"/>
    </row>
    <row r="159" spans="4:7">
      <c r="D159" s="236"/>
      <c r="E159" s="236">
        <f t="shared" si="18"/>
        <v>0</v>
      </c>
      <c r="F159" s="459"/>
      <c r="G159" s="458"/>
    </row>
    <row r="160" spans="4:7">
      <c r="D160" s="236"/>
      <c r="E160" s="236">
        <f t="shared" si="18"/>
        <v>0</v>
      </c>
      <c r="F160" s="459"/>
      <c r="G160" s="458"/>
    </row>
    <row r="161" spans="4:7">
      <c r="D161" s="236"/>
      <c r="E161" s="236">
        <f t="shared" si="18"/>
        <v>0</v>
      </c>
      <c r="F161" s="459"/>
      <c r="G161" s="458"/>
    </row>
    <row r="162" spans="4:7">
      <c r="D162" s="236"/>
      <c r="E162" s="236">
        <f t="shared" si="18"/>
        <v>0</v>
      </c>
      <c r="F162" s="459"/>
      <c r="G162" s="458"/>
    </row>
    <row r="163" spans="4:7">
      <c r="D163" s="236"/>
      <c r="E163" s="236">
        <f t="shared" si="18"/>
        <v>0</v>
      </c>
      <c r="F163" s="459"/>
      <c r="G163" s="458"/>
    </row>
    <row r="164" spans="4:7">
      <c r="D164" s="236"/>
      <c r="E164" s="236">
        <f t="shared" si="18"/>
        <v>0</v>
      </c>
      <c r="F164" s="459"/>
      <c r="G164" s="458"/>
    </row>
    <row r="165" spans="4:7">
      <c r="D165" s="236"/>
      <c r="E165" s="236">
        <f t="shared" si="18"/>
        <v>0</v>
      </c>
      <c r="F165" s="459"/>
      <c r="G165" s="458"/>
    </row>
    <row r="166" spans="4:7">
      <c r="D166" s="236"/>
      <c r="E166" s="236">
        <f t="shared" si="18"/>
        <v>0</v>
      </c>
      <c r="F166" s="459"/>
      <c r="G166" s="458"/>
    </row>
    <row r="167" spans="4:7">
      <c r="D167" s="236"/>
      <c r="E167" s="236">
        <f t="shared" si="18"/>
        <v>0</v>
      </c>
      <c r="F167" s="459"/>
      <c r="G167" s="458"/>
    </row>
    <row r="168" spans="4:7">
      <c r="D168" s="236"/>
      <c r="E168" s="236">
        <f t="shared" si="18"/>
        <v>0</v>
      </c>
      <c r="F168" s="459"/>
      <c r="G168" s="458"/>
    </row>
    <row r="169" spans="4:7">
      <c r="D169" s="236"/>
      <c r="E169" s="236">
        <f t="shared" si="18"/>
        <v>0</v>
      </c>
      <c r="F169" s="459"/>
      <c r="G169" s="458"/>
    </row>
    <row r="170" spans="4:7">
      <c r="D170" s="236"/>
      <c r="E170" s="236">
        <f t="shared" ref="E170:E233" si="19">IF($C170="h",$D170+($D170*HORISTA),IF($C170="mês",$D170+($D170*MENSALISTA),D170))</f>
        <v>0</v>
      </c>
      <c r="F170" s="459"/>
      <c r="G170" s="458"/>
    </row>
    <row r="171" spans="4:7">
      <c r="D171" s="236"/>
      <c r="E171" s="236">
        <f t="shared" si="19"/>
        <v>0</v>
      </c>
      <c r="F171" s="459"/>
      <c r="G171" s="458"/>
    </row>
    <row r="172" spans="4:7">
      <c r="D172" s="236"/>
      <c r="E172" s="236">
        <f t="shared" si="19"/>
        <v>0</v>
      </c>
      <c r="F172" s="459"/>
      <c r="G172" s="458"/>
    </row>
    <row r="173" spans="4:7">
      <c r="D173" s="236"/>
      <c r="E173" s="236">
        <f t="shared" si="19"/>
        <v>0</v>
      </c>
      <c r="F173" s="459"/>
      <c r="G173" s="458"/>
    </row>
    <row r="174" spans="4:7">
      <c r="D174" s="236"/>
      <c r="E174" s="236">
        <f t="shared" si="19"/>
        <v>0</v>
      </c>
      <c r="F174" s="459"/>
      <c r="G174" s="458"/>
    </row>
    <row r="175" spans="4:7">
      <c r="D175" s="236"/>
      <c r="E175" s="236">
        <f t="shared" si="19"/>
        <v>0</v>
      </c>
      <c r="F175" s="459"/>
      <c r="G175" s="458"/>
    </row>
    <row r="176" spans="4:7">
      <c r="D176" s="236"/>
      <c r="E176" s="236">
        <f t="shared" si="19"/>
        <v>0</v>
      </c>
      <c r="F176" s="459"/>
      <c r="G176" s="458"/>
    </row>
    <row r="177" spans="4:7">
      <c r="D177" s="236"/>
      <c r="E177" s="236">
        <f t="shared" si="19"/>
        <v>0</v>
      </c>
      <c r="F177" s="459"/>
      <c r="G177" s="458"/>
    </row>
    <row r="178" spans="4:7">
      <c r="D178" s="236"/>
      <c r="E178" s="236">
        <f t="shared" si="19"/>
        <v>0</v>
      </c>
      <c r="F178" s="459"/>
      <c r="G178" s="458"/>
    </row>
    <row r="179" spans="4:7">
      <c r="D179" s="236"/>
      <c r="E179" s="236">
        <f t="shared" si="19"/>
        <v>0</v>
      </c>
      <c r="F179" s="459"/>
      <c r="G179" s="458"/>
    </row>
    <row r="180" spans="4:7">
      <c r="D180" s="236"/>
      <c r="E180" s="236">
        <f t="shared" si="19"/>
        <v>0</v>
      </c>
      <c r="F180" s="459"/>
      <c r="G180" s="458"/>
    </row>
    <row r="181" spans="4:7">
      <c r="D181" s="236"/>
      <c r="E181" s="236">
        <f t="shared" si="19"/>
        <v>0</v>
      </c>
      <c r="F181" s="459"/>
      <c r="G181" s="458"/>
    </row>
    <row r="182" spans="4:7">
      <c r="D182" s="236"/>
      <c r="E182" s="236">
        <f t="shared" si="19"/>
        <v>0</v>
      </c>
      <c r="F182" s="459"/>
      <c r="G182" s="458"/>
    </row>
    <row r="183" spans="4:7">
      <c r="D183" s="236"/>
      <c r="E183" s="236">
        <f t="shared" si="19"/>
        <v>0</v>
      </c>
      <c r="F183" s="459"/>
      <c r="G183" s="458"/>
    </row>
    <row r="184" spans="4:7">
      <c r="D184" s="236"/>
      <c r="E184" s="236">
        <f t="shared" si="19"/>
        <v>0</v>
      </c>
      <c r="F184" s="459"/>
      <c r="G184" s="458"/>
    </row>
    <row r="185" spans="4:7">
      <c r="D185" s="236"/>
      <c r="E185" s="236">
        <f t="shared" si="19"/>
        <v>0</v>
      </c>
      <c r="F185" s="459"/>
      <c r="G185" s="458"/>
    </row>
    <row r="186" spans="4:7">
      <c r="D186" s="236"/>
      <c r="E186" s="236">
        <f t="shared" si="19"/>
        <v>0</v>
      </c>
      <c r="F186" s="459"/>
      <c r="G186" s="458"/>
    </row>
    <row r="187" spans="4:7">
      <c r="D187" s="236"/>
      <c r="E187" s="236">
        <f t="shared" si="19"/>
        <v>0</v>
      </c>
      <c r="F187" s="459"/>
      <c r="G187" s="458"/>
    </row>
    <row r="188" spans="4:7">
      <c r="D188" s="236"/>
      <c r="E188" s="236">
        <f t="shared" si="19"/>
        <v>0</v>
      </c>
      <c r="F188" s="459"/>
      <c r="G188" s="458"/>
    </row>
    <row r="189" spans="4:7">
      <c r="D189" s="236"/>
      <c r="E189" s="236">
        <f t="shared" si="19"/>
        <v>0</v>
      </c>
      <c r="F189" s="459"/>
      <c r="G189" s="458"/>
    </row>
    <row r="190" spans="4:7">
      <c r="D190" s="236"/>
      <c r="E190" s="236">
        <f t="shared" si="19"/>
        <v>0</v>
      </c>
      <c r="F190" s="459"/>
      <c r="G190" s="458"/>
    </row>
    <row r="191" spans="4:7">
      <c r="D191" s="236"/>
      <c r="E191" s="236">
        <f t="shared" si="19"/>
        <v>0</v>
      </c>
      <c r="F191" s="459"/>
      <c r="G191" s="458"/>
    </row>
    <row r="192" spans="4:7">
      <c r="D192" s="236"/>
      <c r="E192" s="236">
        <f t="shared" si="19"/>
        <v>0</v>
      </c>
      <c r="F192" s="459"/>
      <c r="G192" s="458"/>
    </row>
    <row r="193" spans="4:7">
      <c r="D193" s="236"/>
      <c r="E193" s="236">
        <f t="shared" si="19"/>
        <v>0</v>
      </c>
      <c r="F193" s="459"/>
      <c r="G193" s="458"/>
    </row>
    <row r="194" spans="4:7">
      <c r="D194" s="236"/>
      <c r="E194" s="236">
        <f t="shared" si="19"/>
        <v>0</v>
      </c>
      <c r="F194" s="459"/>
      <c r="G194" s="458"/>
    </row>
    <row r="195" spans="4:7">
      <c r="D195" s="236"/>
      <c r="E195" s="236">
        <f t="shared" si="19"/>
        <v>0</v>
      </c>
      <c r="F195" s="459"/>
      <c r="G195" s="458"/>
    </row>
    <row r="196" spans="4:7">
      <c r="D196" s="236"/>
      <c r="E196" s="236">
        <f t="shared" si="19"/>
        <v>0</v>
      </c>
      <c r="F196" s="459"/>
      <c r="G196" s="458"/>
    </row>
    <row r="197" spans="4:7">
      <c r="D197" s="236"/>
      <c r="E197" s="236">
        <f t="shared" si="19"/>
        <v>0</v>
      </c>
      <c r="F197" s="459"/>
      <c r="G197" s="458"/>
    </row>
    <row r="198" spans="4:7">
      <c r="D198" s="236"/>
      <c r="E198" s="236">
        <f t="shared" si="19"/>
        <v>0</v>
      </c>
      <c r="F198" s="459"/>
      <c r="G198" s="458"/>
    </row>
    <row r="199" spans="4:7">
      <c r="D199" s="236"/>
      <c r="E199" s="236">
        <f t="shared" si="19"/>
        <v>0</v>
      </c>
      <c r="F199" s="459"/>
      <c r="G199" s="458"/>
    </row>
    <row r="200" spans="4:7">
      <c r="D200" s="236"/>
      <c r="E200" s="236">
        <f t="shared" si="19"/>
        <v>0</v>
      </c>
      <c r="F200" s="459"/>
      <c r="G200" s="458"/>
    </row>
    <row r="201" spans="4:7">
      <c r="D201" s="236"/>
      <c r="E201" s="236">
        <f t="shared" si="19"/>
        <v>0</v>
      </c>
      <c r="F201" s="459"/>
      <c r="G201" s="458"/>
    </row>
    <row r="202" spans="4:7">
      <c r="D202" s="236"/>
      <c r="E202" s="236">
        <f t="shared" si="19"/>
        <v>0</v>
      </c>
      <c r="F202" s="459"/>
      <c r="G202" s="458"/>
    </row>
    <row r="203" spans="4:7">
      <c r="D203" s="236"/>
      <c r="E203" s="236">
        <f t="shared" si="19"/>
        <v>0</v>
      </c>
      <c r="F203" s="459"/>
      <c r="G203" s="458"/>
    </row>
    <row r="204" spans="4:7">
      <c r="D204" s="236"/>
      <c r="E204" s="236">
        <f t="shared" si="19"/>
        <v>0</v>
      </c>
      <c r="F204" s="459"/>
      <c r="G204" s="458"/>
    </row>
    <row r="205" spans="4:7">
      <c r="D205" s="236"/>
      <c r="E205" s="236">
        <f t="shared" si="19"/>
        <v>0</v>
      </c>
      <c r="F205" s="459"/>
      <c r="G205" s="458"/>
    </row>
    <row r="206" spans="4:7">
      <c r="D206" s="236"/>
      <c r="E206" s="236">
        <f t="shared" si="19"/>
        <v>0</v>
      </c>
      <c r="F206" s="459"/>
      <c r="G206" s="458"/>
    </row>
    <row r="207" spans="4:7">
      <c r="D207" s="236"/>
      <c r="E207" s="236">
        <f t="shared" si="19"/>
        <v>0</v>
      </c>
      <c r="F207" s="459"/>
      <c r="G207" s="458"/>
    </row>
    <row r="208" spans="4:7">
      <c r="D208" s="236"/>
      <c r="E208" s="236">
        <f t="shared" si="19"/>
        <v>0</v>
      </c>
      <c r="F208" s="459"/>
      <c r="G208" s="458"/>
    </row>
    <row r="209" spans="4:7">
      <c r="D209" s="236"/>
      <c r="E209" s="236">
        <f t="shared" si="19"/>
        <v>0</v>
      </c>
      <c r="F209" s="459"/>
      <c r="G209" s="458"/>
    </row>
    <row r="210" spans="4:7">
      <c r="D210" s="236"/>
      <c r="E210" s="236">
        <f t="shared" si="19"/>
        <v>0</v>
      </c>
      <c r="F210" s="459"/>
      <c r="G210" s="458"/>
    </row>
    <row r="211" spans="4:7">
      <c r="D211" s="236"/>
      <c r="E211" s="236">
        <f t="shared" si="19"/>
        <v>0</v>
      </c>
      <c r="F211" s="459"/>
      <c r="G211" s="458"/>
    </row>
    <row r="212" spans="4:7">
      <c r="D212" s="236"/>
      <c r="E212" s="236">
        <f t="shared" si="19"/>
        <v>0</v>
      </c>
      <c r="F212" s="459"/>
      <c r="G212" s="458"/>
    </row>
    <row r="213" spans="4:7">
      <c r="D213" s="236"/>
      <c r="E213" s="236">
        <f t="shared" si="19"/>
        <v>0</v>
      </c>
      <c r="F213" s="459"/>
      <c r="G213" s="458"/>
    </row>
    <row r="214" spans="4:7">
      <c r="D214" s="236"/>
      <c r="E214" s="236">
        <f t="shared" si="19"/>
        <v>0</v>
      </c>
      <c r="F214" s="459"/>
      <c r="G214" s="458"/>
    </row>
    <row r="215" spans="4:7">
      <c r="D215" s="236"/>
      <c r="E215" s="236">
        <f t="shared" si="19"/>
        <v>0</v>
      </c>
      <c r="F215" s="459"/>
      <c r="G215" s="458"/>
    </row>
    <row r="216" spans="4:7">
      <c r="D216" s="236"/>
      <c r="E216" s="236">
        <f t="shared" si="19"/>
        <v>0</v>
      </c>
      <c r="F216" s="459"/>
      <c r="G216" s="458"/>
    </row>
    <row r="217" spans="4:7">
      <c r="D217" s="236"/>
      <c r="E217" s="236">
        <f t="shared" si="19"/>
        <v>0</v>
      </c>
      <c r="F217" s="459"/>
      <c r="G217" s="458"/>
    </row>
    <row r="218" spans="4:7">
      <c r="D218" s="236"/>
      <c r="E218" s="236">
        <f t="shared" si="19"/>
        <v>0</v>
      </c>
      <c r="F218" s="459"/>
      <c r="G218" s="458"/>
    </row>
    <row r="219" spans="4:7">
      <c r="D219" s="236"/>
      <c r="E219" s="236">
        <f t="shared" si="19"/>
        <v>0</v>
      </c>
      <c r="F219" s="459"/>
      <c r="G219" s="458"/>
    </row>
    <row r="220" spans="4:7">
      <c r="D220" s="236"/>
      <c r="E220" s="236">
        <f t="shared" si="19"/>
        <v>0</v>
      </c>
      <c r="F220" s="459"/>
      <c r="G220" s="458"/>
    </row>
    <row r="221" spans="4:7">
      <c r="D221" s="236"/>
      <c r="E221" s="236">
        <f t="shared" si="19"/>
        <v>0</v>
      </c>
      <c r="F221" s="459"/>
      <c r="G221" s="458"/>
    </row>
    <row r="222" spans="4:7">
      <c r="D222" s="236"/>
      <c r="E222" s="236">
        <f t="shared" si="19"/>
        <v>0</v>
      </c>
      <c r="F222" s="459"/>
      <c r="G222" s="458"/>
    </row>
    <row r="223" spans="4:7">
      <c r="D223" s="236"/>
      <c r="E223" s="236">
        <f t="shared" si="19"/>
        <v>0</v>
      </c>
      <c r="F223" s="459"/>
      <c r="G223" s="458"/>
    </row>
    <row r="224" spans="4:7">
      <c r="D224" s="236"/>
      <c r="E224" s="236">
        <f t="shared" si="19"/>
        <v>0</v>
      </c>
      <c r="F224" s="459"/>
      <c r="G224" s="458"/>
    </row>
    <row r="225" spans="4:7">
      <c r="D225" s="236"/>
      <c r="E225" s="236">
        <f t="shared" si="19"/>
        <v>0</v>
      </c>
      <c r="F225" s="459"/>
      <c r="G225" s="458"/>
    </row>
    <row r="226" spans="4:7">
      <c r="D226" s="236"/>
      <c r="E226" s="236">
        <f t="shared" si="19"/>
        <v>0</v>
      </c>
      <c r="F226" s="459"/>
      <c r="G226" s="458"/>
    </row>
    <row r="227" spans="4:7">
      <c r="D227" s="236"/>
      <c r="E227" s="236">
        <f t="shared" si="19"/>
        <v>0</v>
      </c>
      <c r="F227" s="459"/>
      <c r="G227" s="458"/>
    </row>
    <row r="228" spans="4:7">
      <c r="D228" s="236"/>
      <c r="E228" s="236">
        <f t="shared" si="19"/>
        <v>0</v>
      </c>
      <c r="F228" s="459"/>
      <c r="G228" s="458"/>
    </row>
    <row r="229" spans="4:7">
      <c r="D229" s="236"/>
      <c r="E229" s="236">
        <f t="shared" si="19"/>
        <v>0</v>
      </c>
      <c r="F229" s="459"/>
      <c r="G229" s="458"/>
    </row>
    <row r="230" spans="4:7">
      <c r="D230" s="236"/>
      <c r="E230" s="236">
        <f t="shared" si="19"/>
        <v>0</v>
      </c>
      <c r="F230" s="459"/>
      <c r="G230" s="458"/>
    </row>
    <row r="231" spans="4:7">
      <c r="D231" s="236"/>
      <c r="E231" s="236">
        <f t="shared" si="19"/>
        <v>0</v>
      </c>
      <c r="F231" s="459"/>
      <c r="G231" s="458"/>
    </row>
    <row r="232" spans="4:7">
      <c r="D232" s="236"/>
      <c r="E232" s="236">
        <f t="shared" si="19"/>
        <v>0</v>
      </c>
      <c r="F232" s="459"/>
      <c r="G232" s="458"/>
    </row>
    <row r="233" spans="4:7">
      <c r="D233" s="236"/>
      <c r="E233" s="236">
        <f t="shared" si="19"/>
        <v>0</v>
      </c>
      <c r="F233" s="459"/>
      <c r="G233" s="458"/>
    </row>
    <row r="234" spans="4:7">
      <c r="D234" s="236"/>
      <c r="E234" s="236">
        <f t="shared" ref="E234:E297" si="20">IF($C234="h",$D234+($D234*HORISTA),IF($C234="mês",$D234+($D234*MENSALISTA),D234))</f>
        <v>0</v>
      </c>
      <c r="F234" s="459"/>
      <c r="G234" s="458"/>
    </row>
    <row r="235" spans="4:7">
      <c r="D235" s="236"/>
      <c r="E235" s="236">
        <f t="shared" si="20"/>
        <v>0</v>
      </c>
      <c r="F235" s="459"/>
      <c r="G235" s="458"/>
    </row>
    <row r="236" spans="4:7">
      <c r="D236" s="236"/>
      <c r="E236" s="236">
        <f t="shared" si="20"/>
        <v>0</v>
      </c>
      <c r="F236" s="459"/>
      <c r="G236" s="458"/>
    </row>
    <row r="237" spans="4:7">
      <c r="D237" s="236"/>
      <c r="E237" s="236">
        <f t="shared" si="20"/>
        <v>0</v>
      </c>
      <c r="F237" s="459"/>
      <c r="G237" s="458"/>
    </row>
    <row r="238" spans="4:7">
      <c r="D238" s="236"/>
      <c r="E238" s="236">
        <f t="shared" si="20"/>
        <v>0</v>
      </c>
      <c r="F238" s="459"/>
      <c r="G238" s="458"/>
    </row>
    <row r="239" spans="4:7">
      <c r="D239" s="236"/>
      <c r="E239" s="236">
        <f t="shared" si="20"/>
        <v>0</v>
      </c>
      <c r="F239" s="459"/>
      <c r="G239" s="458"/>
    </row>
    <row r="240" spans="4:7">
      <c r="D240" s="236"/>
      <c r="E240" s="236">
        <f t="shared" si="20"/>
        <v>0</v>
      </c>
      <c r="F240" s="459"/>
      <c r="G240" s="458"/>
    </row>
    <row r="241" spans="4:7">
      <c r="D241" s="236"/>
      <c r="E241" s="236">
        <f t="shared" si="20"/>
        <v>0</v>
      </c>
      <c r="F241" s="459"/>
      <c r="G241" s="458"/>
    </row>
    <row r="242" spans="4:7">
      <c r="D242" s="236"/>
      <c r="E242" s="236">
        <f t="shared" si="20"/>
        <v>0</v>
      </c>
      <c r="F242" s="459"/>
      <c r="G242" s="458"/>
    </row>
    <row r="243" spans="4:7">
      <c r="D243" s="236"/>
      <c r="E243" s="236">
        <f t="shared" si="20"/>
        <v>0</v>
      </c>
      <c r="F243" s="459"/>
      <c r="G243" s="458"/>
    </row>
    <row r="244" spans="4:7">
      <c r="D244" s="236"/>
      <c r="E244" s="236">
        <f t="shared" si="20"/>
        <v>0</v>
      </c>
      <c r="F244" s="459"/>
      <c r="G244" s="458"/>
    </row>
    <row r="245" spans="4:7">
      <c r="D245" s="236"/>
      <c r="E245" s="236">
        <f t="shared" si="20"/>
        <v>0</v>
      </c>
      <c r="F245" s="459"/>
      <c r="G245" s="458"/>
    </row>
    <row r="246" spans="4:7">
      <c r="D246" s="236"/>
      <c r="E246" s="236">
        <f t="shared" si="20"/>
        <v>0</v>
      </c>
      <c r="F246" s="459"/>
      <c r="G246" s="458"/>
    </row>
    <row r="247" spans="4:7">
      <c r="D247" s="236"/>
      <c r="E247" s="236">
        <f t="shared" si="20"/>
        <v>0</v>
      </c>
      <c r="F247" s="459"/>
      <c r="G247" s="458"/>
    </row>
    <row r="248" spans="4:7">
      <c r="D248" s="236"/>
      <c r="E248" s="236">
        <f t="shared" si="20"/>
        <v>0</v>
      </c>
      <c r="F248" s="459"/>
      <c r="G248" s="458"/>
    </row>
    <row r="249" spans="4:7">
      <c r="D249" s="236"/>
      <c r="E249" s="236">
        <f t="shared" si="20"/>
        <v>0</v>
      </c>
      <c r="F249" s="459"/>
      <c r="G249" s="458"/>
    </row>
    <row r="250" spans="4:7">
      <c r="D250" s="236"/>
      <c r="E250" s="236">
        <f t="shared" si="20"/>
        <v>0</v>
      </c>
      <c r="F250" s="459"/>
      <c r="G250" s="458"/>
    </row>
    <row r="251" spans="4:7">
      <c r="D251" s="236"/>
      <c r="E251" s="236">
        <f t="shared" si="20"/>
        <v>0</v>
      </c>
      <c r="F251" s="459"/>
      <c r="G251" s="458"/>
    </row>
    <row r="252" spans="4:7">
      <c r="D252" s="236"/>
      <c r="E252" s="236">
        <f t="shared" si="20"/>
        <v>0</v>
      </c>
      <c r="F252" s="459"/>
      <c r="G252" s="458"/>
    </row>
    <row r="253" spans="4:7">
      <c r="D253" s="236"/>
      <c r="E253" s="236">
        <f t="shared" si="20"/>
        <v>0</v>
      </c>
      <c r="F253" s="459"/>
      <c r="G253" s="458"/>
    </row>
    <row r="254" spans="4:7">
      <c r="D254" s="236"/>
      <c r="E254" s="236">
        <f t="shared" si="20"/>
        <v>0</v>
      </c>
      <c r="F254" s="459"/>
      <c r="G254" s="458"/>
    </row>
    <row r="255" spans="4:7">
      <c r="D255" s="236"/>
      <c r="E255" s="236">
        <f t="shared" si="20"/>
        <v>0</v>
      </c>
      <c r="F255" s="459"/>
      <c r="G255" s="458"/>
    </row>
    <row r="256" spans="4:7">
      <c r="D256" s="236"/>
      <c r="E256" s="236">
        <f t="shared" si="20"/>
        <v>0</v>
      </c>
      <c r="F256" s="459"/>
      <c r="G256" s="458"/>
    </row>
    <row r="257" spans="4:7">
      <c r="D257" s="236"/>
      <c r="E257" s="236">
        <f t="shared" si="20"/>
        <v>0</v>
      </c>
      <c r="F257" s="459"/>
      <c r="G257" s="458"/>
    </row>
    <row r="258" spans="4:7">
      <c r="D258" s="236"/>
      <c r="E258" s="236">
        <f t="shared" si="20"/>
        <v>0</v>
      </c>
      <c r="F258" s="459"/>
      <c r="G258" s="458"/>
    </row>
    <row r="259" spans="4:7">
      <c r="D259" s="236"/>
      <c r="E259" s="236">
        <f t="shared" si="20"/>
        <v>0</v>
      </c>
      <c r="F259" s="459"/>
      <c r="G259" s="458"/>
    </row>
    <row r="260" spans="4:7">
      <c r="D260" s="236"/>
      <c r="E260" s="236">
        <f t="shared" si="20"/>
        <v>0</v>
      </c>
      <c r="F260" s="459"/>
      <c r="G260" s="458"/>
    </row>
    <row r="261" spans="4:7">
      <c r="D261" s="236"/>
      <c r="E261" s="236">
        <f t="shared" si="20"/>
        <v>0</v>
      </c>
      <c r="F261" s="459"/>
      <c r="G261" s="458"/>
    </row>
    <row r="262" spans="4:7">
      <c r="D262" s="236"/>
      <c r="E262" s="236">
        <f t="shared" si="20"/>
        <v>0</v>
      </c>
      <c r="F262" s="459"/>
      <c r="G262" s="458"/>
    </row>
    <row r="263" spans="4:7">
      <c r="D263" s="236"/>
      <c r="E263" s="236">
        <f t="shared" si="20"/>
        <v>0</v>
      </c>
      <c r="F263" s="459"/>
      <c r="G263" s="458"/>
    </row>
    <row r="264" spans="4:7">
      <c r="D264" s="236"/>
      <c r="E264" s="236">
        <f t="shared" si="20"/>
        <v>0</v>
      </c>
      <c r="F264" s="459"/>
      <c r="G264" s="458"/>
    </row>
    <row r="265" spans="4:7">
      <c r="D265" s="236"/>
      <c r="E265" s="236">
        <f t="shared" si="20"/>
        <v>0</v>
      </c>
      <c r="F265" s="459"/>
      <c r="G265" s="458"/>
    </row>
    <row r="266" spans="4:7">
      <c r="D266" s="236"/>
      <c r="E266" s="236">
        <f t="shared" si="20"/>
        <v>0</v>
      </c>
      <c r="F266" s="459"/>
      <c r="G266" s="458"/>
    </row>
    <row r="267" spans="4:7">
      <c r="D267" s="236"/>
      <c r="E267" s="236">
        <f t="shared" si="20"/>
        <v>0</v>
      </c>
      <c r="F267" s="459"/>
      <c r="G267" s="458"/>
    </row>
    <row r="268" spans="4:7">
      <c r="D268" s="236"/>
      <c r="E268" s="236">
        <f t="shared" si="20"/>
        <v>0</v>
      </c>
      <c r="F268" s="459"/>
      <c r="G268" s="458"/>
    </row>
    <row r="269" spans="4:7">
      <c r="D269" s="236"/>
      <c r="E269" s="236">
        <f t="shared" si="20"/>
        <v>0</v>
      </c>
      <c r="F269" s="459"/>
      <c r="G269" s="458"/>
    </row>
    <row r="270" spans="4:7">
      <c r="D270" s="236"/>
      <c r="E270" s="236">
        <f t="shared" si="20"/>
        <v>0</v>
      </c>
      <c r="F270" s="459"/>
      <c r="G270" s="458"/>
    </row>
    <row r="271" spans="4:7">
      <c r="D271" s="236"/>
      <c r="E271" s="236">
        <f t="shared" si="20"/>
        <v>0</v>
      </c>
      <c r="F271" s="459"/>
      <c r="G271" s="458"/>
    </row>
    <row r="272" spans="4:7">
      <c r="D272" s="236"/>
      <c r="E272" s="236">
        <f t="shared" si="20"/>
        <v>0</v>
      </c>
      <c r="F272" s="459"/>
      <c r="G272" s="458"/>
    </row>
    <row r="273" spans="4:7">
      <c r="D273" s="236"/>
      <c r="E273" s="236">
        <f t="shared" si="20"/>
        <v>0</v>
      </c>
      <c r="F273" s="459"/>
      <c r="G273" s="458"/>
    </row>
    <row r="274" spans="4:7">
      <c r="D274" s="236"/>
      <c r="E274" s="236">
        <f t="shared" si="20"/>
        <v>0</v>
      </c>
      <c r="F274" s="459"/>
      <c r="G274" s="458"/>
    </row>
    <row r="275" spans="4:7">
      <c r="D275" s="236"/>
      <c r="E275" s="236">
        <f t="shared" si="20"/>
        <v>0</v>
      </c>
      <c r="F275" s="459"/>
      <c r="G275" s="458"/>
    </row>
    <row r="276" spans="4:7">
      <c r="D276" s="236"/>
      <c r="E276" s="236">
        <f t="shared" si="20"/>
        <v>0</v>
      </c>
      <c r="F276" s="459"/>
      <c r="G276" s="458"/>
    </row>
    <row r="277" spans="4:7">
      <c r="D277" s="236"/>
      <c r="E277" s="236">
        <f t="shared" si="20"/>
        <v>0</v>
      </c>
      <c r="F277" s="459"/>
      <c r="G277" s="458"/>
    </row>
    <row r="278" spans="4:7">
      <c r="D278" s="236"/>
      <c r="E278" s="236">
        <f t="shared" si="20"/>
        <v>0</v>
      </c>
      <c r="F278" s="459"/>
      <c r="G278" s="458"/>
    </row>
    <row r="279" spans="4:7">
      <c r="D279" s="236"/>
      <c r="E279" s="236">
        <f t="shared" si="20"/>
        <v>0</v>
      </c>
      <c r="F279" s="459"/>
      <c r="G279" s="458"/>
    </row>
    <row r="280" spans="4:7">
      <c r="D280" s="236"/>
      <c r="E280" s="236">
        <f t="shared" si="20"/>
        <v>0</v>
      </c>
      <c r="F280" s="459"/>
      <c r="G280" s="458"/>
    </row>
    <row r="281" spans="4:7">
      <c r="D281" s="236"/>
      <c r="E281" s="236">
        <f t="shared" si="20"/>
        <v>0</v>
      </c>
      <c r="F281" s="459"/>
      <c r="G281" s="458"/>
    </row>
    <row r="282" spans="4:7">
      <c r="D282" s="236"/>
      <c r="E282" s="236">
        <f t="shared" si="20"/>
        <v>0</v>
      </c>
      <c r="F282" s="459"/>
      <c r="G282" s="458"/>
    </row>
    <row r="283" spans="4:7">
      <c r="D283" s="236"/>
      <c r="E283" s="236">
        <f t="shared" si="20"/>
        <v>0</v>
      </c>
      <c r="F283" s="459"/>
      <c r="G283" s="458"/>
    </row>
    <row r="284" spans="4:7">
      <c r="D284" s="236"/>
      <c r="E284" s="236">
        <f t="shared" si="20"/>
        <v>0</v>
      </c>
      <c r="F284" s="459"/>
      <c r="G284" s="458"/>
    </row>
    <row r="285" spans="4:7">
      <c r="D285" s="236"/>
      <c r="E285" s="236">
        <f t="shared" si="20"/>
        <v>0</v>
      </c>
      <c r="F285" s="459"/>
      <c r="G285" s="458"/>
    </row>
    <row r="286" spans="4:7">
      <c r="D286" s="236"/>
      <c r="E286" s="236">
        <f t="shared" si="20"/>
        <v>0</v>
      </c>
      <c r="F286" s="459"/>
      <c r="G286" s="458"/>
    </row>
    <row r="287" spans="4:7">
      <c r="D287" s="236"/>
      <c r="E287" s="236">
        <f t="shared" si="20"/>
        <v>0</v>
      </c>
      <c r="F287" s="459"/>
      <c r="G287" s="458"/>
    </row>
    <row r="288" spans="4:7">
      <c r="D288" s="236"/>
      <c r="E288" s="236">
        <f t="shared" si="20"/>
        <v>0</v>
      </c>
      <c r="F288" s="459"/>
      <c r="G288" s="458"/>
    </row>
    <row r="289" spans="4:7">
      <c r="D289" s="236"/>
      <c r="E289" s="236">
        <f t="shared" si="20"/>
        <v>0</v>
      </c>
      <c r="F289" s="459"/>
      <c r="G289" s="458"/>
    </row>
    <row r="290" spans="4:7">
      <c r="D290" s="236"/>
      <c r="E290" s="236">
        <f t="shared" si="20"/>
        <v>0</v>
      </c>
      <c r="F290" s="459"/>
      <c r="G290" s="458"/>
    </row>
    <row r="291" spans="4:7">
      <c r="D291" s="236"/>
      <c r="E291" s="236">
        <f t="shared" si="20"/>
        <v>0</v>
      </c>
      <c r="F291" s="459"/>
      <c r="G291" s="458"/>
    </row>
    <row r="292" spans="4:7">
      <c r="D292" s="236"/>
      <c r="E292" s="236">
        <f t="shared" si="20"/>
        <v>0</v>
      </c>
      <c r="F292" s="459"/>
      <c r="G292" s="458"/>
    </row>
    <row r="293" spans="4:7">
      <c r="D293" s="236"/>
      <c r="E293" s="236">
        <f t="shared" si="20"/>
        <v>0</v>
      </c>
      <c r="F293" s="459"/>
      <c r="G293" s="458"/>
    </row>
    <row r="294" spans="4:7">
      <c r="D294" s="236"/>
      <c r="E294" s="236">
        <f t="shared" si="20"/>
        <v>0</v>
      </c>
      <c r="F294" s="459"/>
      <c r="G294" s="458"/>
    </row>
    <row r="295" spans="4:7">
      <c r="D295" s="236"/>
      <c r="E295" s="236">
        <f t="shared" si="20"/>
        <v>0</v>
      </c>
      <c r="F295" s="459"/>
      <c r="G295" s="458"/>
    </row>
    <row r="296" spans="4:7">
      <c r="D296" s="236"/>
      <c r="E296" s="236">
        <f t="shared" si="20"/>
        <v>0</v>
      </c>
      <c r="F296" s="459"/>
      <c r="G296" s="458"/>
    </row>
    <row r="297" spans="4:7">
      <c r="D297" s="236"/>
      <c r="E297" s="236">
        <f t="shared" si="20"/>
        <v>0</v>
      </c>
      <c r="F297" s="459"/>
      <c r="G297" s="458"/>
    </row>
    <row r="298" spans="4:7">
      <c r="D298" s="236"/>
      <c r="E298" s="236">
        <f t="shared" ref="E298:E361" si="21">IF($C298="h",$D298+($D298*HORISTA),IF($C298="mês",$D298+($D298*MENSALISTA),D298))</f>
        <v>0</v>
      </c>
      <c r="F298" s="459"/>
      <c r="G298" s="458"/>
    </row>
    <row r="299" spans="4:7">
      <c r="D299" s="236"/>
      <c r="E299" s="236">
        <f t="shared" si="21"/>
        <v>0</v>
      </c>
      <c r="F299" s="459"/>
      <c r="G299" s="458"/>
    </row>
    <row r="300" spans="4:7">
      <c r="D300" s="236"/>
      <c r="E300" s="236">
        <f t="shared" si="21"/>
        <v>0</v>
      </c>
      <c r="F300" s="459"/>
      <c r="G300" s="458"/>
    </row>
    <row r="301" spans="4:7">
      <c r="D301" s="236"/>
      <c r="E301" s="236">
        <f t="shared" si="21"/>
        <v>0</v>
      </c>
      <c r="F301" s="459"/>
      <c r="G301" s="458"/>
    </row>
    <row r="302" spans="4:7">
      <c r="D302" s="236"/>
      <c r="E302" s="236">
        <f t="shared" si="21"/>
        <v>0</v>
      </c>
      <c r="F302" s="459"/>
      <c r="G302" s="458"/>
    </row>
    <row r="303" spans="4:7">
      <c r="D303" s="236"/>
      <c r="E303" s="236">
        <f t="shared" si="21"/>
        <v>0</v>
      </c>
      <c r="F303" s="459"/>
      <c r="G303" s="458"/>
    </row>
    <row r="304" spans="4:7">
      <c r="D304" s="236"/>
      <c r="E304" s="236">
        <f t="shared" si="21"/>
        <v>0</v>
      </c>
      <c r="F304" s="459"/>
      <c r="G304" s="458"/>
    </row>
    <row r="305" spans="4:7">
      <c r="D305" s="236"/>
      <c r="E305" s="236">
        <f t="shared" si="21"/>
        <v>0</v>
      </c>
      <c r="F305" s="459"/>
      <c r="G305" s="458"/>
    </row>
    <row r="306" spans="4:7">
      <c r="D306" s="236"/>
      <c r="E306" s="236">
        <f t="shared" si="21"/>
        <v>0</v>
      </c>
      <c r="F306" s="459"/>
      <c r="G306" s="458"/>
    </row>
    <row r="307" spans="4:7">
      <c r="D307" s="236"/>
      <c r="E307" s="236">
        <f t="shared" si="21"/>
        <v>0</v>
      </c>
      <c r="F307" s="459"/>
      <c r="G307" s="458"/>
    </row>
    <row r="308" spans="4:7">
      <c r="D308" s="236"/>
      <c r="E308" s="236">
        <f t="shared" si="21"/>
        <v>0</v>
      </c>
      <c r="F308" s="459"/>
      <c r="G308" s="458"/>
    </row>
    <row r="309" spans="4:7">
      <c r="D309" s="236"/>
      <c r="E309" s="236">
        <f t="shared" si="21"/>
        <v>0</v>
      </c>
      <c r="F309" s="459"/>
      <c r="G309" s="458"/>
    </row>
    <row r="310" spans="4:7">
      <c r="D310" s="236"/>
      <c r="E310" s="236">
        <f t="shared" si="21"/>
        <v>0</v>
      </c>
      <c r="F310" s="459"/>
      <c r="G310" s="458"/>
    </row>
    <row r="311" spans="4:7">
      <c r="D311" s="236"/>
      <c r="E311" s="236">
        <f t="shared" si="21"/>
        <v>0</v>
      </c>
      <c r="F311" s="459"/>
      <c r="G311" s="458"/>
    </row>
    <row r="312" spans="4:7">
      <c r="D312" s="236"/>
      <c r="E312" s="236">
        <f t="shared" si="21"/>
        <v>0</v>
      </c>
      <c r="F312" s="459"/>
      <c r="G312" s="458"/>
    </row>
    <row r="313" spans="4:7">
      <c r="D313" s="236"/>
      <c r="E313" s="236">
        <f t="shared" si="21"/>
        <v>0</v>
      </c>
      <c r="F313" s="459"/>
      <c r="G313" s="458"/>
    </row>
    <row r="314" spans="4:7">
      <c r="D314" s="236"/>
      <c r="E314" s="236">
        <f t="shared" si="21"/>
        <v>0</v>
      </c>
      <c r="F314" s="459"/>
      <c r="G314" s="458"/>
    </row>
    <row r="315" spans="4:7">
      <c r="D315" s="236"/>
      <c r="E315" s="236">
        <f t="shared" si="21"/>
        <v>0</v>
      </c>
      <c r="F315" s="459"/>
      <c r="G315" s="458"/>
    </row>
    <row r="316" spans="4:7">
      <c r="D316" s="236"/>
      <c r="E316" s="236">
        <f t="shared" si="21"/>
        <v>0</v>
      </c>
      <c r="F316" s="459"/>
      <c r="G316" s="458"/>
    </row>
    <row r="317" spans="4:7">
      <c r="D317" s="236"/>
      <c r="E317" s="236">
        <f t="shared" si="21"/>
        <v>0</v>
      </c>
      <c r="F317" s="459"/>
      <c r="G317" s="458"/>
    </row>
    <row r="318" spans="4:7">
      <c r="D318" s="236"/>
      <c r="E318" s="236">
        <f t="shared" si="21"/>
        <v>0</v>
      </c>
      <c r="F318" s="459"/>
      <c r="G318" s="458"/>
    </row>
    <row r="319" spans="4:7">
      <c r="D319" s="236"/>
      <c r="E319" s="236">
        <f t="shared" si="21"/>
        <v>0</v>
      </c>
      <c r="F319" s="459"/>
      <c r="G319" s="458"/>
    </row>
    <row r="320" spans="4:7">
      <c r="D320" s="236"/>
      <c r="E320" s="236">
        <f t="shared" si="21"/>
        <v>0</v>
      </c>
      <c r="F320" s="459"/>
      <c r="G320" s="458"/>
    </row>
    <row r="321" spans="4:7">
      <c r="D321" s="236"/>
      <c r="E321" s="236">
        <f t="shared" si="21"/>
        <v>0</v>
      </c>
      <c r="F321" s="459"/>
      <c r="G321" s="458"/>
    </row>
    <row r="322" spans="4:7">
      <c r="D322" s="236"/>
      <c r="E322" s="236">
        <f t="shared" si="21"/>
        <v>0</v>
      </c>
      <c r="F322" s="459"/>
      <c r="G322" s="458"/>
    </row>
    <row r="323" spans="4:7">
      <c r="D323" s="236"/>
      <c r="E323" s="236">
        <f t="shared" si="21"/>
        <v>0</v>
      </c>
      <c r="F323" s="459"/>
      <c r="G323" s="458"/>
    </row>
    <row r="324" spans="4:7">
      <c r="D324" s="236"/>
      <c r="E324" s="236">
        <f t="shared" si="21"/>
        <v>0</v>
      </c>
      <c r="F324" s="459"/>
      <c r="G324" s="458"/>
    </row>
    <row r="325" spans="4:7">
      <c r="D325" s="236"/>
      <c r="E325" s="236">
        <f t="shared" si="21"/>
        <v>0</v>
      </c>
      <c r="F325" s="459"/>
      <c r="G325" s="458"/>
    </row>
    <row r="326" spans="4:7">
      <c r="D326" s="236"/>
      <c r="E326" s="236">
        <f t="shared" si="21"/>
        <v>0</v>
      </c>
      <c r="F326" s="459"/>
      <c r="G326" s="458"/>
    </row>
    <row r="327" spans="4:7">
      <c r="D327" s="236"/>
      <c r="E327" s="236">
        <f t="shared" si="21"/>
        <v>0</v>
      </c>
      <c r="F327" s="459"/>
      <c r="G327" s="458"/>
    </row>
    <row r="328" spans="4:7">
      <c r="D328" s="236"/>
      <c r="E328" s="236">
        <f t="shared" si="21"/>
        <v>0</v>
      </c>
      <c r="F328" s="459"/>
      <c r="G328" s="458"/>
    </row>
    <row r="329" spans="4:7">
      <c r="D329" s="236"/>
      <c r="E329" s="236">
        <f t="shared" si="21"/>
        <v>0</v>
      </c>
      <c r="F329" s="459"/>
      <c r="G329" s="458"/>
    </row>
    <row r="330" spans="4:7">
      <c r="D330" s="236"/>
      <c r="E330" s="236">
        <f t="shared" si="21"/>
        <v>0</v>
      </c>
      <c r="F330" s="459"/>
      <c r="G330" s="458"/>
    </row>
    <row r="331" spans="4:7">
      <c r="D331" s="236"/>
      <c r="E331" s="236">
        <f t="shared" si="21"/>
        <v>0</v>
      </c>
      <c r="F331" s="459"/>
      <c r="G331" s="458"/>
    </row>
    <row r="332" spans="4:7">
      <c r="D332" s="236"/>
      <c r="E332" s="236">
        <f t="shared" si="21"/>
        <v>0</v>
      </c>
      <c r="F332" s="459"/>
      <c r="G332" s="458"/>
    </row>
    <row r="333" spans="4:7">
      <c r="D333" s="236"/>
      <c r="E333" s="236">
        <f t="shared" si="21"/>
        <v>0</v>
      </c>
      <c r="F333" s="459"/>
      <c r="G333" s="458"/>
    </row>
    <row r="334" spans="4:7">
      <c r="D334" s="236"/>
      <c r="E334" s="236">
        <f t="shared" si="21"/>
        <v>0</v>
      </c>
      <c r="F334" s="459"/>
      <c r="G334" s="458"/>
    </row>
    <row r="335" spans="4:7">
      <c r="D335" s="236"/>
      <c r="E335" s="236">
        <f t="shared" si="21"/>
        <v>0</v>
      </c>
      <c r="F335" s="459"/>
      <c r="G335" s="458"/>
    </row>
    <row r="336" spans="4:7">
      <c r="D336" s="236"/>
      <c r="E336" s="236">
        <f t="shared" si="21"/>
        <v>0</v>
      </c>
      <c r="F336" s="459"/>
      <c r="G336" s="458"/>
    </row>
    <row r="337" spans="4:7">
      <c r="D337" s="236"/>
      <c r="E337" s="236">
        <f t="shared" si="21"/>
        <v>0</v>
      </c>
      <c r="F337" s="459"/>
      <c r="G337" s="458"/>
    </row>
    <row r="338" spans="4:7">
      <c r="D338" s="236"/>
      <c r="E338" s="236">
        <f t="shared" si="21"/>
        <v>0</v>
      </c>
      <c r="F338" s="459"/>
      <c r="G338" s="458"/>
    </row>
    <row r="339" spans="4:7">
      <c r="D339" s="236"/>
      <c r="E339" s="236">
        <f t="shared" si="21"/>
        <v>0</v>
      </c>
      <c r="F339" s="459"/>
      <c r="G339" s="458"/>
    </row>
    <row r="340" spans="4:7">
      <c r="D340" s="236"/>
      <c r="E340" s="236">
        <f t="shared" si="21"/>
        <v>0</v>
      </c>
      <c r="F340" s="459"/>
      <c r="G340" s="458"/>
    </row>
    <row r="341" spans="4:7">
      <c r="D341" s="236"/>
      <c r="E341" s="236">
        <f t="shared" si="21"/>
        <v>0</v>
      </c>
      <c r="F341" s="459"/>
      <c r="G341" s="458"/>
    </row>
    <row r="342" spans="4:7">
      <c r="D342" s="236"/>
      <c r="E342" s="236">
        <f t="shared" si="21"/>
        <v>0</v>
      </c>
      <c r="F342" s="459"/>
      <c r="G342" s="458"/>
    </row>
    <row r="343" spans="4:7">
      <c r="D343" s="236"/>
      <c r="E343" s="236">
        <f t="shared" si="21"/>
        <v>0</v>
      </c>
      <c r="F343" s="459"/>
      <c r="G343" s="458"/>
    </row>
    <row r="344" spans="4:7">
      <c r="D344" s="236"/>
      <c r="E344" s="236">
        <f t="shared" si="21"/>
        <v>0</v>
      </c>
      <c r="F344" s="459"/>
      <c r="G344" s="458"/>
    </row>
    <row r="345" spans="4:7">
      <c r="D345" s="236"/>
      <c r="E345" s="236">
        <f t="shared" si="21"/>
        <v>0</v>
      </c>
      <c r="F345" s="459"/>
      <c r="G345" s="458"/>
    </row>
    <row r="346" spans="4:7">
      <c r="D346" s="236"/>
      <c r="E346" s="236">
        <f t="shared" si="21"/>
        <v>0</v>
      </c>
      <c r="F346" s="459"/>
      <c r="G346" s="458"/>
    </row>
    <row r="347" spans="4:7">
      <c r="D347" s="236"/>
      <c r="E347" s="236">
        <f t="shared" si="21"/>
        <v>0</v>
      </c>
      <c r="F347" s="459"/>
      <c r="G347" s="458"/>
    </row>
    <row r="348" spans="4:7">
      <c r="D348" s="236"/>
      <c r="E348" s="236">
        <f t="shared" si="21"/>
        <v>0</v>
      </c>
      <c r="F348" s="459"/>
      <c r="G348" s="458"/>
    </row>
    <row r="349" spans="4:7">
      <c r="D349" s="236"/>
      <c r="E349" s="236">
        <f t="shared" si="21"/>
        <v>0</v>
      </c>
      <c r="F349" s="459"/>
      <c r="G349" s="458"/>
    </row>
    <row r="350" spans="4:7">
      <c r="D350" s="236"/>
      <c r="E350" s="236">
        <f t="shared" si="21"/>
        <v>0</v>
      </c>
      <c r="F350" s="459"/>
      <c r="G350" s="458"/>
    </row>
    <row r="351" spans="4:7">
      <c r="D351" s="236"/>
      <c r="E351" s="236">
        <f t="shared" si="21"/>
        <v>0</v>
      </c>
      <c r="F351" s="459"/>
      <c r="G351" s="458"/>
    </row>
    <row r="352" spans="4:7">
      <c r="D352" s="236"/>
      <c r="E352" s="236">
        <f t="shared" si="21"/>
        <v>0</v>
      </c>
      <c r="F352" s="459"/>
      <c r="G352" s="458"/>
    </row>
    <row r="353" spans="4:7">
      <c r="D353" s="236"/>
      <c r="E353" s="236">
        <f t="shared" si="21"/>
        <v>0</v>
      </c>
      <c r="F353" s="459"/>
      <c r="G353" s="458"/>
    </row>
    <row r="354" spans="4:7">
      <c r="D354" s="236"/>
      <c r="E354" s="236">
        <f t="shared" si="21"/>
        <v>0</v>
      </c>
      <c r="F354" s="459"/>
      <c r="G354" s="458"/>
    </row>
    <row r="355" spans="4:7">
      <c r="D355" s="236"/>
      <c r="E355" s="236">
        <f t="shared" si="21"/>
        <v>0</v>
      </c>
      <c r="F355" s="459"/>
      <c r="G355" s="458"/>
    </row>
    <row r="356" spans="4:7">
      <c r="D356" s="236"/>
      <c r="E356" s="236">
        <f t="shared" si="21"/>
        <v>0</v>
      </c>
      <c r="F356" s="459"/>
      <c r="G356" s="458"/>
    </row>
    <row r="357" spans="4:7">
      <c r="D357" s="236"/>
      <c r="E357" s="236">
        <f t="shared" si="21"/>
        <v>0</v>
      </c>
      <c r="F357" s="459"/>
      <c r="G357" s="458"/>
    </row>
    <row r="358" spans="4:7">
      <c r="D358" s="236"/>
      <c r="E358" s="236">
        <f t="shared" si="21"/>
        <v>0</v>
      </c>
      <c r="F358" s="459"/>
      <c r="G358" s="458"/>
    </row>
    <row r="359" spans="4:7">
      <c r="D359" s="236"/>
      <c r="E359" s="236">
        <f t="shared" si="21"/>
        <v>0</v>
      </c>
      <c r="F359" s="459"/>
      <c r="G359" s="458"/>
    </row>
    <row r="360" spans="4:7">
      <c r="D360" s="236"/>
      <c r="E360" s="236">
        <f t="shared" si="21"/>
        <v>0</v>
      </c>
      <c r="F360" s="459"/>
      <c r="G360" s="458"/>
    </row>
    <row r="361" spans="4:7">
      <c r="D361" s="236"/>
      <c r="E361" s="236">
        <f t="shared" si="21"/>
        <v>0</v>
      </c>
      <c r="F361" s="459"/>
      <c r="G361" s="458"/>
    </row>
    <row r="362" spans="4:7">
      <c r="D362" s="236"/>
      <c r="E362" s="236">
        <f t="shared" ref="E362:E425" si="22">IF($C362="h",$D362+($D362*HORISTA),IF($C362="mês",$D362+($D362*MENSALISTA),D362))</f>
        <v>0</v>
      </c>
      <c r="F362" s="459"/>
      <c r="G362" s="458"/>
    </row>
    <row r="363" spans="4:7">
      <c r="D363" s="236"/>
      <c r="E363" s="236">
        <f t="shared" si="22"/>
        <v>0</v>
      </c>
      <c r="F363" s="459"/>
      <c r="G363" s="458"/>
    </row>
    <row r="364" spans="4:7">
      <c r="D364" s="236"/>
      <c r="E364" s="236">
        <f t="shared" si="22"/>
        <v>0</v>
      </c>
      <c r="F364" s="459"/>
      <c r="G364" s="458"/>
    </row>
    <row r="365" spans="4:7">
      <c r="D365" s="236"/>
      <c r="E365" s="236">
        <f t="shared" si="22"/>
        <v>0</v>
      </c>
      <c r="F365" s="459"/>
      <c r="G365" s="458"/>
    </row>
    <row r="366" spans="4:7">
      <c r="D366" s="236"/>
      <c r="E366" s="236">
        <f t="shared" si="22"/>
        <v>0</v>
      </c>
      <c r="F366" s="459"/>
      <c r="G366" s="458"/>
    </row>
    <row r="367" spans="4:7">
      <c r="D367" s="236"/>
      <c r="E367" s="236">
        <f t="shared" si="22"/>
        <v>0</v>
      </c>
      <c r="F367" s="459"/>
      <c r="G367" s="458"/>
    </row>
    <row r="368" spans="4:7">
      <c r="D368" s="236"/>
      <c r="E368" s="236">
        <f t="shared" si="22"/>
        <v>0</v>
      </c>
      <c r="F368" s="459"/>
      <c r="G368" s="458"/>
    </row>
    <row r="369" spans="4:7">
      <c r="D369" s="236"/>
      <c r="E369" s="236">
        <f t="shared" si="22"/>
        <v>0</v>
      </c>
      <c r="F369" s="459"/>
      <c r="G369" s="458"/>
    </row>
    <row r="370" spans="4:7">
      <c r="D370" s="236"/>
      <c r="E370" s="236">
        <f t="shared" si="22"/>
        <v>0</v>
      </c>
      <c r="F370" s="459"/>
      <c r="G370" s="458"/>
    </row>
    <row r="371" spans="4:7">
      <c r="D371" s="236"/>
      <c r="E371" s="236">
        <f t="shared" si="22"/>
        <v>0</v>
      </c>
      <c r="F371" s="459"/>
      <c r="G371" s="458"/>
    </row>
    <row r="372" spans="4:7">
      <c r="D372" s="236"/>
      <c r="E372" s="236">
        <f t="shared" si="22"/>
        <v>0</v>
      </c>
      <c r="F372" s="459"/>
      <c r="G372" s="458"/>
    </row>
    <row r="373" spans="4:7">
      <c r="D373" s="236"/>
      <c r="E373" s="236">
        <f t="shared" si="22"/>
        <v>0</v>
      </c>
      <c r="F373" s="459"/>
      <c r="G373" s="458"/>
    </row>
    <row r="374" spans="4:7">
      <c r="D374" s="236"/>
      <c r="E374" s="236">
        <f t="shared" si="22"/>
        <v>0</v>
      </c>
      <c r="F374" s="459"/>
      <c r="G374" s="458"/>
    </row>
    <row r="375" spans="4:7">
      <c r="D375" s="236"/>
      <c r="E375" s="236">
        <f t="shared" si="22"/>
        <v>0</v>
      </c>
      <c r="F375" s="459"/>
      <c r="G375" s="458"/>
    </row>
    <row r="376" spans="4:7">
      <c r="D376" s="236"/>
      <c r="E376" s="236">
        <f t="shared" si="22"/>
        <v>0</v>
      </c>
      <c r="F376" s="459"/>
      <c r="G376" s="458"/>
    </row>
    <row r="377" spans="4:7">
      <c r="D377" s="236"/>
      <c r="E377" s="236">
        <f t="shared" si="22"/>
        <v>0</v>
      </c>
      <c r="F377" s="459"/>
      <c r="G377" s="458"/>
    </row>
    <row r="378" spans="4:7">
      <c r="D378" s="236"/>
      <c r="E378" s="236">
        <f t="shared" si="22"/>
        <v>0</v>
      </c>
      <c r="F378" s="459"/>
      <c r="G378" s="458"/>
    </row>
    <row r="379" spans="4:7">
      <c r="D379" s="236"/>
      <c r="E379" s="236">
        <f t="shared" si="22"/>
        <v>0</v>
      </c>
      <c r="F379" s="459"/>
      <c r="G379" s="458"/>
    </row>
    <row r="380" spans="4:7">
      <c r="D380" s="236"/>
      <c r="E380" s="236">
        <f t="shared" si="22"/>
        <v>0</v>
      </c>
      <c r="F380" s="459"/>
      <c r="G380" s="458"/>
    </row>
    <row r="381" spans="4:7">
      <c r="D381" s="236"/>
      <c r="E381" s="236">
        <f t="shared" si="22"/>
        <v>0</v>
      </c>
      <c r="F381" s="459"/>
      <c r="G381" s="458"/>
    </row>
    <row r="382" spans="4:7">
      <c r="D382" s="236"/>
      <c r="E382" s="236">
        <f t="shared" si="22"/>
        <v>0</v>
      </c>
      <c r="F382" s="459"/>
      <c r="G382" s="458"/>
    </row>
    <row r="383" spans="4:7">
      <c r="D383" s="236"/>
      <c r="E383" s="236">
        <f t="shared" si="22"/>
        <v>0</v>
      </c>
      <c r="F383" s="459"/>
      <c r="G383" s="458"/>
    </row>
    <row r="384" spans="4:7">
      <c r="D384" s="236"/>
      <c r="E384" s="236">
        <f t="shared" si="22"/>
        <v>0</v>
      </c>
      <c r="F384" s="459"/>
      <c r="G384" s="458"/>
    </row>
    <row r="385" spans="4:7">
      <c r="D385" s="236"/>
      <c r="E385" s="236">
        <f t="shared" si="22"/>
        <v>0</v>
      </c>
      <c r="F385" s="459"/>
      <c r="G385" s="458"/>
    </row>
    <row r="386" spans="4:7">
      <c r="D386" s="236"/>
      <c r="E386" s="236">
        <f t="shared" si="22"/>
        <v>0</v>
      </c>
      <c r="F386" s="459"/>
      <c r="G386" s="458"/>
    </row>
    <row r="387" spans="4:7">
      <c r="D387" s="236"/>
      <c r="E387" s="236">
        <f t="shared" si="22"/>
        <v>0</v>
      </c>
      <c r="F387" s="459"/>
      <c r="G387" s="458"/>
    </row>
    <row r="388" spans="4:7">
      <c r="D388" s="236"/>
      <c r="E388" s="236">
        <f t="shared" si="22"/>
        <v>0</v>
      </c>
      <c r="F388" s="459"/>
      <c r="G388" s="458"/>
    </row>
    <row r="389" spans="4:7">
      <c r="D389" s="236"/>
      <c r="E389" s="236">
        <f t="shared" si="22"/>
        <v>0</v>
      </c>
      <c r="F389" s="459"/>
      <c r="G389" s="458"/>
    </row>
    <row r="390" spans="4:7">
      <c r="D390" s="236"/>
      <c r="E390" s="236">
        <f t="shared" si="22"/>
        <v>0</v>
      </c>
      <c r="F390" s="459"/>
      <c r="G390" s="458"/>
    </row>
    <row r="391" spans="4:7">
      <c r="D391" s="236"/>
      <c r="E391" s="236">
        <f t="shared" si="22"/>
        <v>0</v>
      </c>
      <c r="F391" s="459"/>
      <c r="G391" s="458"/>
    </row>
    <row r="392" spans="4:7">
      <c r="D392" s="236"/>
      <c r="E392" s="236">
        <f t="shared" si="22"/>
        <v>0</v>
      </c>
      <c r="F392" s="459"/>
      <c r="G392" s="458"/>
    </row>
    <row r="393" spans="4:7">
      <c r="D393" s="236"/>
      <c r="E393" s="236">
        <f t="shared" si="22"/>
        <v>0</v>
      </c>
      <c r="F393" s="459"/>
      <c r="G393" s="458"/>
    </row>
    <row r="394" spans="4:7">
      <c r="D394" s="236"/>
      <c r="E394" s="236">
        <f t="shared" si="22"/>
        <v>0</v>
      </c>
      <c r="F394" s="459"/>
      <c r="G394" s="458"/>
    </row>
    <row r="395" spans="4:7">
      <c r="D395" s="236"/>
      <c r="E395" s="236">
        <f t="shared" si="22"/>
        <v>0</v>
      </c>
      <c r="F395" s="459"/>
      <c r="G395" s="458"/>
    </row>
    <row r="396" spans="4:7">
      <c r="D396" s="236"/>
      <c r="E396" s="236">
        <f t="shared" si="22"/>
        <v>0</v>
      </c>
      <c r="F396" s="459"/>
      <c r="G396" s="458"/>
    </row>
    <row r="397" spans="4:7">
      <c r="D397" s="236"/>
      <c r="E397" s="236">
        <f t="shared" si="22"/>
        <v>0</v>
      </c>
      <c r="F397" s="459"/>
      <c r="G397" s="458"/>
    </row>
    <row r="398" spans="4:7">
      <c r="D398" s="236"/>
      <c r="E398" s="236">
        <f t="shared" si="22"/>
        <v>0</v>
      </c>
      <c r="F398" s="459"/>
      <c r="G398" s="458"/>
    </row>
    <row r="399" spans="4:7">
      <c r="D399" s="236"/>
      <c r="E399" s="236">
        <f t="shared" si="22"/>
        <v>0</v>
      </c>
      <c r="F399" s="459"/>
      <c r="G399" s="458"/>
    </row>
    <row r="400" spans="4:7">
      <c r="D400" s="236"/>
      <c r="E400" s="236">
        <f t="shared" si="22"/>
        <v>0</v>
      </c>
      <c r="F400" s="459"/>
      <c r="G400" s="458"/>
    </row>
    <row r="401" spans="4:7">
      <c r="D401" s="236"/>
      <c r="E401" s="236">
        <f t="shared" si="22"/>
        <v>0</v>
      </c>
      <c r="F401" s="459"/>
      <c r="G401" s="458"/>
    </row>
    <row r="402" spans="4:7">
      <c r="D402" s="236"/>
      <c r="E402" s="236">
        <f t="shared" si="22"/>
        <v>0</v>
      </c>
      <c r="F402" s="459"/>
      <c r="G402" s="458"/>
    </row>
    <row r="403" spans="4:7">
      <c r="D403" s="236"/>
      <c r="E403" s="236">
        <f t="shared" si="22"/>
        <v>0</v>
      </c>
      <c r="F403" s="459"/>
      <c r="G403" s="458"/>
    </row>
    <row r="404" spans="4:7">
      <c r="D404" s="236"/>
      <c r="E404" s="236">
        <f t="shared" si="22"/>
        <v>0</v>
      </c>
      <c r="F404" s="459"/>
      <c r="G404" s="458"/>
    </row>
    <row r="405" spans="4:7">
      <c r="D405" s="236"/>
      <c r="E405" s="236">
        <f t="shared" si="22"/>
        <v>0</v>
      </c>
      <c r="F405" s="459"/>
      <c r="G405" s="458"/>
    </row>
    <row r="406" spans="4:7">
      <c r="D406" s="236"/>
      <c r="E406" s="236">
        <f t="shared" si="22"/>
        <v>0</v>
      </c>
      <c r="F406" s="459"/>
      <c r="G406" s="458"/>
    </row>
    <row r="407" spans="4:7">
      <c r="D407" s="236"/>
      <c r="E407" s="236">
        <f t="shared" si="22"/>
        <v>0</v>
      </c>
      <c r="F407" s="459"/>
      <c r="G407" s="458"/>
    </row>
    <row r="408" spans="4:7">
      <c r="D408" s="236"/>
      <c r="E408" s="236">
        <f t="shared" si="22"/>
        <v>0</v>
      </c>
      <c r="F408" s="459"/>
      <c r="G408" s="458"/>
    </row>
    <row r="409" spans="4:7">
      <c r="D409" s="236"/>
      <c r="E409" s="236">
        <f t="shared" si="22"/>
        <v>0</v>
      </c>
      <c r="F409" s="459"/>
      <c r="G409" s="458"/>
    </row>
    <row r="410" spans="4:7">
      <c r="D410" s="236"/>
      <c r="E410" s="236">
        <f t="shared" si="22"/>
        <v>0</v>
      </c>
      <c r="F410" s="459"/>
      <c r="G410" s="458"/>
    </row>
    <row r="411" spans="4:7">
      <c r="D411" s="236"/>
      <c r="E411" s="236">
        <f t="shared" si="22"/>
        <v>0</v>
      </c>
      <c r="F411" s="459"/>
      <c r="G411" s="458"/>
    </row>
    <row r="412" spans="4:7">
      <c r="D412" s="236"/>
      <c r="E412" s="236">
        <f t="shared" si="22"/>
        <v>0</v>
      </c>
      <c r="F412" s="459"/>
      <c r="G412" s="458"/>
    </row>
    <row r="413" spans="4:7">
      <c r="D413" s="236"/>
      <c r="E413" s="236">
        <f t="shared" si="22"/>
        <v>0</v>
      </c>
      <c r="F413" s="459"/>
      <c r="G413" s="458"/>
    </row>
    <row r="414" spans="4:7">
      <c r="D414" s="236"/>
      <c r="E414" s="236">
        <f t="shared" si="22"/>
        <v>0</v>
      </c>
      <c r="F414" s="459"/>
      <c r="G414" s="458"/>
    </row>
    <row r="415" spans="4:7">
      <c r="D415" s="236"/>
      <c r="E415" s="236">
        <f t="shared" si="22"/>
        <v>0</v>
      </c>
      <c r="F415" s="459"/>
      <c r="G415" s="458"/>
    </row>
    <row r="416" spans="4:7">
      <c r="D416" s="236"/>
      <c r="E416" s="236">
        <f t="shared" si="22"/>
        <v>0</v>
      </c>
      <c r="F416" s="459"/>
      <c r="G416" s="458"/>
    </row>
    <row r="417" spans="4:7">
      <c r="D417" s="236"/>
      <c r="E417" s="236">
        <f t="shared" si="22"/>
        <v>0</v>
      </c>
      <c r="F417" s="459"/>
      <c r="G417" s="458"/>
    </row>
    <row r="418" spans="4:7">
      <c r="D418" s="236"/>
      <c r="E418" s="236">
        <f t="shared" si="22"/>
        <v>0</v>
      </c>
      <c r="F418" s="459"/>
      <c r="G418" s="458"/>
    </row>
    <row r="419" spans="4:7">
      <c r="D419" s="236"/>
      <c r="E419" s="236">
        <f t="shared" si="22"/>
        <v>0</v>
      </c>
      <c r="F419" s="459"/>
      <c r="G419" s="458"/>
    </row>
    <row r="420" spans="4:7">
      <c r="D420" s="236"/>
      <c r="E420" s="236">
        <f t="shared" si="22"/>
        <v>0</v>
      </c>
      <c r="F420" s="459"/>
      <c r="G420" s="458"/>
    </row>
    <row r="421" spans="4:7">
      <c r="D421" s="236"/>
      <c r="E421" s="236">
        <f t="shared" si="22"/>
        <v>0</v>
      </c>
      <c r="F421" s="459"/>
      <c r="G421" s="458"/>
    </row>
    <row r="422" spans="4:7">
      <c r="D422" s="236"/>
      <c r="E422" s="236">
        <f t="shared" si="22"/>
        <v>0</v>
      </c>
      <c r="F422" s="459"/>
      <c r="G422" s="458"/>
    </row>
    <row r="423" spans="4:7">
      <c r="D423" s="236"/>
      <c r="E423" s="236">
        <f t="shared" si="22"/>
        <v>0</v>
      </c>
      <c r="F423" s="459"/>
      <c r="G423" s="458"/>
    </row>
    <row r="424" spans="4:7">
      <c r="D424" s="236"/>
      <c r="E424" s="236">
        <f t="shared" si="22"/>
        <v>0</v>
      </c>
      <c r="F424" s="459"/>
      <c r="G424" s="458"/>
    </row>
    <row r="425" spans="4:7">
      <c r="D425" s="236"/>
      <c r="E425" s="236">
        <f t="shared" si="22"/>
        <v>0</v>
      </c>
      <c r="F425" s="459"/>
      <c r="G425" s="458"/>
    </row>
    <row r="426" spans="4:7">
      <c r="D426" s="236"/>
      <c r="E426" s="236">
        <f t="shared" ref="E426:E489" si="23">IF($C426="h",$D426+($D426*HORISTA),IF($C426="mês",$D426+($D426*MENSALISTA),D426))</f>
        <v>0</v>
      </c>
      <c r="F426" s="459"/>
      <c r="G426" s="458"/>
    </row>
    <row r="427" spans="4:7">
      <c r="D427" s="236"/>
      <c r="E427" s="236">
        <f t="shared" si="23"/>
        <v>0</v>
      </c>
      <c r="F427" s="459"/>
      <c r="G427" s="458"/>
    </row>
    <row r="428" spans="4:7">
      <c r="D428" s="236"/>
      <c r="E428" s="236">
        <f t="shared" si="23"/>
        <v>0</v>
      </c>
      <c r="F428" s="459"/>
      <c r="G428" s="458"/>
    </row>
    <row r="429" spans="4:7">
      <c r="D429" s="236"/>
      <c r="E429" s="236">
        <f t="shared" si="23"/>
        <v>0</v>
      </c>
      <c r="F429" s="459"/>
      <c r="G429" s="458"/>
    </row>
    <row r="430" spans="4:7">
      <c r="D430" s="236"/>
      <c r="E430" s="236">
        <f t="shared" si="23"/>
        <v>0</v>
      </c>
      <c r="F430" s="459"/>
      <c r="G430" s="458"/>
    </row>
    <row r="431" spans="4:7">
      <c r="D431" s="236"/>
      <c r="E431" s="236">
        <f t="shared" si="23"/>
        <v>0</v>
      </c>
      <c r="F431" s="459"/>
      <c r="G431" s="458"/>
    </row>
    <row r="432" spans="4:7">
      <c r="D432" s="236"/>
      <c r="E432" s="236">
        <f t="shared" si="23"/>
        <v>0</v>
      </c>
      <c r="F432" s="459"/>
      <c r="G432" s="458"/>
    </row>
    <row r="433" spans="4:7">
      <c r="D433" s="236"/>
      <c r="E433" s="236">
        <f t="shared" si="23"/>
        <v>0</v>
      </c>
      <c r="F433" s="459"/>
      <c r="G433" s="458"/>
    </row>
    <row r="434" spans="4:7">
      <c r="D434" s="236"/>
      <c r="E434" s="236">
        <f t="shared" si="23"/>
        <v>0</v>
      </c>
      <c r="F434" s="459"/>
      <c r="G434" s="458"/>
    </row>
    <row r="435" spans="4:7">
      <c r="D435" s="236"/>
      <c r="E435" s="236">
        <f t="shared" si="23"/>
        <v>0</v>
      </c>
      <c r="F435" s="459"/>
      <c r="G435" s="458"/>
    </row>
    <row r="436" spans="4:7">
      <c r="D436" s="236"/>
      <c r="E436" s="236">
        <f t="shared" si="23"/>
        <v>0</v>
      </c>
      <c r="F436" s="459"/>
      <c r="G436" s="458"/>
    </row>
    <row r="437" spans="4:7">
      <c r="D437" s="236"/>
      <c r="E437" s="236">
        <f t="shared" si="23"/>
        <v>0</v>
      </c>
      <c r="F437" s="459"/>
      <c r="G437" s="458"/>
    </row>
    <row r="438" spans="4:7">
      <c r="D438" s="236"/>
      <c r="E438" s="236">
        <f t="shared" si="23"/>
        <v>0</v>
      </c>
      <c r="F438" s="459"/>
      <c r="G438" s="458"/>
    </row>
    <row r="439" spans="4:7">
      <c r="D439" s="236"/>
      <c r="E439" s="236">
        <f t="shared" si="23"/>
        <v>0</v>
      </c>
      <c r="F439" s="459"/>
      <c r="G439" s="458"/>
    </row>
    <row r="440" spans="4:7">
      <c r="D440" s="236"/>
      <c r="E440" s="236">
        <f t="shared" si="23"/>
        <v>0</v>
      </c>
      <c r="F440" s="459"/>
      <c r="G440" s="458"/>
    </row>
    <row r="441" spans="4:7">
      <c r="D441" s="236"/>
      <c r="E441" s="236">
        <f t="shared" si="23"/>
        <v>0</v>
      </c>
      <c r="F441" s="459"/>
      <c r="G441" s="458"/>
    </row>
    <row r="442" spans="4:7">
      <c r="D442" s="236"/>
      <c r="E442" s="236">
        <f t="shared" si="23"/>
        <v>0</v>
      </c>
      <c r="F442" s="459"/>
      <c r="G442" s="458"/>
    </row>
    <row r="443" spans="4:7">
      <c r="D443" s="236"/>
      <c r="E443" s="236">
        <f t="shared" si="23"/>
        <v>0</v>
      </c>
      <c r="F443" s="459"/>
      <c r="G443" s="458"/>
    </row>
    <row r="444" spans="4:7">
      <c r="D444" s="236"/>
      <c r="E444" s="236">
        <f t="shared" si="23"/>
        <v>0</v>
      </c>
      <c r="F444" s="459"/>
      <c r="G444" s="458"/>
    </row>
    <row r="445" spans="4:7">
      <c r="D445" s="236"/>
      <c r="E445" s="236">
        <f t="shared" si="23"/>
        <v>0</v>
      </c>
      <c r="F445" s="459"/>
      <c r="G445" s="458"/>
    </row>
    <row r="446" spans="4:7">
      <c r="D446" s="236"/>
      <c r="E446" s="236">
        <f t="shared" si="23"/>
        <v>0</v>
      </c>
      <c r="F446" s="459"/>
      <c r="G446" s="458"/>
    </row>
    <row r="447" spans="4:7">
      <c r="D447" s="236"/>
      <c r="E447" s="236">
        <f t="shared" si="23"/>
        <v>0</v>
      </c>
      <c r="F447" s="459"/>
      <c r="G447" s="458"/>
    </row>
    <row r="448" spans="4:7">
      <c r="D448" s="236"/>
      <c r="E448" s="236">
        <f t="shared" si="23"/>
        <v>0</v>
      </c>
      <c r="F448" s="459"/>
      <c r="G448" s="458"/>
    </row>
    <row r="449" spans="4:7">
      <c r="D449" s="236"/>
      <c r="E449" s="236">
        <f t="shared" si="23"/>
        <v>0</v>
      </c>
      <c r="F449" s="459"/>
      <c r="G449" s="458"/>
    </row>
    <row r="450" spans="4:7">
      <c r="D450" s="236"/>
      <c r="E450" s="236">
        <f t="shared" si="23"/>
        <v>0</v>
      </c>
      <c r="F450" s="459"/>
      <c r="G450" s="458"/>
    </row>
    <row r="451" spans="4:7">
      <c r="D451" s="236"/>
      <c r="E451" s="236">
        <f t="shared" si="23"/>
        <v>0</v>
      </c>
      <c r="F451" s="459"/>
      <c r="G451" s="458"/>
    </row>
    <row r="452" spans="4:7">
      <c r="D452" s="236"/>
      <c r="E452" s="236">
        <f t="shared" si="23"/>
        <v>0</v>
      </c>
      <c r="F452" s="459"/>
      <c r="G452" s="458"/>
    </row>
    <row r="453" spans="4:7">
      <c r="D453" s="236"/>
      <c r="E453" s="236">
        <f t="shared" si="23"/>
        <v>0</v>
      </c>
      <c r="F453" s="459"/>
      <c r="G453" s="458"/>
    </row>
    <row r="454" spans="4:7">
      <c r="D454" s="236"/>
      <c r="E454" s="236">
        <f t="shared" si="23"/>
        <v>0</v>
      </c>
      <c r="F454" s="459"/>
      <c r="G454" s="458"/>
    </row>
    <row r="455" spans="4:7">
      <c r="D455" s="236"/>
      <c r="E455" s="236">
        <f t="shared" si="23"/>
        <v>0</v>
      </c>
      <c r="F455" s="459"/>
      <c r="G455" s="458"/>
    </row>
    <row r="456" spans="4:7">
      <c r="D456" s="236"/>
      <c r="E456" s="236">
        <f t="shared" si="23"/>
        <v>0</v>
      </c>
      <c r="F456" s="459"/>
      <c r="G456" s="458"/>
    </row>
    <row r="457" spans="4:7">
      <c r="D457" s="236"/>
      <c r="E457" s="236">
        <f t="shared" si="23"/>
        <v>0</v>
      </c>
      <c r="F457" s="459"/>
      <c r="G457" s="458"/>
    </row>
    <row r="458" spans="4:7">
      <c r="D458" s="236"/>
      <c r="E458" s="236">
        <f t="shared" si="23"/>
        <v>0</v>
      </c>
      <c r="F458" s="459"/>
      <c r="G458" s="458"/>
    </row>
    <row r="459" spans="4:7">
      <c r="D459" s="236"/>
      <c r="E459" s="236">
        <f t="shared" si="23"/>
        <v>0</v>
      </c>
      <c r="F459" s="459"/>
      <c r="G459" s="458"/>
    </row>
    <row r="460" spans="4:7">
      <c r="D460" s="236"/>
      <c r="E460" s="236">
        <f t="shared" si="23"/>
        <v>0</v>
      </c>
      <c r="F460" s="459"/>
      <c r="G460" s="458"/>
    </row>
    <row r="461" spans="4:7">
      <c r="D461" s="236"/>
      <c r="E461" s="236">
        <f t="shared" si="23"/>
        <v>0</v>
      </c>
      <c r="F461" s="459"/>
      <c r="G461" s="458"/>
    </row>
    <row r="462" spans="4:7">
      <c r="D462" s="236"/>
      <c r="E462" s="236">
        <f t="shared" si="23"/>
        <v>0</v>
      </c>
      <c r="F462" s="459"/>
      <c r="G462" s="458"/>
    </row>
    <row r="463" spans="4:7">
      <c r="D463" s="236"/>
      <c r="E463" s="236">
        <f t="shared" si="23"/>
        <v>0</v>
      </c>
      <c r="F463" s="459"/>
      <c r="G463" s="458"/>
    </row>
    <row r="464" spans="4:7">
      <c r="D464" s="236"/>
      <c r="E464" s="236">
        <f t="shared" si="23"/>
        <v>0</v>
      </c>
      <c r="F464" s="459"/>
      <c r="G464" s="458"/>
    </row>
    <row r="465" spans="4:7">
      <c r="D465" s="236"/>
      <c r="E465" s="236">
        <f t="shared" si="23"/>
        <v>0</v>
      </c>
      <c r="F465" s="459"/>
      <c r="G465" s="458"/>
    </row>
    <row r="466" spans="4:7">
      <c r="D466" s="236"/>
      <c r="E466" s="236">
        <f t="shared" si="23"/>
        <v>0</v>
      </c>
      <c r="F466" s="459"/>
      <c r="G466" s="458"/>
    </row>
    <row r="467" spans="4:7">
      <c r="D467" s="236"/>
      <c r="E467" s="236">
        <f t="shared" si="23"/>
        <v>0</v>
      </c>
      <c r="F467" s="459"/>
      <c r="G467" s="458"/>
    </row>
    <row r="468" spans="4:7">
      <c r="D468" s="236"/>
      <c r="E468" s="236">
        <f t="shared" si="23"/>
        <v>0</v>
      </c>
      <c r="F468" s="459"/>
      <c r="G468" s="458"/>
    </row>
    <row r="469" spans="4:7">
      <c r="D469" s="236"/>
      <c r="E469" s="236">
        <f t="shared" si="23"/>
        <v>0</v>
      </c>
      <c r="F469" s="459"/>
      <c r="G469" s="458"/>
    </row>
    <row r="470" spans="4:7">
      <c r="D470" s="236"/>
      <c r="E470" s="236">
        <f t="shared" si="23"/>
        <v>0</v>
      </c>
      <c r="F470" s="459"/>
      <c r="G470" s="458"/>
    </row>
    <row r="471" spans="4:7">
      <c r="D471" s="236"/>
      <c r="E471" s="236">
        <f t="shared" si="23"/>
        <v>0</v>
      </c>
      <c r="F471" s="459"/>
      <c r="G471" s="458"/>
    </row>
    <row r="472" spans="4:7">
      <c r="D472" s="236"/>
      <c r="E472" s="236">
        <f t="shared" si="23"/>
        <v>0</v>
      </c>
      <c r="F472" s="459"/>
      <c r="G472" s="458"/>
    </row>
    <row r="473" spans="4:7">
      <c r="D473" s="236"/>
      <c r="E473" s="236">
        <f t="shared" si="23"/>
        <v>0</v>
      </c>
      <c r="F473" s="459"/>
      <c r="G473" s="458"/>
    </row>
    <row r="474" spans="4:7">
      <c r="D474" s="236"/>
      <c r="E474" s="236">
        <f t="shared" si="23"/>
        <v>0</v>
      </c>
      <c r="F474" s="459"/>
      <c r="G474" s="458"/>
    </row>
    <row r="475" spans="4:7">
      <c r="D475" s="236"/>
      <c r="E475" s="236">
        <f t="shared" si="23"/>
        <v>0</v>
      </c>
      <c r="F475" s="459"/>
      <c r="G475" s="458"/>
    </row>
    <row r="476" spans="4:7">
      <c r="D476" s="236"/>
      <c r="E476" s="236">
        <f t="shared" si="23"/>
        <v>0</v>
      </c>
      <c r="F476" s="459"/>
      <c r="G476" s="458"/>
    </row>
    <row r="477" spans="4:7">
      <c r="D477" s="236"/>
      <c r="E477" s="236">
        <f t="shared" si="23"/>
        <v>0</v>
      </c>
      <c r="F477" s="459"/>
      <c r="G477" s="458"/>
    </row>
    <row r="478" spans="4:7">
      <c r="D478" s="236"/>
      <c r="E478" s="236">
        <f t="shared" si="23"/>
        <v>0</v>
      </c>
      <c r="F478" s="459"/>
      <c r="G478" s="458"/>
    </row>
    <row r="479" spans="4:7">
      <c r="D479" s="236"/>
      <c r="E479" s="236">
        <f t="shared" si="23"/>
        <v>0</v>
      </c>
      <c r="F479" s="459"/>
      <c r="G479" s="458"/>
    </row>
    <row r="480" spans="4:7">
      <c r="D480" s="236"/>
      <c r="E480" s="236">
        <f t="shared" si="23"/>
        <v>0</v>
      </c>
      <c r="F480" s="459"/>
      <c r="G480" s="458"/>
    </row>
    <row r="481" spans="4:7">
      <c r="D481" s="236"/>
      <c r="E481" s="236">
        <f t="shared" si="23"/>
        <v>0</v>
      </c>
      <c r="F481" s="459"/>
      <c r="G481" s="458"/>
    </row>
    <row r="482" spans="4:7">
      <c r="D482" s="236"/>
      <c r="E482" s="236">
        <f t="shared" si="23"/>
        <v>0</v>
      </c>
      <c r="F482" s="459"/>
      <c r="G482" s="458"/>
    </row>
    <row r="483" spans="4:7">
      <c r="D483" s="236"/>
      <c r="E483" s="236">
        <f t="shared" si="23"/>
        <v>0</v>
      </c>
      <c r="F483" s="459"/>
      <c r="G483" s="458"/>
    </row>
    <row r="484" spans="4:7">
      <c r="D484" s="236"/>
      <c r="E484" s="236">
        <f t="shared" si="23"/>
        <v>0</v>
      </c>
      <c r="F484" s="459"/>
      <c r="G484" s="458"/>
    </row>
    <row r="485" spans="4:7">
      <c r="D485" s="236"/>
      <c r="E485" s="236">
        <f t="shared" si="23"/>
        <v>0</v>
      </c>
      <c r="F485" s="459"/>
      <c r="G485" s="458"/>
    </row>
    <row r="486" spans="4:7">
      <c r="D486" s="236"/>
      <c r="E486" s="236">
        <f t="shared" si="23"/>
        <v>0</v>
      </c>
      <c r="F486" s="459"/>
      <c r="G486" s="458"/>
    </row>
    <row r="487" spans="4:7">
      <c r="D487" s="236"/>
      <c r="E487" s="236">
        <f t="shared" si="23"/>
        <v>0</v>
      </c>
      <c r="F487" s="459"/>
      <c r="G487" s="458"/>
    </row>
    <row r="488" spans="4:7">
      <c r="D488" s="236"/>
      <c r="E488" s="236">
        <f t="shared" si="23"/>
        <v>0</v>
      </c>
      <c r="F488" s="459"/>
      <c r="G488" s="458"/>
    </row>
    <row r="489" spans="4:7">
      <c r="D489" s="236"/>
      <c r="E489" s="236">
        <f t="shared" si="23"/>
        <v>0</v>
      </c>
      <c r="F489" s="459"/>
      <c r="G489" s="458"/>
    </row>
    <row r="490" spans="4:7">
      <c r="D490" s="236"/>
      <c r="E490" s="236">
        <f t="shared" ref="E490:E501" si="24">IF($C490="h",$D490+($D490*HORISTA),IF($C490="mês",$D490+($D490*MENSALISTA),D490))</f>
        <v>0</v>
      </c>
      <c r="F490" s="459"/>
      <c r="G490" s="458"/>
    </row>
    <row r="491" spans="4:7">
      <c r="D491" s="236"/>
      <c r="E491" s="236">
        <f t="shared" si="24"/>
        <v>0</v>
      </c>
      <c r="F491" s="459"/>
      <c r="G491" s="458"/>
    </row>
    <row r="492" spans="4:7">
      <c r="D492" s="236"/>
      <c r="E492" s="236">
        <f t="shared" si="24"/>
        <v>0</v>
      </c>
      <c r="F492" s="459"/>
      <c r="G492" s="458"/>
    </row>
    <row r="493" spans="4:7">
      <c r="D493" s="236"/>
      <c r="E493" s="236">
        <f t="shared" si="24"/>
        <v>0</v>
      </c>
      <c r="F493" s="459"/>
      <c r="G493" s="458"/>
    </row>
    <row r="494" spans="4:7">
      <c r="D494" s="236"/>
      <c r="E494" s="236">
        <f t="shared" si="24"/>
        <v>0</v>
      </c>
      <c r="F494" s="459"/>
      <c r="G494" s="458"/>
    </row>
    <row r="495" spans="4:7">
      <c r="D495" s="236"/>
      <c r="E495" s="236">
        <f t="shared" si="24"/>
        <v>0</v>
      </c>
      <c r="F495" s="459"/>
      <c r="G495" s="458"/>
    </row>
    <row r="496" spans="4:7">
      <c r="D496" s="236"/>
      <c r="E496" s="236">
        <f t="shared" si="24"/>
        <v>0</v>
      </c>
      <c r="F496" s="459"/>
      <c r="G496" s="458"/>
    </row>
    <row r="497" spans="4:7">
      <c r="D497" s="236"/>
      <c r="E497" s="236">
        <f t="shared" si="24"/>
        <v>0</v>
      </c>
      <c r="F497" s="459"/>
      <c r="G497" s="458"/>
    </row>
    <row r="498" spans="4:7">
      <c r="D498" s="236"/>
      <c r="E498" s="236">
        <f t="shared" si="24"/>
        <v>0</v>
      </c>
      <c r="F498" s="459"/>
      <c r="G498" s="458"/>
    </row>
    <row r="499" spans="4:7">
      <c r="D499" s="236"/>
      <c r="E499" s="236">
        <f t="shared" si="24"/>
        <v>0</v>
      </c>
      <c r="F499" s="459"/>
      <c r="G499" s="458"/>
    </row>
    <row r="500" spans="4:7">
      <c r="D500" s="236"/>
      <c r="E500" s="236">
        <f t="shared" si="24"/>
        <v>0</v>
      </c>
      <c r="F500" s="459"/>
      <c r="G500" s="458"/>
    </row>
    <row r="501" spans="4:7">
      <c r="D501" s="236"/>
      <c r="E501" s="236">
        <f t="shared" si="24"/>
        <v>0</v>
      </c>
      <c r="F501" s="459"/>
      <c r="G501" s="458"/>
    </row>
    <row r="504" spans="4:7">
      <c r="D504" s="187"/>
    </row>
  </sheetData>
  <autoFilter ref="A2:F501" xr:uid="{D1147CAB-2F78-427C-BFEB-786FCAEFB96E}"/>
  <phoneticPr fontId="45" type="noConversion"/>
  <dataValidations count="1">
    <dataValidation type="list" allowBlank="1" showInputMessage="1" showErrorMessage="1" sqref="C3:C501" xr:uid="{D8ECEE7E-7AA3-463E-AB7E-9B22D75AC45D}">
      <formula1>"h,mês,pj"</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2579" r:id="rId3" name="Label1">
          <controlPr defaultSize="0" autoLine="0" r:id="rId4">
            <anchor moveWithCells="1">
              <from>
                <xdr:col>2</xdr:col>
                <xdr:colOff>0</xdr:colOff>
                <xdr:row>0</xdr:row>
                <xdr:rowOff>22860</xdr:rowOff>
              </from>
              <to>
                <xdr:col>7</xdr:col>
                <xdr:colOff>457200</xdr:colOff>
                <xdr:row>0</xdr:row>
                <xdr:rowOff>152400</xdr:rowOff>
              </to>
            </anchor>
          </controlPr>
        </control>
      </mc:Choice>
      <mc:Fallback>
        <control shapeId="152579" r:id="rId3" name="Label1"/>
      </mc:Fallback>
    </mc:AlternateContent>
    <mc:AlternateContent xmlns:mc="http://schemas.openxmlformats.org/markup-compatibility/2006">
      <mc:Choice Requires="x14">
        <control shapeId="152578" r:id="rId5" name="ComboBox6">
          <controlPr defaultSize="0" autoLine="0" r:id="rId6">
            <anchor moveWithCells="1">
              <from>
                <xdr:col>2</xdr:col>
                <xdr:colOff>0</xdr:colOff>
                <xdr:row>0</xdr:row>
                <xdr:rowOff>175260</xdr:rowOff>
              </from>
              <to>
                <xdr:col>8</xdr:col>
                <xdr:colOff>7620</xdr:colOff>
                <xdr:row>0</xdr:row>
                <xdr:rowOff>411480</xdr:rowOff>
              </to>
            </anchor>
          </controlPr>
        </control>
      </mc:Choice>
      <mc:Fallback>
        <control shapeId="152578" r:id="rId5" name="ComboBox6"/>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33BDD-2C6D-49B5-9F29-A2E528C84D78}">
  <sheetPr codeName="Planilha30">
    <tabColor theme="7" tint="0.39997558519241921"/>
  </sheetPr>
  <dimension ref="A1:R308"/>
  <sheetViews>
    <sheetView showGridLines="0" workbookViewId="0">
      <pane ySplit="2" topLeftCell="A8" activePane="bottomLeft" state="frozen"/>
      <selection activeCell="I21" sqref="I21"/>
      <selection pane="bottomLeft" activeCell="E31" sqref="E31"/>
    </sheetView>
  </sheetViews>
  <sheetFormatPr defaultRowHeight="14.4" outlineLevelCol="1"/>
  <cols>
    <col min="1" max="1" width="56.88671875" customWidth="1"/>
    <col min="2" max="2" width="6.6640625" customWidth="1"/>
    <col min="3" max="3" width="9.6640625" customWidth="1" outlineLevel="1"/>
    <col min="4" max="4" width="10.6640625" customWidth="1" outlineLevel="1"/>
    <col min="5" max="5" width="12.6640625" customWidth="1" outlineLevel="1"/>
    <col min="6" max="6" width="11.33203125" customWidth="1" outlineLevel="1"/>
    <col min="7" max="7" width="15.33203125" customWidth="1" outlineLevel="1"/>
    <col min="8" max="8" width="13" customWidth="1" outlineLevel="1"/>
    <col min="9" max="9" width="10.33203125" customWidth="1" outlineLevel="1"/>
    <col min="10" max="12" width="11.33203125" customWidth="1"/>
    <col min="15" max="15" width="13.44140625" hidden="1" customWidth="1"/>
    <col min="16" max="16" width="15" hidden="1" customWidth="1"/>
    <col min="18" max="18" width="18" bestFit="1" customWidth="1"/>
  </cols>
  <sheetData>
    <row r="1" spans="1:18" ht="34.5" customHeight="1">
      <c r="R1" s="888" t="s">
        <v>1161</v>
      </c>
    </row>
    <row r="2" spans="1:18" s="183" customFormat="1" ht="55.2">
      <c r="A2" s="237" t="s">
        <v>462</v>
      </c>
      <c r="B2" s="237" t="s">
        <v>463</v>
      </c>
      <c r="C2" s="237" t="s">
        <v>600</v>
      </c>
      <c r="D2" s="237" t="s">
        <v>601</v>
      </c>
      <c r="E2" s="237" t="s">
        <v>602</v>
      </c>
      <c r="F2" s="237" t="s">
        <v>603</v>
      </c>
      <c r="G2" s="237" t="s">
        <v>604</v>
      </c>
      <c r="H2" s="237" t="s">
        <v>605</v>
      </c>
      <c r="I2" s="237" t="s">
        <v>606</v>
      </c>
      <c r="J2" s="237" t="s">
        <v>607</v>
      </c>
      <c r="K2" s="237" t="s">
        <v>608</v>
      </c>
      <c r="L2" s="237" t="s">
        <v>609</v>
      </c>
      <c r="M2" s="237" t="s">
        <v>610</v>
      </c>
      <c r="N2" s="237" t="s">
        <v>611</v>
      </c>
      <c r="O2" s="374" t="s">
        <v>466</v>
      </c>
      <c r="P2" s="374" t="s">
        <v>467</v>
      </c>
    </row>
    <row r="3" spans="1:18">
      <c r="A3" t="s">
        <v>1156</v>
      </c>
      <c r="B3" t="s">
        <v>612</v>
      </c>
      <c r="C3" s="236"/>
      <c r="D3" s="236">
        <v>0</v>
      </c>
      <c r="E3" s="236">
        <v>0</v>
      </c>
      <c r="F3" s="236">
        <v>0</v>
      </c>
      <c r="G3" s="236">
        <v>0</v>
      </c>
      <c r="H3" s="442">
        <v>17.010000000000002</v>
      </c>
      <c r="I3" s="236">
        <v>0</v>
      </c>
      <c r="J3" s="1034">
        <f>SUM(D3,E3,F3,G3,H3,I3)</f>
        <v>17.010000000000002</v>
      </c>
      <c r="K3" s="204">
        <f>SUM(D3,E3,F3,I3)</f>
        <v>0</v>
      </c>
      <c r="L3" s="238" t="s">
        <v>613</v>
      </c>
      <c r="M3" s="236">
        <f>IFERROR(VLOOKUP(L3,DADOS!$C$21:$E$25,3,0),"")</f>
        <v>6.59</v>
      </c>
      <c r="N3" s="2">
        <v>2</v>
      </c>
      <c r="O3" s="375" t="e">
        <f>SUMIF(EQUIPE!$B$1:$B$135,$B3,EQUIPE!$G$1:$G$135)+SUMIF(#REF!,$B3,#REF!)+SUMIF(#REF!,$B3,#REF!)+SUMIF(DRE!$B$1:$B$405,$B3,DRE!$G$1:$G$405)+SUMIF(AGUA!$B$1:$B$489,$B3,AGUA!$G$1:$G$489)</f>
        <v>#REF!</v>
      </c>
      <c r="P3" s="375">
        <f>SUMIF(ADM!$B$1:$B$496,$B3,ADM!$G$1:$G$496)+SUMIF(TOP!$B$1:$B$484,$B3,TOP!$G$1:$G$484)+SUMIF(LAB!$B$1:$B$487,$B3,LAB!$G$1:$G$487)+SUMIF(QSMS!$B$1:$B$479,$B3,QSMS!$G$1:$G$479)</f>
        <v>0</v>
      </c>
    </row>
    <row r="4" spans="1:18">
      <c r="A4" t="s">
        <v>1157</v>
      </c>
      <c r="B4" t="s">
        <v>615</v>
      </c>
      <c r="C4" s="236"/>
      <c r="D4" s="236">
        <v>0</v>
      </c>
      <c r="E4" s="236">
        <v>0</v>
      </c>
      <c r="F4" s="236">
        <v>0</v>
      </c>
      <c r="G4" s="236">
        <v>0</v>
      </c>
      <c r="H4" s="442">
        <f>25000/200</f>
        <v>125</v>
      </c>
      <c r="I4" s="236">
        <v>0</v>
      </c>
      <c r="J4" s="1034">
        <f t="shared" ref="J4:J45" si="0">SUM(D4,E4,F4,G4,H4,I4)</f>
        <v>125</v>
      </c>
      <c r="K4" s="204">
        <f>SUM(D4,E4,F4,I4)</f>
        <v>0</v>
      </c>
      <c r="L4" s="238" t="s">
        <v>616</v>
      </c>
      <c r="M4" s="236">
        <f>IFERROR(VLOOKUP(L4,DADOS!$C$21:$E$25,3,0),"")</f>
        <v>0</v>
      </c>
      <c r="N4" s="401">
        <v>2.5</v>
      </c>
      <c r="O4" s="375" t="e">
        <f>SUMIF(EQUIPE!$B$1:$B$135,$B4,EQUIPE!$G$1:$G$135)+SUMIF(#REF!,$B4,#REF!)+SUMIF(#REF!,$B4,#REF!)+SUMIF(DRE!$B$1:$B$405,$B4,DRE!$G$1:$G$405)+SUMIF(AGUA!$B$1:$B$489,$B4,AGUA!$G$1:$G$489)</f>
        <v>#REF!</v>
      </c>
      <c r="P4" s="375">
        <f>SUMIF(ADM!$B$1:$B$496,$B4,ADM!$G$1:$G$496)+SUMIF(TOP!$B$1:$B$484,$B4,TOP!$G$1:$G$484)+SUMIF(LAB!$B$1:$B$487,$B4,LAB!$G$1:$G$487)+SUMIF(QSMS!$B$1:$B$479,$B4,QSMS!$G$1:$G$479)</f>
        <v>0</v>
      </c>
      <c r="Q4">
        <v>4</v>
      </c>
    </row>
    <row r="5" spans="1:18">
      <c r="A5" t="s">
        <v>1175</v>
      </c>
      <c r="B5" t="s">
        <v>617</v>
      </c>
      <c r="C5" s="236"/>
      <c r="D5" s="236">
        <v>0</v>
      </c>
      <c r="E5" s="236">
        <v>0</v>
      </c>
      <c r="F5" s="236">
        <v>0</v>
      </c>
      <c r="G5" s="236">
        <v>0</v>
      </c>
      <c r="H5" s="442">
        <f>30000/200</f>
        <v>150</v>
      </c>
      <c r="I5" s="236">
        <v>0</v>
      </c>
      <c r="J5" s="1034">
        <f t="shared" si="0"/>
        <v>150</v>
      </c>
      <c r="K5" s="204">
        <f t="shared" ref="K5:K17" si="1">SUM(D5,E5,F5,I5)</f>
        <v>0</v>
      </c>
      <c r="L5" s="238" t="s">
        <v>616</v>
      </c>
      <c r="M5" s="236">
        <f>IFERROR(VLOOKUP(L5,DADOS!$C$21:$E$25,3,0),"")</f>
        <v>0</v>
      </c>
      <c r="N5" s="401">
        <v>2.5</v>
      </c>
      <c r="O5" s="375" t="e">
        <f>SUMIF(EQUIPE!$B$1:$B$135,$B5,EQUIPE!$G$1:$G$135)+SUMIF(#REF!,$B5,#REF!)+SUMIF(#REF!,$B5,#REF!)+SUMIF(DRE!$B$1:$B$405,$B5,DRE!$G$1:$G$405)+SUMIF(AGUA!$B$1:$B$489,$B5,AGUA!$G$1:$G$489)</f>
        <v>#REF!</v>
      </c>
      <c r="P5" s="375">
        <f>SUMIF(ADM!$B$1:$B$496,$B5,ADM!$G$1:$G$496)+SUMIF(TOP!$B$1:$B$484,$B5,TOP!$G$1:$G$484)+SUMIF(LAB!$B$1:$B$487,$B5,LAB!$G$1:$G$487)+SUMIF(QSMS!$B$1:$B$479,$B5,QSMS!$G$1:$G$479)</f>
        <v>0</v>
      </c>
      <c r="Q5">
        <v>4</v>
      </c>
    </row>
    <row r="6" spans="1:18">
      <c r="A6" t="s">
        <v>369</v>
      </c>
      <c r="B6" t="s">
        <v>618</v>
      </c>
      <c r="C6" s="236"/>
      <c r="D6" s="236">
        <v>0</v>
      </c>
      <c r="E6" s="236">
        <v>0</v>
      </c>
      <c r="F6" s="236">
        <v>0</v>
      </c>
      <c r="G6" s="236">
        <v>0</v>
      </c>
      <c r="H6" s="1033">
        <f>H5</f>
        <v>150</v>
      </c>
      <c r="I6" s="236">
        <v>0</v>
      </c>
      <c r="J6" s="1034">
        <f t="shared" si="0"/>
        <v>150</v>
      </c>
      <c r="K6" s="204">
        <f t="shared" si="1"/>
        <v>0</v>
      </c>
      <c r="L6" s="238" t="s">
        <v>616</v>
      </c>
      <c r="M6" s="236">
        <f>IFERROR(VLOOKUP(L6,DADOS!$C$21:$E$25,3,0),"")</f>
        <v>0</v>
      </c>
      <c r="N6" s="401">
        <v>2.5</v>
      </c>
      <c r="O6" s="375" t="e">
        <f>SUMIF(EQUIPE!$B$1:$B$135,$B6,EQUIPE!$G$1:$G$135)+SUMIF(#REF!,$B6,#REF!)+SUMIF(#REF!,$B6,#REF!)+SUMIF(DRE!$B$1:$B$405,$B6,DRE!$G$1:$G$405)+SUMIF(AGUA!$B$1:$B$489,$B6,AGUA!$G$1:$G$489)</f>
        <v>#REF!</v>
      </c>
      <c r="P6" s="375">
        <f>SUMIF(ADM!$B$1:$B$496,$B6,ADM!$G$1:$G$496)+SUMIF(TOP!$B$1:$B$484,$B6,TOP!$G$1:$G$484)+SUMIF(LAB!$B$1:$B$487,$B6,LAB!$G$1:$G$487)+SUMIF(QSMS!$B$1:$B$479,$B6,QSMS!$G$1:$G$479)</f>
        <v>0</v>
      </c>
      <c r="Q6">
        <v>4</v>
      </c>
    </row>
    <row r="7" spans="1:18">
      <c r="A7" t="s">
        <v>619</v>
      </c>
      <c r="B7" t="s">
        <v>620</v>
      </c>
      <c r="C7" s="236"/>
      <c r="D7" s="236">
        <v>0</v>
      </c>
      <c r="E7" s="236">
        <v>0</v>
      </c>
      <c r="F7" s="236">
        <v>0</v>
      </c>
      <c r="G7" s="236">
        <v>0</v>
      </c>
      <c r="H7" s="1033">
        <f>14000/200</f>
        <v>70</v>
      </c>
      <c r="I7" s="236">
        <v>0</v>
      </c>
      <c r="J7" s="1034">
        <f t="shared" si="0"/>
        <v>70</v>
      </c>
      <c r="K7" s="204">
        <f t="shared" si="1"/>
        <v>0</v>
      </c>
      <c r="L7" s="238" t="s">
        <v>616</v>
      </c>
      <c r="M7" s="236">
        <f>IFERROR(VLOOKUP(L7,DADOS!$C$21:$E$25,3,0),"")</f>
        <v>0</v>
      </c>
      <c r="N7" s="2">
        <v>5</v>
      </c>
      <c r="O7" s="375" t="e">
        <f>SUMIF(EQUIPE!$B$1:$B$135,$B7,EQUIPE!$G$1:$G$135)+SUMIF(#REF!,$B7,#REF!)+SUMIF(#REF!,$B7,#REF!)+SUMIF(DRE!$B$1:$B$405,$B7,DRE!$G$1:$G$405)+SUMIF(AGUA!$B$1:$B$489,$B7,AGUA!$G$1:$G$489)</f>
        <v>#REF!</v>
      </c>
      <c r="P7" s="375">
        <f>SUMIF(ADM!$B$1:$B$496,$B7,ADM!$G$1:$G$496)+SUMIF(TOP!$B$1:$B$484,$B7,TOP!$G$1:$G$484)+SUMIF(LAB!$B$1:$B$487,$B7,LAB!$G$1:$G$487)+SUMIF(QSMS!$B$1:$B$479,$B7,QSMS!$G$1:$G$479)</f>
        <v>0</v>
      </c>
    </row>
    <row r="8" spans="1:18">
      <c r="A8" t="s">
        <v>621</v>
      </c>
      <c r="B8" t="s">
        <v>622</v>
      </c>
      <c r="C8" s="236"/>
      <c r="D8" s="236">
        <v>0</v>
      </c>
      <c r="E8" s="236">
        <v>0</v>
      </c>
      <c r="F8" s="236">
        <v>0</v>
      </c>
      <c r="G8" s="236">
        <v>0</v>
      </c>
      <c r="H8" s="1033">
        <f>30000/200</f>
        <v>150</v>
      </c>
      <c r="I8" s="236">
        <v>0</v>
      </c>
      <c r="J8" s="1034">
        <f t="shared" si="0"/>
        <v>150</v>
      </c>
      <c r="K8" s="204">
        <f t="shared" si="1"/>
        <v>0</v>
      </c>
      <c r="L8" s="238" t="s">
        <v>616</v>
      </c>
      <c r="M8" s="236">
        <f>IFERROR(VLOOKUP(L8,DADOS!$C$21:$E$25,3,0),"")</f>
        <v>0</v>
      </c>
      <c r="N8" s="2">
        <v>4</v>
      </c>
      <c r="O8" s="375" t="e">
        <f>SUMIF(EQUIPE!$B$1:$B$135,$B8,EQUIPE!$G$1:$G$135)+SUMIF(#REF!,$B8,#REF!)+SUMIF(#REF!,$B8,#REF!)+SUMIF(DRE!$B$1:$B$405,$B8,DRE!$G$1:$G$405)+SUMIF(AGUA!$B$1:$B$489,$B8,AGUA!$G$1:$G$489)</f>
        <v>#REF!</v>
      </c>
      <c r="P8" s="375">
        <f>SUMIF(ADM!$B$1:$B$496,$B8,ADM!$G$1:$G$496)+SUMIF(TOP!$B$1:$B$484,$B8,TOP!$G$1:$G$484)+SUMIF(LAB!$B$1:$B$487,$B8,LAB!$G$1:$G$487)+SUMIF(QSMS!$B$1:$B$479,$B8,QSMS!$G$1:$G$479)</f>
        <v>0</v>
      </c>
    </row>
    <row r="9" spans="1:18">
      <c r="A9" t="s">
        <v>1105</v>
      </c>
      <c r="B9" t="s">
        <v>623</v>
      </c>
      <c r="C9" s="236"/>
      <c r="D9" s="236">
        <v>0</v>
      </c>
      <c r="E9" s="236">
        <v>0</v>
      </c>
      <c r="F9" s="236">
        <v>0</v>
      </c>
      <c r="G9" s="236">
        <v>0</v>
      </c>
      <c r="H9" s="1033">
        <f>28000/200</f>
        <v>140</v>
      </c>
      <c r="I9" s="236">
        <v>0</v>
      </c>
      <c r="J9" s="1034">
        <f t="shared" si="0"/>
        <v>140</v>
      </c>
      <c r="K9" s="204">
        <f t="shared" si="1"/>
        <v>0</v>
      </c>
      <c r="L9" s="238" t="s">
        <v>616</v>
      </c>
      <c r="M9" s="236">
        <f>IFERROR(VLOOKUP(L9,DADOS!$C$21:$E$25,3,0),"")</f>
        <v>0</v>
      </c>
      <c r="N9" s="401">
        <v>4</v>
      </c>
      <c r="O9" s="375" t="e">
        <f>SUMIF(EQUIPE!$B$1:$B$135,$B9,EQUIPE!$G$1:$G$135)+SUMIF(#REF!,$B9,#REF!)+SUMIF(#REF!,$B9,#REF!)+SUMIF(DRE!$B$1:$B$405,$B9,DRE!$G$1:$G$405)+SUMIF(AGUA!$B$1:$B$489,$B9,AGUA!$G$1:$G$489)</f>
        <v>#REF!</v>
      </c>
      <c r="P9" s="375">
        <f>SUMIF(ADM!$B$1:$B$496,$B9,ADM!$G$1:$G$496)+SUMIF(TOP!$B$1:$B$484,$B9,TOP!$G$1:$G$484)+SUMIF(LAB!$B$1:$B$487,$B9,LAB!$G$1:$G$487)+SUMIF(QSMS!$B$1:$B$479,$B9,QSMS!$G$1:$G$479)</f>
        <v>1</v>
      </c>
      <c r="Q9">
        <v>4</v>
      </c>
    </row>
    <row r="10" spans="1:18">
      <c r="A10" t="s">
        <v>409</v>
      </c>
      <c r="B10" t="s">
        <v>624</v>
      </c>
      <c r="C10" s="236"/>
      <c r="D10" s="236">
        <v>0</v>
      </c>
      <c r="E10" s="236">
        <v>0</v>
      </c>
      <c r="F10" s="236">
        <v>0</v>
      </c>
      <c r="G10" s="236">
        <v>0</v>
      </c>
      <c r="H10" s="1033">
        <f>25000/200</f>
        <v>125</v>
      </c>
      <c r="I10" s="236">
        <v>0</v>
      </c>
      <c r="J10" s="1034">
        <f t="shared" si="0"/>
        <v>125</v>
      </c>
      <c r="K10" s="204">
        <f t="shared" si="1"/>
        <v>0</v>
      </c>
      <c r="L10" s="238" t="s">
        <v>616</v>
      </c>
      <c r="M10" s="236">
        <f>IFERROR(VLOOKUP(L10,DADOS!$C$21:$E$25,3,0),"")</f>
        <v>0</v>
      </c>
      <c r="N10" s="2">
        <v>7</v>
      </c>
      <c r="O10" s="375" t="e">
        <f>SUMIF(EQUIPE!$B$1:$B$135,$B10,EQUIPE!$G$1:$G$135)+SUMIF(#REF!,$B10,#REF!)+SUMIF(#REF!,$B10,#REF!)+SUMIF(DRE!$B$1:$B$405,$B10,DRE!$G$1:$G$405)+SUMIF(AGUA!$B$1:$B$489,$B10,AGUA!$G$1:$G$489)</f>
        <v>#REF!</v>
      </c>
      <c r="P10" s="375">
        <f>SUMIF(ADM!$B$1:$B$496,$B10,ADM!$G$1:$G$496)+SUMIF(TOP!$B$1:$B$484,$B10,TOP!$G$1:$G$484)+SUMIF(LAB!$B$1:$B$487,$B10,LAB!$G$1:$G$487)+SUMIF(QSMS!$B$1:$B$479,$B10,QSMS!$G$1:$G$479)</f>
        <v>0</v>
      </c>
    </row>
    <row r="11" spans="1:18">
      <c r="A11" t="s">
        <v>625</v>
      </c>
      <c r="B11" t="s">
        <v>626</v>
      </c>
      <c r="C11" s="236"/>
      <c r="D11" s="236">
        <v>0</v>
      </c>
      <c r="E11" s="236">
        <v>0</v>
      </c>
      <c r="F11" s="236">
        <v>0</v>
      </c>
      <c r="G11" s="236">
        <v>0</v>
      </c>
      <c r="H11" s="1033">
        <f>30000/200</f>
        <v>150</v>
      </c>
      <c r="I11" s="236">
        <v>0</v>
      </c>
      <c r="J11" s="1034">
        <f t="shared" si="0"/>
        <v>150</v>
      </c>
      <c r="K11" s="204">
        <f t="shared" si="1"/>
        <v>0</v>
      </c>
      <c r="L11" s="238" t="s">
        <v>616</v>
      </c>
      <c r="M11" s="236">
        <f>IFERROR(VLOOKUP(L11,DADOS!$C$21:$E$25,3,0),"")</f>
        <v>0</v>
      </c>
      <c r="N11" s="401">
        <v>6</v>
      </c>
      <c r="O11" s="375" t="e">
        <f>SUMIF(EQUIPE!$B$1:$B$135,$B11,EQUIPE!$G$1:$G$135)+SUMIF(#REF!,$B11,#REF!)+SUMIF(#REF!,$B11,#REF!)+SUMIF(DRE!$B$1:$B$405,$B11,DRE!$G$1:$G$405)+SUMIF(AGUA!$B$1:$B$489,$B11,AGUA!$G$1:$G$489)</f>
        <v>#REF!</v>
      </c>
      <c r="P11" s="375">
        <f>SUMIF(ADM!$B$1:$B$496,$B11,ADM!$G$1:$G$496)+SUMIF(TOP!$B$1:$B$484,$B11,TOP!$G$1:$G$484)+SUMIF(LAB!$B$1:$B$487,$B11,LAB!$G$1:$G$487)+SUMIF(QSMS!$B$1:$B$479,$B11,QSMS!$G$1:$G$479)</f>
        <v>0</v>
      </c>
      <c r="Q11">
        <v>4</v>
      </c>
    </row>
    <row r="12" spans="1:18">
      <c r="A12" t="s">
        <v>627</v>
      </c>
      <c r="B12" t="s">
        <v>628</v>
      </c>
      <c r="C12" s="236"/>
      <c r="D12" s="236">
        <v>0</v>
      </c>
      <c r="E12" s="236">
        <v>0</v>
      </c>
      <c r="F12" s="236">
        <v>0</v>
      </c>
      <c r="G12" s="236">
        <v>0</v>
      </c>
      <c r="H12" s="1033">
        <f>20000/200</f>
        <v>100</v>
      </c>
      <c r="I12" s="236">
        <v>0</v>
      </c>
      <c r="J12" s="1034">
        <f t="shared" si="0"/>
        <v>100</v>
      </c>
      <c r="K12" s="204">
        <f t="shared" si="1"/>
        <v>0</v>
      </c>
      <c r="L12" s="238" t="s">
        <v>616</v>
      </c>
      <c r="M12" s="236">
        <f>IFERROR(VLOOKUP(L12,DADOS!$C$21:$E$25,3,0),"")</f>
        <v>0</v>
      </c>
      <c r="N12" s="401">
        <v>7</v>
      </c>
      <c r="O12" s="375" t="e">
        <f>SUMIF(EQUIPE!$B$1:$B$135,$B12,EQUIPE!$G$1:$G$135)+SUMIF(#REF!,$B12,#REF!)+SUMIF(#REF!,$B12,#REF!)+SUMIF(DRE!$B$1:$B$405,$B12,DRE!$G$1:$G$405)+SUMIF(AGUA!$B$1:$B$489,$B12,AGUA!$G$1:$G$489)</f>
        <v>#REF!</v>
      </c>
      <c r="P12" s="375">
        <f>SUMIF(ADM!$B$1:$B$496,$B12,ADM!$G$1:$G$496)+SUMIF(TOP!$B$1:$B$484,$B12,TOP!$G$1:$G$484)+SUMIF(LAB!$B$1:$B$487,$B12,LAB!$G$1:$G$487)+SUMIF(QSMS!$B$1:$B$479,$B12,QSMS!$G$1:$G$479)</f>
        <v>0</v>
      </c>
    </row>
    <row r="13" spans="1:18">
      <c r="A13" t="s">
        <v>1373</v>
      </c>
      <c r="B13" t="s">
        <v>630</v>
      </c>
      <c r="C13" s="236"/>
      <c r="D13" s="236">
        <v>0</v>
      </c>
      <c r="E13" s="236">
        <v>0</v>
      </c>
      <c r="F13" s="236">
        <v>0</v>
      </c>
      <c r="G13" s="236">
        <v>0</v>
      </c>
      <c r="H13" s="1033">
        <f>25000/200</f>
        <v>125</v>
      </c>
      <c r="I13" s="236">
        <v>0</v>
      </c>
      <c r="J13" s="1034">
        <f t="shared" si="0"/>
        <v>125</v>
      </c>
      <c r="K13" s="204">
        <f t="shared" si="1"/>
        <v>0</v>
      </c>
      <c r="L13" s="238" t="s">
        <v>616</v>
      </c>
      <c r="M13" s="236">
        <f>IFERROR(VLOOKUP(L13,DADOS!$C$21:$E$25,3,0),"")</f>
        <v>0</v>
      </c>
      <c r="N13" s="401">
        <v>7</v>
      </c>
      <c r="O13" s="375" t="e">
        <f>SUMIF(EQUIPE!$B$1:$B$135,$B13,EQUIPE!$G$1:$G$135)+SUMIF(#REF!,$B13,#REF!)+SUMIF(#REF!,$B13,#REF!)+SUMIF(DRE!$B$1:$B$405,$B13,DRE!$G$1:$G$405)+SUMIF(AGUA!$B$1:$B$489,$B13,AGUA!$G$1:$G$489)</f>
        <v>#REF!</v>
      </c>
      <c r="P13" s="375">
        <f>SUMIF(ADM!$B$1:$B$496,$B13,ADM!$G$1:$G$496)+SUMIF(TOP!$B$1:$B$484,$B13,TOP!$G$1:$G$484)+SUMIF(LAB!$B$1:$B$487,$B13,LAB!$G$1:$G$487)+SUMIF(QSMS!$B$1:$B$479,$B13,QSMS!$G$1:$G$479)</f>
        <v>1</v>
      </c>
    </row>
    <row r="14" spans="1:18">
      <c r="A14" t="s">
        <v>631</v>
      </c>
      <c r="B14" t="s">
        <v>632</v>
      </c>
      <c r="C14" s="239"/>
      <c r="D14" s="236">
        <v>0</v>
      </c>
      <c r="E14" s="236">
        <v>0</v>
      </c>
      <c r="F14" s="236">
        <v>0</v>
      </c>
      <c r="G14" s="236">
        <v>0</v>
      </c>
      <c r="H14" s="1033">
        <f>35000/200</f>
        <v>175</v>
      </c>
      <c r="I14" s="239">
        <v>0</v>
      </c>
      <c r="J14" s="1034">
        <f t="shared" si="0"/>
        <v>175</v>
      </c>
      <c r="K14" s="204">
        <f t="shared" si="1"/>
        <v>0</v>
      </c>
      <c r="L14" s="238" t="s">
        <v>616</v>
      </c>
      <c r="M14" s="236">
        <f>IFERROR(VLOOKUP(L14,DADOS!$C$21:$E$25,3,0),"")</f>
        <v>0</v>
      </c>
      <c r="N14" s="401">
        <v>22</v>
      </c>
      <c r="O14" s="375" t="e">
        <f>SUMIF(EQUIPE!$B$1:$B$135,$B14,EQUIPE!$G$1:$G$135)+SUMIF(#REF!,$B14,#REF!)+SUMIF(#REF!,$B14,#REF!)+SUMIF(DRE!$B$1:$B$405,$B14,DRE!$G$1:$G$405)+SUMIF(AGUA!$B$1:$B$489,$B14,AGUA!$G$1:$G$489)</f>
        <v>#REF!</v>
      </c>
      <c r="P14" s="375">
        <f>SUMIF(ADM!$B$1:$B$496,$B14,ADM!$G$1:$G$496)+SUMIF(TOP!$B$1:$B$484,$B14,TOP!$G$1:$G$484)+SUMIF(LAB!$B$1:$B$487,$B14,LAB!$G$1:$G$487)+SUMIF(QSMS!$B$1:$B$479,$B14,QSMS!$G$1:$G$479)</f>
        <v>0</v>
      </c>
      <c r="Q14">
        <v>22</v>
      </c>
    </row>
    <row r="15" spans="1:18">
      <c r="A15" t="s">
        <v>633</v>
      </c>
      <c r="B15" t="s">
        <v>634</v>
      </c>
      <c r="C15" s="236"/>
      <c r="D15" s="236">
        <v>0</v>
      </c>
      <c r="E15" s="236">
        <v>0</v>
      </c>
      <c r="F15" s="236">
        <v>0</v>
      </c>
      <c r="G15" s="236">
        <v>0</v>
      </c>
      <c r="H15" s="1033">
        <f>48508/200</f>
        <v>242.54</v>
      </c>
      <c r="I15" s="236">
        <v>0</v>
      </c>
      <c r="J15" s="1034">
        <f t="shared" si="0"/>
        <v>242.54</v>
      </c>
      <c r="K15" s="204">
        <f t="shared" si="1"/>
        <v>0</v>
      </c>
      <c r="L15" s="238" t="s">
        <v>616</v>
      </c>
      <c r="M15" s="236">
        <f>IFERROR(VLOOKUP(L15,DADOS!$C$21:$E$25,3,0),"")</f>
        <v>0</v>
      </c>
      <c r="N15" s="2">
        <v>26</v>
      </c>
      <c r="O15" s="375" t="e">
        <f>SUMIF(EQUIPE!$B$1:$B$135,$B15,EQUIPE!$G$1:$G$135)+SUMIF(#REF!,$B15,#REF!)+SUMIF(#REF!,$B15,#REF!)+SUMIF(DRE!$B$1:$B$405,$B15,DRE!$G$1:$G$405)+SUMIF(AGUA!$B$1:$B$489,$B15,AGUA!$G$1:$G$489)</f>
        <v>#REF!</v>
      </c>
      <c r="P15" s="375">
        <f>SUMIF(ADM!$B$1:$B$496,$B15,ADM!$G$1:$G$496)+SUMIF(TOP!$B$1:$B$484,$B15,TOP!$G$1:$G$484)+SUMIF(LAB!$B$1:$B$487,$B15,LAB!$G$1:$G$487)+SUMIF(QSMS!$B$1:$B$479,$B15,QSMS!$G$1:$G$479)</f>
        <v>0</v>
      </c>
    </row>
    <row r="16" spans="1:18">
      <c r="A16" t="s">
        <v>1176</v>
      </c>
      <c r="B16" t="s">
        <v>636</v>
      </c>
      <c r="C16" s="236"/>
      <c r="D16" s="236">
        <v>0</v>
      </c>
      <c r="E16" s="236">
        <v>0</v>
      </c>
      <c r="F16" s="236">
        <v>0</v>
      </c>
      <c r="G16" s="236">
        <v>0</v>
      </c>
      <c r="H16" s="1033">
        <f>H15*1.2</f>
        <v>291.048</v>
      </c>
      <c r="I16" s="236">
        <v>0</v>
      </c>
      <c r="J16" s="1034">
        <f>SUM(D16,E16,F16,G16,H16,I16)</f>
        <v>291.048</v>
      </c>
      <c r="K16" s="204">
        <f>SUM(D16,E16,F16,I16)</f>
        <v>0</v>
      </c>
      <c r="L16" s="238" t="s">
        <v>616</v>
      </c>
      <c r="M16" s="236">
        <f>IFERROR(VLOOKUP(L16,DADOS!$C$21:$E$25,3,0),"")</f>
        <v>0</v>
      </c>
      <c r="N16" s="2">
        <v>30</v>
      </c>
      <c r="O16" s="375"/>
      <c r="P16" s="375"/>
    </row>
    <row r="17" spans="1:17">
      <c r="A17" t="s">
        <v>635</v>
      </c>
      <c r="B17" t="s">
        <v>638</v>
      </c>
      <c r="C17" s="236"/>
      <c r="D17" s="236">
        <v>0</v>
      </c>
      <c r="E17" s="236">
        <v>0</v>
      </c>
      <c r="F17" s="236">
        <v>0</v>
      </c>
      <c r="G17" s="236">
        <v>0</v>
      </c>
      <c r="H17" s="1033">
        <f>8000/200</f>
        <v>40</v>
      </c>
      <c r="I17" s="236">
        <v>0</v>
      </c>
      <c r="J17" s="1034">
        <f t="shared" si="0"/>
        <v>40</v>
      </c>
      <c r="K17" s="204">
        <f t="shared" si="1"/>
        <v>0</v>
      </c>
      <c r="L17" s="238" t="s">
        <v>613</v>
      </c>
      <c r="M17" s="236">
        <f>IFERROR(VLOOKUP(L17,DADOS!$C$21:$E$25,3,0),"")</f>
        <v>6.59</v>
      </c>
      <c r="N17" s="2">
        <v>3</v>
      </c>
      <c r="O17" s="375" t="e">
        <f>SUMIF(EQUIPE!$B$1:$B$135,$B17,EQUIPE!$G$1:$G$135)+SUMIF(#REF!,$B17,#REF!)+SUMIF(#REF!,$B17,#REF!)+SUMIF(DRE!$B$1:$B$405,$B17,DRE!$G$1:$G$405)+SUMIF(AGUA!$B$1:$B$489,$B17,AGUA!$G$1:$G$489)</f>
        <v>#REF!</v>
      </c>
      <c r="P17" s="375">
        <f>SUMIF(ADM!$B$1:$B$496,$B17,ADM!$G$1:$G$496)+SUMIF(TOP!$B$1:$B$484,$B17,TOP!$G$1:$G$484)+SUMIF(LAB!$B$1:$B$487,$B17,LAB!$G$1:$G$487)+SUMIF(QSMS!$B$1:$B$479,$B17,QSMS!$G$1:$G$479)</f>
        <v>0</v>
      </c>
    </row>
    <row r="18" spans="1:17">
      <c r="A18" t="s">
        <v>637</v>
      </c>
      <c r="B18" t="s">
        <v>639</v>
      </c>
      <c r="C18" s="236"/>
      <c r="D18" s="236">
        <v>0</v>
      </c>
      <c r="E18" s="236">
        <v>0</v>
      </c>
      <c r="F18" s="236">
        <v>0</v>
      </c>
      <c r="G18" s="236">
        <v>0</v>
      </c>
      <c r="H18" s="1033">
        <f>5000/200</f>
        <v>25</v>
      </c>
      <c r="I18" s="236">
        <v>0</v>
      </c>
      <c r="J18" s="1034">
        <f t="shared" si="0"/>
        <v>25</v>
      </c>
      <c r="K18" s="204">
        <f>SUM(D18,E18,F18,I18)</f>
        <v>0</v>
      </c>
      <c r="L18" s="238" t="s">
        <v>613</v>
      </c>
      <c r="M18" s="236">
        <f>IFERROR(VLOOKUP(L18,DADOS!$C$21:$E$25,3,0),"")</f>
        <v>6.59</v>
      </c>
      <c r="N18" s="2">
        <v>1.2</v>
      </c>
      <c r="O18" s="375" t="e">
        <f>SUMIF(EQUIPE!$B$1:$B$135,$B18,EQUIPE!$G$1:$G$135)+SUMIF(#REF!,$B18,#REF!)+SUMIF(#REF!,$B18,#REF!)+SUMIF(DRE!$B$1:$B$405,$B18,DRE!$G$1:$G$405)+SUMIF(AGUA!$B$1:$B$489,$B18,AGUA!$G$1:$G$489)</f>
        <v>#REF!</v>
      </c>
      <c r="P18" s="375">
        <f>SUMIF(ADM!$B$1:$B$496,$B18,ADM!$G$1:$G$496)+SUMIF(TOP!$B$1:$B$484,$B18,TOP!$G$1:$G$484)+SUMIF(LAB!$B$1:$B$487,$B18,LAB!$G$1:$G$487)+SUMIF(QSMS!$B$1:$B$479,$B18,QSMS!$G$1:$G$479)</f>
        <v>0</v>
      </c>
    </row>
    <row r="19" spans="1:17">
      <c r="A19" t="s">
        <v>1129</v>
      </c>
      <c r="B19" t="s">
        <v>641</v>
      </c>
      <c r="C19" s="236"/>
      <c r="D19" s="236">
        <v>0</v>
      </c>
      <c r="E19" s="236">
        <v>0</v>
      </c>
      <c r="F19" s="236">
        <v>0</v>
      </c>
      <c r="G19" s="236">
        <v>0</v>
      </c>
      <c r="H19" s="1033">
        <f>13000/200</f>
        <v>65</v>
      </c>
      <c r="I19" s="236">
        <v>0</v>
      </c>
      <c r="J19" s="1034">
        <f t="shared" si="0"/>
        <v>65</v>
      </c>
      <c r="K19" s="204">
        <f>SUM(D19,E19,F19,I19)</f>
        <v>0</v>
      </c>
      <c r="L19" s="238" t="s">
        <v>616</v>
      </c>
      <c r="M19" s="236">
        <f>IFERROR(VLOOKUP(L19,DADOS!$C$21:$E$25,3,0),"")</f>
        <v>0</v>
      </c>
      <c r="N19" s="2">
        <v>5</v>
      </c>
      <c r="O19" s="375" t="e">
        <f>SUMIF(EQUIPE!$B$1:$B$135,$B19,EQUIPE!$G$1:$G$135)+SUMIF(#REF!,$B19,#REF!)+SUMIF(#REF!,$B19,#REF!)+SUMIF(DRE!$B$1:$B$405,$B19,DRE!$G$1:$G$405)+SUMIF(AGUA!$B$1:$B$489,$B19,AGUA!$G$1:$G$489)</f>
        <v>#REF!</v>
      </c>
      <c r="P19" s="375">
        <f>SUMIF(ADM!$B$1:$B$496,$B19,ADM!$G$1:$G$496)+SUMIF(TOP!$B$1:$B$484,$B19,TOP!$G$1:$G$484)+SUMIF(LAB!$B$1:$B$487,$B19,LAB!$G$1:$G$487)+SUMIF(QSMS!$B$1:$B$479,$B19,QSMS!$G$1:$G$479)</f>
        <v>0</v>
      </c>
    </row>
    <row r="20" spans="1:17">
      <c r="A20" t="s">
        <v>640</v>
      </c>
      <c r="B20" t="s">
        <v>643</v>
      </c>
      <c r="C20" s="236"/>
      <c r="D20" s="236">
        <v>0</v>
      </c>
      <c r="E20" s="236">
        <v>0</v>
      </c>
      <c r="F20" s="236">
        <v>0</v>
      </c>
      <c r="G20" s="236">
        <v>0</v>
      </c>
      <c r="H20" s="1033">
        <f>32600/200</f>
        <v>163</v>
      </c>
      <c r="I20" s="236">
        <v>0</v>
      </c>
      <c r="J20" s="1034">
        <f t="shared" si="0"/>
        <v>163</v>
      </c>
      <c r="K20" s="204">
        <f>SUM(D20,E20,F20,I20)</f>
        <v>0</v>
      </c>
      <c r="L20" s="238" t="s">
        <v>616</v>
      </c>
      <c r="M20" s="236">
        <f>IFERROR(VLOOKUP(L20,DADOS!$C$21:$E$25,3,0),"")</f>
        <v>0</v>
      </c>
      <c r="N20" s="2">
        <v>16</v>
      </c>
      <c r="O20" s="375" t="e">
        <f>SUMIF(EQUIPE!$B$1:$B$135,$B20,EQUIPE!$G$1:$G$135)+SUMIF(#REF!,$B20,#REF!)+SUMIF(#REF!,$B20,#REF!)+SUMIF(DRE!$B$1:$B$405,$B20,DRE!$G$1:$G$405)+SUMIF(AGUA!$B$1:$B$489,$B20,AGUA!$G$1:$G$489)</f>
        <v>#REF!</v>
      </c>
      <c r="P20" s="375">
        <f>SUMIF(ADM!$B$1:$B$496,$B20,ADM!$G$1:$G$496)+SUMIF(TOP!$B$1:$B$484,$B20,TOP!$G$1:$G$484)+SUMIF(LAB!$B$1:$B$487,$B20,LAB!$G$1:$G$487)+SUMIF(QSMS!$B$1:$B$479,$B20,QSMS!$G$1:$G$479)</f>
        <v>0</v>
      </c>
    </row>
    <row r="21" spans="1:17" ht="14.25" customHeight="1">
      <c r="A21" t="s">
        <v>642</v>
      </c>
      <c r="B21" t="s">
        <v>644</v>
      </c>
      <c r="C21" s="236"/>
      <c r="D21" s="236">
        <v>0</v>
      </c>
      <c r="E21" s="236">
        <v>0</v>
      </c>
      <c r="F21" s="236">
        <v>0</v>
      </c>
      <c r="G21" s="236">
        <v>0</v>
      </c>
      <c r="H21" s="1033">
        <f>38000/200</f>
        <v>190</v>
      </c>
      <c r="I21" s="236">
        <v>0</v>
      </c>
      <c r="J21" s="1034">
        <f t="shared" si="0"/>
        <v>190</v>
      </c>
      <c r="K21" s="204">
        <f>SUM(D21,E21,F21,I21)</f>
        <v>0</v>
      </c>
      <c r="L21" s="238" t="s">
        <v>616</v>
      </c>
      <c r="M21" s="236">
        <f>IFERROR(VLOOKUP(L21,DADOS!$C$21:$E$25,3,0),"")</f>
        <v>0</v>
      </c>
      <c r="N21" s="401">
        <v>28</v>
      </c>
      <c r="O21" s="375" t="e">
        <f>SUMIF(EQUIPE!$B$1:$B$135,$B21,EQUIPE!$G$1:$G$135)+SUMIF(#REF!,$B21,#REF!)+SUMIF(#REF!,$B21,#REF!)+SUMIF(DRE!$B$1:$B$405,$B21,DRE!$G$1:$G$405)+SUMIF(AGUA!$B$1:$B$489,$B21,AGUA!$G$1:$G$489)</f>
        <v>#REF!</v>
      </c>
      <c r="P21" s="375">
        <f>SUMIF(ADM!$B$1:$B$496,$B21,ADM!$G$1:$G$496)+SUMIF(TOP!$B$1:$B$484,$B21,TOP!$G$1:$G$484)+SUMIF(LAB!$B$1:$B$487,$B21,LAB!$G$1:$G$487)+SUMIF(QSMS!$B$1:$B$479,$B21,QSMS!$G$1:$G$479)</f>
        <v>1</v>
      </c>
      <c r="Q21">
        <v>34</v>
      </c>
    </row>
    <row r="22" spans="1:17">
      <c r="A22" t="s">
        <v>1159</v>
      </c>
      <c r="B22" t="s">
        <v>646</v>
      </c>
      <c r="D22" s="236">
        <v>0</v>
      </c>
      <c r="E22" s="236">
        <v>0</v>
      </c>
      <c r="F22" s="236">
        <v>0</v>
      </c>
      <c r="G22" s="236">
        <v>0</v>
      </c>
      <c r="H22" s="1033">
        <f>25000/200</f>
        <v>125</v>
      </c>
      <c r="I22" s="236">
        <v>0</v>
      </c>
      <c r="J22" s="1034">
        <f t="shared" si="0"/>
        <v>125</v>
      </c>
      <c r="K22" s="204">
        <f>SUM(D22,E22,F22,I22)</f>
        <v>0</v>
      </c>
      <c r="L22" s="238" t="s">
        <v>616</v>
      </c>
      <c r="M22" s="236">
        <f>IFERROR(VLOOKUP(L22,DADOS!$C$21:$E$25,3,0),"")</f>
        <v>0</v>
      </c>
      <c r="N22" s="443">
        <v>9</v>
      </c>
      <c r="O22" s="375" t="e">
        <f>SUMIF(EQUIPE!$B$1:$B$135,$B22,EQUIPE!$G$1:$G$135)+SUMIF(#REF!,$B22,#REF!)+SUMIF(#REF!,$B22,#REF!)+SUMIF(DRE!$B$1:$B$405,$B22,DRE!$G$1:$G$405)+SUMIF(AGUA!$B$1:$B$489,$B22,AGUA!$G$1:$G$489)</f>
        <v>#REF!</v>
      </c>
      <c r="P22" s="375">
        <f>SUMIF(ADM!$B$1:$B$496,$B22,ADM!$G$1:$G$496)+SUMIF(TOP!$B$1:$B$484,$B22,TOP!$G$1:$G$484)+SUMIF(LAB!$B$1:$B$487,$B22,LAB!$G$1:$G$487)+SUMIF(QSMS!$B$1:$B$479,$B22,QSMS!$G$1:$G$479)</f>
        <v>0</v>
      </c>
    </row>
    <row r="23" spans="1:17">
      <c r="A23" t="s">
        <v>645</v>
      </c>
      <c r="B23" t="s">
        <v>648</v>
      </c>
      <c r="C23" s="236"/>
      <c r="D23" s="236">
        <v>0</v>
      </c>
      <c r="E23" s="236">
        <v>0</v>
      </c>
      <c r="F23" s="236">
        <v>0</v>
      </c>
      <c r="G23" s="236">
        <v>0</v>
      </c>
      <c r="H23" s="1033">
        <f>28000/200</f>
        <v>140</v>
      </c>
      <c r="I23" s="236">
        <v>0</v>
      </c>
      <c r="J23" s="1034">
        <f t="shared" si="0"/>
        <v>140</v>
      </c>
      <c r="K23" s="204">
        <f t="shared" ref="K23:K87" si="2">SUM(D23,E23,F23,I23)</f>
        <v>0</v>
      </c>
      <c r="L23" s="238" t="s">
        <v>616</v>
      </c>
      <c r="M23" s="236">
        <f>IFERROR(VLOOKUP(L23,DADOS!$C$21:$E$25,3,0),"")</f>
        <v>0</v>
      </c>
      <c r="N23" s="2">
        <v>9</v>
      </c>
      <c r="O23" s="375" t="e">
        <f>SUMIF(EQUIPE!$B$1:$B$135,$B23,EQUIPE!$G$1:$G$135)+SUMIF(#REF!,$B23,#REF!)+SUMIF(#REF!,$B23,#REF!)+SUMIF(DRE!$B$1:$B$405,$B23,DRE!$G$1:$G$405)+SUMIF(AGUA!$B$1:$B$489,$B23,AGUA!$G$1:$G$489)</f>
        <v>#REF!</v>
      </c>
      <c r="P23" s="375">
        <f>SUMIF(ADM!$B$1:$B$496,$B23,ADM!$G$1:$G$496)+SUMIF(TOP!$B$1:$B$484,$B23,TOP!$G$1:$G$484)+SUMIF(LAB!$B$1:$B$487,$B23,LAB!$G$1:$G$487)+SUMIF(QSMS!$B$1:$B$479,$B23,QSMS!$G$1:$G$479)</f>
        <v>1</v>
      </c>
    </row>
    <row r="24" spans="1:17">
      <c r="A24" t="s">
        <v>647</v>
      </c>
      <c r="B24" t="s">
        <v>650</v>
      </c>
      <c r="C24" s="236"/>
      <c r="D24" s="236">
        <v>0</v>
      </c>
      <c r="E24" s="236">
        <v>0</v>
      </c>
      <c r="F24" s="236">
        <v>0</v>
      </c>
      <c r="G24" s="236">
        <v>0</v>
      </c>
      <c r="H24" s="1033">
        <f>69330/360</f>
        <v>192.58333333333334</v>
      </c>
      <c r="I24" s="236">
        <v>0</v>
      </c>
      <c r="J24" s="1034">
        <f t="shared" si="0"/>
        <v>192.58333333333334</v>
      </c>
      <c r="K24" s="204">
        <f t="shared" si="2"/>
        <v>0</v>
      </c>
      <c r="L24" s="238" t="s">
        <v>616</v>
      </c>
      <c r="M24" s="236">
        <f>IFERROR(VLOOKUP(L24,DADOS!$C$21:$E$25,3,0),"")</f>
        <v>0</v>
      </c>
      <c r="N24" s="401">
        <v>16</v>
      </c>
      <c r="O24" s="375" t="e">
        <f>SUMIF(EQUIPE!$B$1:$B$135,$B24,EQUIPE!$G$1:$G$135)+SUMIF(#REF!,$B24,#REF!)+SUMIF(#REF!,$B24,#REF!)+SUMIF(DRE!$B$1:$B$405,$B24,DRE!$G$1:$G$405)+SUMIF(AGUA!$B$1:$B$489,$B24,AGUA!$G$1:$G$489)</f>
        <v>#REF!</v>
      </c>
      <c r="P24" s="375">
        <f>SUMIF(ADM!$B$1:$B$496,$B24,ADM!$G$1:$G$496)+SUMIF(TOP!$B$1:$B$484,$B24,TOP!$G$1:$G$484)+SUMIF(LAB!$B$1:$B$487,$B24,LAB!$G$1:$G$487)+SUMIF(QSMS!$B$1:$B$479,$B24,QSMS!$G$1:$G$479)</f>
        <v>0</v>
      </c>
      <c r="Q24">
        <v>16</v>
      </c>
    </row>
    <row r="25" spans="1:17">
      <c r="A25" t="s">
        <v>649</v>
      </c>
      <c r="B25" t="s">
        <v>652</v>
      </c>
      <c r="C25" s="236"/>
      <c r="D25" s="236">
        <v>0</v>
      </c>
      <c r="E25" s="236">
        <v>0</v>
      </c>
      <c r="F25" s="236">
        <v>0</v>
      </c>
      <c r="G25" s="236">
        <v>0</v>
      </c>
      <c r="H25" s="1033">
        <f>2000/200</f>
        <v>10</v>
      </c>
      <c r="I25" s="236">
        <v>0</v>
      </c>
      <c r="J25" s="1034">
        <f t="shared" si="0"/>
        <v>10</v>
      </c>
      <c r="K25" s="204">
        <f t="shared" si="2"/>
        <v>0</v>
      </c>
      <c r="L25" s="238" t="s">
        <v>613</v>
      </c>
      <c r="M25" s="236">
        <f>IFERROR(VLOOKUP(L25,DADOS!$C$21:$E$25,3,0),"")</f>
        <v>6.59</v>
      </c>
      <c r="N25" s="2">
        <v>3</v>
      </c>
      <c r="O25" s="375" t="e">
        <f>SUMIF(EQUIPE!$B$1:$B$135,$B25,EQUIPE!$G$1:$G$135)+SUMIF(#REF!,$B25,#REF!)+SUMIF(#REF!,$B25,#REF!)+SUMIF(DRE!$B$1:$B$405,$B25,DRE!$G$1:$G$405)+SUMIF(AGUA!$B$1:$B$489,$B25,AGUA!$G$1:$G$489)</f>
        <v>#REF!</v>
      </c>
      <c r="P25" s="375">
        <f>SUMIF(ADM!$B$1:$B$496,$B25,ADM!$G$1:$G$496)+SUMIF(TOP!$B$1:$B$484,$B25,TOP!$G$1:$G$484)+SUMIF(LAB!$B$1:$B$487,$B25,LAB!$G$1:$G$487)+SUMIF(QSMS!$B$1:$B$479,$B25,QSMS!$G$1:$G$479)</f>
        <v>0</v>
      </c>
    </row>
    <row r="26" spans="1:17">
      <c r="A26" t="s">
        <v>651</v>
      </c>
      <c r="B26" t="s">
        <v>654</v>
      </c>
      <c r="C26" s="236"/>
      <c r="D26" s="236">
        <v>0</v>
      </c>
      <c r="E26" s="236">
        <v>0</v>
      </c>
      <c r="F26" s="236">
        <v>0</v>
      </c>
      <c r="G26" s="236">
        <v>0</v>
      </c>
      <c r="H26" s="1033">
        <f>22960/360</f>
        <v>63.777777777777779</v>
      </c>
      <c r="I26" s="236">
        <v>0</v>
      </c>
      <c r="J26" s="1034">
        <f t="shared" si="0"/>
        <v>63.777777777777779</v>
      </c>
      <c r="K26" s="204">
        <f t="shared" si="2"/>
        <v>0</v>
      </c>
      <c r="L26" s="238" t="s">
        <v>616</v>
      </c>
      <c r="M26" s="236">
        <f>IFERROR(VLOOKUP(L26,DADOS!$C$21:$E$25,3,0),"")</f>
        <v>0</v>
      </c>
      <c r="N26" s="401">
        <v>16</v>
      </c>
      <c r="O26" s="375" t="e">
        <f>SUMIF(EQUIPE!$B$1:$B$135,$B26,EQUIPE!$G$1:$G$135)+SUMIF(#REF!,$B26,#REF!)+SUMIF(#REF!,$B26,#REF!)+SUMIF(DRE!$B$1:$B$405,$B26,DRE!$G$1:$G$405)+SUMIF(AGUA!$B$1:$B$489,$B26,AGUA!$G$1:$G$489)</f>
        <v>#REF!</v>
      </c>
      <c r="P26" s="375">
        <f>SUMIF(ADM!$B$1:$B$496,$B26,ADM!$G$1:$G$496)+SUMIF(TOP!$B$1:$B$484,$B26,TOP!$G$1:$G$484)+SUMIF(LAB!$B$1:$B$487,$B26,LAB!$G$1:$G$487)+SUMIF(QSMS!$B$1:$B$479,$B26,QSMS!$G$1:$G$479)</f>
        <v>0</v>
      </c>
      <c r="Q26">
        <v>16</v>
      </c>
    </row>
    <row r="27" spans="1:17">
      <c r="A27" t="s">
        <v>653</v>
      </c>
      <c r="B27" t="s">
        <v>656</v>
      </c>
      <c r="C27" s="236"/>
      <c r="D27" s="236">
        <v>0</v>
      </c>
      <c r="E27" s="236">
        <v>0</v>
      </c>
      <c r="F27" s="236">
        <v>0</v>
      </c>
      <c r="G27" s="236">
        <v>0</v>
      </c>
      <c r="H27" s="1033">
        <f>57417/360</f>
        <v>159.49166666666667</v>
      </c>
      <c r="I27" s="236">
        <v>0</v>
      </c>
      <c r="J27" s="1034">
        <f t="shared" si="0"/>
        <v>159.49166666666667</v>
      </c>
      <c r="K27" s="204">
        <f t="shared" si="2"/>
        <v>0</v>
      </c>
      <c r="L27" s="238" t="s">
        <v>616</v>
      </c>
      <c r="M27" s="236">
        <f>IFERROR(VLOOKUP(L27,DADOS!$C$21:$E$25,3,0),"")</f>
        <v>0</v>
      </c>
      <c r="N27" s="2">
        <v>16</v>
      </c>
      <c r="O27" s="375" t="e">
        <f>SUMIF(EQUIPE!$B$1:$B$135,$B27,EQUIPE!$G$1:$G$135)+SUMIF(#REF!,$B27,#REF!)+SUMIF(#REF!,$B27,#REF!)+SUMIF(DRE!$B$1:$B$405,$B27,DRE!$G$1:$G$405)+SUMIF(AGUA!$B$1:$B$489,$B27,AGUA!$G$1:$G$489)</f>
        <v>#REF!</v>
      </c>
      <c r="P27" s="375">
        <f>SUMIF(ADM!$B$1:$B$496,$B27,ADM!$G$1:$G$496)+SUMIF(TOP!$B$1:$B$484,$B27,TOP!$G$1:$G$484)+SUMIF(LAB!$B$1:$B$487,$B27,LAB!$G$1:$G$487)+SUMIF(QSMS!$B$1:$B$479,$B27,QSMS!$G$1:$G$479)</f>
        <v>0</v>
      </c>
    </row>
    <row r="28" spans="1:17">
      <c r="A28" t="s">
        <v>655</v>
      </c>
      <c r="B28" t="s">
        <v>658</v>
      </c>
      <c r="C28" s="236"/>
      <c r="D28" s="236">
        <v>0</v>
      </c>
      <c r="E28" s="236">
        <v>0</v>
      </c>
      <c r="F28" s="236">
        <v>0</v>
      </c>
      <c r="G28" s="236">
        <v>0</v>
      </c>
      <c r="H28" s="1033">
        <f>29000/200</f>
        <v>145</v>
      </c>
      <c r="I28" s="236">
        <v>0</v>
      </c>
      <c r="J28" s="1034">
        <f t="shared" si="0"/>
        <v>145</v>
      </c>
      <c r="K28" s="204">
        <f t="shared" si="2"/>
        <v>0</v>
      </c>
      <c r="L28" s="238" t="s">
        <v>616</v>
      </c>
      <c r="M28" s="236">
        <f>IFERROR(VLOOKUP(L28,DADOS!$C$21:$E$25,3,0),"")</f>
        <v>0</v>
      </c>
      <c r="N28" s="2">
        <v>16</v>
      </c>
      <c r="O28" s="375" t="e">
        <f>SUMIF(EQUIPE!$B$1:$B$135,$B28,EQUIPE!$G$1:$G$135)+SUMIF(#REF!,$B28,#REF!)+SUMIF(#REF!,$B28,#REF!)+SUMIF(DRE!$B$1:$B$405,$B28,DRE!$G$1:$G$405)+SUMIF(AGUA!$B$1:$B$489,$B28,AGUA!$G$1:$G$489)</f>
        <v>#REF!</v>
      </c>
      <c r="P28" s="375">
        <f>SUMIF(ADM!$B$1:$B$496,$B28,ADM!$G$1:$G$496)+SUMIF(TOP!$B$1:$B$484,$B28,TOP!$G$1:$G$484)+SUMIF(LAB!$B$1:$B$487,$B28,LAB!$G$1:$G$487)+SUMIF(QSMS!$B$1:$B$479,$B28,QSMS!$G$1:$G$479)</f>
        <v>0</v>
      </c>
    </row>
    <row r="29" spans="1:17">
      <c r="A29" t="s">
        <v>657</v>
      </c>
      <c r="B29" t="s">
        <v>660</v>
      </c>
      <c r="C29" s="236"/>
      <c r="D29" s="236">
        <v>0</v>
      </c>
      <c r="E29" s="236">
        <v>0</v>
      </c>
      <c r="F29" s="236">
        <v>0</v>
      </c>
      <c r="G29" s="236">
        <v>0</v>
      </c>
      <c r="H29" s="1033">
        <f>9000/200</f>
        <v>45</v>
      </c>
      <c r="I29" s="236">
        <v>0</v>
      </c>
      <c r="J29" s="1034">
        <f t="shared" si="0"/>
        <v>45</v>
      </c>
      <c r="K29" s="204">
        <f t="shared" si="2"/>
        <v>0</v>
      </c>
      <c r="L29" s="238" t="s">
        <v>616</v>
      </c>
      <c r="M29" s="236">
        <f>IFERROR(VLOOKUP(L29,DADOS!$C$21:$E$25,3,0),"")</f>
        <v>0</v>
      </c>
      <c r="N29" s="2">
        <v>10</v>
      </c>
      <c r="O29" s="375" t="e">
        <f>SUMIF(EQUIPE!$B$1:$B$135,$B29,EQUIPE!$G$1:$G$135)+SUMIF(#REF!,$B29,#REF!)+SUMIF(#REF!,$B29,#REF!)+SUMIF(DRE!$B$1:$B$405,$B29,DRE!$G$1:$G$405)+SUMIF(AGUA!$B$1:$B$489,$B29,AGUA!$G$1:$G$489)</f>
        <v>#REF!</v>
      </c>
      <c r="P29" s="375">
        <f>SUMIF(ADM!$B$1:$B$496,$B29,ADM!$G$1:$G$496)+SUMIF(TOP!$B$1:$B$484,$B29,TOP!$G$1:$G$484)+SUMIF(LAB!$B$1:$B$487,$B29,LAB!$G$1:$G$487)+SUMIF(QSMS!$B$1:$B$479,$B29,QSMS!$G$1:$G$479)</f>
        <v>0</v>
      </c>
    </row>
    <row r="30" spans="1:17">
      <c r="A30" t="s">
        <v>659</v>
      </c>
      <c r="B30" t="s">
        <v>662</v>
      </c>
      <c r="C30" s="236"/>
      <c r="D30" s="236">
        <v>0</v>
      </c>
      <c r="E30" s="236">
        <v>0</v>
      </c>
      <c r="F30" s="236">
        <v>0</v>
      </c>
      <c r="G30" s="236">
        <v>0</v>
      </c>
      <c r="H30" s="1033">
        <f>2000/200</f>
        <v>10</v>
      </c>
      <c r="I30" s="236">
        <v>0</v>
      </c>
      <c r="J30" s="1034">
        <f t="shared" si="0"/>
        <v>10</v>
      </c>
      <c r="K30" s="204">
        <f t="shared" si="2"/>
        <v>0</v>
      </c>
      <c r="L30" s="238" t="s">
        <v>613</v>
      </c>
      <c r="M30" s="236">
        <f>IFERROR(VLOOKUP(L30,DADOS!$C$21:$E$25,3,0),"")</f>
        <v>6.59</v>
      </c>
      <c r="N30" s="2">
        <v>3</v>
      </c>
      <c r="O30" s="375" t="e">
        <f>SUMIF(EQUIPE!$B$1:$B$135,$B30,EQUIPE!$G$1:$G$135)+SUMIF(#REF!,$B30,#REF!)+SUMIF(#REF!,$B30,#REF!)+SUMIF(DRE!$B$1:$B$405,$B30,DRE!$G$1:$G$405)+SUMIF(AGUA!$B$1:$B$489,$B30,AGUA!$G$1:$G$489)</f>
        <v>#REF!</v>
      </c>
      <c r="P30" s="375">
        <f>SUMIF(ADM!$B$1:$B$496,$B30,ADM!$G$1:$G$496)+SUMIF(TOP!$B$1:$B$484,$B30,TOP!$G$1:$G$484)+SUMIF(LAB!$B$1:$B$487,$B30,LAB!$G$1:$G$487)+SUMIF(QSMS!$B$1:$B$479,$B30,QSMS!$G$1:$G$479)</f>
        <v>0</v>
      </c>
    </row>
    <row r="31" spans="1:17">
      <c r="A31" t="s">
        <v>661</v>
      </c>
      <c r="B31" t="s">
        <v>664</v>
      </c>
      <c r="C31" s="236"/>
      <c r="D31" s="236">
        <v>0</v>
      </c>
      <c r="E31" s="236">
        <v>0</v>
      </c>
      <c r="F31" s="236">
        <v>0</v>
      </c>
      <c r="G31" s="236">
        <v>0</v>
      </c>
      <c r="H31" s="1033">
        <f>3500/200</f>
        <v>17.5</v>
      </c>
      <c r="I31" s="236">
        <v>0</v>
      </c>
      <c r="J31" s="1034">
        <f t="shared" si="0"/>
        <v>17.5</v>
      </c>
      <c r="K31" s="204">
        <f t="shared" si="2"/>
        <v>0</v>
      </c>
      <c r="L31" s="238"/>
      <c r="M31" s="236" t="str">
        <f>IFERROR(VLOOKUP(L31,DADOS!$C$21:$E$25,3,0),"")</f>
        <v/>
      </c>
      <c r="N31" s="2"/>
      <c r="O31" s="375" t="e">
        <f>SUMIF(EQUIPE!$B$1:$B$135,$B31,EQUIPE!$G$1:$G$135)+SUMIF(#REF!,$B31,#REF!)+SUMIF(#REF!,$B31,#REF!)+SUMIF(DRE!$B$1:$B$405,$B31,DRE!$G$1:$G$405)+SUMIF(AGUA!$B$1:$B$489,$B31,AGUA!$G$1:$G$489)</f>
        <v>#REF!</v>
      </c>
      <c r="P31" s="375">
        <f>SUMIF(ADM!$B$1:$B$496,$B31,ADM!$G$1:$G$496)+SUMIF(TOP!$B$1:$B$484,$B31,TOP!$G$1:$G$484)+SUMIF(LAB!$B$1:$B$487,$B31,LAB!$G$1:$G$487)+SUMIF(QSMS!$B$1:$B$479,$B31,QSMS!$G$1:$G$479)</f>
        <v>0</v>
      </c>
    </row>
    <row r="32" spans="1:17">
      <c r="A32" t="s">
        <v>663</v>
      </c>
      <c r="B32" t="s">
        <v>666</v>
      </c>
      <c r="C32" s="236"/>
      <c r="D32" s="236">
        <v>0</v>
      </c>
      <c r="E32" s="236">
        <v>0</v>
      </c>
      <c r="F32" s="236">
        <v>0</v>
      </c>
      <c r="G32" s="236">
        <v>0</v>
      </c>
      <c r="H32" s="1033">
        <f>2000/200</f>
        <v>10</v>
      </c>
      <c r="I32" s="236">
        <v>0</v>
      </c>
      <c r="J32" s="1034">
        <f t="shared" si="0"/>
        <v>10</v>
      </c>
      <c r="K32" s="204">
        <f t="shared" si="2"/>
        <v>0</v>
      </c>
      <c r="L32" s="238"/>
      <c r="M32" s="236" t="str">
        <f>IFERROR(VLOOKUP(L32,DADOS!$C$21:$E$25,3,0),"")</f>
        <v/>
      </c>
      <c r="N32" s="2"/>
      <c r="O32" s="375" t="e">
        <f>SUMIF(EQUIPE!$B$1:$B$135,$B32,EQUIPE!$G$1:$G$135)+SUMIF(#REF!,$B32,#REF!)+SUMIF(#REF!,$B32,#REF!)+SUMIF(DRE!$B$1:$B$405,$B32,DRE!$G$1:$G$405)+SUMIF(AGUA!$B$1:$B$489,$B32,AGUA!$G$1:$G$489)</f>
        <v>#REF!</v>
      </c>
      <c r="P32" s="375">
        <f>SUMIF(ADM!$B$1:$B$496,$B32,ADM!$G$1:$G$496)+SUMIF(TOP!$B$1:$B$484,$B32,TOP!$G$1:$G$484)+SUMIF(LAB!$B$1:$B$487,$B32,LAB!$G$1:$G$487)+SUMIF(QSMS!$B$1:$B$479,$B32,QSMS!$G$1:$G$479)</f>
        <v>0</v>
      </c>
    </row>
    <row r="33" spans="1:18">
      <c r="A33" t="s">
        <v>665</v>
      </c>
      <c r="B33" t="s">
        <v>668</v>
      </c>
      <c r="D33" s="236">
        <v>0</v>
      </c>
      <c r="E33" s="236">
        <v>0</v>
      </c>
      <c r="F33" s="236">
        <v>0</v>
      </c>
      <c r="G33" s="236">
        <v>0</v>
      </c>
      <c r="H33" s="1033">
        <f>2500/200</f>
        <v>12.5</v>
      </c>
      <c r="I33" s="236">
        <v>0</v>
      </c>
      <c r="J33" s="1034">
        <f t="shared" si="0"/>
        <v>12.5</v>
      </c>
      <c r="K33" s="204">
        <f t="shared" si="2"/>
        <v>0</v>
      </c>
      <c r="L33" s="238"/>
      <c r="M33" s="236" t="str">
        <f>IFERROR(VLOOKUP(L33,DADOS!$C$21:$E$25,3,0),"")</f>
        <v/>
      </c>
      <c r="N33" s="401"/>
      <c r="O33" s="375" t="e">
        <f>SUMIF(EQUIPE!$B$1:$B$135,$B33,EQUIPE!$G$1:$G$135)+SUMIF(#REF!,$B33,#REF!)+SUMIF(#REF!,$B33,#REF!)+SUMIF(DRE!$B$1:$B$405,$B33,DRE!$G$1:$G$405)+SUMIF(AGUA!$B$1:$B$489,$B33,AGUA!$G$1:$G$489)</f>
        <v>#REF!</v>
      </c>
      <c r="P33" s="375">
        <f>SUMIF(ADM!$B$1:$B$496,$B33,ADM!$G$1:$G$496)+SUMIF(TOP!$B$1:$B$484,$B33,TOP!$G$1:$G$484)+SUMIF(LAB!$B$1:$B$487,$B33,LAB!$G$1:$G$487)+SUMIF(QSMS!$B$1:$B$479,$B33,QSMS!$G$1:$G$479)</f>
        <v>0</v>
      </c>
    </row>
    <row r="34" spans="1:18">
      <c r="A34" t="s">
        <v>667</v>
      </c>
      <c r="B34" t="s">
        <v>670</v>
      </c>
      <c r="C34" s="236"/>
      <c r="D34" s="236">
        <v>0</v>
      </c>
      <c r="E34" s="236">
        <v>0</v>
      </c>
      <c r="F34" s="236">
        <v>0</v>
      </c>
      <c r="G34" s="236">
        <v>0</v>
      </c>
      <c r="H34" s="1033">
        <f>48259/360</f>
        <v>134.05277777777778</v>
      </c>
      <c r="I34" s="236">
        <v>0</v>
      </c>
      <c r="J34" s="1034">
        <f t="shared" si="0"/>
        <v>134.05277777777778</v>
      </c>
      <c r="K34" s="204">
        <f t="shared" si="2"/>
        <v>0</v>
      </c>
      <c r="L34" s="238" t="s">
        <v>616</v>
      </c>
      <c r="M34" s="236">
        <f>IFERROR(VLOOKUP(L34,DADOS!$C$21:$E$25,3,0),"")</f>
        <v>0</v>
      </c>
      <c r="N34" s="401">
        <v>18</v>
      </c>
      <c r="O34" s="375" t="e">
        <f>SUMIF(EQUIPE!$B$1:$B$135,$B34,EQUIPE!$G$1:$G$135)+SUMIF(#REF!,$B34,#REF!)+SUMIF(#REF!,$B34,#REF!)+SUMIF(DRE!$B$1:$B$405,$B34,DRE!$G$1:$G$405)+SUMIF(AGUA!$B$1:$B$489,$B34,AGUA!$G$1:$G$489)</f>
        <v>#REF!</v>
      </c>
      <c r="P34" s="375">
        <f>SUMIF(ADM!$B$1:$B$496,$B34,ADM!$G$1:$G$496)+SUMIF(TOP!$B$1:$B$484,$B34,TOP!$G$1:$G$484)+SUMIF(LAB!$B$1:$B$487,$B34,LAB!$G$1:$G$487)+SUMIF(QSMS!$B$1:$B$479,$B34,QSMS!$G$1:$G$479)</f>
        <v>0</v>
      </c>
      <c r="Q34">
        <v>14</v>
      </c>
    </row>
    <row r="35" spans="1:18">
      <c r="A35" t="s">
        <v>669</v>
      </c>
      <c r="B35" t="s">
        <v>672</v>
      </c>
      <c r="C35" s="236"/>
      <c r="D35" s="236">
        <v>0</v>
      </c>
      <c r="E35" s="236">
        <v>0</v>
      </c>
      <c r="F35" s="236">
        <v>0</v>
      </c>
      <c r="G35" s="236">
        <v>0</v>
      </c>
      <c r="H35" s="1033">
        <f>77173/360</f>
        <v>214.36944444444444</v>
      </c>
      <c r="I35" s="236">
        <v>0</v>
      </c>
      <c r="J35" s="1034">
        <f t="shared" si="0"/>
        <v>214.36944444444444</v>
      </c>
      <c r="K35" s="204">
        <f t="shared" si="2"/>
        <v>0</v>
      </c>
      <c r="L35" s="238" t="s">
        <v>616</v>
      </c>
      <c r="M35" s="236">
        <f>IFERROR(VLOOKUP(L35,DADOS!$C$21:$E$25,3,0),"")</f>
        <v>0</v>
      </c>
      <c r="N35" s="401">
        <v>26</v>
      </c>
      <c r="O35" s="375" t="e">
        <f>SUMIF(EQUIPE!$B$1:$B$135,$B35,EQUIPE!$G$1:$G$135)+SUMIF(#REF!,$B35,#REF!)+SUMIF(#REF!,$B35,#REF!)+SUMIF(DRE!$B$1:$B$405,$B35,DRE!$G$1:$G$405)+SUMIF(AGUA!$B$1:$B$489,$B35,AGUA!$G$1:$G$489)</f>
        <v>#REF!</v>
      </c>
      <c r="P35" s="375">
        <f>SUMIF(ADM!$B$1:$B$496,$B35,ADM!$G$1:$G$496)+SUMIF(TOP!$B$1:$B$484,$B35,TOP!$G$1:$G$484)+SUMIF(LAB!$B$1:$B$487,$B35,LAB!$G$1:$G$487)+SUMIF(QSMS!$B$1:$B$479,$B35,QSMS!$G$1:$G$479)</f>
        <v>0</v>
      </c>
      <c r="Q35">
        <v>24</v>
      </c>
    </row>
    <row r="36" spans="1:18">
      <c r="A36" t="s">
        <v>1173</v>
      </c>
      <c r="B36" t="s">
        <v>674</v>
      </c>
      <c r="C36" s="236"/>
      <c r="D36" s="236">
        <v>0</v>
      </c>
      <c r="E36" s="236">
        <v>0</v>
      </c>
      <c r="F36" s="236">
        <v>0</v>
      </c>
      <c r="G36" s="236">
        <v>0</v>
      </c>
      <c r="H36" s="1033">
        <f>H35*1.3</f>
        <v>278.6802777777778</v>
      </c>
      <c r="I36" s="236">
        <v>0</v>
      </c>
      <c r="J36" s="1034">
        <f>SUM(D36,E36,F36,G36,H36,I36)</f>
        <v>278.6802777777778</v>
      </c>
      <c r="K36" s="204">
        <f>SUM(D36,E36,F36,I36)</f>
        <v>0</v>
      </c>
      <c r="L36" s="238" t="s">
        <v>616</v>
      </c>
      <c r="M36" s="236">
        <f>IFERROR(VLOOKUP(L36,DADOS!$C$21:$E$25,3,0),"")</f>
        <v>0</v>
      </c>
      <c r="N36" s="401">
        <v>32</v>
      </c>
      <c r="O36" s="375"/>
      <c r="P36" s="375"/>
      <c r="Q36">
        <v>24</v>
      </c>
      <c r="R36" s="372"/>
    </row>
    <row r="37" spans="1:18" hidden="1">
      <c r="A37" t="s">
        <v>671</v>
      </c>
      <c r="B37" t="s">
        <v>676</v>
      </c>
      <c r="C37" s="236"/>
      <c r="D37" s="236">
        <v>0</v>
      </c>
      <c r="E37" s="236">
        <v>0</v>
      </c>
      <c r="F37" s="236">
        <v>0</v>
      </c>
      <c r="G37" s="236">
        <v>0</v>
      </c>
      <c r="H37" s="1033">
        <f>165000/200</f>
        <v>825</v>
      </c>
      <c r="I37" s="236">
        <v>0</v>
      </c>
      <c r="J37" s="1034">
        <f t="shared" si="0"/>
        <v>825</v>
      </c>
      <c r="K37" s="204">
        <f t="shared" si="2"/>
        <v>0</v>
      </c>
      <c r="L37" s="238" t="s">
        <v>616</v>
      </c>
      <c r="M37" s="236">
        <f>IFERROR(VLOOKUP(L37,DADOS!$C$21:$E$25,3,0),"")</f>
        <v>0</v>
      </c>
      <c r="N37" s="401">
        <v>32</v>
      </c>
      <c r="O37" s="375" t="e">
        <f>SUMIF(EQUIPE!$B$1:$B$135,$B37,EQUIPE!$G$1:$G$135)+SUMIF(#REF!,$B37,#REF!)+SUMIF(#REF!,$B37,#REF!)+SUMIF(DRE!$B$1:$B$405,$B37,DRE!$G$1:$G$405)+SUMIF(AGUA!$B$1:$B$489,$B37,AGUA!$G$1:$G$489)</f>
        <v>#REF!</v>
      </c>
      <c r="P37" s="375">
        <f>SUMIF(ADM!$B$1:$B$496,$B37,ADM!$G$1:$G$496)+SUMIF(TOP!$B$1:$B$484,$B37,TOP!$G$1:$G$484)+SUMIF(LAB!$B$1:$B$487,$B37,LAB!$G$1:$G$487)+SUMIF(QSMS!$B$1:$B$479,$B37,QSMS!$G$1:$G$479)</f>
        <v>0</v>
      </c>
    </row>
    <row r="38" spans="1:18">
      <c r="A38" t="s">
        <v>673</v>
      </c>
      <c r="B38" t="s">
        <v>677</v>
      </c>
      <c r="C38" s="236"/>
      <c r="D38" s="236">
        <v>0</v>
      </c>
      <c r="E38" s="236">
        <v>0</v>
      </c>
      <c r="F38" s="236">
        <v>0</v>
      </c>
      <c r="G38" s="236">
        <v>0</v>
      </c>
      <c r="H38" s="1033">
        <f>3500/200</f>
        <v>17.5</v>
      </c>
      <c r="I38" s="236">
        <v>0</v>
      </c>
      <c r="J38" s="1034">
        <f t="shared" si="0"/>
        <v>17.5</v>
      </c>
      <c r="K38" s="204">
        <f t="shared" si="2"/>
        <v>0</v>
      </c>
      <c r="L38" s="238"/>
      <c r="M38" s="236" t="str">
        <f>IFERROR(VLOOKUP(L38,DADOS!$C$21:$E$25,3,0),"")</f>
        <v/>
      </c>
      <c r="N38" s="443">
        <v>0</v>
      </c>
      <c r="O38" s="375" t="e">
        <f>SUMIF(EQUIPE!$B$1:$B$135,$B38,EQUIPE!$G$1:$G$135)+SUMIF(#REF!,$B38,#REF!)+SUMIF(#REF!,$B38,#REF!)+SUMIF(DRE!$B$1:$B$405,$B38,DRE!$G$1:$G$405)+SUMIF(AGUA!$B$1:$B$489,$B38,AGUA!$G$1:$G$489)</f>
        <v>#REF!</v>
      </c>
      <c r="P38" s="375">
        <f>SUMIF(ADM!$B$1:$B$496,$B38,ADM!$G$1:$G$496)+SUMIF(TOP!$B$1:$B$484,$B38,TOP!$G$1:$G$484)+SUMIF(LAB!$B$1:$B$487,$B38,LAB!$G$1:$G$487)+SUMIF(QSMS!$B$1:$B$479,$B38,QSMS!$G$1:$G$479)</f>
        <v>0</v>
      </c>
    </row>
    <row r="39" spans="1:18">
      <c r="A39" t="s">
        <v>675</v>
      </c>
      <c r="B39" t="s">
        <v>679</v>
      </c>
      <c r="C39" s="236"/>
      <c r="D39" s="236">
        <v>0</v>
      </c>
      <c r="E39" s="236">
        <v>0</v>
      </c>
      <c r="F39" s="236">
        <v>0</v>
      </c>
      <c r="G39" s="236">
        <v>0</v>
      </c>
      <c r="H39" s="1033">
        <f>4000/200</f>
        <v>20</v>
      </c>
      <c r="I39" s="236">
        <v>0</v>
      </c>
      <c r="J39" s="1034">
        <f>H39</f>
        <v>20</v>
      </c>
      <c r="K39" s="204">
        <f t="shared" si="2"/>
        <v>0</v>
      </c>
      <c r="L39" s="238" t="s">
        <v>613</v>
      </c>
      <c r="M39" s="236">
        <f>IFERROR(VLOOKUP(L39,DADOS!$C$21:$E$25,3,0),"")</f>
        <v>6.59</v>
      </c>
      <c r="N39" s="2">
        <v>9</v>
      </c>
      <c r="O39" s="375" t="e">
        <f>SUMIF(EQUIPE!$B$1:$B$135,$B39,EQUIPE!$G$1:$G$135)+SUMIF(#REF!,$B39,#REF!)+SUMIF(#REF!,$B39,#REF!)+SUMIF(DRE!$B$1:$B$405,$B39,DRE!$G$1:$G$405)+SUMIF(AGUA!$B$1:$B$489,$B39,AGUA!$G$1:$G$489)</f>
        <v>#REF!</v>
      </c>
      <c r="P39" s="375">
        <f>SUMIF(ADM!$B$1:$B$496,$B39,ADM!$G$1:$G$496)+SUMIF(TOP!$B$1:$B$484,$B39,TOP!$G$1:$G$484)+SUMIF(LAB!$B$1:$B$487,$B39,LAB!$G$1:$G$487)+SUMIF(QSMS!$B$1:$B$479,$B39,QSMS!$G$1:$G$479)</f>
        <v>4</v>
      </c>
    </row>
    <row r="40" spans="1:18">
      <c r="A40" t="s">
        <v>1335</v>
      </c>
      <c r="B40" t="s">
        <v>681</v>
      </c>
      <c r="C40" s="236"/>
      <c r="D40" s="236">
        <v>0</v>
      </c>
      <c r="E40" s="236">
        <v>0</v>
      </c>
      <c r="F40" s="236">
        <v>0</v>
      </c>
      <c r="G40" s="236">
        <v>0</v>
      </c>
      <c r="H40" s="1033">
        <f>8000/200</f>
        <v>40</v>
      </c>
      <c r="I40" s="236">
        <v>0</v>
      </c>
      <c r="J40" s="1034">
        <f t="shared" si="0"/>
        <v>40</v>
      </c>
      <c r="K40" s="204">
        <f t="shared" si="2"/>
        <v>0</v>
      </c>
      <c r="L40" s="238" t="s">
        <v>616</v>
      </c>
      <c r="M40" s="236">
        <f>IFERROR(VLOOKUP(L40,DADOS!$C$21:$E$25,3,0),"")</f>
        <v>0</v>
      </c>
      <c r="N40" s="2">
        <v>9</v>
      </c>
      <c r="O40" s="375" t="e">
        <f>SUMIF(EQUIPE!$B$1:$B$135,$B40,EQUIPE!$G$1:$G$135)+SUMIF(#REF!,$B40,#REF!)+SUMIF(#REF!,$B40,#REF!)+SUMIF(DRE!$B$1:$B$405,$B40,DRE!$G$1:$G$405)+SUMIF(AGUA!$B$1:$B$489,$B40,AGUA!$G$1:$G$489)</f>
        <v>#REF!</v>
      </c>
      <c r="P40" s="375">
        <f>SUMIF(ADM!$B$1:$B$496,$B40,ADM!$G$1:$G$496)+SUMIF(TOP!$B$1:$B$484,$B40,TOP!$G$1:$G$484)+SUMIF(LAB!$B$1:$B$487,$B40,LAB!$G$1:$G$487)+SUMIF(QSMS!$B$1:$B$479,$B40,QSMS!$G$1:$G$479)</f>
        <v>1</v>
      </c>
    </row>
    <row r="41" spans="1:18">
      <c r="A41" t="s">
        <v>678</v>
      </c>
      <c r="B41" t="s">
        <v>683</v>
      </c>
      <c r="C41" s="236"/>
      <c r="D41" s="236">
        <v>0</v>
      </c>
      <c r="E41" s="236">
        <v>0</v>
      </c>
      <c r="F41" s="236">
        <v>0</v>
      </c>
      <c r="G41" s="236">
        <v>0</v>
      </c>
      <c r="H41" s="1033">
        <v>58.424999999999997</v>
      </c>
      <c r="I41" s="236">
        <v>0</v>
      </c>
      <c r="J41" s="1034">
        <f t="shared" si="0"/>
        <v>58.424999999999997</v>
      </c>
      <c r="K41" s="204">
        <f t="shared" si="2"/>
        <v>0</v>
      </c>
      <c r="L41" s="238" t="s">
        <v>616</v>
      </c>
      <c r="M41" s="236">
        <f>IFERROR(VLOOKUP(L41,DADOS!$C$21:$E$25,3,0),"")</f>
        <v>0</v>
      </c>
      <c r="N41" s="2">
        <f>0.21*82</f>
        <v>17.22</v>
      </c>
      <c r="O41" s="375" t="e">
        <f>SUMIF(EQUIPE!$B$1:$B$135,$B41,EQUIPE!$G$1:$G$135)+SUMIF(#REF!,$B41,#REF!)+SUMIF(#REF!,$B41,#REF!)+SUMIF(DRE!$B$1:$B$405,$B41,DRE!$G$1:$G$405)+SUMIF(AGUA!$B$1:$B$489,$B41,AGUA!$G$1:$G$489)</f>
        <v>#REF!</v>
      </c>
      <c r="P41" s="375">
        <f>SUMIF(ADM!$B$1:$B$496,$B41,ADM!$G$1:$G$496)+SUMIF(TOP!$B$1:$B$484,$B41,TOP!$G$1:$G$484)+SUMIF(LAB!$B$1:$B$487,$B41,LAB!$G$1:$G$487)+SUMIF(QSMS!$B$1:$B$479,$B41,QSMS!$G$1:$G$479)</f>
        <v>0</v>
      </c>
    </row>
    <row r="42" spans="1:18">
      <c r="A42" t="s">
        <v>680</v>
      </c>
      <c r="B42" t="s">
        <v>684</v>
      </c>
      <c r="C42" s="236"/>
      <c r="D42" s="236">
        <v>0</v>
      </c>
      <c r="E42" s="236">
        <v>0</v>
      </c>
      <c r="F42" s="236">
        <v>0</v>
      </c>
      <c r="G42" s="236">
        <v>0</v>
      </c>
      <c r="H42" s="1033">
        <v>58.424999999999997</v>
      </c>
      <c r="I42" s="236">
        <v>0</v>
      </c>
      <c r="J42" s="1034">
        <f t="shared" si="0"/>
        <v>58.424999999999997</v>
      </c>
      <c r="K42" s="204">
        <f t="shared" si="2"/>
        <v>0</v>
      </c>
      <c r="L42" s="238" t="s">
        <v>616</v>
      </c>
      <c r="M42" s="236">
        <f>IFERROR(VLOOKUP(L42,DADOS!$C$21:$E$25,3,0),"")</f>
        <v>0</v>
      </c>
      <c r="N42" s="2">
        <f>0.15*82</f>
        <v>12.299999999999999</v>
      </c>
      <c r="O42" s="375" t="e">
        <f>SUMIF(EQUIPE!$B$1:$B$135,$B42,EQUIPE!$G$1:$G$135)+SUMIF(#REF!,$B42,#REF!)+SUMIF(#REF!,$B42,#REF!)+SUMIF(DRE!$B$1:$B$405,$B42,DRE!$G$1:$G$405)+SUMIF(AGUA!$B$1:$B$489,$B42,AGUA!$G$1:$G$489)</f>
        <v>#REF!</v>
      </c>
      <c r="P42" s="375">
        <f>SUMIF(ADM!$B$1:$B$496,$B42,ADM!$G$1:$G$496)+SUMIF(TOP!$B$1:$B$484,$B42,TOP!$G$1:$G$484)+SUMIF(LAB!$B$1:$B$487,$B42,LAB!$G$1:$G$487)+SUMIF(QSMS!$B$1:$B$479,$B42,QSMS!$G$1:$G$479)</f>
        <v>0</v>
      </c>
    </row>
    <row r="43" spans="1:18">
      <c r="A43" t="s">
        <v>1059</v>
      </c>
      <c r="B43" t="s">
        <v>685</v>
      </c>
      <c r="C43" s="236"/>
      <c r="D43" s="236">
        <v>0</v>
      </c>
      <c r="E43" s="236">
        <v>0</v>
      </c>
      <c r="F43" s="236">
        <v>0</v>
      </c>
      <c r="G43" s="236">
        <v>0</v>
      </c>
      <c r="H43" s="1033">
        <f>263</f>
        <v>263</v>
      </c>
      <c r="I43" s="236">
        <v>0</v>
      </c>
      <c r="J43" s="1034">
        <f t="shared" si="0"/>
        <v>263</v>
      </c>
      <c r="K43" s="204">
        <f t="shared" si="2"/>
        <v>0</v>
      </c>
      <c r="L43" s="238" t="s">
        <v>616</v>
      </c>
      <c r="M43" s="236">
        <f>IFERROR(VLOOKUP(L43,DADOS!$C$21:$E$25,3,0),"")</f>
        <v>0</v>
      </c>
      <c r="N43" s="2">
        <v>8</v>
      </c>
      <c r="O43" s="375" t="e">
        <f>SUMIF(EQUIPE!$B$1:$B$135,$B43,EQUIPE!$G$1:$G$135)+SUMIF(#REF!,$B43,#REF!)+SUMIF(#REF!,$B43,#REF!)+SUMIF(DRE!$B$1:$B$405,$B43,DRE!$G$1:$G$405)+SUMIF(AGUA!$B$1:$B$489,$B43,AGUA!$G$1:$G$489)</f>
        <v>#REF!</v>
      </c>
      <c r="P43" s="375">
        <f>SUMIF(ADM!$B$1:$B$496,$B43,ADM!$G$1:$G$496)+SUMIF(TOP!$B$1:$B$484,$B43,TOP!$G$1:$G$484)+SUMIF(LAB!$B$1:$B$487,$B43,LAB!$G$1:$G$487)+SUMIF(QSMS!$B$1:$B$479,$B43,QSMS!$G$1:$G$479)</f>
        <v>0</v>
      </c>
    </row>
    <row r="44" spans="1:18">
      <c r="A44" t="s">
        <v>1160</v>
      </c>
      <c r="B44" t="s">
        <v>686</v>
      </c>
      <c r="C44" s="236"/>
      <c r="D44" s="236">
        <v>0</v>
      </c>
      <c r="E44" s="236">
        <v>0</v>
      </c>
      <c r="F44" s="236">
        <v>0</v>
      </c>
      <c r="G44" s="236">
        <v>0</v>
      </c>
      <c r="H44" s="1033">
        <f>50000/200</f>
        <v>250</v>
      </c>
      <c r="I44" s="236">
        <v>0</v>
      </c>
      <c r="J44" s="1034">
        <f t="shared" si="0"/>
        <v>250</v>
      </c>
      <c r="K44" s="204">
        <f t="shared" si="2"/>
        <v>0</v>
      </c>
      <c r="L44" s="238" t="s">
        <v>616</v>
      </c>
      <c r="M44" s="236">
        <f>IFERROR(VLOOKUP(L44,DADOS!$C$21:$E$25,3,0),"")</f>
        <v>0</v>
      </c>
      <c r="N44" s="2">
        <v>16</v>
      </c>
      <c r="O44" s="375" t="e">
        <f>SUMIF(EQUIPE!$B$1:$B$135,$B44,EQUIPE!$G$1:$G$135)+SUMIF(#REF!,$B44,#REF!)+SUMIF(#REF!,$B44,#REF!)+SUMIF(DRE!$B$1:$B$405,$B44,DRE!$G$1:$G$405)+SUMIF(AGUA!$B$1:$B$489,$B44,AGUA!$G$1:$G$489)</f>
        <v>#REF!</v>
      </c>
      <c r="P44" s="375">
        <f>SUMIF(ADM!$B$1:$B$496,$B44,ADM!$G$1:$G$496)+SUMIF(TOP!$B$1:$B$484,$B44,TOP!$G$1:$G$484)+SUMIF(LAB!$B$1:$B$487,$B44,LAB!$G$1:$G$487)+SUMIF(QSMS!$B$1:$B$479,$B44,QSMS!$G$1:$G$479)</f>
        <v>0</v>
      </c>
    </row>
    <row r="45" spans="1:18">
      <c r="A45" t="s">
        <v>1333</v>
      </c>
      <c r="B45" t="s">
        <v>687</v>
      </c>
      <c r="C45" s="236"/>
      <c r="D45" s="236">
        <v>0</v>
      </c>
      <c r="E45" s="236">
        <v>0</v>
      </c>
      <c r="F45" s="236">
        <v>0</v>
      </c>
      <c r="G45" s="236">
        <v>0</v>
      </c>
      <c r="H45" s="1033">
        <f>5000/200</f>
        <v>25</v>
      </c>
      <c r="I45" s="236">
        <v>0</v>
      </c>
      <c r="J45" s="1034">
        <f t="shared" si="0"/>
        <v>25</v>
      </c>
      <c r="K45" s="204">
        <f t="shared" si="2"/>
        <v>0</v>
      </c>
      <c r="L45" s="238" t="s">
        <v>613</v>
      </c>
      <c r="M45" s="236">
        <v>6</v>
      </c>
      <c r="N45" s="2">
        <v>1</v>
      </c>
      <c r="O45" s="375" t="e">
        <f>SUMIF(EQUIPE!$B$1:$B$135,$B45,EQUIPE!$G$1:$G$135)+SUMIF(#REF!,$B45,#REF!)+SUMIF(#REF!,$B45,#REF!)+SUMIF(DRE!$B$1:$B$405,$B45,DRE!$G$1:$G$405)+SUMIF(AGUA!$B$1:$B$489,$B45,AGUA!$G$1:$G$489)</f>
        <v>#REF!</v>
      </c>
      <c r="P45" s="375">
        <f>SUMIF(ADM!$B$1:$B$496,$B45,ADM!$G$1:$G$496)+SUMIF(TOP!$B$1:$B$484,$B45,TOP!$G$1:$G$484)+SUMIF(LAB!$B$1:$B$487,$B45,LAB!$G$1:$G$487)+SUMIF(QSMS!$B$1:$B$479,$B45,QSMS!$G$1:$G$479)</f>
        <v>0</v>
      </c>
    </row>
    <row r="46" spans="1:18">
      <c r="C46" s="236"/>
      <c r="D46" s="236"/>
      <c r="E46" s="236"/>
      <c r="F46" s="236"/>
      <c r="G46" s="236"/>
      <c r="H46" s="1033"/>
      <c r="I46" s="236"/>
      <c r="J46" s="1034"/>
      <c r="K46" s="204">
        <f t="shared" si="2"/>
        <v>0</v>
      </c>
      <c r="L46" s="238"/>
      <c r="M46" s="236" t="s">
        <v>946</v>
      </c>
      <c r="N46" s="2"/>
      <c r="O46" s="375" t="e">
        <f>SUMIF(EQUIPE!$B$1:$B$135,$B46,EQUIPE!$G$1:$G$135)+SUMIF(#REF!,$B46,#REF!)+SUMIF(#REF!,$B46,#REF!)+SUMIF(DRE!$B$1:$B$405,$B46,DRE!$G$1:$G$405)+SUMIF(AGUA!$B$1:$B$489,$B46,AGUA!$G$1:$G$489)</f>
        <v>#REF!</v>
      </c>
      <c r="P46" s="375">
        <f>SUMIF(ADM!$B$1:$B$496,$B46,ADM!$G$1:$G$496)+SUMIF(TOP!$B$1:$B$484,$B46,TOP!$G$1:$G$484)+SUMIF(LAB!$B$1:$B$487,$B46,LAB!$G$1:$G$487)+SUMIF(QSMS!$B$1:$B$479,$B46,QSMS!$G$1:$G$479)</f>
        <v>0</v>
      </c>
    </row>
    <row r="47" spans="1:18">
      <c r="C47" s="236"/>
      <c r="D47" s="236"/>
      <c r="E47" s="236"/>
      <c r="F47" s="236"/>
      <c r="G47" s="236"/>
      <c r="H47" s="1033"/>
      <c r="I47" s="236"/>
      <c r="J47" s="1034"/>
      <c r="K47" s="204">
        <f t="shared" si="2"/>
        <v>0</v>
      </c>
      <c r="L47" s="238"/>
      <c r="M47" s="236" t="s">
        <v>946</v>
      </c>
      <c r="N47" s="2"/>
      <c r="O47" s="375" t="e">
        <f>SUMIF(EQUIPE!$B$1:$B$135,$B47,EQUIPE!$G$1:$G$135)+SUMIF(#REF!,$B47,#REF!)+SUMIF(#REF!,$B47,#REF!)+SUMIF(DRE!$B$1:$B$405,$B47,DRE!$G$1:$G$405)+SUMIF(AGUA!$B$1:$B$489,$B47,AGUA!$G$1:$G$489)</f>
        <v>#REF!</v>
      </c>
      <c r="P47" s="375">
        <f>SUMIF(ADM!$B$1:$B$496,$B47,ADM!$G$1:$G$496)+SUMIF(TOP!$B$1:$B$484,$B47,TOP!$G$1:$G$484)+SUMIF(LAB!$B$1:$B$487,$B47,LAB!$G$1:$G$487)+SUMIF(QSMS!$B$1:$B$479,$B47,QSMS!$G$1:$G$479)</f>
        <v>0</v>
      </c>
    </row>
    <row r="48" spans="1:18">
      <c r="D48" s="236"/>
      <c r="E48" s="236"/>
      <c r="F48" s="236"/>
      <c r="G48" s="236"/>
      <c r="H48" s="442"/>
      <c r="I48" s="236"/>
      <c r="J48" s="444"/>
      <c r="K48" s="204">
        <f t="shared" si="2"/>
        <v>0</v>
      </c>
      <c r="L48" s="238"/>
      <c r="M48" s="236" t="s">
        <v>946</v>
      </c>
      <c r="N48" s="2"/>
      <c r="O48" s="375"/>
      <c r="P48" s="375"/>
    </row>
    <row r="49" spans="4:16">
      <c r="D49" s="236"/>
      <c r="E49" s="236"/>
      <c r="F49" s="236"/>
      <c r="G49" s="236"/>
      <c r="H49" s="442"/>
      <c r="I49" s="236"/>
      <c r="J49" s="444"/>
      <c r="K49" s="204">
        <f t="shared" si="2"/>
        <v>0</v>
      </c>
      <c r="L49" s="238"/>
      <c r="M49" s="236" t="s">
        <v>946</v>
      </c>
      <c r="N49" s="2"/>
      <c r="O49" s="375"/>
      <c r="P49" s="375"/>
    </row>
    <row r="50" spans="4:16">
      <c r="D50" s="236"/>
      <c r="E50" s="236"/>
      <c r="F50" s="236"/>
      <c r="G50" s="236"/>
      <c r="H50" s="442"/>
      <c r="I50" s="236"/>
      <c r="J50" s="444"/>
      <c r="K50" s="204">
        <f t="shared" si="2"/>
        <v>0</v>
      </c>
      <c r="L50" s="238"/>
      <c r="M50" s="236" t="s">
        <v>946</v>
      </c>
      <c r="N50" s="2"/>
      <c r="O50" s="375"/>
      <c r="P50" s="375"/>
    </row>
    <row r="51" spans="4:16">
      <c r="D51" s="236"/>
      <c r="E51" s="236"/>
      <c r="F51" s="236"/>
      <c r="G51" s="236"/>
      <c r="H51" s="442"/>
      <c r="I51" s="236"/>
      <c r="J51" s="444"/>
      <c r="K51" s="204">
        <f t="shared" si="2"/>
        <v>0</v>
      </c>
      <c r="L51" s="238"/>
      <c r="M51" s="236" t="s">
        <v>946</v>
      </c>
      <c r="N51" s="2"/>
      <c r="O51" s="375"/>
      <c r="P51" s="375"/>
    </row>
    <row r="52" spans="4:16">
      <c r="D52" s="236"/>
      <c r="E52" s="236"/>
      <c r="F52" s="236"/>
      <c r="G52" s="236"/>
      <c r="H52" s="442"/>
      <c r="I52" s="236"/>
      <c r="J52" s="444"/>
      <c r="K52" s="204">
        <f t="shared" si="2"/>
        <v>0</v>
      </c>
      <c r="L52" s="238"/>
      <c r="M52" s="236" t="s">
        <v>946</v>
      </c>
      <c r="N52" s="2"/>
      <c r="O52" s="375"/>
      <c r="P52" s="375"/>
    </row>
    <row r="53" spans="4:16">
      <c r="D53" s="236"/>
      <c r="E53" s="236"/>
      <c r="F53" s="236"/>
      <c r="G53" s="236"/>
      <c r="H53" s="442"/>
      <c r="I53" s="236"/>
      <c r="J53" s="444"/>
      <c r="K53" s="204">
        <f t="shared" si="2"/>
        <v>0</v>
      </c>
      <c r="L53" s="238"/>
      <c r="M53" s="236" t="s">
        <v>946</v>
      </c>
      <c r="N53" s="2"/>
      <c r="O53" s="375"/>
      <c r="P53" s="375"/>
    </row>
    <row r="54" spans="4:16">
      <c r="D54" s="236"/>
      <c r="E54" s="236"/>
      <c r="F54" s="236"/>
      <c r="G54" s="236"/>
      <c r="H54" s="442"/>
      <c r="I54" s="236"/>
      <c r="J54" s="204"/>
      <c r="K54" s="204">
        <f t="shared" si="2"/>
        <v>0</v>
      </c>
      <c r="L54" s="238"/>
      <c r="M54" s="236" t="s">
        <v>946</v>
      </c>
      <c r="N54" s="2"/>
      <c r="O54" s="375"/>
      <c r="P54" s="375"/>
    </row>
    <row r="55" spans="4:16">
      <c r="D55" s="236"/>
      <c r="E55" s="236"/>
      <c r="F55" s="236"/>
      <c r="G55" s="236"/>
      <c r="H55" s="442"/>
      <c r="I55" s="236"/>
      <c r="J55" s="204"/>
      <c r="K55" s="204">
        <f t="shared" si="2"/>
        <v>0</v>
      </c>
      <c r="L55" s="238"/>
      <c r="M55" s="236" t="s">
        <v>946</v>
      </c>
      <c r="N55" s="2"/>
      <c r="O55" s="375"/>
      <c r="P55" s="375"/>
    </row>
    <row r="56" spans="4:16">
      <c r="D56" s="236"/>
      <c r="E56" s="236"/>
      <c r="F56" s="236"/>
      <c r="G56" s="236"/>
      <c r="H56" s="442"/>
      <c r="I56" s="236"/>
      <c r="J56" s="204"/>
      <c r="K56" s="204">
        <f t="shared" si="2"/>
        <v>0</v>
      </c>
      <c r="L56" s="238"/>
      <c r="M56" s="236" t="s">
        <v>946</v>
      </c>
      <c r="N56" s="2"/>
      <c r="O56" s="375"/>
      <c r="P56" s="375"/>
    </row>
    <row r="57" spans="4:16">
      <c r="H57" s="442"/>
      <c r="J57" s="204"/>
      <c r="K57" s="204">
        <f t="shared" si="2"/>
        <v>0</v>
      </c>
      <c r="L57" s="238"/>
      <c r="M57" s="236" t="s">
        <v>946</v>
      </c>
      <c r="N57" s="2"/>
      <c r="O57" s="375"/>
      <c r="P57" s="375"/>
    </row>
    <row r="58" spans="4:16">
      <c r="H58" s="442"/>
      <c r="J58" s="204"/>
      <c r="K58" s="204">
        <f t="shared" si="2"/>
        <v>0</v>
      </c>
      <c r="L58" s="238"/>
      <c r="M58" s="236" t="s">
        <v>946</v>
      </c>
      <c r="N58" s="2"/>
      <c r="O58" s="375"/>
      <c r="P58" s="375"/>
    </row>
    <row r="59" spans="4:16">
      <c r="H59" s="442"/>
      <c r="J59" s="204"/>
      <c r="K59" s="204">
        <f t="shared" si="2"/>
        <v>0</v>
      </c>
      <c r="L59" s="238"/>
      <c r="M59" s="236" t="s">
        <v>946</v>
      </c>
      <c r="N59" s="2"/>
      <c r="O59" s="375"/>
      <c r="P59" s="375"/>
    </row>
    <row r="60" spans="4:16">
      <c r="H60" s="442"/>
      <c r="J60" s="204"/>
      <c r="K60" s="204">
        <f t="shared" si="2"/>
        <v>0</v>
      </c>
      <c r="L60" s="238"/>
      <c r="M60" s="236" t="s">
        <v>946</v>
      </c>
      <c r="N60" s="2"/>
      <c r="O60" s="375"/>
      <c r="P60" s="375"/>
    </row>
    <row r="61" spans="4:16">
      <c r="H61" s="442"/>
      <c r="J61" s="204"/>
      <c r="K61" s="204">
        <f t="shared" si="2"/>
        <v>0</v>
      </c>
      <c r="L61" s="238"/>
      <c r="M61" s="236" t="s">
        <v>946</v>
      </c>
      <c r="N61" s="2"/>
      <c r="O61" s="375"/>
      <c r="P61" s="375"/>
    </row>
    <row r="62" spans="4:16">
      <c r="H62" s="442"/>
      <c r="J62" s="204"/>
      <c r="K62" s="204">
        <f t="shared" si="2"/>
        <v>0</v>
      </c>
      <c r="L62" s="238"/>
      <c r="M62" s="236" t="s">
        <v>946</v>
      </c>
      <c r="N62" s="2"/>
      <c r="O62" s="375"/>
      <c r="P62" s="375"/>
    </row>
    <row r="63" spans="4:16">
      <c r="H63" s="442"/>
      <c r="J63" s="204"/>
      <c r="K63" s="204">
        <f t="shared" si="2"/>
        <v>0</v>
      </c>
      <c r="L63" s="238"/>
      <c r="M63" s="236" t="s">
        <v>946</v>
      </c>
      <c r="N63" s="2"/>
      <c r="O63" s="375"/>
      <c r="P63" s="375"/>
    </row>
    <row r="64" spans="4:16">
      <c r="H64" s="442"/>
      <c r="J64" s="204"/>
      <c r="K64" s="204">
        <f t="shared" si="2"/>
        <v>0</v>
      </c>
      <c r="L64" s="238"/>
      <c r="M64" s="236" t="s">
        <v>946</v>
      </c>
      <c r="N64" s="2"/>
      <c r="O64" s="375"/>
      <c r="P64" s="375"/>
    </row>
    <row r="65" spans="8:16">
      <c r="H65" s="442"/>
      <c r="J65" s="204"/>
      <c r="K65" s="204">
        <f t="shared" si="2"/>
        <v>0</v>
      </c>
      <c r="L65" s="238"/>
      <c r="M65" s="236" t="s">
        <v>946</v>
      </c>
      <c r="N65" s="2"/>
      <c r="O65" s="375"/>
      <c r="P65" s="375"/>
    </row>
    <row r="66" spans="8:16">
      <c r="H66" s="442"/>
      <c r="J66" s="204"/>
      <c r="K66" s="204">
        <f t="shared" si="2"/>
        <v>0</v>
      </c>
      <c r="L66" s="238"/>
      <c r="M66" s="236" t="s">
        <v>946</v>
      </c>
      <c r="N66" s="2"/>
      <c r="O66" s="375"/>
      <c r="P66" s="375"/>
    </row>
    <row r="67" spans="8:16">
      <c r="H67" s="442"/>
      <c r="J67" s="204"/>
      <c r="K67" s="204">
        <f t="shared" si="2"/>
        <v>0</v>
      </c>
      <c r="L67" s="238"/>
      <c r="M67" s="236" t="s">
        <v>946</v>
      </c>
      <c r="N67" s="2"/>
      <c r="O67" s="375"/>
      <c r="P67" s="375"/>
    </row>
    <row r="68" spans="8:16">
      <c r="H68" s="442"/>
      <c r="J68" s="204"/>
      <c r="K68" s="204">
        <f t="shared" si="2"/>
        <v>0</v>
      </c>
      <c r="L68" s="238"/>
      <c r="M68" s="236" t="s">
        <v>946</v>
      </c>
      <c r="N68" s="2"/>
      <c r="O68" s="375"/>
      <c r="P68" s="375"/>
    </row>
    <row r="69" spans="8:16">
      <c r="H69" s="442"/>
      <c r="J69" s="204"/>
      <c r="K69" s="204">
        <f t="shared" si="2"/>
        <v>0</v>
      </c>
      <c r="L69" s="238"/>
      <c r="M69" s="236" t="s">
        <v>946</v>
      </c>
      <c r="N69" s="2"/>
      <c r="O69" s="375"/>
      <c r="P69" s="375"/>
    </row>
    <row r="70" spans="8:16">
      <c r="H70" s="442"/>
      <c r="J70" s="204"/>
      <c r="K70" s="204">
        <f t="shared" si="2"/>
        <v>0</v>
      </c>
      <c r="L70" s="238"/>
      <c r="M70" s="236" t="s">
        <v>946</v>
      </c>
      <c r="N70" s="2"/>
      <c r="O70" s="375"/>
      <c r="P70" s="375"/>
    </row>
    <row r="71" spans="8:16">
      <c r="H71" s="442"/>
      <c r="J71" s="204"/>
      <c r="K71" s="204">
        <f t="shared" si="2"/>
        <v>0</v>
      </c>
      <c r="L71" s="238"/>
      <c r="M71" s="236" t="s">
        <v>946</v>
      </c>
      <c r="N71" s="2"/>
      <c r="O71" s="375"/>
      <c r="P71" s="375"/>
    </row>
    <row r="72" spans="8:16">
      <c r="J72" s="204"/>
      <c r="K72" s="204">
        <f t="shared" si="2"/>
        <v>0</v>
      </c>
      <c r="L72" s="238"/>
      <c r="M72" s="236" t="s">
        <v>946</v>
      </c>
      <c r="N72" s="2"/>
      <c r="O72" s="375"/>
      <c r="P72" s="375"/>
    </row>
    <row r="73" spans="8:16">
      <c r="J73" s="204"/>
      <c r="K73" s="204">
        <f t="shared" si="2"/>
        <v>0</v>
      </c>
      <c r="L73" s="238"/>
      <c r="M73" s="236" t="s">
        <v>946</v>
      </c>
      <c r="N73" s="2"/>
      <c r="O73" s="375"/>
      <c r="P73" s="375"/>
    </row>
    <row r="74" spans="8:16">
      <c r="J74" s="204"/>
      <c r="K74" s="204">
        <f t="shared" si="2"/>
        <v>0</v>
      </c>
      <c r="L74" s="238"/>
      <c r="M74" s="236" t="s">
        <v>946</v>
      </c>
      <c r="N74" s="2"/>
      <c r="O74" s="375"/>
      <c r="P74" s="375"/>
    </row>
    <row r="75" spans="8:16">
      <c r="J75" s="204"/>
      <c r="K75" s="204">
        <f t="shared" si="2"/>
        <v>0</v>
      </c>
      <c r="L75" s="238"/>
      <c r="M75" s="236" t="s">
        <v>946</v>
      </c>
      <c r="N75" s="2"/>
      <c r="O75" s="375"/>
      <c r="P75" s="375"/>
    </row>
    <row r="76" spans="8:16">
      <c r="J76" s="204"/>
      <c r="K76" s="204">
        <f t="shared" si="2"/>
        <v>0</v>
      </c>
      <c r="L76" s="238"/>
      <c r="M76" s="236" t="s">
        <v>946</v>
      </c>
      <c r="N76" s="2"/>
      <c r="O76" s="375"/>
      <c r="P76" s="375"/>
    </row>
    <row r="77" spans="8:16">
      <c r="J77" s="204"/>
      <c r="K77" s="204">
        <f t="shared" si="2"/>
        <v>0</v>
      </c>
      <c r="L77" s="238"/>
      <c r="M77" s="236" t="s">
        <v>946</v>
      </c>
      <c r="N77" s="2"/>
      <c r="O77" s="375"/>
      <c r="P77" s="375"/>
    </row>
    <row r="78" spans="8:16">
      <c r="J78" s="204"/>
      <c r="K78" s="204">
        <f t="shared" si="2"/>
        <v>0</v>
      </c>
      <c r="L78" s="238"/>
      <c r="M78" s="236" t="s">
        <v>946</v>
      </c>
      <c r="N78" s="2"/>
      <c r="O78" s="375"/>
      <c r="P78" s="375"/>
    </row>
    <row r="79" spans="8:16">
      <c r="J79" s="204"/>
      <c r="K79" s="204">
        <f t="shared" si="2"/>
        <v>0</v>
      </c>
      <c r="L79" s="238"/>
      <c r="M79" s="236" t="s">
        <v>946</v>
      </c>
      <c r="N79" s="2"/>
      <c r="O79" s="375"/>
      <c r="P79" s="375"/>
    </row>
    <row r="80" spans="8:16">
      <c r="J80" s="204"/>
      <c r="K80" s="204">
        <f t="shared" si="2"/>
        <v>0</v>
      </c>
      <c r="L80" s="238"/>
      <c r="M80" s="236" t="s">
        <v>946</v>
      </c>
      <c r="N80" s="2"/>
      <c r="O80" s="375"/>
      <c r="P80" s="375"/>
    </row>
    <row r="81" spans="10:16">
      <c r="J81" s="204"/>
      <c r="K81" s="204">
        <f t="shared" si="2"/>
        <v>0</v>
      </c>
      <c r="L81" s="238"/>
      <c r="M81" s="236" t="s">
        <v>946</v>
      </c>
      <c r="N81" s="2"/>
      <c r="O81" s="375"/>
      <c r="P81" s="375"/>
    </row>
    <row r="82" spans="10:16">
      <c r="J82" s="204"/>
      <c r="K82" s="204">
        <f t="shared" si="2"/>
        <v>0</v>
      </c>
      <c r="L82" s="238"/>
      <c r="M82" s="236" t="s">
        <v>946</v>
      </c>
      <c r="N82" s="2"/>
      <c r="O82" s="375"/>
      <c r="P82" s="375"/>
    </row>
    <row r="83" spans="10:16">
      <c r="J83" s="204"/>
      <c r="K83" s="204">
        <f t="shared" si="2"/>
        <v>0</v>
      </c>
      <c r="L83" s="238"/>
      <c r="M83" s="236" t="s">
        <v>946</v>
      </c>
      <c r="N83" s="2"/>
      <c r="O83" s="375"/>
      <c r="P83" s="375"/>
    </row>
    <row r="84" spans="10:16">
      <c r="J84" s="204"/>
      <c r="K84" s="204">
        <f t="shared" si="2"/>
        <v>0</v>
      </c>
      <c r="L84" s="238"/>
      <c r="M84" s="236" t="s">
        <v>946</v>
      </c>
      <c r="N84" s="2"/>
      <c r="O84" s="375"/>
      <c r="P84" s="375"/>
    </row>
    <row r="85" spans="10:16">
      <c r="J85" s="204"/>
      <c r="K85" s="204">
        <f t="shared" si="2"/>
        <v>0</v>
      </c>
      <c r="L85" s="238"/>
      <c r="M85" s="236" t="s">
        <v>946</v>
      </c>
      <c r="N85" s="2"/>
      <c r="O85" s="375"/>
      <c r="P85" s="375"/>
    </row>
    <row r="86" spans="10:16">
      <c r="J86" s="204"/>
      <c r="K86" s="204">
        <f t="shared" si="2"/>
        <v>0</v>
      </c>
      <c r="L86" s="238"/>
      <c r="M86" s="236" t="s">
        <v>946</v>
      </c>
      <c r="N86" s="2"/>
      <c r="O86" s="375"/>
      <c r="P86" s="375"/>
    </row>
    <row r="87" spans="10:16">
      <c r="J87" s="204"/>
      <c r="K87" s="204">
        <f t="shared" si="2"/>
        <v>0</v>
      </c>
      <c r="L87" s="238"/>
      <c r="M87" s="236" t="s">
        <v>946</v>
      </c>
      <c r="N87" s="2"/>
      <c r="O87" s="375"/>
      <c r="P87" s="375"/>
    </row>
    <row r="88" spans="10:16">
      <c r="J88" s="204"/>
      <c r="K88" s="204">
        <f t="shared" ref="K88:K151" si="3">SUM(D88,E88,F88,I88)</f>
        <v>0</v>
      </c>
      <c r="L88" s="238"/>
      <c r="M88" s="236" t="s">
        <v>946</v>
      </c>
      <c r="N88" s="2"/>
      <c r="O88" s="375"/>
      <c r="P88" s="375"/>
    </row>
    <row r="89" spans="10:16">
      <c r="J89" s="204"/>
      <c r="K89" s="204">
        <f t="shared" si="3"/>
        <v>0</v>
      </c>
      <c r="L89" s="238"/>
      <c r="M89" s="236" t="s">
        <v>946</v>
      </c>
      <c r="N89" s="2"/>
      <c r="O89" s="375"/>
      <c r="P89" s="375"/>
    </row>
    <row r="90" spans="10:16">
      <c r="J90" s="204"/>
      <c r="K90" s="204">
        <f t="shared" si="3"/>
        <v>0</v>
      </c>
      <c r="L90" s="238"/>
      <c r="M90" s="236" t="s">
        <v>946</v>
      </c>
      <c r="N90" s="2"/>
      <c r="O90" s="375"/>
      <c r="P90" s="375"/>
    </row>
    <row r="91" spans="10:16">
      <c r="J91" s="204"/>
      <c r="K91" s="204">
        <f t="shared" si="3"/>
        <v>0</v>
      </c>
      <c r="L91" s="238"/>
      <c r="M91" s="236" t="s">
        <v>946</v>
      </c>
      <c r="N91" s="2"/>
      <c r="O91" s="375"/>
      <c r="P91" s="375"/>
    </row>
    <row r="92" spans="10:16">
      <c r="J92" s="204"/>
      <c r="K92" s="204">
        <f t="shared" si="3"/>
        <v>0</v>
      </c>
      <c r="L92" s="238"/>
      <c r="M92" s="236" t="s">
        <v>946</v>
      </c>
      <c r="N92" s="2"/>
      <c r="O92" s="375"/>
      <c r="P92" s="375"/>
    </row>
    <row r="93" spans="10:16">
      <c r="J93" s="204"/>
      <c r="K93" s="204">
        <f t="shared" si="3"/>
        <v>0</v>
      </c>
      <c r="L93" s="238"/>
      <c r="M93" s="236" t="s">
        <v>946</v>
      </c>
      <c r="N93" s="2"/>
      <c r="O93" s="375"/>
      <c r="P93" s="375"/>
    </row>
    <row r="94" spans="10:16">
      <c r="J94" s="204"/>
      <c r="K94" s="204">
        <f t="shared" si="3"/>
        <v>0</v>
      </c>
      <c r="L94" s="238"/>
      <c r="M94" s="236" t="s">
        <v>946</v>
      </c>
      <c r="N94" s="2"/>
      <c r="O94" s="375"/>
      <c r="P94" s="375"/>
    </row>
    <row r="95" spans="10:16">
      <c r="J95" s="204"/>
      <c r="K95" s="204">
        <f t="shared" si="3"/>
        <v>0</v>
      </c>
      <c r="L95" s="238"/>
      <c r="M95" s="236" t="s">
        <v>946</v>
      </c>
      <c r="N95" s="2"/>
      <c r="O95" s="375"/>
      <c r="P95" s="375"/>
    </row>
    <row r="96" spans="10:16">
      <c r="J96" s="204"/>
      <c r="K96" s="204">
        <f t="shared" si="3"/>
        <v>0</v>
      </c>
      <c r="L96" s="238"/>
      <c r="M96" s="236" t="s">
        <v>946</v>
      </c>
      <c r="N96" s="2"/>
      <c r="O96" s="375"/>
      <c r="P96" s="375"/>
    </row>
    <row r="97" spans="10:16">
      <c r="J97" s="204"/>
      <c r="K97" s="204">
        <f t="shared" si="3"/>
        <v>0</v>
      </c>
      <c r="L97" s="238"/>
      <c r="M97" s="236" t="s">
        <v>946</v>
      </c>
      <c r="N97" s="2"/>
      <c r="O97" s="375"/>
      <c r="P97" s="375"/>
    </row>
    <row r="98" spans="10:16">
      <c r="J98" s="204"/>
      <c r="K98" s="204">
        <f t="shared" si="3"/>
        <v>0</v>
      </c>
      <c r="L98" s="238"/>
      <c r="M98" s="236" t="s">
        <v>946</v>
      </c>
      <c r="N98" s="2"/>
      <c r="O98" s="375"/>
      <c r="P98" s="375"/>
    </row>
    <row r="99" spans="10:16">
      <c r="J99" s="204"/>
      <c r="K99" s="204">
        <f t="shared" si="3"/>
        <v>0</v>
      </c>
      <c r="L99" s="238"/>
      <c r="M99" s="236" t="s">
        <v>946</v>
      </c>
      <c r="N99" s="2"/>
      <c r="O99" s="375"/>
      <c r="P99" s="375"/>
    </row>
    <row r="100" spans="10:16">
      <c r="J100" s="204"/>
      <c r="K100" s="204">
        <f t="shared" si="3"/>
        <v>0</v>
      </c>
      <c r="L100" s="238"/>
      <c r="M100" s="236" t="s">
        <v>946</v>
      </c>
      <c r="N100" s="2"/>
      <c r="O100" s="375"/>
      <c r="P100" s="375"/>
    </row>
    <row r="101" spans="10:16">
      <c r="J101" s="204"/>
      <c r="K101" s="204">
        <f t="shared" si="3"/>
        <v>0</v>
      </c>
      <c r="L101" s="238"/>
      <c r="M101" s="236" t="s">
        <v>946</v>
      </c>
      <c r="N101" s="2"/>
      <c r="O101" s="375"/>
      <c r="P101" s="375"/>
    </row>
    <row r="102" spans="10:16">
      <c r="J102" s="204"/>
      <c r="K102" s="204">
        <f t="shared" si="3"/>
        <v>0</v>
      </c>
      <c r="L102" s="238"/>
      <c r="M102" s="236" t="s">
        <v>946</v>
      </c>
      <c r="N102" s="2"/>
      <c r="O102" s="375"/>
      <c r="P102" s="375"/>
    </row>
    <row r="103" spans="10:16">
      <c r="J103" s="204"/>
      <c r="K103" s="204">
        <f t="shared" si="3"/>
        <v>0</v>
      </c>
      <c r="L103" s="238"/>
      <c r="M103" s="236" t="s">
        <v>946</v>
      </c>
      <c r="N103" s="2"/>
      <c r="O103" s="375"/>
      <c r="P103" s="375"/>
    </row>
    <row r="104" spans="10:16">
      <c r="J104" s="204"/>
      <c r="K104" s="204">
        <f t="shared" si="3"/>
        <v>0</v>
      </c>
      <c r="L104" s="238"/>
      <c r="M104" s="236" t="s">
        <v>946</v>
      </c>
      <c r="N104" s="2"/>
      <c r="O104" s="375"/>
      <c r="P104" s="375"/>
    </row>
    <row r="105" spans="10:16">
      <c r="J105" s="204"/>
      <c r="K105" s="204">
        <f t="shared" si="3"/>
        <v>0</v>
      </c>
      <c r="L105" s="238"/>
      <c r="M105" s="236" t="s">
        <v>946</v>
      </c>
      <c r="N105" s="2"/>
      <c r="O105" s="375"/>
      <c r="P105" s="375"/>
    </row>
    <row r="106" spans="10:16">
      <c r="J106" s="204"/>
      <c r="K106" s="204">
        <f t="shared" si="3"/>
        <v>0</v>
      </c>
      <c r="L106" s="238"/>
      <c r="M106" s="236" t="s">
        <v>946</v>
      </c>
      <c r="N106" s="2"/>
      <c r="O106" s="375"/>
      <c r="P106" s="375"/>
    </row>
    <row r="107" spans="10:16">
      <c r="J107" s="204"/>
      <c r="K107" s="204">
        <f t="shared" si="3"/>
        <v>0</v>
      </c>
      <c r="L107" s="238"/>
      <c r="M107" s="236" t="s">
        <v>946</v>
      </c>
      <c r="N107" s="2"/>
      <c r="O107" s="375"/>
      <c r="P107" s="375"/>
    </row>
    <row r="108" spans="10:16">
      <c r="J108" s="204"/>
      <c r="K108" s="204">
        <f t="shared" si="3"/>
        <v>0</v>
      </c>
      <c r="L108" s="238"/>
      <c r="M108" s="236" t="s">
        <v>946</v>
      </c>
      <c r="N108" s="2"/>
      <c r="O108" s="375"/>
      <c r="P108" s="375"/>
    </row>
    <row r="109" spans="10:16">
      <c r="J109" s="204"/>
      <c r="K109" s="204">
        <f t="shared" si="3"/>
        <v>0</v>
      </c>
      <c r="L109" s="238"/>
      <c r="M109" s="236" t="s">
        <v>946</v>
      </c>
      <c r="N109" s="2"/>
      <c r="O109" s="375"/>
      <c r="P109" s="375"/>
    </row>
    <row r="110" spans="10:16">
      <c r="J110" s="204"/>
      <c r="K110" s="204">
        <f t="shared" si="3"/>
        <v>0</v>
      </c>
      <c r="L110" s="238"/>
      <c r="M110" s="236" t="s">
        <v>946</v>
      </c>
      <c r="N110" s="2"/>
      <c r="O110" s="375"/>
      <c r="P110" s="375"/>
    </row>
    <row r="111" spans="10:16">
      <c r="J111" s="204"/>
      <c r="K111" s="204">
        <f t="shared" si="3"/>
        <v>0</v>
      </c>
      <c r="L111" s="238"/>
      <c r="M111" s="236" t="s">
        <v>946</v>
      </c>
      <c r="N111" s="2"/>
      <c r="O111" s="375"/>
      <c r="P111" s="375"/>
    </row>
    <row r="112" spans="10:16">
      <c r="J112" s="204"/>
      <c r="K112" s="204">
        <f t="shared" si="3"/>
        <v>0</v>
      </c>
      <c r="L112" s="238"/>
      <c r="M112" s="236" t="s">
        <v>946</v>
      </c>
      <c r="N112" s="2"/>
      <c r="O112" s="375"/>
      <c r="P112" s="375"/>
    </row>
    <row r="113" spans="10:16">
      <c r="J113" s="204"/>
      <c r="K113" s="204">
        <f t="shared" si="3"/>
        <v>0</v>
      </c>
      <c r="L113" s="238"/>
      <c r="M113" s="236" t="s">
        <v>946</v>
      </c>
      <c r="N113" s="2"/>
      <c r="O113" s="375"/>
      <c r="P113" s="375"/>
    </row>
    <row r="114" spans="10:16">
      <c r="J114" s="204"/>
      <c r="K114" s="204">
        <f t="shared" si="3"/>
        <v>0</v>
      </c>
      <c r="L114" s="238"/>
      <c r="M114" s="236" t="s">
        <v>946</v>
      </c>
      <c r="N114" s="2"/>
      <c r="O114" s="375"/>
      <c r="P114" s="375"/>
    </row>
    <row r="115" spans="10:16">
      <c r="J115" s="204"/>
      <c r="K115" s="204">
        <f t="shared" si="3"/>
        <v>0</v>
      </c>
      <c r="L115" s="238"/>
      <c r="M115" s="236" t="s">
        <v>946</v>
      </c>
      <c r="N115" s="2"/>
      <c r="O115" s="375"/>
      <c r="P115" s="375"/>
    </row>
    <row r="116" spans="10:16">
      <c r="J116" s="204"/>
      <c r="K116" s="204">
        <f t="shared" si="3"/>
        <v>0</v>
      </c>
      <c r="L116" s="238"/>
      <c r="M116" s="236" t="s">
        <v>946</v>
      </c>
      <c r="N116" s="2"/>
      <c r="O116" s="375"/>
      <c r="P116" s="375"/>
    </row>
    <row r="117" spans="10:16">
      <c r="J117" s="204"/>
      <c r="K117" s="204">
        <f t="shared" si="3"/>
        <v>0</v>
      </c>
      <c r="L117" s="238"/>
      <c r="M117" s="236" t="s">
        <v>946</v>
      </c>
      <c r="N117" s="2"/>
      <c r="O117" s="375"/>
      <c r="P117" s="375"/>
    </row>
    <row r="118" spans="10:16">
      <c r="J118" s="204"/>
      <c r="K118" s="204">
        <f t="shared" si="3"/>
        <v>0</v>
      </c>
      <c r="L118" s="238"/>
      <c r="M118" s="236" t="s">
        <v>946</v>
      </c>
      <c r="N118" s="2"/>
      <c r="O118" s="375"/>
      <c r="P118" s="375"/>
    </row>
    <row r="119" spans="10:16">
      <c r="J119" s="204"/>
      <c r="K119" s="204">
        <f t="shared" si="3"/>
        <v>0</v>
      </c>
      <c r="L119" s="238"/>
      <c r="M119" s="236" t="s">
        <v>946</v>
      </c>
      <c r="N119" s="2"/>
      <c r="O119" s="375"/>
      <c r="P119" s="375"/>
    </row>
    <row r="120" spans="10:16">
      <c r="J120" s="204"/>
      <c r="K120" s="204">
        <f t="shared" si="3"/>
        <v>0</v>
      </c>
      <c r="L120" s="238"/>
      <c r="M120" s="236" t="s">
        <v>946</v>
      </c>
      <c r="N120" s="2"/>
      <c r="O120" s="375"/>
      <c r="P120" s="375"/>
    </row>
    <row r="121" spans="10:16">
      <c r="J121" s="204"/>
      <c r="K121" s="204">
        <f t="shared" si="3"/>
        <v>0</v>
      </c>
      <c r="L121" s="238"/>
      <c r="M121" s="236" t="s">
        <v>946</v>
      </c>
      <c r="N121" s="2"/>
      <c r="O121" s="375"/>
      <c r="P121" s="375"/>
    </row>
    <row r="122" spans="10:16">
      <c r="J122" s="204"/>
      <c r="K122" s="204">
        <f t="shared" si="3"/>
        <v>0</v>
      </c>
      <c r="L122" s="238"/>
      <c r="M122" s="236" t="s">
        <v>946</v>
      </c>
      <c r="N122" s="2"/>
      <c r="O122" s="375"/>
      <c r="P122" s="375"/>
    </row>
    <row r="123" spans="10:16">
      <c r="J123" s="204"/>
      <c r="K123" s="204">
        <f t="shared" si="3"/>
        <v>0</v>
      </c>
      <c r="L123" s="238"/>
      <c r="M123" s="236" t="s">
        <v>946</v>
      </c>
      <c r="N123" s="2"/>
      <c r="O123" s="375"/>
      <c r="P123" s="375"/>
    </row>
    <row r="124" spans="10:16">
      <c r="J124" s="204"/>
      <c r="K124" s="204">
        <f t="shared" si="3"/>
        <v>0</v>
      </c>
      <c r="L124" s="238"/>
      <c r="M124" s="236" t="s">
        <v>946</v>
      </c>
      <c r="N124" s="2"/>
      <c r="O124" s="375"/>
      <c r="P124" s="375"/>
    </row>
    <row r="125" spans="10:16">
      <c r="J125" s="204"/>
      <c r="K125" s="204">
        <f t="shared" si="3"/>
        <v>0</v>
      </c>
      <c r="L125" s="238"/>
      <c r="M125" s="236" t="s">
        <v>946</v>
      </c>
      <c r="N125" s="2"/>
      <c r="O125" s="375"/>
      <c r="P125" s="375"/>
    </row>
    <row r="126" spans="10:16">
      <c r="J126" s="204"/>
      <c r="K126" s="204">
        <f t="shared" si="3"/>
        <v>0</v>
      </c>
      <c r="L126" s="238"/>
      <c r="M126" s="236" t="s">
        <v>946</v>
      </c>
      <c r="N126" s="2"/>
      <c r="O126" s="375"/>
      <c r="P126" s="375"/>
    </row>
    <row r="127" spans="10:16">
      <c r="J127" s="204"/>
      <c r="K127" s="204">
        <f t="shared" si="3"/>
        <v>0</v>
      </c>
      <c r="L127" s="238"/>
      <c r="M127" s="236" t="s">
        <v>946</v>
      </c>
      <c r="N127" s="2"/>
      <c r="O127" s="375"/>
      <c r="P127" s="375"/>
    </row>
    <row r="128" spans="10:16">
      <c r="J128" s="204"/>
      <c r="K128" s="204">
        <f t="shared" si="3"/>
        <v>0</v>
      </c>
      <c r="L128" s="238"/>
      <c r="M128" s="236" t="s">
        <v>946</v>
      </c>
      <c r="N128" s="2"/>
      <c r="O128" s="375"/>
      <c r="P128" s="375"/>
    </row>
    <row r="129" spans="10:16">
      <c r="J129" s="204"/>
      <c r="K129" s="204">
        <f t="shared" si="3"/>
        <v>0</v>
      </c>
      <c r="L129" s="238"/>
      <c r="M129" s="236" t="s">
        <v>946</v>
      </c>
      <c r="N129" s="2"/>
      <c r="O129" s="375"/>
      <c r="P129" s="375"/>
    </row>
    <row r="130" spans="10:16">
      <c r="J130" s="204"/>
      <c r="K130" s="204">
        <f t="shared" si="3"/>
        <v>0</v>
      </c>
      <c r="L130" s="238"/>
      <c r="M130" s="236" t="s">
        <v>946</v>
      </c>
      <c r="N130" s="2"/>
      <c r="O130" s="375"/>
      <c r="P130" s="375"/>
    </row>
    <row r="131" spans="10:16">
      <c r="J131" s="204"/>
      <c r="K131" s="204">
        <f t="shared" si="3"/>
        <v>0</v>
      </c>
      <c r="L131" s="238"/>
      <c r="M131" s="236" t="s">
        <v>946</v>
      </c>
      <c r="N131" s="2"/>
      <c r="O131" s="375"/>
      <c r="P131" s="375"/>
    </row>
    <row r="132" spans="10:16">
      <c r="J132" s="204"/>
      <c r="K132" s="204">
        <f t="shared" si="3"/>
        <v>0</v>
      </c>
      <c r="L132" s="238"/>
      <c r="M132" s="236" t="s">
        <v>946</v>
      </c>
      <c r="N132" s="2"/>
      <c r="O132" s="375"/>
      <c r="P132" s="375"/>
    </row>
    <row r="133" spans="10:16">
      <c r="J133" s="204"/>
      <c r="K133" s="204">
        <f t="shared" si="3"/>
        <v>0</v>
      </c>
      <c r="L133" s="238"/>
      <c r="M133" s="236" t="s">
        <v>946</v>
      </c>
      <c r="N133" s="2"/>
      <c r="O133" s="375"/>
      <c r="P133" s="375"/>
    </row>
    <row r="134" spans="10:16">
      <c r="J134" s="204"/>
      <c r="K134" s="204">
        <f t="shared" si="3"/>
        <v>0</v>
      </c>
      <c r="L134" s="238"/>
      <c r="M134" s="236" t="s">
        <v>946</v>
      </c>
      <c r="N134" s="2"/>
      <c r="O134" s="375"/>
      <c r="P134" s="375"/>
    </row>
    <row r="135" spans="10:16">
      <c r="J135" s="204"/>
      <c r="K135" s="204">
        <f t="shared" si="3"/>
        <v>0</v>
      </c>
      <c r="L135" s="238"/>
      <c r="M135" s="236" t="s">
        <v>946</v>
      </c>
      <c r="N135" s="2"/>
      <c r="O135" s="375"/>
      <c r="P135" s="375"/>
    </row>
    <row r="136" spans="10:16">
      <c r="J136" s="204"/>
      <c r="K136" s="204">
        <f t="shared" si="3"/>
        <v>0</v>
      </c>
      <c r="L136" s="238"/>
      <c r="M136" s="236" t="s">
        <v>946</v>
      </c>
      <c r="N136" s="2"/>
      <c r="O136" s="375"/>
      <c r="P136" s="375"/>
    </row>
    <row r="137" spans="10:16">
      <c r="J137" s="204"/>
      <c r="K137" s="204">
        <f t="shared" si="3"/>
        <v>0</v>
      </c>
      <c r="L137" s="238"/>
      <c r="M137" s="236" t="s">
        <v>946</v>
      </c>
      <c r="N137" s="2"/>
      <c r="O137" s="375"/>
      <c r="P137" s="375"/>
    </row>
    <row r="138" spans="10:16">
      <c r="J138" s="204"/>
      <c r="K138" s="204">
        <f t="shared" si="3"/>
        <v>0</v>
      </c>
      <c r="L138" s="238"/>
      <c r="M138" s="236" t="s">
        <v>946</v>
      </c>
      <c r="N138" s="2"/>
      <c r="O138" s="375"/>
      <c r="P138" s="375"/>
    </row>
    <row r="139" spans="10:16">
      <c r="J139" s="204"/>
      <c r="K139" s="204">
        <f t="shared" si="3"/>
        <v>0</v>
      </c>
      <c r="L139" s="238"/>
      <c r="M139" s="236" t="s">
        <v>946</v>
      </c>
      <c r="N139" s="2"/>
      <c r="O139" s="375"/>
      <c r="P139" s="375"/>
    </row>
    <row r="140" spans="10:16">
      <c r="J140" s="204"/>
      <c r="K140" s="204">
        <f t="shared" si="3"/>
        <v>0</v>
      </c>
      <c r="L140" s="238"/>
      <c r="M140" s="236" t="s">
        <v>946</v>
      </c>
      <c r="N140" s="2"/>
      <c r="O140" s="375"/>
      <c r="P140" s="375"/>
    </row>
    <row r="141" spans="10:16">
      <c r="J141" s="204"/>
      <c r="K141" s="204">
        <f t="shared" si="3"/>
        <v>0</v>
      </c>
      <c r="L141" s="238"/>
      <c r="M141" s="236" t="s">
        <v>946</v>
      </c>
      <c r="N141" s="2"/>
      <c r="O141" s="375"/>
      <c r="P141" s="375"/>
    </row>
    <row r="142" spans="10:16">
      <c r="J142" s="204"/>
      <c r="K142" s="204">
        <f t="shared" si="3"/>
        <v>0</v>
      </c>
      <c r="L142" s="238"/>
      <c r="M142" s="236" t="s">
        <v>946</v>
      </c>
      <c r="N142" s="2"/>
      <c r="O142" s="375"/>
      <c r="P142" s="375"/>
    </row>
    <row r="143" spans="10:16">
      <c r="J143" s="204"/>
      <c r="K143" s="204">
        <f t="shared" si="3"/>
        <v>0</v>
      </c>
      <c r="L143" s="238"/>
      <c r="M143" s="236" t="s">
        <v>946</v>
      </c>
      <c r="N143" s="2"/>
      <c r="O143" s="375"/>
      <c r="P143" s="375"/>
    </row>
    <row r="144" spans="10:16">
      <c r="J144" s="204"/>
      <c r="K144" s="204">
        <f t="shared" si="3"/>
        <v>0</v>
      </c>
      <c r="L144" s="238"/>
      <c r="M144" s="236" t="s">
        <v>946</v>
      </c>
      <c r="N144" s="2"/>
      <c r="O144" s="375"/>
      <c r="P144" s="375"/>
    </row>
    <row r="145" spans="10:16">
      <c r="J145" s="204"/>
      <c r="K145" s="204">
        <f t="shared" si="3"/>
        <v>0</v>
      </c>
      <c r="L145" s="238"/>
      <c r="M145" s="236" t="s">
        <v>946</v>
      </c>
      <c r="N145" s="2"/>
      <c r="O145" s="375"/>
      <c r="P145" s="375"/>
    </row>
    <row r="146" spans="10:16">
      <c r="J146" s="204"/>
      <c r="K146" s="204">
        <f t="shared" si="3"/>
        <v>0</v>
      </c>
      <c r="L146" s="238"/>
      <c r="M146" s="236" t="s">
        <v>946</v>
      </c>
      <c r="N146" s="2"/>
      <c r="O146" s="375"/>
      <c r="P146" s="375"/>
    </row>
    <row r="147" spans="10:16">
      <c r="J147" s="204"/>
      <c r="K147" s="204">
        <f t="shared" si="3"/>
        <v>0</v>
      </c>
      <c r="L147" s="238"/>
      <c r="M147" s="236" t="s">
        <v>946</v>
      </c>
      <c r="N147" s="2"/>
      <c r="O147" s="375"/>
      <c r="P147" s="375"/>
    </row>
    <row r="148" spans="10:16">
      <c r="J148" s="204"/>
      <c r="K148" s="204">
        <f t="shared" si="3"/>
        <v>0</v>
      </c>
      <c r="L148" s="238"/>
      <c r="M148" s="236" t="s">
        <v>946</v>
      </c>
      <c r="N148" s="2"/>
      <c r="O148" s="375"/>
      <c r="P148" s="375"/>
    </row>
    <row r="149" spans="10:16">
      <c r="J149" s="204"/>
      <c r="K149" s="204">
        <f t="shared" si="3"/>
        <v>0</v>
      </c>
      <c r="L149" s="238"/>
      <c r="M149" s="236" t="s">
        <v>946</v>
      </c>
      <c r="N149" s="2"/>
      <c r="O149" s="375"/>
      <c r="P149" s="375"/>
    </row>
    <row r="150" spans="10:16">
      <c r="J150" s="204"/>
      <c r="K150" s="204">
        <f t="shared" si="3"/>
        <v>0</v>
      </c>
      <c r="L150" s="238"/>
      <c r="M150" s="236" t="s">
        <v>946</v>
      </c>
      <c r="N150" s="2"/>
      <c r="O150" s="375"/>
      <c r="P150" s="375"/>
    </row>
    <row r="151" spans="10:16">
      <c r="J151" s="204"/>
      <c r="K151" s="204">
        <f t="shared" si="3"/>
        <v>0</v>
      </c>
      <c r="L151" s="238"/>
      <c r="M151" s="236" t="s">
        <v>946</v>
      </c>
      <c r="N151" s="2"/>
      <c r="O151" s="375"/>
      <c r="P151" s="375"/>
    </row>
    <row r="152" spans="10:16">
      <c r="J152" s="204"/>
      <c r="K152" s="204">
        <f t="shared" ref="K152:K215" si="4">SUM(D152,E152,F152,I152)</f>
        <v>0</v>
      </c>
      <c r="L152" s="238"/>
      <c r="M152" s="236" t="s">
        <v>946</v>
      </c>
      <c r="N152" s="2"/>
      <c r="O152" s="375"/>
      <c r="P152" s="375"/>
    </row>
    <row r="153" spans="10:16">
      <c r="J153" s="204"/>
      <c r="K153" s="204">
        <f t="shared" si="4"/>
        <v>0</v>
      </c>
      <c r="L153" s="238"/>
      <c r="M153" s="236" t="s">
        <v>946</v>
      </c>
      <c r="N153" s="2"/>
      <c r="O153" s="375"/>
      <c r="P153" s="375"/>
    </row>
    <row r="154" spans="10:16">
      <c r="J154" s="204"/>
      <c r="K154" s="204">
        <f t="shared" si="4"/>
        <v>0</v>
      </c>
      <c r="L154" s="238"/>
      <c r="M154" s="236" t="s">
        <v>946</v>
      </c>
      <c r="N154" s="2"/>
      <c r="O154" s="375"/>
      <c r="P154" s="375"/>
    </row>
    <row r="155" spans="10:16">
      <c r="J155" s="204"/>
      <c r="K155" s="204">
        <f t="shared" si="4"/>
        <v>0</v>
      </c>
      <c r="L155" s="238"/>
      <c r="M155" s="236" t="s">
        <v>946</v>
      </c>
      <c r="N155" s="2"/>
      <c r="O155" s="375"/>
      <c r="P155" s="375"/>
    </row>
    <row r="156" spans="10:16">
      <c r="J156" s="204"/>
      <c r="K156" s="204">
        <f t="shared" si="4"/>
        <v>0</v>
      </c>
      <c r="L156" s="238"/>
      <c r="M156" s="236" t="s">
        <v>946</v>
      </c>
      <c r="N156" s="2"/>
      <c r="O156" s="375"/>
      <c r="P156" s="375"/>
    </row>
    <row r="157" spans="10:16">
      <c r="J157" s="204"/>
      <c r="K157" s="204">
        <f t="shared" si="4"/>
        <v>0</v>
      </c>
      <c r="L157" s="238"/>
      <c r="M157" s="236" t="s">
        <v>946</v>
      </c>
      <c r="N157" s="2"/>
      <c r="O157" s="375"/>
      <c r="P157" s="375"/>
    </row>
    <row r="158" spans="10:16">
      <c r="J158" s="204"/>
      <c r="K158" s="204">
        <f t="shared" si="4"/>
        <v>0</v>
      </c>
      <c r="L158" s="238"/>
      <c r="M158" s="236" t="s">
        <v>946</v>
      </c>
      <c r="N158" s="2"/>
      <c r="O158" s="375"/>
      <c r="P158" s="375"/>
    </row>
    <row r="159" spans="10:16">
      <c r="J159" s="204"/>
      <c r="K159" s="204">
        <f t="shared" si="4"/>
        <v>0</v>
      </c>
      <c r="L159" s="238"/>
      <c r="M159" s="236" t="s">
        <v>946</v>
      </c>
      <c r="N159" s="2"/>
      <c r="O159" s="375"/>
      <c r="P159" s="375"/>
    </row>
    <row r="160" spans="10:16">
      <c r="J160" s="204"/>
      <c r="K160" s="204">
        <f t="shared" si="4"/>
        <v>0</v>
      </c>
      <c r="L160" s="238"/>
      <c r="M160" s="236" t="s">
        <v>946</v>
      </c>
      <c r="N160" s="2"/>
      <c r="O160" s="375"/>
      <c r="P160" s="375"/>
    </row>
    <row r="161" spans="10:16">
      <c r="J161" s="204"/>
      <c r="K161" s="204">
        <f t="shared" si="4"/>
        <v>0</v>
      </c>
      <c r="L161" s="238"/>
      <c r="M161" s="236" t="s">
        <v>946</v>
      </c>
      <c r="N161" s="2"/>
      <c r="O161" s="375"/>
      <c r="P161" s="375"/>
    </row>
    <row r="162" spans="10:16">
      <c r="J162" s="204"/>
      <c r="K162" s="204">
        <f t="shared" si="4"/>
        <v>0</v>
      </c>
      <c r="L162" s="238"/>
      <c r="M162" s="236" t="s">
        <v>946</v>
      </c>
      <c r="N162" s="2"/>
      <c r="O162" s="375"/>
      <c r="P162" s="375"/>
    </row>
    <row r="163" spans="10:16">
      <c r="J163" s="204"/>
      <c r="K163" s="204">
        <f t="shared" si="4"/>
        <v>0</v>
      </c>
      <c r="L163" s="238"/>
      <c r="M163" s="236" t="s">
        <v>946</v>
      </c>
      <c r="N163" s="2"/>
      <c r="O163" s="375"/>
      <c r="P163" s="375"/>
    </row>
    <row r="164" spans="10:16">
      <c r="J164" s="204"/>
      <c r="K164" s="204">
        <f t="shared" si="4"/>
        <v>0</v>
      </c>
      <c r="L164" s="238"/>
      <c r="M164" s="236" t="s">
        <v>946</v>
      </c>
      <c r="N164" s="2"/>
      <c r="O164" s="375"/>
      <c r="P164" s="375"/>
    </row>
    <row r="165" spans="10:16">
      <c r="J165" s="204"/>
      <c r="K165" s="204">
        <f t="shared" si="4"/>
        <v>0</v>
      </c>
      <c r="L165" s="238"/>
      <c r="M165" s="236" t="s">
        <v>946</v>
      </c>
      <c r="N165" s="2"/>
      <c r="O165" s="375"/>
      <c r="P165" s="375"/>
    </row>
    <row r="166" spans="10:16">
      <c r="J166" s="204"/>
      <c r="K166" s="204">
        <f t="shared" si="4"/>
        <v>0</v>
      </c>
      <c r="L166" s="238"/>
      <c r="M166" s="236" t="s">
        <v>946</v>
      </c>
      <c r="N166" s="2"/>
      <c r="O166" s="375"/>
      <c r="P166" s="375"/>
    </row>
    <row r="167" spans="10:16">
      <c r="J167" s="204"/>
      <c r="K167" s="204">
        <f t="shared" si="4"/>
        <v>0</v>
      </c>
      <c r="L167" s="238"/>
      <c r="M167" s="236" t="s">
        <v>946</v>
      </c>
      <c r="N167" s="2"/>
      <c r="O167" s="375"/>
      <c r="P167" s="375"/>
    </row>
    <row r="168" spans="10:16">
      <c r="J168" s="204"/>
      <c r="K168" s="204">
        <f t="shared" si="4"/>
        <v>0</v>
      </c>
      <c r="L168" s="238"/>
      <c r="M168" s="236" t="s">
        <v>946</v>
      </c>
      <c r="N168" s="2"/>
      <c r="O168" s="375"/>
      <c r="P168" s="375"/>
    </row>
    <row r="169" spans="10:16">
      <c r="J169" s="204"/>
      <c r="K169" s="204">
        <f t="shared" si="4"/>
        <v>0</v>
      </c>
      <c r="L169" s="238"/>
      <c r="M169" s="236" t="s">
        <v>946</v>
      </c>
      <c r="N169" s="2"/>
      <c r="O169" s="375"/>
      <c r="P169" s="375"/>
    </row>
    <row r="170" spans="10:16">
      <c r="J170" s="204"/>
      <c r="K170" s="204">
        <f t="shared" si="4"/>
        <v>0</v>
      </c>
      <c r="L170" s="238"/>
      <c r="M170" s="236" t="s">
        <v>946</v>
      </c>
      <c r="N170" s="2"/>
      <c r="O170" s="375"/>
      <c r="P170" s="375"/>
    </row>
    <row r="171" spans="10:16">
      <c r="J171" s="204"/>
      <c r="K171" s="204">
        <f t="shared" si="4"/>
        <v>0</v>
      </c>
      <c r="L171" s="238"/>
      <c r="M171" s="236" t="s">
        <v>946</v>
      </c>
      <c r="N171" s="2"/>
      <c r="O171" s="375"/>
      <c r="P171" s="375"/>
    </row>
    <row r="172" spans="10:16">
      <c r="J172" s="204"/>
      <c r="K172" s="204">
        <f t="shared" si="4"/>
        <v>0</v>
      </c>
      <c r="L172" s="238"/>
      <c r="M172" s="236" t="s">
        <v>946</v>
      </c>
      <c r="N172" s="2"/>
      <c r="O172" s="375"/>
      <c r="P172" s="375"/>
    </row>
    <row r="173" spans="10:16">
      <c r="J173" s="204"/>
      <c r="K173" s="204">
        <f t="shared" si="4"/>
        <v>0</v>
      </c>
      <c r="L173" s="238"/>
      <c r="M173" s="236" t="s">
        <v>946</v>
      </c>
      <c r="N173" s="2"/>
      <c r="O173" s="375"/>
      <c r="P173" s="375"/>
    </row>
    <row r="174" spans="10:16">
      <c r="J174" s="204"/>
      <c r="K174" s="204">
        <f t="shared" si="4"/>
        <v>0</v>
      </c>
      <c r="L174" s="238"/>
      <c r="M174" s="236" t="s">
        <v>946</v>
      </c>
      <c r="N174" s="2"/>
      <c r="O174" s="375"/>
      <c r="P174" s="375"/>
    </row>
    <row r="175" spans="10:16">
      <c r="J175" s="204"/>
      <c r="K175" s="204">
        <f t="shared" si="4"/>
        <v>0</v>
      </c>
      <c r="L175" s="238"/>
      <c r="M175" s="236" t="s">
        <v>946</v>
      </c>
      <c r="N175" s="2"/>
      <c r="O175" s="375"/>
      <c r="P175" s="375"/>
    </row>
    <row r="176" spans="10:16">
      <c r="J176" s="204"/>
      <c r="K176" s="204">
        <f t="shared" si="4"/>
        <v>0</v>
      </c>
      <c r="L176" s="238"/>
      <c r="M176" s="236" t="s">
        <v>946</v>
      </c>
      <c r="N176" s="2"/>
      <c r="O176" s="375"/>
      <c r="P176" s="375"/>
    </row>
    <row r="177" spans="10:16">
      <c r="J177" s="204"/>
      <c r="K177" s="204">
        <f t="shared" si="4"/>
        <v>0</v>
      </c>
      <c r="L177" s="238"/>
      <c r="M177" s="236" t="s">
        <v>946</v>
      </c>
      <c r="N177" s="2"/>
      <c r="O177" s="375"/>
      <c r="P177" s="375"/>
    </row>
    <row r="178" spans="10:16">
      <c r="J178" s="204"/>
      <c r="K178" s="204">
        <f t="shared" si="4"/>
        <v>0</v>
      </c>
      <c r="L178" s="238"/>
      <c r="M178" s="236" t="s">
        <v>946</v>
      </c>
      <c r="N178" s="2"/>
      <c r="O178" s="375"/>
      <c r="P178" s="375"/>
    </row>
    <row r="179" spans="10:16">
      <c r="J179" s="204"/>
      <c r="K179" s="204">
        <f t="shared" si="4"/>
        <v>0</v>
      </c>
      <c r="L179" s="238"/>
      <c r="M179" s="236" t="s">
        <v>946</v>
      </c>
      <c r="N179" s="2"/>
      <c r="O179" s="375"/>
      <c r="P179" s="375"/>
    </row>
    <row r="180" spans="10:16">
      <c r="J180" s="204"/>
      <c r="K180" s="204">
        <f t="shared" si="4"/>
        <v>0</v>
      </c>
      <c r="L180" s="238"/>
      <c r="M180" s="236" t="s">
        <v>946</v>
      </c>
      <c r="N180" s="2"/>
      <c r="O180" s="375"/>
      <c r="P180" s="375"/>
    </row>
    <row r="181" spans="10:16">
      <c r="J181" s="204"/>
      <c r="K181" s="204">
        <f t="shared" si="4"/>
        <v>0</v>
      </c>
      <c r="L181" s="238"/>
      <c r="M181" s="236" t="s">
        <v>946</v>
      </c>
      <c r="N181" s="2"/>
      <c r="O181" s="375"/>
      <c r="P181" s="375"/>
    </row>
    <row r="182" spans="10:16">
      <c r="J182" s="204"/>
      <c r="K182" s="204">
        <f t="shared" si="4"/>
        <v>0</v>
      </c>
      <c r="L182" s="238"/>
      <c r="M182" s="236" t="s">
        <v>946</v>
      </c>
      <c r="N182" s="2"/>
      <c r="O182" s="375"/>
      <c r="P182" s="375"/>
    </row>
    <row r="183" spans="10:16">
      <c r="J183" s="204"/>
      <c r="K183" s="204">
        <f t="shared" si="4"/>
        <v>0</v>
      </c>
      <c r="L183" s="238"/>
      <c r="M183" s="236" t="s">
        <v>946</v>
      </c>
      <c r="N183" s="2"/>
      <c r="O183" s="375"/>
      <c r="P183" s="375"/>
    </row>
    <row r="184" spans="10:16">
      <c r="J184" s="204"/>
      <c r="K184" s="204">
        <f t="shared" si="4"/>
        <v>0</v>
      </c>
      <c r="L184" s="238"/>
      <c r="M184" s="236" t="s">
        <v>946</v>
      </c>
      <c r="N184" s="2"/>
      <c r="O184" s="375"/>
      <c r="P184" s="375"/>
    </row>
    <row r="185" spans="10:16">
      <c r="J185" s="204"/>
      <c r="K185" s="204">
        <f t="shared" si="4"/>
        <v>0</v>
      </c>
      <c r="L185" s="238"/>
      <c r="M185" s="236" t="s">
        <v>946</v>
      </c>
      <c r="N185" s="2"/>
      <c r="O185" s="375"/>
      <c r="P185" s="375"/>
    </row>
    <row r="186" spans="10:16">
      <c r="J186" s="204"/>
      <c r="K186" s="204">
        <f t="shared" si="4"/>
        <v>0</v>
      </c>
      <c r="L186" s="238"/>
      <c r="M186" s="236" t="s">
        <v>946</v>
      </c>
      <c r="N186" s="2"/>
      <c r="O186" s="375"/>
      <c r="P186" s="375"/>
    </row>
    <row r="187" spans="10:16">
      <c r="J187" s="204"/>
      <c r="K187" s="204">
        <f t="shared" si="4"/>
        <v>0</v>
      </c>
      <c r="L187" s="238"/>
      <c r="M187" s="236" t="s">
        <v>946</v>
      </c>
      <c r="N187" s="2"/>
      <c r="O187" s="375"/>
      <c r="P187" s="375"/>
    </row>
    <row r="188" spans="10:16">
      <c r="J188" s="204"/>
      <c r="K188" s="204">
        <f t="shared" si="4"/>
        <v>0</v>
      </c>
      <c r="L188" s="238"/>
      <c r="M188" s="236" t="s">
        <v>946</v>
      </c>
      <c r="N188" s="2"/>
      <c r="O188" s="375"/>
      <c r="P188" s="375"/>
    </row>
    <row r="189" spans="10:16">
      <c r="J189" s="204"/>
      <c r="K189" s="204">
        <f t="shared" si="4"/>
        <v>0</v>
      </c>
      <c r="L189" s="238"/>
      <c r="M189" s="236" t="s">
        <v>946</v>
      </c>
      <c r="N189" s="2"/>
      <c r="O189" s="375"/>
      <c r="P189" s="375"/>
    </row>
    <row r="190" spans="10:16">
      <c r="J190" s="204"/>
      <c r="K190" s="204">
        <f t="shared" si="4"/>
        <v>0</v>
      </c>
      <c r="L190" s="238"/>
      <c r="M190" s="236" t="s">
        <v>946</v>
      </c>
      <c r="N190" s="2"/>
      <c r="O190" s="375"/>
      <c r="P190" s="375"/>
    </row>
    <row r="191" spans="10:16">
      <c r="J191" s="204"/>
      <c r="K191" s="204">
        <f t="shared" si="4"/>
        <v>0</v>
      </c>
      <c r="L191" s="238"/>
      <c r="M191" s="236" t="s">
        <v>946</v>
      </c>
      <c r="N191" s="2"/>
      <c r="O191" s="375"/>
      <c r="P191" s="375"/>
    </row>
    <row r="192" spans="10:16">
      <c r="J192" s="204"/>
      <c r="K192" s="204">
        <f t="shared" si="4"/>
        <v>0</v>
      </c>
      <c r="L192" s="238"/>
      <c r="M192" s="236" t="s">
        <v>946</v>
      </c>
      <c r="N192" s="2"/>
      <c r="O192" s="375"/>
      <c r="P192" s="375"/>
    </row>
    <row r="193" spans="10:16">
      <c r="J193" s="204"/>
      <c r="K193" s="204">
        <f t="shared" si="4"/>
        <v>0</v>
      </c>
      <c r="L193" s="238"/>
      <c r="M193" s="236" t="s">
        <v>946</v>
      </c>
      <c r="N193" s="2"/>
      <c r="O193" s="375"/>
      <c r="P193" s="375"/>
    </row>
    <row r="194" spans="10:16">
      <c r="J194" s="204"/>
      <c r="K194" s="204">
        <f t="shared" si="4"/>
        <v>0</v>
      </c>
      <c r="L194" s="238"/>
      <c r="M194" s="236" t="s">
        <v>946</v>
      </c>
      <c r="N194" s="2"/>
      <c r="O194" s="375"/>
      <c r="P194" s="375"/>
    </row>
    <row r="195" spans="10:16">
      <c r="J195" s="204"/>
      <c r="K195" s="204">
        <f t="shared" si="4"/>
        <v>0</v>
      </c>
      <c r="L195" s="238"/>
      <c r="M195" s="236" t="s">
        <v>946</v>
      </c>
      <c r="N195" s="2"/>
      <c r="O195" s="375"/>
      <c r="P195" s="375"/>
    </row>
    <row r="196" spans="10:16">
      <c r="J196" s="204"/>
      <c r="K196" s="204">
        <f t="shared" si="4"/>
        <v>0</v>
      </c>
      <c r="L196" s="238"/>
      <c r="M196" s="236" t="s">
        <v>946</v>
      </c>
      <c r="N196" s="2"/>
      <c r="O196" s="375"/>
      <c r="P196" s="375"/>
    </row>
    <row r="197" spans="10:16">
      <c r="J197" s="204"/>
      <c r="K197" s="204">
        <f t="shared" si="4"/>
        <v>0</v>
      </c>
      <c r="L197" s="238"/>
      <c r="M197" s="236" t="s">
        <v>946</v>
      </c>
      <c r="N197" s="2"/>
      <c r="O197" s="375"/>
      <c r="P197" s="375"/>
    </row>
    <row r="198" spans="10:16">
      <c r="J198" s="204"/>
      <c r="K198" s="204">
        <f t="shared" si="4"/>
        <v>0</v>
      </c>
      <c r="L198" s="238"/>
      <c r="M198" s="236" t="s">
        <v>946</v>
      </c>
      <c r="N198" s="2"/>
      <c r="O198" s="375"/>
      <c r="P198" s="375"/>
    </row>
    <row r="199" spans="10:16">
      <c r="J199" s="204"/>
      <c r="K199" s="204">
        <f t="shared" si="4"/>
        <v>0</v>
      </c>
      <c r="L199" s="238"/>
      <c r="M199" s="236" t="s">
        <v>946</v>
      </c>
      <c r="N199" s="2"/>
      <c r="O199" s="375"/>
      <c r="P199" s="375"/>
    </row>
    <row r="200" spans="10:16">
      <c r="J200" s="204"/>
      <c r="K200" s="204">
        <f t="shared" si="4"/>
        <v>0</v>
      </c>
      <c r="L200" s="238"/>
      <c r="M200" s="236" t="s">
        <v>946</v>
      </c>
      <c r="N200" s="2"/>
      <c r="O200" s="375"/>
      <c r="P200" s="375"/>
    </row>
    <row r="201" spans="10:16">
      <c r="J201" s="204"/>
      <c r="K201" s="204">
        <f t="shared" si="4"/>
        <v>0</v>
      </c>
      <c r="L201" s="238"/>
      <c r="M201" s="236" t="s">
        <v>946</v>
      </c>
      <c r="N201" s="2"/>
      <c r="O201" s="375"/>
      <c r="P201" s="375"/>
    </row>
    <row r="202" spans="10:16">
      <c r="J202" s="204"/>
      <c r="K202" s="204">
        <f t="shared" si="4"/>
        <v>0</v>
      </c>
      <c r="L202" s="238"/>
      <c r="M202" s="236" t="s">
        <v>946</v>
      </c>
      <c r="N202" s="2"/>
      <c r="O202" s="375"/>
      <c r="P202" s="375"/>
    </row>
    <row r="203" spans="10:16">
      <c r="J203" s="204"/>
      <c r="K203" s="204">
        <f t="shared" si="4"/>
        <v>0</v>
      </c>
      <c r="L203" s="238"/>
      <c r="M203" s="236" t="s">
        <v>946</v>
      </c>
      <c r="N203" s="2"/>
      <c r="O203" s="375"/>
      <c r="P203" s="375"/>
    </row>
    <row r="204" spans="10:16">
      <c r="J204" s="204"/>
      <c r="K204" s="204">
        <f t="shared" si="4"/>
        <v>0</v>
      </c>
      <c r="L204" s="238"/>
      <c r="M204" s="236" t="s">
        <v>946</v>
      </c>
      <c r="N204" s="2"/>
      <c r="O204" s="375"/>
      <c r="P204" s="375"/>
    </row>
    <row r="205" spans="10:16">
      <c r="J205" s="204"/>
      <c r="K205" s="204">
        <f t="shared" si="4"/>
        <v>0</v>
      </c>
      <c r="L205" s="238"/>
      <c r="M205" s="236" t="s">
        <v>946</v>
      </c>
      <c r="N205" s="2"/>
      <c r="O205" s="375"/>
      <c r="P205" s="375"/>
    </row>
    <row r="206" spans="10:16">
      <c r="J206" s="204"/>
      <c r="K206" s="204">
        <f t="shared" si="4"/>
        <v>0</v>
      </c>
      <c r="L206" s="238"/>
      <c r="M206" s="236" t="s">
        <v>946</v>
      </c>
      <c r="N206" s="2"/>
      <c r="O206" s="375"/>
      <c r="P206" s="375"/>
    </row>
    <row r="207" spans="10:16">
      <c r="J207" s="204"/>
      <c r="K207" s="204">
        <f t="shared" si="4"/>
        <v>0</v>
      </c>
      <c r="L207" s="238"/>
      <c r="M207" s="236" t="s">
        <v>946</v>
      </c>
      <c r="N207" s="2"/>
      <c r="O207" s="375"/>
      <c r="P207" s="375"/>
    </row>
    <row r="208" spans="10:16">
      <c r="J208" s="204"/>
      <c r="K208" s="204">
        <f t="shared" si="4"/>
        <v>0</v>
      </c>
      <c r="L208" s="238"/>
      <c r="M208" s="236" t="s">
        <v>946</v>
      </c>
      <c r="N208" s="2"/>
      <c r="O208" s="375"/>
      <c r="P208" s="375"/>
    </row>
    <row r="209" spans="10:16">
      <c r="J209" s="204"/>
      <c r="K209" s="204">
        <f t="shared" si="4"/>
        <v>0</v>
      </c>
      <c r="L209" s="238"/>
      <c r="M209" s="236" t="s">
        <v>946</v>
      </c>
      <c r="N209" s="2"/>
      <c r="O209" s="375"/>
      <c r="P209" s="375"/>
    </row>
    <row r="210" spans="10:16">
      <c r="J210" s="204"/>
      <c r="K210" s="204">
        <f t="shared" si="4"/>
        <v>0</v>
      </c>
      <c r="L210" s="238"/>
      <c r="M210" s="236" t="s">
        <v>946</v>
      </c>
      <c r="N210" s="2"/>
      <c r="O210" s="375"/>
      <c r="P210" s="375"/>
    </row>
    <row r="211" spans="10:16">
      <c r="J211" s="204"/>
      <c r="K211" s="204">
        <f t="shared" si="4"/>
        <v>0</v>
      </c>
      <c r="L211" s="238"/>
      <c r="M211" s="236" t="s">
        <v>946</v>
      </c>
      <c r="N211" s="2"/>
      <c r="O211" s="375"/>
      <c r="P211" s="375"/>
    </row>
    <row r="212" spans="10:16">
      <c r="J212" s="204"/>
      <c r="K212" s="204">
        <f t="shared" si="4"/>
        <v>0</v>
      </c>
      <c r="L212" s="238"/>
      <c r="M212" s="236" t="s">
        <v>946</v>
      </c>
      <c r="N212" s="2"/>
      <c r="O212" s="375"/>
      <c r="P212" s="375"/>
    </row>
    <row r="213" spans="10:16">
      <c r="J213" s="204"/>
      <c r="K213" s="204">
        <f t="shared" si="4"/>
        <v>0</v>
      </c>
      <c r="L213" s="238"/>
      <c r="M213" s="236" t="s">
        <v>946</v>
      </c>
      <c r="N213" s="2"/>
      <c r="O213" s="375"/>
      <c r="P213" s="375"/>
    </row>
    <row r="214" spans="10:16">
      <c r="J214" s="204"/>
      <c r="K214" s="204">
        <f t="shared" si="4"/>
        <v>0</v>
      </c>
      <c r="L214" s="238"/>
      <c r="M214" s="236" t="s">
        <v>946</v>
      </c>
      <c r="N214" s="2"/>
      <c r="O214" s="375"/>
      <c r="P214" s="375"/>
    </row>
    <row r="215" spans="10:16">
      <c r="J215" s="204"/>
      <c r="K215" s="204">
        <f t="shared" si="4"/>
        <v>0</v>
      </c>
      <c r="L215" s="238"/>
      <c r="M215" s="236" t="s">
        <v>946</v>
      </c>
      <c r="N215" s="2"/>
      <c r="O215" s="375"/>
      <c r="P215" s="375"/>
    </row>
    <row r="216" spans="10:16">
      <c r="J216" s="204"/>
      <c r="K216" s="204">
        <f t="shared" ref="K216:K279" si="5">SUM(D216,E216,F216,I216)</f>
        <v>0</v>
      </c>
      <c r="L216" s="238"/>
      <c r="M216" s="236" t="s">
        <v>946</v>
      </c>
      <c r="N216" s="2"/>
      <c r="O216" s="375"/>
      <c r="P216" s="375"/>
    </row>
    <row r="217" spans="10:16">
      <c r="J217" s="204"/>
      <c r="K217" s="204">
        <f t="shared" si="5"/>
        <v>0</v>
      </c>
      <c r="L217" s="238"/>
      <c r="M217" s="236" t="s">
        <v>946</v>
      </c>
      <c r="N217" s="2"/>
      <c r="O217" s="375"/>
      <c r="P217" s="375"/>
    </row>
    <row r="218" spans="10:16">
      <c r="J218" s="204"/>
      <c r="K218" s="204">
        <f t="shared" si="5"/>
        <v>0</v>
      </c>
      <c r="L218" s="238"/>
      <c r="M218" s="236" t="s">
        <v>946</v>
      </c>
      <c r="N218" s="2"/>
      <c r="O218" s="375"/>
      <c r="P218" s="375"/>
    </row>
    <row r="219" spans="10:16">
      <c r="J219" s="204"/>
      <c r="K219" s="204">
        <f t="shared" si="5"/>
        <v>0</v>
      </c>
      <c r="L219" s="238"/>
      <c r="M219" s="236" t="s">
        <v>946</v>
      </c>
      <c r="N219" s="2"/>
      <c r="O219" s="375"/>
      <c r="P219" s="375"/>
    </row>
    <row r="220" spans="10:16">
      <c r="J220" s="204"/>
      <c r="K220" s="204">
        <f t="shared" si="5"/>
        <v>0</v>
      </c>
      <c r="L220" s="238"/>
      <c r="M220" s="236" t="s">
        <v>946</v>
      </c>
      <c r="N220" s="2"/>
      <c r="O220" s="375"/>
      <c r="P220" s="375"/>
    </row>
    <row r="221" spans="10:16">
      <c r="J221" s="204"/>
      <c r="K221" s="204">
        <f t="shared" si="5"/>
        <v>0</v>
      </c>
      <c r="L221" s="238"/>
      <c r="M221" s="236" t="s">
        <v>946</v>
      </c>
      <c r="N221" s="2"/>
      <c r="O221" s="375"/>
      <c r="P221" s="375"/>
    </row>
    <row r="222" spans="10:16">
      <c r="J222" s="204"/>
      <c r="K222" s="204">
        <f t="shared" si="5"/>
        <v>0</v>
      </c>
      <c r="L222" s="238"/>
      <c r="M222" s="236" t="s">
        <v>946</v>
      </c>
      <c r="N222" s="2"/>
      <c r="O222" s="375"/>
      <c r="P222" s="375"/>
    </row>
    <row r="223" spans="10:16">
      <c r="J223" s="204"/>
      <c r="K223" s="204">
        <f t="shared" si="5"/>
        <v>0</v>
      </c>
      <c r="L223" s="238"/>
      <c r="M223" s="236" t="s">
        <v>946</v>
      </c>
      <c r="N223" s="2"/>
      <c r="O223" s="375"/>
      <c r="P223" s="375"/>
    </row>
    <row r="224" spans="10:16">
      <c r="J224" s="204"/>
      <c r="K224" s="204">
        <f t="shared" si="5"/>
        <v>0</v>
      </c>
      <c r="L224" s="238"/>
      <c r="M224" s="236" t="s">
        <v>946</v>
      </c>
      <c r="N224" s="2"/>
      <c r="O224" s="375"/>
      <c r="P224" s="375"/>
    </row>
    <row r="225" spans="10:16">
      <c r="J225" s="204"/>
      <c r="K225" s="204">
        <f t="shared" si="5"/>
        <v>0</v>
      </c>
      <c r="L225" s="238"/>
      <c r="M225" s="236" t="s">
        <v>946</v>
      </c>
      <c r="N225" s="2"/>
      <c r="O225" s="375"/>
      <c r="P225" s="375"/>
    </row>
    <row r="226" spans="10:16">
      <c r="J226" s="204"/>
      <c r="K226" s="204">
        <f t="shared" si="5"/>
        <v>0</v>
      </c>
      <c r="L226" s="238"/>
      <c r="M226" s="236" t="s">
        <v>946</v>
      </c>
      <c r="N226" s="2"/>
      <c r="O226" s="375"/>
      <c r="P226" s="375"/>
    </row>
    <row r="227" spans="10:16">
      <c r="J227" s="204"/>
      <c r="K227" s="204">
        <f t="shared" si="5"/>
        <v>0</v>
      </c>
      <c r="L227" s="238"/>
      <c r="M227" s="236" t="s">
        <v>946</v>
      </c>
      <c r="N227" s="2"/>
      <c r="O227" s="375"/>
      <c r="P227" s="375"/>
    </row>
    <row r="228" spans="10:16">
      <c r="J228" s="204"/>
      <c r="K228" s="204">
        <f t="shared" si="5"/>
        <v>0</v>
      </c>
      <c r="L228" s="238"/>
      <c r="M228" s="236" t="s">
        <v>946</v>
      </c>
      <c r="N228" s="2"/>
      <c r="O228" s="375"/>
      <c r="P228" s="375"/>
    </row>
    <row r="229" spans="10:16">
      <c r="J229" s="204"/>
      <c r="K229" s="204">
        <f t="shared" si="5"/>
        <v>0</v>
      </c>
      <c r="L229" s="238"/>
      <c r="M229" s="236" t="s">
        <v>946</v>
      </c>
      <c r="N229" s="2"/>
      <c r="O229" s="375"/>
      <c r="P229" s="375"/>
    </row>
    <row r="230" spans="10:16">
      <c r="J230" s="204"/>
      <c r="K230" s="204">
        <f t="shared" si="5"/>
        <v>0</v>
      </c>
      <c r="L230" s="238"/>
      <c r="M230" s="236" t="s">
        <v>946</v>
      </c>
      <c r="N230" s="2"/>
      <c r="O230" s="375"/>
      <c r="P230" s="375"/>
    </row>
    <row r="231" spans="10:16">
      <c r="J231" s="204"/>
      <c r="K231" s="204">
        <f t="shared" si="5"/>
        <v>0</v>
      </c>
      <c r="L231" s="238"/>
      <c r="M231" s="236" t="s">
        <v>946</v>
      </c>
      <c r="N231" s="2"/>
      <c r="O231" s="375"/>
      <c r="P231" s="375"/>
    </row>
    <row r="232" spans="10:16">
      <c r="J232" s="204"/>
      <c r="K232" s="204">
        <f t="shared" si="5"/>
        <v>0</v>
      </c>
      <c r="L232" s="238"/>
      <c r="M232" s="236" t="s">
        <v>946</v>
      </c>
      <c r="N232" s="2"/>
      <c r="O232" s="375"/>
      <c r="P232" s="375"/>
    </row>
    <row r="233" spans="10:16">
      <c r="J233" s="204"/>
      <c r="K233" s="204">
        <f t="shared" si="5"/>
        <v>0</v>
      </c>
      <c r="L233" s="238"/>
      <c r="M233" s="236" t="s">
        <v>946</v>
      </c>
      <c r="N233" s="2"/>
      <c r="O233" s="375"/>
      <c r="P233" s="375"/>
    </row>
    <row r="234" spans="10:16">
      <c r="J234" s="204"/>
      <c r="K234" s="204">
        <f t="shared" si="5"/>
        <v>0</v>
      </c>
      <c r="L234" s="238"/>
      <c r="M234" s="236" t="s">
        <v>946</v>
      </c>
      <c r="N234" s="2"/>
      <c r="O234" s="375"/>
      <c r="P234" s="375"/>
    </row>
    <row r="235" spans="10:16">
      <c r="J235" s="204"/>
      <c r="K235" s="204">
        <f t="shared" si="5"/>
        <v>0</v>
      </c>
      <c r="L235" s="238"/>
      <c r="M235" s="236" t="s">
        <v>946</v>
      </c>
      <c r="N235" s="2"/>
      <c r="O235" s="375"/>
      <c r="P235" s="375"/>
    </row>
    <row r="236" spans="10:16">
      <c r="J236" s="204"/>
      <c r="K236" s="204">
        <f t="shared" si="5"/>
        <v>0</v>
      </c>
      <c r="L236" s="238"/>
      <c r="M236" s="236" t="s">
        <v>946</v>
      </c>
      <c r="N236" s="2"/>
      <c r="O236" s="375"/>
      <c r="P236" s="375"/>
    </row>
    <row r="237" spans="10:16">
      <c r="J237" s="204"/>
      <c r="K237" s="204">
        <f t="shared" si="5"/>
        <v>0</v>
      </c>
      <c r="L237" s="238"/>
      <c r="M237" s="236" t="s">
        <v>946</v>
      </c>
      <c r="N237" s="2"/>
      <c r="O237" s="375"/>
      <c r="P237" s="375"/>
    </row>
    <row r="238" spans="10:16">
      <c r="J238" s="204"/>
      <c r="K238" s="204">
        <f t="shared" si="5"/>
        <v>0</v>
      </c>
      <c r="L238" s="238"/>
      <c r="M238" s="236" t="s">
        <v>946</v>
      </c>
      <c r="N238" s="2"/>
      <c r="O238" s="375"/>
      <c r="P238" s="375"/>
    </row>
    <row r="239" spans="10:16">
      <c r="J239" s="204"/>
      <c r="K239" s="204">
        <f t="shared" si="5"/>
        <v>0</v>
      </c>
      <c r="L239" s="238"/>
      <c r="M239" s="236" t="s">
        <v>946</v>
      </c>
      <c r="N239" s="2"/>
      <c r="O239" s="375"/>
      <c r="P239" s="375"/>
    </row>
    <row r="240" spans="10:16">
      <c r="J240" s="204"/>
      <c r="K240" s="204">
        <f t="shared" si="5"/>
        <v>0</v>
      </c>
      <c r="L240" s="238"/>
      <c r="M240" s="236" t="s">
        <v>946</v>
      </c>
      <c r="N240" s="2"/>
      <c r="O240" s="375"/>
      <c r="P240" s="375"/>
    </row>
    <row r="241" spans="10:16">
      <c r="J241" s="204"/>
      <c r="K241" s="204">
        <f t="shared" si="5"/>
        <v>0</v>
      </c>
      <c r="L241" s="238"/>
      <c r="M241" s="236" t="s">
        <v>946</v>
      </c>
      <c r="N241" s="2"/>
      <c r="O241" s="375"/>
      <c r="P241" s="375"/>
    </row>
    <row r="242" spans="10:16">
      <c r="J242" s="204"/>
      <c r="K242" s="204">
        <f t="shared" si="5"/>
        <v>0</v>
      </c>
      <c r="L242" s="238"/>
      <c r="M242" s="236" t="s">
        <v>946</v>
      </c>
      <c r="N242" s="2"/>
      <c r="O242" s="375"/>
      <c r="P242" s="375"/>
    </row>
    <row r="243" spans="10:16">
      <c r="J243" s="204"/>
      <c r="K243" s="204">
        <f t="shared" si="5"/>
        <v>0</v>
      </c>
      <c r="L243" s="238"/>
      <c r="M243" s="236" t="s">
        <v>946</v>
      </c>
      <c r="N243" s="2"/>
      <c r="O243" s="375"/>
      <c r="P243" s="375"/>
    </row>
    <row r="244" spans="10:16">
      <c r="J244" s="204"/>
      <c r="K244" s="204">
        <f t="shared" si="5"/>
        <v>0</v>
      </c>
      <c r="L244" s="238"/>
      <c r="M244" s="236" t="s">
        <v>946</v>
      </c>
      <c r="N244" s="2"/>
      <c r="O244" s="375"/>
      <c r="P244" s="375"/>
    </row>
    <row r="245" spans="10:16">
      <c r="J245" s="204"/>
      <c r="K245" s="204">
        <f t="shared" si="5"/>
        <v>0</v>
      </c>
      <c r="L245" s="238"/>
      <c r="M245" s="236" t="s">
        <v>946</v>
      </c>
      <c r="N245" s="2"/>
      <c r="O245" s="375"/>
      <c r="P245" s="375"/>
    </row>
    <row r="246" spans="10:16">
      <c r="J246" s="204"/>
      <c r="K246" s="204">
        <f t="shared" si="5"/>
        <v>0</v>
      </c>
      <c r="L246" s="238"/>
      <c r="M246" s="236" t="s">
        <v>946</v>
      </c>
      <c r="N246" s="2"/>
      <c r="O246" s="375"/>
      <c r="P246" s="375"/>
    </row>
    <row r="247" spans="10:16">
      <c r="J247" s="204"/>
      <c r="K247" s="204">
        <f t="shared" si="5"/>
        <v>0</v>
      </c>
      <c r="L247" s="238"/>
      <c r="M247" s="236" t="s">
        <v>946</v>
      </c>
      <c r="N247" s="2"/>
      <c r="O247" s="375"/>
      <c r="P247" s="375"/>
    </row>
    <row r="248" spans="10:16">
      <c r="J248" s="204"/>
      <c r="K248" s="204">
        <f t="shared" si="5"/>
        <v>0</v>
      </c>
      <c r="L248" s="238"/>
      <c r="M248" s="236" t="s">
        <v>946</v>
      </c>
      <c r="N248" s="2"/>
      <c r="O248" s="375"/>
      <c r="P248" s="375"/>
    </row>
    <row r="249" spans="10:16">
      <c r="J249" s="204"/>
      <c r="K249" s="204">
        <f t="shared" si="5"/>
        <v>0</v>
      </c>
      <c r="L249" s="238"/>
      <c r="M249" s="236" t="s">
        <v>946</v>
      </c>
      <c r="N249" s="2"/>
      <c r="O249" s="375"/>
      <c r="P249" s="375"/>
    </row>
    <row r="250" spans="10:16">
      <c r="J250" s="204"/>
      <c r="K250" s="204">
        <f t="shared" si="5"/>
        <v>0</v>
      </c>
      <c r="L250" s="238"/>
      <c r="M250" s="236" t="s">
        <v>946</v>
      </c>
      <c r="N250" s="2"/>
      <c r="O250" s="375"/>
      <c r="P250" s="375"/>
    </row>
    <row r="251" spans="10:16">
      <c r="J251" s="204"/>
      <c r="K251" s="204">
        <f t="shared" si="5"/>
        <v>0</v>
      </c>
      <c r="L251" s="238"/>
      <c r="M251" s="236" t="s">
        <v>946</v>
      </c>
      <c r="N251" s="2"/>
      <c r="O251" s="375"/>
      <c r="P251" s="375"/>
    </row>
    <row r="252" spans="10:16">
      <c r="J252" s="204"/>
      <c r="K252" s="204">
        <f t="shared" si="5"/>
        <v>0</v>
      </c>
      <c r="L252" s="238"/>
      <c r="M252" s="236" t="s">
        <v>946</v>
      </c>
      <c r="N252" s="2"/>
      <c r="O252" s="375"/>
      <c r="P252" s="375"/>
    </row>
    <row r="253" spans="10:16">
      <c r="J253" s="204"/>
      <c r="K253" s="204">
        <f t="shared" si="5"/>
        <v>0</v>
      </c>
      <c r="L253" s="238"/>
      <c r="M253" s="236" t="s">
        <v>946</v>
      </c>
      <c r="N253" s="2"/>
      <c r="O253" s="375"/>
      <c r="P253" s="375"/>
    </row>
    <row r="254" spans="10:16">
      <c r="J254" s="204"/>
      <c r="K254" s="204">
        <f t="shared" si="5"/>
        <v>0</v>
      </c>
      <c r="L254" s="238"/>
      <c r="M254" s="236" t="s">
        <v>946</v>
      </c>
      <c r="N254" s="2"/>
      <c r="O254" s="375"/>
      <c r="P254" s="375"/>
    </row>
    <row r="255" spans="10:16">
      <c r="J255" s="204"/>
      <c r="K255" s="204">
        <f t="shared" si="5"/>
        <v>0</v>
      </c>
      <c r="L255" s="238"/>
      <c r="M255" s="236" t="s">
        <v>946</v>
      </c>
      <c r="N255" s="2"/>
      <c r="O255" s="375"/>
      <c r="P255" s="375"/>
    </row>
    <row r="256" spans="10:16">
      <c r="J256" s="204"/>
      <c r="K256" s="204">
        <f t="shared" si="5"/>
        <v>0</v>
      </c>
      <c r="L256" s="238"/>
      <c r="M256" s="236" t="s">
        <v>946</v>
      </c>
      <c r="N256" s="2"/>
      <c r="O256" s="375"/>
      <c r="P256" s="375"/>
    </row>
    <row r="257" spans="10:16">
      <c r="J257" s="204"/>
      <c r="K257" s="204">
        <f t="shared" si="5"/>
        <v>0</v>
      </c>
      <c r="L257" s="238"/>
      <c r="M257" s="236" t="s">
        <v>946</v>
      </c>
      <c r="N257" s="2"/>
      <c r="O257" s="375"/>
      <c r="P257" s="375"/>
    </row>
    <row r="258" spans="10:16">
      <c r="J258" s="204"/>
      <c r="K258" s="204">
        <f t="shared" si="5"/>
        <v>0</v>
      </c>
      <c r="L258" s="238"/>
      <c r="M258" s="236" t="s">
        <v>946</v>
      </c>
      <c r="N258" s="2"/>
      <c r="O258" s="375"/>
      <c r="P258" s="375"/>
    </row>
    <row r="259" spans="10:16">
      <c r="J259" s="204"/>
      <c r="K259" s="204">
        <f t="shared" si="5"/>
        <v>0</v>
      </c>
      <c r="L259" s="238"/>
      <c r="M259" s="236" t="s">
        <v>946</v>
      </c>
      <c r="N259" s="2"/>
      <c r="O259" s="375"/>
      <c r="P259" s="375"/>
    </row>
    <row r="260" spans="10:16">
      <c r="J260" s="204"/>
      <c r="K260" s="204">
        <f t="shared" si="5"/>
        <v>0</v>
      </c>
      <c r="L260" s="238"/>
      <c r="M260" s="236" t="s">
        <v>946</v>
      </c>
      <c r="N260" s="2"/>
      <c r="O260" s="375"/>
      <c r="P260" s="375"/>
    </row>
    <row r="261" spans="10:16">
      <c r="J261" s="204"/>
      <c r="K261" s="204">
        <f t="shared" si="5"/>
        <v>0</v>
      </c>
      <c r="L261" s="238"/>
      <c r="M261" s="236" t="s">
        <v>946</v>
      </c>
      <c r="N261" s="2"/>
      <c r="O261" s="375"/>
      <c r="P261" s="375"/>
    </row>
    <row r="262" spans="10:16">
      <c r="J262" s="204"/>
      <c r="K262" s="204">
        <f t="shared" si="5"/>
        <v>0</v>
      </c>
      <c r="L262" s="238"/>
      <c r="M262" s="236" t="s">
        <v>946</v>
      </c>
      <c r="N262" s="2"/>
      <c r="O262" s="375"/>
      <c r="P262" s="375"/>
    </row>
    <row r="263" spans="10:16">
      <c r="J263" s="204"/>
      <c r="K263" s="204">
        <f t="shared" si="5"/>
        <v>0</v>
      </c>
      <c r="L263" s="238"/>
      <c r="M263" s="236" t="s">
        <v>946</v>
      </c>
      <c r="N263" s="2"/>
      <c r="O263" s="375"/>
      <c r="P263" s="375"/>
    </row>
    <row r="264" spans="10:16">
      <c r="J264" s="204"/>
      <c r="K264" s="204">
        <f t="shared" si="5"/>
        <v>0</v>
      </c>
      <c r="L264" s="238"/>
      <c r="M264" s="236" t="s">
        <v>946</v>
      </c>
      <c r="N264" s="2"/>
      <c r="O264" s="375"/>
      <c r="P264" s="375"/>
    </row>
    <row r="265" spans="10:16">
      <c r="J265" s="204"/>
      <c r="K265" s="204">
        <f t="shared" si="5"/>
        <v>0</v>
      </c>
      <c r="L265" s="238"/>
      <c r="M265" s="236" t="s">
        <v>946</v>
      </c>
      <c r="N265" s="2"/>
      <c r="O265" s="375"/>
      <c r="P265" s="375"/>
    </row>
    <row r="266" spans="10:16">
      <c r="J266" s="204"/>
      <c r="K266" s="204">
        <f t="shared" si="5"/>
        <v>0</v>
      </c>
      <c r="L266" s="238"/>
      <c r="M266" s="236" t="s">
        <v>946</v>
      </c>
      <c r="N266" s="2"/>
      <c r="O266" s="375"/>
      <c r="P266" s="375"/>
    </row>
    <row r="267" spans="10:16">
      <c r="J267" s="204"/>
      <c r="K267" s="204">
        <f t="shared" si="5"/>
        <v>0</v>
      </c>
      <c r="L267" s="238"/>
      <c r="M267" s="236" t="s">
        <v>946</v>
      </c>
      <c r="N267" s="2"/>
      <c r="O267" s="375"/>
      <c r="P267" s="375"/>
    </row>
    <row r="268" spans="10:16">
      <c r="J268" s="204"/>
      <c r="K268" s="204">
        <f t="shared" si="5"/>
        <v>0</v>
      </c>
      <c r="L268" s="238"/>
      <c r="M268" s="236" t="s">
        <v>946</v>
      </c>
      <c r="N268" s="2"/>
      <c r="O268" s="375"/>
      <c r="P268" s="375"/>
    </row>
    <row r="269" spans="10:16">
      <c r="J269" s="204"/>
      <c r="K269" s="204">
        <f t="shared" si="5"/>
        <v>0</v>
      </c>
      <c r="L269" s="238"/>
      <c r="M269" s="236" t="s">
        <v>946</v>
      </c>
      <c r="N269" s="2"/>
      <c r="O269" s="375"/>
      <c r="P269" s="375"/>
    </row>
    <row r="270" spans="10:16">
      <c r="J270" s="204"/>
      <c r="K270" s="204">
        <f t="shared" si="5"/>
        <v>0</v>
      </c>
      <c r="L270" s="238"/>
      <c r="M270" s="236" t="s">
        <v>946</v>
      </c>
      <c r="N270" s="2"/>
      <c r="O270" s="375"/>
      <c r="P270" s="375"/>
    </row>
    <row r="271" spans="10:16">
      <c r="J271" s="204"/>
      <c r="K271" s="204">
        <f t="shared" si="5"/>
        <v>0</v>
      </c>
      <c r="L271" s="238"/>
      <c r="M271" s="236" t="s">
        <v>946</v>
      </c>
      <c r="N271" s="2"/>
      <c r="O271" s="375"/>
      <c r="P271" s="375"/>
    </row>
    <row r="272" spans="10:16">
      <c r="J272" s="204"/>
      <c r="K272" s="204">
        <f t="shared" si="5"/>
        <v>0</v>
      </c>
      <c r="L272" s="238"/>
      <c r="M272" s="236" t="s">
        <v>946</v>
      </c>
      <c r="N272" s="2"/>
      <c r="O272" s="375"/>
      <c r="P272" s="375"/>
    </row>
    <row r="273" spans="10:16">
      <c r="J273" s="204"/>
      <c r="K273" s="204">
        <f t="shared" si="5"/>
        <v>0</v>
      </c>
      <c r="L273" s="238"/>
      <c r="M273" s="236" t="s">
        <v>946</v>
      </c>
      <c r="N273" s="2"/>
      <c r="O273" s="375"/>
      <c r="P273" s="375"/>
    </row>
    <row r="274" spans="10:16">
      <c r="J274" s="204"/>
      <c r="K274" s="204">
        <f t="shared" si="5"/>
        <v>0</v>
      </c>
      <c r="L274" s="238"/>
      <c r="M274" s="236" t="s">
        <v>946</v>
      </c>
      <c r="N274" s="2"/>
      <c r="O274" s="375"/>
      <c r="P274" s="375"/>
    </row>
    <row r="275" spans="10:16">
      <c r="J275" s="204"/>
      <c r="K275" s="204">
        <f t="shared" si="5"/>
        <v>0</v>
      </c>
      <c r="L275" s="238"/>
      <c r="M275" s="236" t="s">
        <v>946</v>
      </c>
      <c r="N275" s="2"/>
      <c r="O275" s="375"/>
      <c r="P275" s="375"/>
    </row>
    <row r="276" spans="10:16">
      <c r="J276" s="204"/>
      <c r="K276" s="204">
        <f t="shared" si="5"/>
        <v>0</v>
      </c>
      <c r="L276" s="238"/>
      <c r="M276" s="236" t="s">
        <v>946</v>
      </c>
      <c r="N276" s="2"/>
      <c r="O276" s="375"/>
      <c r="P276" s="375"/>
    </row>
    <row r="277" spans="10:16">
      <c r="J277" s="204"/>
      <c r="K277" s="204">
        <f t="shared" si="5"/>
        <v>0</v>
      </c>
      <c r="L277" s="238"/>
      <c r="M277" s="236" t="s">
        <v>946</v>
      </c>
      <c r="N277" s="2"/>
      <c r="O277" s="375"/>
      <c r="P277" s="375"/>
    </row>
    <row r="278" spans="10:16">
      <c r="J278" s="204"/>
      <c r="K278" s="204">
        <f t="shared" si="5"/>
        <v>0</v>
      </c>
      <c r="L278" s="238"/>
      <c r="M278" s="236" t="s">
        <v>946</v>
      </c>
      <c r="N278" s="2"/>
      <c r="O278" s="375"/>
      <c r="P278" s="375"/>
    </row>
    <row r="279" spans="10:16">
      <c r="J279" s="204"/>
      <c r="K279" s="204">
        <f t="shared" si="5"/>
        <v>0</v>
      </c>
      <c r="L279" s="238"/>
      <c r="M279" s="236" t="s">
        <v>946</v>
      </c>
      <c r="N279" s="2"/>
      <c r="O279" s="375"/>
      <c r="P279" s="375"/>
    </row>
    <row r="280" spans="10:16">
      <c r="J280" s="204"/>
      <c r="K280" s="204">
        <f t="shared" ref="K280:K308" si="6">SUM(D280,E280,F280,I280)</f>
        <v>0</v>
      </c>
      <c r="L280" s="238"/>
      <c r="M280" s="236" t="s">
        <v>946</v>
      </c>
      <c r="N280" s="2"/>
      <c r="O280" s="375"/>
      <c r="P280" s="375"/>
    </row>
    <row r="281" spans="10:16">
      <c r="J281" s="204"/>
      <c r="K281" s="204">
        <f t="shared" si="6"/>
        <v>0</v>
      </c>
      <c r="L281" s="238"/>
      <c r="M281" s="236" t="s">
        <v>946</v>
      </c>
      <c r="N281" s="2"/>
      <c r="O281" s="375"/>
      <c r="P281" s="375"/>
    </row>
    <row r="282" spans="10:16">
      <c r="J282" s="204"/>
      <c r="K282" s="204">
        <f t="shared" si="6"/>
        <v>0</v>
      </c>
      <c r="L282" s="238"/>
      <c r="M282" s="236" t="s">
        <v>946</v>
      </c>
      <c r="N282" s="2"/>
      <c r="O282" s="375"/>
      <c r="P282" s="375"/>
    </row>
    <row r="283" spans="10:16">
      <c r="J283" s="204"/>
      <c r="K283" s="204">
        <f t="shared" si="6"/>
        <v>0</v>
      </c>
      <c r="L283" s="238"/>
      <c r="M283" s="236" t="s">
        <v>946</v>
      </c>
      <c r="N283" s="2"/>
      <c r="O283" s="375"/>
      <c r="P283" s="375"/>
    </row>
    <row r="284" spans="10:16">
      <c r="J284" s="204"/>
      <c r="K284" s="204">
        <f t="shared" si="6"/>
        <v>0</v>
      </c>
      <c r="L284" s="238"/>
      <c r="M284" s="236" t="s">
        <v>946</v>
      </c>
      <c r="N284" s="2"/>
      <c r="O284" s="375"/>
      <c r="P284" s="375"/>
    </row>
    <row r="285" spans="10:16">
      <c r="J285" s="204"/>
      <c r="K285" s="204">
        <f t="shared" si="6"/>
        <v>0</v>
      </c>
      <c r="L285" s="238"/>
      <c r="M285" s="236" t="s">
        <v>946</v>
      </c>
      <c r="N285" s="2"/>
      <c r="O285" s="375"/>
      <c r="P285" s="375"/>
    </row>
    <row r="286" spans="10:16">
      <c r="J286" s="204"/>
      <c r="K286" s="204">
        <f t="shared" si="6"/>
        <v>0</v>
      </c>
      <c r="L286" s="238"/>
      <c r="M286" s="236" t="s">
        <v>946</v>
      </c>
      <c r="N286" s="2"/>
      <c r="O286" s="375"/>
      <c r="P286" s="375"/>
    </row>
    <row r="287" spans="10:16">
      <c r="J287" s="204"/>
      <c r="K287" s="204">
        <f t="shared" si="6"/>
        <v>0</v>
      </c>
      <c r="L287" s="238"/>
      <c r="M287" s="236" t="s">
        <v>946</v>
      </c>
      <c r="N287" s="2"/>
      <c r="O287" s="375"/>
      <c r="P287" s="375"/>
    </row>
    <row r="288" spans="10:16">
      <c r="J288" s="204"/>
      <c r="K288" s="204">
        <f t="shared" si="6"/>
        <v>0</v>
      </c>
      <c r="L288" s="238"/>
      <c r="M288" s="236" t="s">
        <v>946</v>
      </c>
      <c r="N288" s="2"/>
      <c r="O288" s="375"/>
      <c r="P288" s="375"/>
    </row>
    <row r="289" spans="10:16">
      <c r="J289" s="204"/>
      <c r="K289" s="204">
        <f t="shared" si="6"/>
        <v>0</v>
      </c>
      <c r="L289" s="238"/>
      <c r="M289" s="236" t="s">
        <v>946</v>
      </c>
      <c r="N289" s="2"/>
      <c r="O289" s="375"/>
      <c r="P289" s="375"/>
    </row>
    <row r="290" spans="10:16">
      <c r="J290" s="204"/>
      <c r="K290" s="204">
        <f t="shared" si="6"/>
        <v>0</v>
      </c>
      <c r="L290" s="238"/>
      <c r="M290" s="236" t="s">
        <v>946</v>
      </c>
      <c r="N290" s="2"/>
      <c r="O290" s="375"/>
      <c r="P290" s="375"/>
    </row>
    <row r="291" spans="10:16">
      <c r="J291" s="204"/>
      <c r="K291" s="204">
        <f t="shared" si="6"/>
        <v>0</v>
      </c>
      <c r="L291" s="238"/>
      <c r="M291" s="236" t="s">
        <v>946</v>
      </c>
      <c r="N291" s="2"/>
      <c r="O291" s="375"/>
      <c r="P291" s="375"/>
    </row>
    <row r="292" spans="10:16">
      <c r="J292" s="204"/>
      <c r="K292" s="204">
        <f t="shared" si="6"/>
        <v>0</v>
      </c>
      <c r="L292" s="238"/>
      <c r="M292" s="236" t="s">
        <v>946</v>
      </c>
      <c r="N292" s="2"/>
      <c r="O292" s="375"/>
      <c r="P292" s="375"/>
    </row>
    <row r="293" spans="10:16">
      <c r="J293" s="204"/>
      <c r="K293" s="204">
        <f t="shared" si="6"/>
        <v>0</v>
      </c>
      <c r="L293" s="238"/>
      <c r="M293" s="236" t="s">
        <v>946</v>
      </c>
      <c r="N293" s="2"/>
      <c r="O293" s="375"/>
      <c r="P293" s="375"/>
    </row>
    <row r="294" spans="10:16">
      <c r="J294" s="204"/>
      <c r="K294" s="204">
        <f t="shared" si="6"/>
        <v>0</v>
      </c>
      <c r="L294" s="238"/>
      <c r="M294" s="236" t="s">
        <v>946</v>
      </c>
      <c r="N294" s="2"/>
      <c r="O294" s="375"/>
      <c r="P294" s="375"/>
    </row>
    <row r="295" spans="10:16">
      <c r="J295" s="204"/>
      <c r="K295" s="204">
        <f t="shared" si="6"/>
        <v>0</v>
      </c>
      <c r="L295" s="238"/>
      <c r="M295" s="236" t="s">
        <v>946</v>
      </c>
      <c r="N295" s="2"/>
      <c r="O295" s="375"/>
      <c r="P295" s="375"/>
    </row>
    <row r="296" spans="10:16">
      <c r="J296" s="204"/>
      <c r="K296" s="204">
        <f t="shared" si="6"/>
        <v>0</v>
      </c>
      <c r="L296" s="238"/>
      <c r="M296" s="236" t="s">
        <v>946</v>
      </c>
      <c r="N296" s="2"/>
      <c r="O296" s="375"/>
      <c r="P296" s="375"/>
    </row>
    <row r="297" spans="10:16">
      <c r="J297" s="204"/>
      <c r="K297" s="204">
        <f t="shared" si="6"/>
        <v>0</v>
      </c>
      <c r="L297" s="238"/>
      <c r="M297" s="236" t="s">
        <v>946</v>
      </c>
      <c r="N297" s="2"/>
      <c r="O297" s="375"/>
      <c r="P297" s="375"/>
    </row>
    <row r="298" spans="10:16">
      <c r="J298" s="204"/>
      <c r="K298" s="204">
        <f t="shared" si="6"/>
        <v>0</v>
      </c>
      <c r="L298" s="238"/>
      <c r="M298" s="236" t="s">
        <v>946</v>
      </c>
      <c r="N298" s="2"/>
      <c r="O298" s="375"/>
      <c r="P298" s="375"/>
    </row>
    <row r="299" spans="10:16">
      <c r="J299" s="204"/>
      <c r="K299" s="204">
        <f t="shared" si="6"/>
        <v>0</v>
      </c>
      <c r="L299" s="238"/>
      <c r="M299" s="236" t="s">
        <v>946</v>
      </c>
      <c r="N299" s="2"/>
      <c r="O299" s="375"/>
      <c r="P299" s="375"/>
    </row>
    <row r="300" spans="10:16">
      <c r="J300" s="204"/>
      <c r="K300" s="204">
        <f t="shared" si="6"/>
        <v>0</v>
      </c>
      <c r="L300" s="238"/>
      <c r="M300" s="236" t="s">
        <v>946</v>
      </c>
      <c r="N300" s="2"/>
      <c r="O300" s="375"/>
      <c r="P300" s="375"/>
    </row>
    <row r="301" spans="10:16">
      <c r="J301" s="204"/>
      <c r="K301" s="204">
        <f t="shared" si="6"/>
        <v>0</v>
      </c>
      <c r="L301" s="238"/>
      <c r="M301" s="236" t="s">
        <v>946</v>
      </c>
      <c r="N301" s="2"/>
      <c r="O301" s="375"/>
      <c r="P301" s="375"/>
    </row>
    <row r="302" spans="10:16">
      <c r="J302" s="204"/>
      <c r="K302" s="204">
        <f t="shared" si="6"/>
        <v>0</v>
      </c>
      <c r="L302" s="238"/>
      <c r="M302" s="236" t="s">
        <v>946</v>
      </c>
      <c r="N302" s="2"/>
      <c r="O302" s="375"/>
      <c r="P302" s="375"/>
    </row>
    <row r="303" spans="10:16">
      <c r="J303" s="204"/>
      <c r="K303" s="204">
        <f t="shared" si="6"/>
        <v>0</v>
      </c>
      <c r="L303" s="238"/>
      <c r="M303" s="236" t="s">
        <v>946</v>
      </c>
      <c r="N303" s="2"/>
      <c r="O303" s="375"/>
      <c r="P303" s="375"/>
    </row>
    <row r="304" spans="10:16">
      <c r="J304" s="204"/>
      <c r="K304" s="204">
        <f t="shared" si="6"/>
        <v>0</v>
      </c>
      <c r="L304" s="238"/>
      <c r="M304" s="236" t="s">
        <v>946</v>
      </c>
      <c r="N304" s="2"/>
      <c r="O304" s="375"/>
      <c r="P304" s="375"/>
    </row>
    <row r="305" spans="10:16">
      <c r="J305" s="204"/>
      <c r="K305" s="204">
        <f t="shared" si="6"/>
        <v>0</v>
      </c>
      <c r="L305" s="238"/>
      <c r="M305" s="236" t="s">
        <v>946</v>
      </c>
      <c r="N305" s="2"/>
      <c r="O305" s="375"/>
      <c r="P305" s="375"/>
    </row>
    <row r="306" spans="10:16">
      <c r="J306" s="204"/>
      <c r="K306" s="204">
        <f t="shared" si="6"/>
        <v>0</v>
      </c>
      <c r="L306" s="238"/>
      <c r="M306" s="236" t="s">
        <v>946</v>
      </c>
      <c r="N306" s="2"/>
      <c r="O306" s="375"/>
      <c r="P306" s="375"/>
    </row>
    <row r="307" spans="10:16">
      <c r="J307" s="204"/>
      <c r="K307" s="204">
        <f t="shared" si="6"/>
        <v>0</v>
      </c>
      <c r="L307" s="238"/>
      <c r="M307" s="236" t="s">
        <v>946</v>
      </c>
      <c r="N307" s="2"/>
      <c r="O307" s="375"/>
      <c r="P307" s="375"/>
    </row>
    <row r="308" spans="10:16">
      <c r="J308" s="204"/>
      <c r="K308" s="204">
        <f t="shared" si="6"/>
        <v>0</v>
      </c>
      <c r="L308" s="238"/>
      <c r="M308" s="236" t="s">
        <v>946</v>
      </c>
      <c r="N308" s="2"/>
      <c r="O308" s="375"/>
      <c r="P308" s="375"/>
    </row>
  </sheetData>
  <autoFilter ref="A2:O308" xr:uid="{EEF33BDD-2C6D-49B5-9F29-A2E528C84D78}"/>
  <phoneticPr fontId="45" type="noConversion"/>
  <dataValidations count="1">
    <dataValidation type="list" allowBlank="1" showInputMessage="1" showErrorMessage="1" sqref="L3:L308" xr:uid="{50FCCD8B-028C-4EC6-9F78-5725C406C142}">
      <formula1>"Etanol,Gasolina,Diesel S10,Diesel S500"</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3603" r:id="rId3" name="Label1">
          <controlPr defaultSize="0" autoLine="0" r:id="rId4">
            <anchor moveWithCells="1">
              <from>
                <xdr:col>9</xdr:col>
                <xdr:colOff>0</xdr:colOff>
                <xdr:row>0</xdr:row>
                <xdr:rowOff>22860</xdr:rowOff>
              </from>
              <to>
                <xdr:col>16</xdr:col>
                <xdr:colOff>137160</xdr:colOff>
                <xdr:row>0</xdr:row>
                <xdr:rowOff>152400</xdr:rowOff>
              </to>
            </anchor>
          </controlPr>
        </control>
      </mc:Choice>
      <mc:Fallback>
        <control shapeId="153603" r:id="rId3" name="Label1"/>
      </mc:Fallback>
    </mc:AlternateContent>
    <mc:AlternateContent xmlns:mc="http://schemas.openxmlformats.org/markup-compatibility/2006">
      <mc:Choice Requires="x14">
        <control shapeId="153602" r:id="rId5" name="ComboBox7">
          <controlPr defaultSize="0" autoLine="0" r:id="rId6">
            <anchor moveWithCells="1">
              <from>
                <xdr:col>9</xdr:col>
                <xdr:colOff>0</xdr:colOff>
                <xdr:row>0</xdr:row>
                <xdr:rowOff>175260</xdr:rowOff>
              </from>
              <to>
                <xdr:col>16</xdr:col>
                <xdr:colOff>297180</xdr:colOff>
                <xdr:row>0</xdr:row>
                <xdr:rowOff>411480</xdr:rowOff>
              </to>
            </anchor>
          </controlPr>
        </control>
      </mc:Choice>
      <mc:Fallback>
        <control shapeId="153602" r:id="rId5" name="ComboBox7"/>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DD922-1502-4D30-89E0-609942229D36}">
  <sheetPr codeName="Planilha4">
    <tabColor theme="7" tint="0.39997558519241921"/>
  </sheetPr>
  <dimension ref="A1:AU159"/>
  <sheetViews>
    <sheetView showGridLines="0" zoomScaleNormal="100" zoomScaleSheetLayoutView="100" workbookViewId="0">
      <pane ySplit="2" topLeftCell="A3" activePane="bottomLeft" state="frozen"/>
      <selection activeCell="I21" sqref="I21"/>
      <selection pane="bottomLeft" activeCell="D28" sqref="D28"/>
    </sheetView>
  </sheetViews>
  <sheetFormatPr defaultColWidth="11.44140625" defaultRowHeight="13.8"/>
  <cols>
    <col min="1" max="1" width="11.44140625" style="7"/>
    <col min="2" max="2" width="56" style="7" customWidth="1"/>
    <col min="3" max="3" width="5.44140625" style="7" bestFit="1" customWidth="1"/>
    <col min="4" max="4" width="12.33203125" style="7" bestFit="1" customWidth="1"/>
    <col min="5" max="5" width="12" style="7" bestFit="1" customWidth="1"/>
    <col min="6" max="6" width="16.33203125" style="7" customWidth="1"/>
    <col min="7" max="7" width="23.88671875" style="7" bestFit="1" customWidth="1"/>
    <col min="8" max="9" width="11.44140625" style="7"/>
    <col min="10" max="10" width="12.33203125" style="7" bestFit="1" customWidth="1"/>
    <col min="11" max="14" width="11.44140625" style="7"/>
    <col min="15" max="47" width="11.44140625" style="178"/>
    <col min="48" max="16384" width="11.44140625" style="7"/>
  </cols>
  <sheetData>
    <row r="1" spans="1:47" ht="35.25" customHeight="1">
      <c r="G1" s="855"/>
    </row>
    <row r="2" spans="1:47" s="17" customFormat="1">
      <c r="A2" s="207" t="s">
        <v>688</v>
      </c>
      <c r="B2" s="207" t="s">
        <v>324</v>
      </c>
      <c r="C2" s="207" t="s">
        <v>371</v>
      </c>
      <c r="D2" s="207" t="s">
        <v>689</v>
      </c>
      <c r="E2" s="207" t="s">
        <v>690</v>
      </c>
      <c r="F2" s="207" t="s">
        <v>691</v>
      </c>
      <c r="G2" s="855"/>
      <c r="H2" s="679"/>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row>
    <row r="3" spans="1:47">
      <c r="A3" s="205" t="s">
        <v>692</v>
      </c>
      <c r="B3" s="205" t="s">
        <v>1284</v>
      </c>
      <c r="C3" s="205" t="s">
        <v>854</v>
      </c>
      <c r="D3" s="194">
        <v>5300</v>
      </c>
      <c r="E3" s="206"/>
      <c r="F3" s="204">
        <f t="shared" ref="F3:F16" si="0">E3*D3</f>
        <v>0</v>
      </c>
    </row>
    <row r="4" spans="1:47">
      <c r="A4" s="205" t="s">
        <v>693</v>
      </c>
      <c r="B4" s="205" t="s">
        <v>1285</v>
      </c>
      <c r="C4" s="205" t="s">
        <v>854</v>
      </c>
      <c r="D4" s="194">
        <v>3850</v>
      </c>
      <c r="E4" s="206"/>
      <c r="F4" s="204">
        <f t="shared" si="0"/>
        <v>0</v>
      </c>
      <c r="J4" s="389"/>
    </row>
    <row r="5" spans="1:47">
      <c r="A5" s="205" t="s">
        <v>1091</v>
      </c>
      <c r="B5" s="962" t="s">
        <v>1306</v>
      </c>
      <c r="C5" s="205" t="s">
        <v>225</v>
      </c>
      <c r="D5" s="194">
        <v>161.4</v>
      </c>
      <c r="E5" s="206"/>
      <c r="F5" s="204">
        <f>E5*D5</f>
        <v>0</v>
      </c>
    </row>
    <row r="6" spans="1:47">
      <c r="A6" s="205" t="s">
        <v>1092</v>
      </c>
      <c r="B6" s="962" t="s">
        <v>1307</v>
      </c>
      <c r="C6" s="205" t="s">
        <v>225</v>
      </c>
      <c r="D6" s="194">
        <v>249.5</v>
      </c>
      <c r="E6" s="206"/>
      <c r="F6" s="204">
        <f>E6*D6</f>
        <v>0</v>
      </c>
    </row>
    <row r="7" spans="1:47">
      <c r="A7" s="205" t="s">
        <v>1093</v>
      </c>
      <c r="B7" s="962" t="s">
        <v>1308</v>
      </c>
      <c r="C7" s="205" t="s">
        <v>225</v>
      </c>
      <c r="D7" s="194">
        <v>299.5</v>
      </c>
      <c r="E7" s="206"/>
      <c r="F7" s="204">
        <f t="shared" si="0"/>
        <v>0</v>
      </c>
    </row>
    <row r="8" spans="1:47">
      <c r="A8" s="205" t="s">
        <v>1094</v>
      </c>
      <c r="B8" s="962" t="s">
        <v>1309</v>
      </c>
      <c r="C8" s="205" t="s">
        <v>225</v>
      </c>
      <c r="D8" s="194">
        <v>331.5</v>
      </c>
      <c r="E8" s="206"/>
      <c r="F8" s="204">
        <f t="shared" si="0"/>
        <v>0</v>
      </c>
    </row>
    <row r="9" spans="1:47">
      <c r="A9" s="205" t="s">
        <v>1095</v>
      </c>
      <c r="B9" s="962" t="s">
        <v>1310</v>
      </c>
      <c r="C9" s="205" t="s">
        <v>225</v>
      </c>
      <c r="D9" s="194">
        <v>378.5</v>
      </c>
      <c r="E9" s="206"/>
      <c r="F9" s="204">
        <f t="shared" si="0"/>
        <v>0</v>
      </c>
    </row>
    <row r="10" spans="1:47">
      <c r="A10" s="205" t="s">
        <v>1096</v>
      </c>
      <c r="B10" s="962" t="s">
        <v>1311</v>
      </c>
      <c r="C10" s="205" t="s">
        <v>225</v>
      </c>
      <c r="D10" s="194">
        <v>449.5</v>
      </c>
      <c r="E10" s="206"/>
      <c r="F10" s="204">
        <f t="shared" si="0"/>
        <v>0</v>
      </c>
    </row>
    <row r="11" spans="1:47">
      <c r="A11" s="205" t="s">
        <v>694</v>
      </c>
      <c r="B11" s="962" t="s">
        <v>1312</v>
      </c>
      <c r="C11" s="205" t="s">
        <v>225</v>
      </c>
      <c r="D11" s="194">
        <v>532.5</v>
      </c>
      <c r="E11" s="206"/>
      <c r="F11" s="204">
        <f t="shared" si="0"/>
        <v>0</v>
      </c>
    </row>
    <row r="12" spans="1:47">
      <c r="A12" s="205" t="s">
        <v>695</v>
      </c>
      <c r="B12" s="962" t="s">
        <v>1313</v>
      </c>
      <c r="C12" s="205" t="s">
        <v>225</v>
      </c>
      <c r="D12" s="194">
        <v>556.5</v>
      </c>
      <c r="E12" s="206"/>
      <c r="F12" s="204">
        <f t="shared" si="0"/>
        <v>0</v>
      </c>
    </row>
    <row r="13" spans="1:47">
      <c r="A13" s="205" t="s">
        <v>1097</v>
      </c>
      <c r="B13" s="962" t="s">
        <v>1314</v>
      </c>
      <c r="C13" s="205" t="s">
        <v>225</v>
      </c>
      <c r="D13" s="194">
        <v>655.5</v>
      </c>
      <c r="E13" s="206"/>
      <c r="F13" s="204">
        <f t="shared" si="0"/>
        <v>0</v>
      </c>
    </row>
    <row r="14" spans="1:47">
      <c r="A14" s="205" t="s">
        <v>696</v>
      </c>
      <c r="B14" s="962" t="s">
        <v>1315</v>
      </c>
      <c r="C14" s="205" t="s">
        <v>225</v>
      </c>
      <c r="D14" s="194">
        <v>725.5</v>
      </c>
      <c r="E14" s="206"/>
      <c r="F14" s="204">
        <f>E14*D14</f>
        <v>0</v>
      </c>
    </row>
    <row r="15" spans="1:47">
      <c r="A15" s="205" t="s">
        <v>697</v>
      </c>
      <c r="B15" s="962" t="s">
        <v>1316</v>
      </c>
      <c r="C15" s="205" t="s">
        <v>225</v>
      </c>
      <c r="D15" s="194">
        <v>1082.5</v>
      </c>
      <c r="E15" s="206"/>
      <c r="F15" s="204">
        <f t="shared" si="0"/>
        <v>0</v>
      </c>
    </row>
    <row r="16" spans="1:47">
      <c r="A16" s="205" t="s">
        <v>698</v>
      </c>
      <c r="B16" s="962" t="s">
        <v>1317</v>
      </c>
      <c r="C16" s="205" t="s">
        <v>225</v>
      </c>
      <c r="D16" s="194">
        <v>1390.5</v>
      </c>
      <c r="E16" s="206"/>
      <c r="F16" s="204">
        <f t="shared" si="0"/>
        <v>0</v>
      </c>
    </row>
    <row r="17" spans="1:7">
      <c r="A17" s="205" t="s">
        <v>699</v>
      </c>
      <c r="B17" s="962" t="s">
        <v>1318</v>
      </c>
      <c r="C17" s="205" t="s">
        <v>225</v>
      </c>
      <c r="D17" s="194">
        <v>1550.5</v>
      </c>
      <c r="E17" s="206"/>
      <c r="F17" s="204">
        <f t="shared" ref="F17:F48" si="1">E17*D17</f>
        <v>0</v>
      </c>
    </row>
    <row r="18" spans="1:7">
      <c r="A18" s="205" t="s">
        <v>1098</v>
      </c>
      <c r="B18" s="205" t="s">
        <v>1319</v>
      </c>
      <c r="C18" s="205" t="s">
        <v>990</v>
      </c>
      <c r="D18" s="194">
        <v>5.62</v>
      </c>
      <c r="E18" s="206"/>
      <c r="F18" s="204">
        <f t="shared" si="1"/>
        <v>0</v>
      </c>
    </row>
    <row r="19" spans="1:7">
      <c r="A19" s="205" t="s">
        <v>1099</v>
      </c>
      <c r="B19" s="205" t="s">
        <v>1320</v>
      </c>
      <c r="C19" s="205" t="s">
        <v>990</v>
      </c>
      <c r="D19" s="194">
        <v>5.74</v>
      </c>
      <c r="E19" s="206"/>
      <c r="F19" s="204">
        <f t="shared" si="1"/>
        <v>0</v>
      </c>
    </row>
    <row r="20" spans="1:7">
      <c r="A20" s="205" t="s">
        <v>1100</v>
      </c>
      <c r="B20" s="205" t="s">
        <v>1321</v>
      </c>
      <c r="C20" s="205" t="s">
        <v>990</v>
      </c>
      <c r="D20" s="194">
        <v>5.63</v>
      </c>
      <c r="E20" s="206"/>
      <c r="F20" s="204">
        <f t="shared" si="1"/>
        <v>0</v>
      </c>
    </row>
    <row r="21" spans="1:7">
      <c r="A21" s="205" t="s">
        <v>1101</v>
      </c>
      <c r="B21" s="205" t="s">
        <v>1322</v>
      </c>
      <c r="C21" s="205" t="s">
        <v>990</v>
      </c>
      <c r="D21" s="194">
        <v>5.54</v>
      </c>
      <c r="E21" s="206"/>
      <c r="F21" s="204">
        <f t="shared" si="1"/>
        <v>0</v>
      </c>
    </row>
    <row r="22" spans="1:7">
      <c r="A22" s="205" t="s">
        <v>1102</v>
      </c>
      <c r="B22" s="205" t="s">
        <v>1323</v>
      </c>
      <c r="C22" s="205" t="s">
        <v>990</v>
      </c>
      <c r="D22" s="194">
        <v>6.77</v>
      </c>
      <c r="E22" s="206"/>
      <c r="F22" s="204">
        <f t="shared" si="1"/>
        <v>0</v>
      </c>
    </row>
    <row r="23" spans="1:7">
      <c r="A23" s="205" t="s">
        <v>1103</v>
      </c>
      <c r="B23" s="205" t="s">
        <v>1324</v>
      </c>
      <c r="C23" s="205" t="s">
        <v>1327</v>
      </c>
      <c r="D23" s="194">
        <v>126</v>
      </c>
      <c r="E23" s="206"/>
      <c r="F23" s="204">
        <f t="shared" si="1"/>
        <v>0</v>
      </c>
    </row>
    <row r="24" spans="1:7">
      <c r="A24" s="205" t="s">
        <v>1104</v>
      </c>
      <c r="B24" s="205" t="s">
        <v>1047</v>
      </c>
      <c r="C24" s="205" t="s">
        <v>1328</v>
      </c>
      <c r="D24" s="194">
        <v>133</v>
      </c>
      <c r="E24" s="206"/>
      <c r="F24" s="204">
        <f t="shared" si="1"/>
        <v>0</v>
      </c>
    </row>
    <row r="25" spans="1:7">
      <c r="A25" s="205" t="s">
        <v>700</v>
      </c>
      <c r="B25" s="205" t="s">
        <v>1048</v>
      </c>
      <c r="C25" s="205" t="s">
        <v>1327</v>
      </c>
      <c r="D25" s="194">
        <v>187</v>
      </c>
      <c r="E25" s="206"/>
      <c r="F25" s="204">
        <f t="shared" si="1"/>
        <v>0</v>
      </c>
      <c r="G25" s="194"/>
    </row>
    <row r="26" spans="1:7">
      <c r="A26" s="205" t="s">
        <v>701</v>
      </c>
      <c r="B26" s="205" t="s">
        <v>1325</v>
      </c>
      <c r="C26" s="205" t="s">
        <v>1328</v>
      </c>
      <c r="D26" s="194">
        <v>85</v>
      </c>
      <c r="E26" s="206"/>
      <c r="F26" s="204">
        <f t="shared" si="1"/>
        <v>0</v>
      </c>
    </row>
    <row r="27" spans="1:7">
      <c r="A27" s="205" t="s">
        <v>702</v>
      </c>
      <c r="B27" s="205" t="s">
        <v>1326</v>
      </c>
      <c r="C27" s="205" t="s">
        <v>1327</v>
      </c>
      <c r="D27" s="194">
        <v>70</v>
      </c>
      <c r="E27" s="206"/>
      <c r="F27" s="204">
        <f t="shared" si="1"/>
        <v>0</v>
      </c>
    </row>
    <row r="28" spans="1:7">
      <c r="A28" s="205" t="s">
        <v>703</v>
      </c>
      <c r="B28" s="205" t="s">
        <v>1329</v>
      </c>
      <c r="C28" s="205" t="s">
        <v>1258</v>
      </c>
      <c r="D28" s="194"/>
      <c r="E28" s="206"/>
      <c r="F28" s="204">
        <f t="shared" si="1"/>
        <v>0</v>
      </c>
    </row>
    <row r="29" spans="1:7">
      <c r="A29" s="205" t="s">
        <v>704</v>
      </c>
      <c r="B29" s="205" t="s">
        <v>1330</v>
      </c>
      <c r="C29" s="205" t="s">
        <v>1258</v>
      </c>
      <c r="D29" s="194">
        <v>615</v>
      </c>
      <c r="E29" s="206"/>
      <c r="F29" s="204">
        <f t="shared" si="1"/>
        <v>0</v>
      </c>
    </row>
    <row r="30" spans="1:7">
      <c r="A30" s="205" t="s">
        <v>705</v>
      </c>
      <c r="B30" s="205" t="s">
        <v>1331</v>
      </c>
      <c r="C30" s="205" t="s">
        <v>1258</v>
      </c>
      <c r="D30" s="194">
        <v>359</v>
      </c>
      <c r="E30" s="206"/>
      <c r="F30" s="204">
        <f t="shared" si="1"/>
        <v>0</v>
      </c>
    </row>
    <row r="31" spans="1:7">
      <c r="A31" s="205" t="s">
        <v>706</v>
      </c>
      <c r="B31" s="205"/>
      <c r="C31" s="205"/>
      <c r="D31" s="194"/>
      <c r="E31" s="206"/>
      <c r="F31" s="204">
        <f t="shared" si="1"/>
        <v>0</v>
      </c>
    </row>
    <row r="32" spans="1:7">
      <c r="A32" s="205" t="s">
        <v>707</v>
      </c>
      <c r="B32" s="205"/>
      <c r="C32" s="205"/>
      <c r="D32" s="194"/>
      <c r="E32" s="206"/>
      <c r="F32" s="204">
        <f t="shared" si="1"/>
        <v>0</v>
      </c>
    </row>
    <row r="33" spans="1:6">
      <c r="A33" s="205" t="s">
        <v>708</v>
      </c>
      <c r="B33" s="205"/>
      <c r="C33" s="205"/>
      <c r="D33" s="194"/>
      <c r="E33" s="206"/>
      <c r="F33" s="204">
        <f t="shared" si="1"/>
        <v>0</v>
      </c>
    </row>
    <row r="34" spans="1:6">
      <c r="A34" s="205" t="s">
        <v>709</v>
      </c>
      <c r="B34" s="205"/>
      <c r="C34" s="205"/>
      <c r="D34" s="194"/>
      <c r="E34" s="206"/>
      <c r="F34" s="204">
        <f t="shared" si="1"/>
        <v>0</v>
      </c>
    </row>
    <row r="35" spans="1:6">
      <c r="A35" s="205" t="s">
        <v>710</v>
      </c>
      <c r="B35" s="205"/>
      <c r="C35" s="205"/>
      <c r="D35" s="194"/>
      <c r="E35" s="206"/>
      <c r="F35" s="204">
        <f t="shared" si="1"/>
        <v>0</v>
      </c>
    </row>
    <row r="36" spans="1:6">
      <c r="A36" s="205" t="s">
        <v>711</v>
      </c>
      <c r="B36" s="205"/>
      <c r="C36" s="205"/>
      <c r="D36" s="194"/>
      <c r="E36" s="206"/>
      <c r="F36" s="204">
        <f t="shared" si="1"/>
        <v>0</v>
      </c>
    </row>
    <row r="37" spans="1:6">
      <c r="A37" s="205" t="s">
        <v>712</v>
      </c>
      <c r="B37" s="205"/>
      <c r="C37" s="205"/>
      <c r="D37" s="194"/>
      <c r="E37" s="206"/>
      <c r="F37" s="204">
        <f t="shared" si="1"/>
        <v>0</v>
      </c>
    </row>
    <row r="38" spans="1:6">
      <c r="A38" s="205" t="s">
        <v>713</v>
      </c>
      <c r="B38" s="205"/>
      <c r="C38" s="205"/>
      <c r="D38" s="194"/>
      <c r="E38" s="206"/>
      <c r="F38" s="204">
        <f t="shared" si="1"/>
        <v>0</v>
      </c>
    </row>
    <row r="39" spans="1:6">
      <c r="A39" s="205" t="s">
        <v>714</v>
      </c>
      <c r="B39" s="205"/>
      <c r="C39" s="205"/>
      <c r="D39" s="194"/>
      <c r="E39" s="206"/>
      <c r="F39" s="204">
        <f t="shared" si="1"/>
        <v>0</v>
      </c>
    </row>
    <row r="40" spans="1:6">
      <c r="A40" s="205" t="s">
        <v>715</v>
      </c>
      <c r="B40" s="205"/>
      <c r="C40" s="205"/>
      <c r="D40" s="194"/>
      <c r="E40" s="206"/>
      <c r="F40" s="204">
        <f t="shared" si="1"/>
        <v>0</v>
      </c>
    </row>
    <row r="41" spans="1:6">
      <c r="A41" s="205" t="s">
        <v>716</v>
      </c>
      <c r="B41" s="205"/>
      <c r="C41" s="205"/>
      <c r="D41" s="194"/>
      <c r="E41" s="206"/>
      <c r="F41" s="204">
        <f t="shared" si="1"/>
        <v>0</v>
      </c>
    </row>
    <row r="42" spans="1:6">
      <c r="A42" s="205" t="s">
        <v>717</v>
      </c>
      <c r="B42" s="205"/>
      <c r="C42" s="205"/>
      <c r="D42" s="194"/>
      <c r="E42" s="206"/>
      <c r="F42" s="204">
        <f t="shared" si="1"/>
        <v>0</v>
      </c>
    </row>
    <row r="43" spans="1:6">
      <c r="A43" s="205" t="s">
        <v>718</v>
      </c>
      <c r="B43" s="205"/>
      <c r="C43" s="205"/>
      <c r="D43" s="194"/>
      <c r="E43" s="206"/>
      <c r="F43" s="204">
        <f t="shared" si="1"/>
        <v>0</v>
      </c>
    </row>
    <row r="44" spans="1:6">
      <c r="A44" s="205" t="s">
        <v>719</v>
      </c>
      <c r="B44" s="205"/>
      <c r="C44" s="205"/>
      <c r="D44" s="194"/>
      <c r="E44" s="206"/>
      <c r="F44" s="204">
        <f t="shared" si="1"/>
        <v>0</v>
      </c>
    </row>
    <row r="45" spans="1:6">
      <c r="A45" s="205" t="s">
        <v>720</v>
      </c>
      <c r="B45" s="205"/>
      <c r="C45" s="205"/>
      <c r="D45" s="194"/>
      <c r="E45" s="206"/>
      <c r="F45" s="204">
        <f t="shared" si="1"/>
        <v>0</v>
      </c>
    </row>
    <row r="46" spans="1:6">
      <c r="A46" s="205" t="s">
        <v>721</v>
      </c>
      <c r="B46" s="205"/>
      <c r="C46" s="205"/>
      <c r="D46" s="194"/>
      <c r="E46" s="206"/>
      <c r="F46" s="204">
        <f t="shared" si="1"/>
        <v>0</v>
      </c>
    </row>
    <row r="47" spans="1:6">
      <c r="A47" s="205" t="s">
        <v>722</v>
      </c>
      <c r="B47" s="205"/>
      <c r="C47" s="205"/>
      <c r="D47" s="194"/>
      <c r="E47" s="206"/>
      <c r="F47" s="204">
        <f t="shared" si="1"/>
        <v>0</v>
      </c>
    </row>
    <row r="48" spans="1:6">
      <c r="A48" s="205" t="s">
        <v>723</v>
      </c>
      <c r="B48" s="205"/>
      <c r="C48" s="205"/>
      <c r="D48" s="194"/>
      <c r="E48" s="206"/>
      <c r="F48" s="204">
        <f t="shared" si="1"/>
        <v>0</v>
      </c>
    </row>
    <row r="49" spans="1:8">
      <c r="A49" s="205" t="s">
        <v>724</v>
      </c>
      <c r="B49" s="205"/>
      <c r="C49" s="205"/>
      <c r="D49" s="194"/>
      <c r="E49" s="206"/>
      <c r="F49" s="204">
        <f t="shared" ref="F49:F80" si="2">E49*D49</f>
        <v>0</v>
      </c>
    </row>
    <row r="50" spans="1:8">
      <c r="A50" s="205" t="s">
        <v>725</v>
      </c>
      <c r="B50" s="205"/>
      <c r="C50" s="205"/>
      <c r="D50" s="194"/>
      <c r="E50" s="206"/>
      <c r="F50" s="204">
        <f t="shared" si="2"/>
        <v>0</v>
      </c>
    </row>
    <row r="51" spans="1:8">
      <c r="A51" s="205" t="s">
        <v>726</v>
      </c>
      <c r="B51" s="205"/>
      <c r="C51" s="205"/>
      <c r="D51" s="194"/>
      <c r="E51" s="206"/>
      <c r="F51" s="204">
        <f t="shared" si="2"/>
        <v>0</v>
      </c>
    </row>
    <row r="52" spans="1:8">
      <c r="A52" s="205" t="s">
        <v>727</v>
      </c>
      <c r="B52" s="205"/>
      <c r="C52" s="205"/>
      <c r="D52" s="194"/>
      <c r="E52" s="206"/>
      <c r="F52" s="204">
        <f t="shared" si="2"/>
        <v>0</v>
      </c>
    </row>
    <row r="53" spans="1:8">
      <c r="A53" s="205" t="s">
        <v>728</v>
      </c>
      <c r="B53" s="205"/>
      <c r="C53" s="205"/>
      <c r="D53" s="194"/>
      <c r="E53" s="206"/>
      <c r="F53" s="204">
        <f t="shared" si="2"/>
        <v>0</v>
      </c>
    </row>
    <row r="54" spans="1:8">
      <c r="A54" s="205" t="s">
        <v>729</v>
      </c>
      <c r="B54" s="205"/>
      <c r="C54" s="205"/>
      <c r="D54" s="194"/>
      <c r="E54" s="206"/>
      <c r="F54" s="204">
        <f t="shared" si="2"/>
        <v>0</v>
      </c>
    </row>
    <row r="55" spans="1:8">
      <c r="A55" s="205" t="s">
        <v>730</v>
      </c>
      <c r="B55" s="205"/>
      <c r="C55" s="205"/>
      <c r="D55" s="194"/>
      <c r="E55" s="206"/>
      <c r="F55" s="204">
        <f t="shared" si="2"/>
        <v>0</v>
      </c>
    </row>
    <row r="56" spans="1:8">
      <c r="A56" s="205" t="s">
        <v>731</v>
      </c>
      <c r="B56" s="205"/>
      <c r="C56" s="205"/>
      <c r="D56" s="194"/>
      <c r="E56" s="206"/>
      <c r="F56" s="204">
        <f t="shared" si="2"/>
        <v>0</v>
      </c>
    </row>
    <row r="57" spans="1:8">
      <c r="A57" s="205" t="s">
        <v>732</v>
      </c>
      <c r="B57" s="205"/>
      <c r="C57" s="205"/>
      <c r="D57" s="194"/>
      <c r="E57" s="206"/>
      <c r="F57" s="204">
        <f t="shared" si="2"/>
        <v>0</v>
      </c>
    </row>
    <row r="58" spans="1:8">
      <c r="A58" s="205" t="s">
        <v>733</v>
      </c>
      <c r="B58" s="205"/>
      <c r="C58" s="205"/>
      <c r="D58" s="194"/>
      <c r="E58" s="206"/>
      <c r="F58" s="204">
        <f t="shared" si="2"/>
        <v>0</v>
      </c>
    </row>
    <row r="59" spans="1:8">
      <c r="A59" s="205" t="s">
        <v>734</v>
      </c>
      <c r="B59" s="205"/>
      <c r="C59" s="205"/>
      <c r="D59" s="194"/>
      <c r="E59" s="206"/>
      <c r="F59" s="204">
        <f t="shared" si="2"/>
        <v>0</v>
      </c>
    </row>
    <row r="60" spans="1:8">
      <c r="A60" s="205" t="s">
        <v>735</v>
      </c>
      <c r="B60" s="205"/>
      <c r="C60" s="205"/>
      <c r="D60" s="194"/>
      <c r="E60" s="206"/>
      <c r="F60" s="204">
        <f t="shared" si="2"/>
        <v>0</v>
      </c>
    </row>
    <row r="61" spans="1:8">
      <c r="A61" s="205" t="s">
        <v>736</v>
      </c>
      <c r="B61" s="205"/>
      <c r="C61" s="205"/>
      <c r="D61" s="194"/>
      <c r="E61" s="206"/>
      <c r="F61" s="204">
        <f t="shared" si="2"/>
        <v>0</v>
      </c>
    </row>
    <row r="62" spans="1:8">
      <c r="A62" s="205" t="s">
        <v>737</v>
      </c>
      <c r="B62" s="205"/>
      <c r="C62" s="205"/>
      <c r="D62" s="194"/>
      <c r="E62" s="206"/>
      <c r="F62" s="204">
        <f t="shared" si="2"/>
        <v>0</v>
      </c>
    </row>
    <row r="63" spans="1:8">
      <c r="A63" s="205" t="s">
        <v>738</v>
      </c>
      <c r="B63" s="205"/>
      <c r="C63" s="205"/>
      <c r="D63" s="194"/>
      <c r="E63" s="206"/>
      <c r="F63" s="204">
        <f t="shared" si="2"/>
        <v>0</v>
      </c>
      <c r="H63" s="389"/>
    </row>
    <row r="64" spans="1:8">
      <c r="A64" s="205" t="s">
        <v>739</v>
      </c>
      <c r="B64" s="205"/>
      <c r="C64" s="205"/>
      <c r="D64" s="194"/>
      <c r="E64" s="206"/>
      <c r="F64" s="204">
        <f t="shared" si="2"/>
        <v>0</v>
      </c>
    </row>
    <row r="65" spans="1:6">
      <c r="A65" s="205" t="s">
        <v>740</v>
      </c>
      <c r="B65" s="205"/>
      <c r="C65" s="205"/>
      <c r="D65" s="194"/>
      <c r="E65" s="206"/>
      <c r="F65" s="204">
        <f t="shared" si="2"/>
        <v>0</v>
      </c>
    </row>
    <row r="66" spans="1:6">
      <c r="A66" s="205" t="s">
        <v>741</v>
      </c>
      <c r="B66" s="205"/>
      <c r="C66" s="205"/>
      <c r="D66" s="194"/>
      <c r="E66" s="206"/>
      <c r="F66" s="204">
        <f t="shared" si="2"/>
        <v>0</v>
      </c>
    </row>
    <row r="67" spans="1:6">
      <c r="A67" s="205" t="s">
        <v>742</v>
      </c>
      <c r="B67" s="205"/>
      <c r="C67" s="205"/>
      <c r="D67" s="194"/>
      <c r="E67" s="206"/>
      <c r="F67" s="204">
        <f t="shared" si="2"/>
        <v>0</v>
      </c>
    </row>
    <row r="68" spans="1:6">
      <c r="A68" s="205" t="s">
        <v>743</v>
      </c>
      <c r="B68" s="205"/>
      <c r="C68" s="205"/>
      <c r="D68" s="194"/>
      <c r="E68" s="206"/>
      <c r="F68" s="204">
        <f t="shared" si="2"/>
        <v>0</v>
      </c>
    </row>
    <row r="69" spans="1:6">
      <c r="A69" s="205" t="s">
        <v>744</v>
      </c>
      <c r="B69" s="205"/>
      <c r="C69" s="205"/>
      <c r="D69" s="194"/>
      <c r="E69" s="206"/>
      <c r="F69" s="204">
        <f t="shared" si="2"/>
        <v>0</v>
      </c>
    </row>
    <row r="70" spans="1:6">
      <c r="A70" s="205" t="s">
        <v>745</v>
      </c>
      <c r="B70" s="205"/>
      <c r="C70" s="205"/>
      <c r="D70" s="194"/>
      <c r="E70" s="206"/>
      <c r="F70" s="204">
        <f t="shared" si="2"/>
        <v>0</v>
      </c>
    </row>
    <row r="71" spans="1:6">
      <c r="A71" s="205" t="s">
        <v>746</v>
      </c>
      <c r="B71" s="205"/>
      <c r="C71" s="205"/>
      <c r="D71" s="194"/>
      <c r="E71" s="206"/>
      <c r="F71" s="204">
        <f t="shared" si="2"/>
        <v>0</v>
      </c>
    </row>
    <row r="72" spans="1:6">
      <c r="A72" s="205" t="s">
        <v>747</v>
      </c>
      <c r="B72" s="205"/>
      <c r="C72" s="205"/>
      <c r="D72" s="194"/>
      <c r="E72" s="206"/>
      <c r="F72" s="204">
        <f t="shared" si="2"/>
        <v>0</v>
      </c>
    </row>
    <row r="73" spans="1:6">
      <c r="A73" s="205" t="s">
        <v>748</v>
      </c>
      <c r="B73" s="205"/>
      <c r="C73" s="205"/>
      <c r="D73" s="194"/>
      <c r="E73" s="206"/>
      <c r="F73" s="204">
        <f t="shared" si="2"/>
        <v>0</v>
      </c>
    </row>
    <row r="74" spans="1:6">
      <c r="A74" s="205" t="s">
        <v>749</v>
      </c>
      <c r="B74" s="205"/>
      <c r="C74" s="205"/>
      <c r="D74" s="194"/>
      <c r="E74" s="206"/>
      <c r="F74" s="204">
        <f t="shared" si="2"/>
        <v>0</v>
      </c>
    </row>
    <row r="75" spans="1:6">
      <c r="A75" s="205" t="s">
        <v>750</v>
      </c>
      <c r="B75" s="205"/>
      <c r="C75" s="205"/>
      <c r="D75" s="194"/>
      <c r="E75" s="206"/>
      <c r="F75" s="204">
        <f t="shared" si="2"/>
        <v>0</v>
      </c>
    </row>
    <row r="76" spans="1:6">
      <c r="A76" s="205" t="s">
        <v>751</v>
      </c>
      <c r="B76" s="205"/>
      <c r="C76" s="205"/>
      <c r="D76" s="194"/>
      <c r="E76" s="206"/>
      <c r="F76" s="204">
        <f t="shared" si="2"/>
        <v>0</v>
      </c>
    </row>
    <row r="77" spans="1:6">
      <c r="A77" s="205" t="s">
        <v>752</v>
      </c>
      <c r="B77" s="205"/>
      <c r="C77" s="205"/>
      <c r="D77" s="194"/>
      <c r="E77" s="206"/>
      <c r="F77" s="204">
        <f t="shared" si="2"/>
        <v>0</v>
      </c>
    </row>
    <row r="78" spans="1:6">
      <c r="A78" s="205" t="s">
        <v>753</v>
      </c>
      <c r="B78" s="205"/>
      <c r="C78" s="205"/>
      <c r="D78" s="194"/>
      <c r="E78" s="206"/>
      <c r="F78" s="204">
        <f t="shared" si="2"/>
        <v>0</v>
      </c>
    </row>
    <row r="79" spans="1:6">
      <c r="A79" s="205" t="s">
        <v>754</v>
      </c>
      <c r="B79" s="205"/>
      <c r="C79" s="205"/>
      <c r="D79" s="194"/>
      <c r="E79" s="206"/>
      <c r="F79" s="204">
        <f t="shared" si="2"/>
        <v>0</v>
      </c>
    </row>
    <row r="80" spans="1:6">
      <c r="A80" s="205" t="s">
        <v>755</v>
      </c>
      <c r="B80" s="205"/>
      <c r="C80" s="205"/>
      <c r="D80" s="194"/>
      <c r="E80" s="206"/>
      <c r="F80" s="204">
        <f t="shared" si="2"/>
        <v>0</v>
      </c>
    </row>
    <row r="81" spans="1:6">
      <c r="A81" s="205" t="s">
        <v>756</v>
      </c>
      <c r="B81" s="205"/>
      <c r="C81" s="205"/>
      <c r="D81" s="194"/>
      <c r="E81" s="206"/>
      <c r="F81" s="204">
        <f t="shared" ref="F81:F103" si="3">E81*D81</f>
        <v>0</v>
      </c>
    </row>
    <row r="82" spans="1:6">
      <c r="A82" s="205" t="s">
        <v>757</v>
      </c>
      <c r="B82" s="205"/>
      <c r="C82" s="205"/>
      <c r="D82" s="194"/>
      <c r="E82" s="206"/>
      <c r="F82" s="204">
        <f t="shared" si="3"/>
        <v>0</v>
      </c>
    </row>
    <row r="83" spans="1:6">
      <c r="A83" s="205" t="s">
        <v>758</v>
      </c>
      <c r="B83" s="205"/>
      <c r="C83" s="205"/>
      <c r="D83" s="194"/>
      <c r="E83" s="206"/>
      <c r="F83" s="204">
        <f t="shared" si="3"/>
        <v>0</v>
      </c>
    </row>
    <row r="84" spans="1:6">
      <c r="A84" s="205" t="s">
        <v>759</v>
      </c>
      <c r="B84" s="205"/>
      <c r="C84" s="205"/>
      <c r="D84" s="194"/>
      <c r="E84" s="206"/>
      <c r="F84" s="204">
        <f t="shared" si="3"/>
        <v>0</v>
      </c>
    </row>
    <row r="85" spans="1:6">
      <c r="A85" s="205"/>
      <c r="B85" s="205"/>
      <c r="C85" s="205"/>
      <c r="D85" s="194"/>
      <c r="E85" s="206"/>
      <c r="F85" s="204">
        <f t="shared" si="3"/>
        <v>0</v>
      </c>
    </row>
    <row r="86" spans="1:6">
      <c r="A86" s="205"/>
      <c r="B86" s="205"/>
      <c r="C86" s="205"/>
      <c r="D86" s="194"/>
      <c r="E86" s="206"/>
      <c r="F86" s="204">
        <f t="shared" si="3"/>
        <v>0</v>
      </c>
    </row>
    <row r="87" spans="1:6">
      <c r="A87" s="205"/>
      <c r="B87" s="205"/>
      <c r="C87" s="205"/>
      <c r="D87" s="194"/>
      <c r="E87" s="206"/>
      <c r="F87" s="204">
        <f t="shared" si="3"/>
        <v>0</v>
      </c>
    </row>
    <row r="88" spans="1:6">
      <c r="A88" s="205"/>
      <c r="B88" s="205"/>
      <c r="C88" s="205"/>
      <c r="D88" s="194"/>
      <c r="E88" s="206"/>
      <c r="F88" s="204">
        <f t="shared" si="3"/>
        <v>0</v>
      </c>
    </row>
    <row r="89" spans="1:6">
      <c r="A89" s="205"/>
      <c r="B89" s="205"/>
      <c r="C89" s="205"/>
      <c r="D89" s="194"/>
      <c r="E89" s="206"/>
      <c r="F89" s="204">
        <f t="shared" si="3"/>
        <v>0</v>
      </c>
    </row>
    <row r="90" spans="1:6">
      <c r="A90" s="205"/>
      <c r="B90" s="205"/>
      <c r="C90" s="205"/>
      <c r="D90" s="194"/>
      <c r="E90" s="206"/>
      <c r="F90" s="204">
        <f t="shared" si="3"/>
        <v>0</v>
      </c>
    </row>
    <row r="91" spans="1:6">
      <c r="A91" s="205"/>
      <c r="B91" s="205"/>
      <c r="C91" s="205"/>
      <c r="D91" s="194"/>
      <c r="E91" s="206"/>
      <c r="F91" s="204">
        <f t="shared" si="3"/>
        <v>0</v>
      </c>
    </row>
    <row r="92" spans="1:6">
      <c r="A92" s="205"/>
      <c r="B92" s="205"/>
      <c r="C92" s="205"/>
      <c r="D92" s="194"/>
      <c r="E92" s="206"/>
      <c r="F92" s="204">
        <f t="shared" si="3"/>
        <v>0</v>
      </c>
    </row>
    <row r="93" spans="1:6">
      <c r="A93" s="205"/>
      <c r="B93" s="205"/>
      <c r="C93" s="205"/>
      <c r="D93" s="194"/>
      <c r="E93" s="206"/>
      <c r="F93" s="204">
        <f t="shared" si="3"/>
        <v>0</v>
      </c>
    </row>
    <row r="94" spans="1:6">
      <c r="A94" s="205"/>
      <c r="B94" s="205"/>
      <c r="C94" s="205"/>
      <c r="D94" s="194"/>
      <c r="E94" s="206"/>
      <c r="F94" s="204">
        <f t="shared" si="3"/>
        <v>0</v>
      </c>
    </row>
    <row r="95" spans="1:6">
      <c r="A95" s="205"/>
      <c r="B95" s="205"/>
      <c r="C95" s="205"/>
      <c r="D95" s="194"/>
      <c r="E95" s="206"/>
      <c r="F95" s="204">
        <f t="shared" si="3"/>
        <v>0</v>
      </c>
    </row>
    <row r="96" spans="1:6">
      <c r="A96" s="205"/>
      <c r="B96" s="205"/>
      <c r="C96" s="205"/>
      <c r="D96" s="194"/>
      <c r="E96" s="206"/>
      <c r="F96" s="204">
        <f t="shared" si="3"/>
        <v>0</v>
      </c>
    </row>
    <row r="97" spans="1:6">
      <c r="A97" s="205"/>
      <c r="B97" s="205"/>
      <c r="C97" s="205"/>
      <c r="D97" s="194"/>
      <c r="E97" s="206"/>
      <c r="F97" s="204">
        <f t="shared" si="3"/>
        <v>0</v>
      </c>
    </row>
    <row r="98" spans="1:6">
      <c r="A98" s="205"/>
      <c r="B98" s="205"/>
      <c r="C98" s="205"/>
      <c r="D98" s="194"/>
      <c r="E98" s="206"/>
      <c r="F98" s="204">
        <f t="shared" si="3"/>
        <v>0</v>
      </c>
    </row>
    <row r="99" spans="1:6">
      <c r="A99" s="205"/>
      <c r="B99" s="205"/>
      <c r="C99" s="205"/>
      <c r="D99" s="194"/>
      <c r="E99" s="206"/>
      <c r="F99" s="204">
        <f t="shared" si="3"/>
        <v>0</v>
      </c>
    </row>
    <row r="100" spans="1:6">
      <c r="A100" s="205"/>
      <c r="B100" s="205"/>
      <c r="C100" s="205"/>
      <c r="D100" s="194"/>
      <c r="E100" s="206"/>
      <c r="F100" s="204">
        <f t="shared" si="3"/>
        <v>0</v>
      </c>
    </row>
    <row r="101" spans="1:6">
      <c r="A101" s="205"/>
      <c r="B101" s="205"/>
      <c r="C101" s="205"/>
      <c r="D101" s="194"/>
      <c r="E101" s="206"/>
      <c r="F101" s="204">
        <f t="shared" si="3"/>
        <v>0</v>
      </c>
    </row>
    <row r="102" spans="1:6">
      <c r="A102" s="205"/>
      <c r="B102" s="205"/>
      <c r="C102" s="205"/>
      <c r="D102" s="194"/>
      <c r="E102" s="206"/>
      <c r="F102" s="204">
        <f t="shared" si="3"/>
        <v>0</v>
      </c>
    </row>
    <row r="103" spans="1:6">
      <c r="A103" s="205"/>
      <c r="B103" s="205"/>
      <c r="C103" s="205"/>
      <c r="D103" s="194"/>
      <c r="E103" s="206"/>
      <c r="F103" s="204">
        <f t="shared" si="3"/>
        <v>0</v>
      </c>
    </row>
    <row r="104" spans="1:6">
      <c r="A104" s="205"/>
      <c r="B104" s="205"/>
      <c r="C104" s="205"/>
      <c r="D104" s="194"/>
      <c r="E104" s="206"/>
      <c r="F104" s="204">
        <f t="shared" ref="F104:F117" si="4">E104*D104</f>
        <v>0</v>
      </c>
    </row>
    <row r="105" spans="1:6">
      <c r="A105" s="205"/>
      <c r="B105" s="205"/>
      <c r="C105" s="205"/>
      <c r="D105" s="194"/>
      <c r="E105" s="206"/>
      <c r="F105" s="204">
        <f t="shared" si="4"/>
        <v>0</v>
      </c>
    </row>
    <row r="106" spans="1:6">
      <c r="A106" s="205"/>
      <c r="B106" s="205"/>
      <c r="C106" s="205"/>
      <c r="D106" s="194"/>
      <c r="E106" s="206"/>
      <c r="F106" s="204">
        <f t="shared" si="4"/>
        <v>0</v>
      </c>
    </row>
    <row r="107" spans="1:6">
      <c r="A107" s="205"/>
      <c r="B107" s="205"/>
      <c r="C107" s="205"/>
      <c r="D107" s="194"/>
      <c r="E107" s="206"/>
      <c r="F107" s="204">
        <f t="shared" si="4"/>
        <v>0</v>
      </c>
    </row>
    <row r="108" spans="1:6">
      <c r="A108" s="205"/>
      <c r="B108" s="205"/>
      <c r="C108" s="205"/>
      <c r="D108" s="194"/>
      <c r="E108" s="206"/>
      <c r="F108" s="204">
        <f t="shared" si="4"/>
        <v>0</v>
      </c>
    </row>
    <row r="109" spans="1:6">
      <c r="A109" s="205"/>
      <c r="B109" s="205"/>
      <c r="C109" s="205"/>
      <c r="D109" s="194"/>
      <c r="E109" s="206"/>
      <c r="F109" s="204">
        <f t="shared" si="4"/>
        <v>0</v>
      </c>
    </row>
    <row r="110" spans="1:6">
      <c r="A110" s="205"/>
      <c r="B110" s="205"/>
      <c r="C110" s="205"/>
      <c r="D110" s="194"/>
      <c r="E110" s="206"/>
      <c r="F110" s="204">
        <f t="shared" si="4"/>
        <v>0</v>
      </c>
    </row>
    <row r="111" spans="1:6">
      <c r="A111" s="205"/>
      <c r="B111" s="205"/>
      <c r="C111" s="205"/>
      <c r="D111" s="194"/>
      <c r="E111" s="206"/>
      <c r="F111" s="204">
        <f t="shared" si="4"/>
        <v>0</v>
      </c>
    </row>
    <row r="112" spans="1:6">
      <c r="A112" s="205"/>
      <c r="B112" s="205"/>
      <c r="C112" s="205"/>
      <c r="D112" s="194"/>
      <c r="E112" s="206"/>
      <c r="F112" s="204">
        <f t="shared" si="4"/>
        <v>0</v>
      </c>
    </row>
    <row r="113" spans="1:6">
      <c r="A113" s="205"/>
      <c r="B113" s="205"/>
      <c r="C113" s="205"/>
      <c r="D113" s="194"/>
      <c r="E113" s="206"/>
      <c r="F113" s="204">
        <f t="shared" si="4"/>
        <v>0</v>
      </c>
    </row>
    <row r="114" spans="1:6">
      <c r="A114" s="205"/>
      <c r="B114" s="205"/>
      <c r="C114" s="205"/>
      <c r="D114" s="194"/>
      <c r="E114" s="206"/>
      <c r="F114" s="204">
        <f t="shared" si="4"/>
        <v>0</v>
      </c>
    </row>
    <row r="115" spans="1:6">
      <c r="A115" s="205"/>
      <c r="B115" s="205"/>
      <c r="C115" s="205"/>
      <c r="D115" s="194"/>
      <c r="E115" s="206"/>
      <c r="F115" s="204">
        <f t="shared" si="4"/>
        <v>0</v>
      </c>
    </row>
    <row r="116" spans="1:6">
      <c r="A116" s="205"/>
      <c r="B116" s="205"/>
      <c r="C116" s="205"/>
      <c r="D116" s="194"/>
      <c r="E116" s="206"/>
      <c r="F116" s="204">
        <f t="shared" si="4"/>
        <v>0</v>
      </c>
    </row>
    <row r="117" spans="1:6">
      <c r="A117" s="205"/>
      <c r="B117" s="205"/>
      <c r="C117" s="205"/>
      <c r="D117" s="194"/>
      <c r="E117" s="206"/>
      <c r="F117" s="204">
        <f t="shared" si="4"/>
        <v>0</v>
      </c>
    </row>
    <row r="118" spans="1:6">
      <c r="A118" s="205"/>
      <c r="B118" s="205"/>
      <c r="C118" s="205"/>
      <c r="D118" s="194"/>
      <c r="E118" s="206"/>
      <c r="F118" s="204">
        <f t="shared" ref="F118:F158" si="5">E118*D118</f>
        <v>0</v>
      </c>
    </row>
    <row r="119" spans="1:6">
      <c r="A119" s="205"/>
      <c r="B119" s="205"/>
      <c r="C119" s="205"/>
      <c r="D119" s="194"/>
      <c r="E119" s="206"/>
      <c r="F119" s="204">
        <f t="shared" si="5"/>
        <v>0</v>
      </c>
    </row>
    <row r="120" spans="1:6">
      <c r="A120" s="205"/>
      <c r="B120" s="205"/>
      <c r="C120" s="205"/>
      <c r="D120" s="194"/>
      <c r="E120" s="206"/>
      <c r="F120" s="204">
        <f t="shared" si="5"/>
        <v>0</v>
      </c>
    </row>
    <row r="121" spans="1:6">
      <c r="A121" s="205"/>
      <c r="B121" s="205"/>
      <c r="C121" s="205"/>
      <c r="D121" s="194"/>
      <c r="E121" s="206"/>
      <c r="F121" s="204">
        <f t="shared" si="5"/>
        <v>0</v>
      </c>
    </row>
    <row r="122" spans="1:6">
      <c r="A122" s="205"/>
      <c r="B122" s="205"/>
      <c r="C122" s="205"/>
      <c r="D122" s="194"/>
      <c r="E122" s="206"/>
      <c r="F122" s="204">
        <f t="shared" si="5"/>
        <v>0</v>
      </c>
    </row>
    <row r="123" spans="1:6">
      <c r="A123" s="205"/>
      <c r="B123" s="205"/>
      <c r="C123" s="205"/>
      <c r="D123" s="194"/>
      <c r="E123" s="206"/>
      <c r="F123" s="204">
        <f t="shared" si="5"/>
        <v>0</v>
      </c>
    </row>
    <row r="124" spans="1:6">
      <c r="A124" s="205"/>
      <c r="B124" s="205"/>
      <c r="C124" s="205"/>
      <c r="D124" s="194"/>
      <c r="E124" s="206"/>
      <c r="F124" s="204">
        <f t="shared" si="5"/>
        <v>0</v>
      </c>
    </row>
    <row r="125" spans="1:6">
      <c r="A125" s="205"/>
      <c r="B125" s="205"/>
      <c r="C125" s="205"/>
      <c r="D125" s="194"/>
      <c r="E125" s="206"/>
      <c r="F125" s="204">
        <f t="shared" si="5"/>
        <v>0</v>
      </c>
    </row>
    <row r="126" spans="1:6">
      <c r="A126" s="205"/>
      <c r="B126" s="205"/>
      <c r="C126" s="205"/>
      <c r="D126" s="194"/>
      <c r="E126" s="206"/>
      <c r="F126" s="204">
        <f t="shared" si="5"/>
        <v>0</v>
      </c>
    </row>
    <row r="127" spans="1:6">
      <c r="A127" s="205"/>
      <c r="B127" s="205"/>
      <c r="C127" s="205"/>
      <c r="D127" s="194"/>
      <c r="E127" s="206"/>
      <c r="F127" s="204">
        <f t="shared" si="5"/>
        <v>0</v>
      </c>
    </row>
    <row r="128" spans="1:6">
      <c r="A128" s="205"/>
      <c r="B128" s="205"/>
      <c r="C128" s="205"/>
      <c r="D128" s="194"/>
      <c r="E128" s="206"/>
      <c r="F128" s="204">
        <f t="shared" si="5"/>
        <v>0</v>
      </c>
    </row>
    <row r="129" spans="1:6">
      <c r="A129" s="205"/>
      <c r="B129" s="205"/>
      <c r="C129" s="205"/>
      <c r="D129" s="194"/>
      <c r="E129" s="206"/>
      <c r="F129" s="204">
        <f t="shared" si="5"/>
        <v>0</v>
      </c>
    </row>
    <row r="130" spans="1:6">
      <c r="A130" s="205"/>
      <c r="B130" s="205"/>
      <c r="C130" s="205"/>
      <c r="D130" s="194"/>
      <c r="E130" s="206"/>
      <c r="F130" s="204">
        <f t="shared" si="5"/>
        <v>0</v>
      </c>
    </row>
    <row r="131" spans="1:6">
      <c r="A131" s="205"/>
      <c r="B131" s="205"/>
      <c r="C131" s="205"/>
      <c r="D131" s="194"/>
      <c r="E131" s="206"/>
      <c r="F131" s="204">
        <f t="shared" si="5"/>
        <v>0</v>
      </c>
    </row>
    <row r="132" spans="1:6">
      <c r="A132" s="205"/>
      <c r="B132" s="205"/>
      <c r="C132" s="205"/>
      <c r="D132" s="194"/>
      <c r="E132" s="206"/>
      <c r="F132" s="204">
        <f t="shared" si="5"/>
        <v>0</v>
      </c>
    </row>
    <row r="133" spans="1:6">
      <c r="A133" s="205"/>
      <c r="B133" s="205"/>
      <c r="C133" s="205"/>
      <c r="D133" s="194"/>
      <c r="E133" s="206"/>
      <c r="F133" s="204">
        <f t="shared" si="5"/>
        <v>0</v>
      </c>
    </row>
    <row r="134" spans="1:6">
      <c r="A134" s="205"/>
      <c r="B134" s="205"/>
      <c r="C134" s="205"/>
      <c r="D134" s="194"/>
      <c r="E134" s="206"/>
      <c r="F134" s="204">
        <f t="shared" si="5"/>
        <v>0</v>
      </c>
    </row>
    <row r="135" spans="1:6">
      <c r="A135" s="205"/>
      <c r="B135" s="205"/>
      <c r="C135" s="205"/>
      <c r="D135" s="194"/>
      <c r="E135" s="206"/>
      <c r="F135" s="204">
        <f t="shared" si="5"/>
        <v>0</v>
      </c>
    </row>
    <row r="136" spans="1:6">
      <c r="A136" s="205"/>
      <c r="B136" s="205"/>
      <c r="C136" s="205"/>
      <c r="D136" s="194"/>
      <c r="E136" s="206"/>
      <c r="F136" s="204">
        <f t="shared" si="5"/>
        <v>0</v>
      </c>
    </row>
    <row r="137" spans="1:6">
      <c r="A137" s="205"/>
      <c r="B137" s="205"/>
      <c r="C137" s="205"/>
      <c r="D137" s="194"/>
      <c r="E137" s="206"/>
      <c r="F137" s="204">
        <f t="shared" si="5"/>
        <v>0</v>
      </c>
    </row>
    <row r="138" spans="1:6">
      <c r="A138" s="205"/>
      <c r="B138" s="205"/>
      <c r="C138" s="205"/>
      <c r="D138" s="194"/>
      <c r="E138" s="206"/>
      <c r="F138" s="204">
        <f t="shared" si="5"/>
        <v>0</v>
      </c>
    </row>
    <row r="139" spans="1:6">
      <c r="A139" s="205"/>
      <c r="B139" s="205"/>
      <c r="C139" s="205"/>
      <c r="D139" s="194"/>
      <c r="E139" s="206"/>
      <c r="F139" s="204">
        <f t="shared" si="5"/>
        <v>0</v>
      </c>
    </row>
    <row r="140" spans="1:6">
      <c r="A140" s="205"/>
      <c r="B140" s="205"/>
      <c r="C140" s="205"/>
      <c r="D140" s="194"/>
      <c r="E140" s="206"/>
      <c r="F140" s="204">
        <f t="shared" si="5"/>
        <v>0</v>
      </c>
    </row>
    <row r="141" spans="1:6">
      <c r="A141" s="205"/>
      <c r="B141" s="205"/>
      <c r="C141" s="205"/>
      <c r="D141" s="194"/>
      <c r="E141" s="206"/>
      <c r="F141" s="204">
        <f t="shared" si="5"/>
        <v>0</v>
      </c>
    </row>
    <row r="142" spans="1:6">
      <c r="A142" s="205"/>
      <c r="B142" s="205"/>
      <c r="C142" s="205"/>
      <c r="D142" s="194"/>
      <c r="E142" s="206"/>
      <c r="F142" s="204">
        <f t="shared" si="5"/>
        <v>0</v>
      </c>
    </row>
    <row r="143" spans="1:6">
      <c r="A143" s="205"/>
      <c r="B143" s="205"/>
      <c r="C143" s="205"/>
      <c r="D143" s="194"/>
      <c r="E143" s="206"/>
      <c r="F143" s="204">
        <f t="shared" si="5"/>
        <v>0</v>
      </c>
    </row>
    <row r="144" spans="1:6">
      <c r="A144" s="205"/>
      <c r="B144" s="205"/>
      <c r="C144" s="205"/>
      <c r="D144" s="194"/>
      <c r="E144" s="206"/>
      <c r="F144" s="204">
        <f t="shared" si="5"/>
        <v>0</v>
      </c>
    </row>
    <row r="145" spans="1:6">
      <c r="A145" s="205"/>
      <c r="B145" s="205"/>
      <c r="C145" s="205"/>
      <c r="D145" s="194"/>
      <c r="E145" s="206"/>
      <c r="F145" s="204">
        <f t="shared" si="5"/>
        <v>0</v>
      </c>
    </row>
    <row r="146" spans="1:6">
      <c r="A146" s="205"/>
      <c r="B146" s="205"/>
      <c r="C146" s="205"/>
      <c r="D146" s="194"/>
      <c r="E146" s="206"/>
      <c r="F146" s="204">
        <f t="shared" si="5"/>
        <v>0</v>
      </c>
    </row>
    <row r="147" spans="1:6">
      <c r="A147" s="205"/>
      <c r="B147" s="205"/>
      <c r="C147" s="205"/>
      <c r="D147" s="194"/>
      <c r="E147" s="206"/>
      <c r="F147" s="204">
        <f t="shared" si="5"/>
        <v>0</v>
      </c>
    </row>
    <row r="148" spans="1:6">
      <c r="A148" s="205"/>
      <c r="B148" s="205"/>
      <c r="C148" s="205"/>
      <c r="D148" s="194"/>
      <c r="E148" s="206"/>
      <c r="F148" s="204">
        <f t="shared" si="5"/>
        <v>0</v>
      </c>
    </row>
    <row r="149" spans="1:6">
      <c r="A149" s="205"/>
      <c r="B149" s="205"/>
      <c r="C149" s="205"/>
      <c r="D149" s="194"/>
      <c r="E149" s="206"/>
      <c r="F149" s="204">
        <f t="shared" si="5"/>
        <v>0</v>
      </c>
    </row>
    <row r="150" spans="1:6">
      <c r="A150" s="205"/>
      <c r="B150" s="205"/>
      <c r="C150" s="205"/>
      <c r="D150" s="194"/>
      <c r="E150" s="206"/>
      <c r="F150" s="204">
        <f t="shared" si="5"/>
        <v>0</v>
      </c>
    </row>
    <row r="151" spans="1:6">
      <c r="A151" s="205"/>
      <c r="B151" s="205"/>
      <c r="C151" s="205"/>
      <c r="D151" s="194"/>
      <c r="E151" s="206"/>
      <c r="F151" s="204">
        <f t="shared" si="5"/>
        <v>0</v>
      </c>
    </row>
    <row r="152" spans="1:6">
      <c r="A152" s="205"/>
      <c r="B152" s="205"/>
      <c r="C152" s="205"/>
      <c r="D152" s="194"/>
      <c r="E152" s="206"/>
      <c r="F152" s="204">
        <f t="shared" si="5"/>
        <v>0</v>
      </c>
    </row>
    <row r="153" spans="1:6">
      <c r="A153" s="205"/>
      <c r="B153" s="205"/>
      <c r="C153" s="205"/>
      <c r="D153" s="194"/>
      <c r="E153" s="206"/>
      <c r="F153" s="204">
        <f t="shared" si="5"/>
        <v>0</v>
      </c>
    </row>
    <row r="154" spans="1:6">
      <c r="A154" s="205"/>
      <c r="B154" s="205"/>
      <c r="C154" s="205"/>
      <c r="D154" s="194"/>
      <c r="E154" s="206"/>
      <c r="F154" s="204">
        <f t="shared" si="5"/>
        <v>0</v>
      </c>
    </row>
    <row r="155" spans="1:6">
      <c r="A155" s="205"/>
      <c r="B155" s="205"/>
      <c r="C155" s="205"/>
      <c r="D155" s="194"/>
      <c r="E155" s="206"/>
      <c r="F155" s="204">
        <f t="shared" si="5"/>
        <v>0</v>
      </c>
    </row>
    <row r="156" spans="1:6">
      <c r="A156" s="205"/>
      <c r="B156" s="205"/>
      <c r="C156" s="205"/>
      <c r="D156" s="194"/>
      <c r="E156" s="206"/>
      <c r="F156" s="204">
        <f t="shared" si="5"/>
        <v>0</v>
      </c>
    </row>
    <row r="157" spans="1:6">
      <c r="A157" s="205"/>
      <c r="B157" s="205"/>
      <c r="C157" s="205"/>
      <c r="D157" s="194"/>
      <c r="E157" s="206"/>
      <c r="F157" s="204">
        <f t="shared" si="5"/>
        <v>0</v>
      </c>
    </row>
    <row r="158" spans="1:6">
      <c r="A158" s="205"/>
      <c r="B158" s="205"/>
      <c r="C158" s="205"/>
      <c r="D158" s="194"/>
      <c r="E158" s="206"/>
      <c r="F158" s="204">
        <f t="shared" si="5"/>
        <v>0</v>
      </c>
    </row>
    <row r="159" spans="1:6">
      <c r="A159" s="205"/>
    </row>
  </sheetData>
  <autoFilter ref="A2:F104" xr:uid="{B84383AA-B28D-469A-8BA3-E10A8F9259B2}">
    <sortState xmlns:xlrd2="http://schemas.microsoft.com/office/spreadsheetml/2017/richdata2" ref="A3:F104">
      <sortCondition descending="1" ref="F2:F104"/>
    </sortState>
  </autoFilter>
  <sortState xmlns:xlrd2="http://schemas.microsoft.com/office/spreadsheetml/2017/richdata2" ref="A3:F52">
    <sortCondition descending="1" ref="F3:F52"/>
  </sortState>
  <phoneticPr fontId="45" type="noConversion"/>
  <pageMargins left="0.51181102362204722" right="0.51181102362204722" top="0.78740157480314965" bottom="0.78740157480314965" header="0.31496062992125984" footer="0.31496062992125984"/>
  <pageSetup paperSize="9" scale="37" orientation="landscape" horizontalDpi="4294967293" verticalDpi="4294967293" r:id="rId1"/>
  <drawing r:id="rId2"/>
  <legacyDrawing r:id="rId3"/>
  <controls>
    <mc:AlternateContent xmlns:mc="http://schemas.openxmlformats.org/markup-compatibility/2006">
      <mc:Choice Requires="x14">
        <control shapeId="151555" r:id="rId4" name="Label1">
          <controlPr defaultSize="0" autoLine="0" r:id="rId5">
            <anchor moveWithCells="1">
              <from>
                <xdr:col>0</xdr:col>
                <xdr:colOff>60960</xdr:colOff>
                <xdr:row>0</xdr:row>
                <xdr:rowOff>22860</xdr:rowOff>
              </from>
              <to>
                <xdr:col>1</xdr:col>
                <xdr:colOff>2971800</xdr:colOff>
                <xdr:row>0</xdr:row>
                <xdr:rowOff>152400</xdr:rowOff>
              </to>
            </anchor>
          </controlPr>
        </control>
      </mc:Choice>
      <mc:Fallback>
        <control shapeId="151555" r:id="rId4" name="Label1"/>
      </mc:Fallback>
    </mc:AlternateContent>
    <mc:AlternateContent xmlns:mc="http://schemas.openxmlformats.org/markup-compatibility/2006">
      <mc:Choice Requires="x14">
        <control shapeId="151554" r:id="rId6" name="ComboBox5">
          <controlPr defaultSize="0" autoLine="0" r:id="rId7">
            <anchor moveWithCells="1">
              <from>
                <xdr:col>0</xdr:col>
                <xdr:colOff>7620</xdr:colOff>
                <xdr:row>0</xdr:row>
                <xdr:rowOff>175260</xdr:rowOff>
              </from>
              <to>
                <xdr:col>1</xdr:col>
                <xdr:colOff>3086100</xdr:colOff>
                <xdr:row>0</xdr:row>
                <xdr:rowOff>411480</xdr:rowOff>
              </to>
            </anchor>
          </controlPr>
        </control>
      </mc:Choice>
      <mc:Fallback>
        <control shapeId="151554" r:id="rId6" name="ComboBox5"/>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F38F0-A310-4D75-8BE7-8F481A714364}">
  <sheetPr codeName="Planilha31">
    <tabColor theme="7" tint="0.39997558519241921"/>
  </sheetPr>
  <dimension ref="A1:AU56"/>
  <sheetViews>
    <sheetView showGridLines="0" workbookViewId="0">
      <pane ySplit="2" topLeftCell="A3" activePane="bottomLeft" state="frozen"/>
      <selection activeCell="D4" sqref="D4:Z4"/>
      <selection pane="bottomLeft" activeCell="G29" sqref="G29"/>
    </sheetView>
  </sheetViews>
  <sheetFormatPr defaultRowHeight="14.4"/>
  <cols>
    <col min="2" max="2" width="46.33203125" customWidth="1"/>
    <col min="4" max="4" width="13.88671875" bestFit="1" customWidth="1"/>
    <col min="5" max="5" width="12.5546875" bestFit="1" customWidth="1"/>
    <col min="6" max="6" width="12.33203125" bestFit="1" customWidth="1"/>
    <col min="7" max="7" width="79" bestFit="1" customWidth="1"/>
    <col min="8" max="8" width="9.88671875" bestFit="1" customWidth="1"/>
    <col min="11" max="11" width="10" bestFit="1" customWidth="1"/>
  </cols>
  <sheetData>
    <row r="1" spans="1:47" ht="40.5" customHeight="1"/>
    <row r="2" spans="1:47" s="17" customFormat="1" ht="13.8">
      <c r="A2" s="207" t="s">
        <v>688</v>
      </c>
      <c r="B2" s="207" t="s">
        <v>324</v>
      </c>
      <c r="C2" s="207" t="s">
        <v>371</v>
      </c>
      <c r="D2" s="207" t="s">
        <v>689</v>
      </c>
      <c r="E2" s="207" t="s">
        <v>690</v>
      </c>
      <c r="F2" s="207" t="s">
        <v>691</v>
      </c>
      <c r="G2" s="207" t="s">
        <v>760</v>
      </c>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row>
    <row r="3" spans="1:47" s="7" customFormat="1" ht="13.8">
      <c r="A3" s="205" t="s">
        <v>761</v>
      </c>
      <c r="B3" s="205"/>
      <c r="C3" s="205"/>
      <c r="D3" s="194"/>
      <c r="E3" s="206"/>
      <c r="F3" s="204">
        <f t="shared" ref="F3:F52" si="0">E3*D3</f>
        <v>0</v>
      </c>
      <c r="G3" s="205"/>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row>
    <row r="4" spans="1:47" s="7" customFormat="1" ht="13.8">
      <c r="A4" s="205" t="s">
        <v>762</v>
      </c>
      <c r="B4" s="205"/>
      <c r="C4" s="205"/>
      <c r="D4" s="194"/>
      <c r="E4" s="206"/>
      <c r="F4" s="204">
        <f t="shared" si="0"/>
        <v>0</v>
      </c>
      <c r="G4" s="205"/>
      <c r="O4" s="178"/>
      <c r="P4" s="178"/>
      <c r="Q4" s="178"/>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row>
    <row r="5" spans="1:47" s="7" customFormat="1" ht="13.8">
      <c r="A5" s="205" t="s">
        <v>763</v>
      </c>
      <c r="B5" s="205"/>
      <c r="C5" s="205"/>
      <c r="D5" s="194"/>
      <c r="E5" s="206"/>
      <c r="F5" s="204">
        <f t="shared" si="0"/>
        <v>0</v>
      </c>
      <c r="G5" s="205"/>
      <c r="O5" s="178"/>
      <c r="P5" s="178"/>
      <c r="Q5" s="178"/>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c r="AQ5" s="178"/>
      <c r="AR5" s="178"/>
      <c r="AS5" s="178"/>
      <c r="AT5" s="178"/>
      <c r="AU5" s="178"/>
    </row>
    <row r="6" spans="1:47" s="7" customFormat="1" ht="13.8">
      <c r="A6" s="205" t="s">
        <v>764</v>
      </c>
      <c r="B6" s="205"/>
      <c r="C6" s="205"/>
      <c r="D6" s="194"/>
      <c r="E6" s="206"/>
      <c r="F6" s="204">
        <f t="shared" si="0"/>
        <v>0</v>
      </c>
      <c r="G6" s="205"/>
      <c r="O6" s="178"/>
      <c r="P6" s="178"/>
      <c r="Q6" s="178"/>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c r="AQ6" s="178"/>
      <c r="AR6" s="178"/>
      <c r="AS6" s="178"/>
      <c r="AT6" s="178"/>
      <c r="AU6" s="178"/>
    </row>
    <row r="7" spans="1:47" s="7" customFormat="1" ht="13.8">
      <c r="A7" s="205" t="s">
        <v>765</v>
      </c>
      <c r="B7" s="205"/>
      <c r="C7" s="205"/>
      <c r="D7" s="194"/>
      <c r="E7" s="206"/>
      <c r="F7" s="204">
        <f t="shared" si="0"/>
        <v>0</v>
      </c>
      <c r="G7" s="205"/>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row>
    <row r="8" spans="1:47" s="7" customFormat="1" ht="13.8">
      <c r="A8" s="205" t="s">
        <v>766</v>
      </c>
      <c r="B8" s="205"/>
      <c r="C8" s="205"/>
      <c r="D8" s="194"/>
      <c r="E8" s="206"/>
      <c r="F8" s="204">
        <f t="shared" si="0"/>
        <v>0</v>
      </c>
      <c r="G8" s="205"/>
      <c r="O8" s="178"/>
      <c r="P8" s="178"/>
      <c r="Q8" s="178"/>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row>
    <row r="9" spans="1:47" s="7" customFormat="1" ht="13.8">
      <c r="A9" s="205" t="s">
        <v>767</v>
      </c>
      <c r="B9" s="205"/>
      <c r="C9" s="205"/>
      <c r="D9" s="194"/>
      <c r="E9" s="206"/>
      <c r="F9" s="204">
        <f t="shared" si="0"/>
        <v>0</v>
      </c>
      <c r="G9" s="205"/>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row>
    <row r="10" spans="1:47" s="7" customFormat="1" ht="13.8">
      <c r="A10" s="205" t="s">
        <v>768</v>
      </c>
      <c r="B10" s="205"/>
      <c r="C10" s="205"/>
      <c r="D10" s="194"/>
      <c r="E10" s="206"/>
      <c r="F10" s="204">
        <f t="shared" si="0"/>
        <v>0</v>
      </c>
      <c r="G10" s="205"/>
      <c r="O10" s="178"/>
      <c r="P10" s="178"/>
      <c r="Q10" s="178"/>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row>
    <row r="11" spans="1:47" s="7" customFormat="1" ht="13.8">
      <c r="A11" s="205" t="s">
        <v>769</v>
      </c>
      <c r="B11" s="205"/>
      <c r="C11" s="205"/>
      <c r="D11" s="194"/>
      <c r="E11" s="206"/>
      <c r="F11" s="204">
        <f t="shared" si="0"/>
        <v>0</v>
      </c>
      <c r="G11" s="205"/>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row>
    <row r="12" spans="1:47" s="7" customFormat="1" ht="13.8">
      <c r="A12" s="205" t="s">
        <v>770</v>
      </c>
      <c r="B12" s="205"/>
      <c r="C12" s="205"/>
      <c r="D12" s="194"/>
      <c r="E12" s="206"/>
      <c r="F12" s="204">
        <f t="shared" si="0"/>
        <v>0</v>
      </c>
      <c r="G12" s="205"/>
      <c r="O12" s="178"/>
      <c r="P12" s="178"/>
      <c r="Q12" s="178"/>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row>
    <row r="13" spans="1:47" s="7" customFormat="1" ht="13.8">
      <c r="A13" s="205" t="s">
        <v>771</v>
      </c>
      <c r="B13" s="205"/>
      <c r="C13" s="205"/>
      <c r="D13" s="194"/>
      <c r="E13" s="206"/>
      <c r="F13" s="204">
        <f t="shared" si="0"/>
        <v>0</v>
      </c>
      <c r="G13" s="205"/>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row>
    <row r="14" spans="1:47" s="7" customFormat="1" ht="13.8">
      <c r="A14" s="205" t="s">
        <v>772</v>
      </c>
      <c r="B14" s="205"/>
      <c r="C14" s="205"/>
      <c r="D14" s="194"/>
      <c r="E14" s="206"/>
      <c r="F14" s="204">
        <f t="shared" si="0"/>
        <v>0</v>
      </c>
      <c r="G14" s="205"/>
      <c r="O14" s="178"/>
      <c r="P14" s="178"/>
      <c r="Q14" s="178"/>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c r="AP14" s="178"/>
      <c r="AQ14" s="178"/>
      <c r="AR14" s="178"/>
      <c r="AS14" s="178"/>
      <c r="AT14" s="178"/>
      <c r="AU14" s="178"/>
    </row>
    <row r="15" spans="1:47" s="7" customFormat="1" ht="13.8">
      <c r="A15" s="205" t="s">
        <v>773</v>
      </c>
      <c r="B15" s="205"/>
      <c r="C15" s="205"/>
      <c r="D15" s="194"/>
      <c r="E15" s="206"/>
      <c r="F15" s="204">
        <f t="shared" si="0"/>
        <v>0</v>
      </c>
      <c r="G15" s="205"/>
      <c r="O15" s="178"/>
      <c r="P15" s="178"/>
      <c r="Q15" s="178"/>
      <c r="R15" s="178"/>
      <c r="S15" s="178"/>
      <c r="T15" s="178"/>
      <c r="U15" s="178"/>
      <c r="V15" s="178"/>
      <c r="W15" s="178"/>
      <c r="X15" s="178"/>
      <c r="Y15" s="178"/>
      <c r="Z15" s="178"/>
      <c r="AA15" s="178"/>
      <c r="AB15" s="178"/>
      <c r="AC15" s="178"/>
      <c r="AD15" s="178"/>
      <c r="AE15" s="178"/>
      <c r="AF15" s="178"/>
      <c r="AG15" s="178"/>
      <c r="AH15" s="178"/>
      <c r="AI15" s="178"/>
      <c r="AJ15" s="178"/>
      <c r="AK15" s="178"/>
      <c r="AL15" s="178"/>
      <c r="AM15" s="178"/>
      <c r="AN15" s="178"/>
      <c r="AO15" s="178"/>
      <c r="AP15" s="178"/>
      <c r="AQ15" s="178"/>
      <c r="AR15" s="178"/>
      <c r="AS15" s="178"/>
      <c r="AT15" s="178"/>
      <c r="AU15" s="178"/>
    </row>
    <row r="16" spans="1:47" s="7" customFormat="1" ht="13.8">
      <c r="A16" s="205" t="s">
        <v>774</v>
      </c>
      <c r="B16" s="205"/>
      <c r="C16" s="205"/>
      <c r="D16" s="194"/>
      <c r="E16" s="206"/>
      <c r="F16" s="204">
        <f t="shared" si="0"/>
        <v>0</v>
      </c>
      <c r="G16" s="205"/>
      <c r="O16" s="178"/>
      <c r="P16" s="178"/>
      <c r="Q16" s="178"/>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row>
    <row r="17" spans="1:47" s="7" customFormat="1" ht="13.8">
      <c r="A17" s="205" t="s">
        <v>775</v>
      </c>
      <c r="B17" s="205"/>
      <c r="C17" s="205"/>
      <c r="D17" s="194"/>
      <c r="E17" s="206"/>
      <c r="F17" s="204">
        <f t="shared" si="0"/>
        <v>0</v>
      </c>
      <c r="G17" s="205"/>
      <c r="O17" s="178"/>
      <c r="P17" s="178"/>
      <c r="Q17" s="178"/>
      <c r="R17" s="178"/>
      <c r="S17" s="178"/>
      <c r="T17" s="178"/>
      <c r="U17" s="178"/>
      <c r="V17" s="178"/>
      <c r="W17" s="178"/>
      <c r="X17" s="178"/>
      <c r="Y17" s="178"/>
      <c r="Z17" s="178"/>
      <c r="AA17" s="178"/>
      <c r="AB17" s="178"/>
      <c r="AC17" s="178"/>
      <c r="AD17" s="178"/>
      <c r="AE17" s="178"/>
      <c r="AF17" s="178"/>
      <c r="AG17" s="178"/>
      <c r="AH17" s="178"/>
      <c r="AI17" s="178"/>
      <c r="AJ17" s="178"/>
      <c r="AK17" s="178"/>
      <c r="AL17" s="178"/>
      <c r="AM17" s="178"/>
      <c r="AN17" s="178"/>
      <c r="AO17" s="178"/>
      <c r="AP17" s="178"/>
      <c r="AQ17" s="178"/>
      <c r="AR17" s="178"/>
      <c r="AS17" s="178"/>
      <c r="AT17" s="178"/>
      <c r="AU17" s="178"/>
    </row>
    <row r="18" spans="1:47" s="7" customFormat="1" ht="13.8">
      <c r="A18" s="205" t="s">
        <v>776</v>
      </c>
      <c r="B18" s="205"/>
      <c r="C18" s="205"/>
      <c r="D18" s="194"/>
      <c r="E18" s="206"/>
      <c r="F18" s="204">
        <f t="shared" si="0"/>
        <v>0</v>
      </c>
      <c r="G18" s="205"/>
      <c r="O18" s="178"/>
      <c r="P18" s="178"/>
      <c r="Q18" s="178"/>
      <c r="R18" s="178"/>
      <c r="S18" s="178"/>
      <c r="T18" s="178"/>
      <c r="U18" s="178"/>
      <c r="V18" s="178"/>
      <c r="W18" s="178"/>
      <c r="X18" s="178"/>
      <c r="Y18" s="178"/>
      <c r="Z18" s="178"/>
      <c r="AA18" s="178"/>
      <c r="AB18" s="178"/>
      <c r="AC18" s="178"/>
      <c r="AD18" s="178"/>
      <c r="AE18" s="178"/>
      <c r="AF18" s="178"/>
      <c r="AG18" s="178"/>
      <c r="AH18" s="178"/>
      <c r="AI18" s="178"/>
      <c r="AJ18" s="178"/>
      <c r="AK18" s="178"/>
      <c r="AL18" s="178"/>
      <c r="AM18" s="178"/>
      <c r="AN18" s="178"/>
      <c r="AO18" s="178"/>
      <c r="AP18" s="178"/>
      <c r="AQ18" s="178"/>
      <c r="AR18" s="178"/>
      <c r="AS18" s="178"/>
      <c r="AT18" s="178"/>
      <c r="AU18" s="178"/>
    </row>
    <row r="19" spans="1:47" s="7" customFormat="1" ht="13.8">
      <c r="A19" s="205" t="s">
        <v>777</v>
      </c>
      <c r="B19" s="205"/>
      <c r="C19" s="205"/>
      <c r="D19" s="194"/>
      <c r="E19" s="206"/>
      <c r="F19" s="204">
        <f t="shared" si="0"/>
        <v>0</v>
      </c>
      <c r="G19" s="205"/>
      <c r="O19" s="178"/>
      <c r="P19" s="178"/>
      <c r="Q19" s="178"/>
      <c r="R19" s="178"/>
      <c r="S19" s="178"/>
      <c r="T19" s="178"/>
      <c r="U19" s="178"/>
      <c r="V19" s="178"/>
      <c r="W19" s="178"/>
      <c r="X19" s="178"/>
      <c r="Y19" s="178"/>
      <c r="Z19" s="178"/>
      <c r="AA19" s="178"/>
      <c r="AB19" s="178"/>
      <c r="AC19" s="178"/>
      <c r="AD19" s="178"/>
      <c r="AE19" s="178"/>
      <c r="AF19" s="178"/>
      <c r="AG19" s="178"/>
      <c r="AH19" s="178"/>
      <c r="AI19" s="178"/>
      <c r="AJ19" s="178"/>
      <c r="AK19" s="178"/>
      <c r="AL19" s="178"/>
      <c r="AM19" s="178"/>
      <c r="AN19" s="178"/>
      <c r="AO19" s="178"/>
      <c r="AP19" s="178"/>
      <c r="AQ19" s="178"/>
      <c r="AR19" s="178"/>
      <c r="AS19" s="178"/>
      <c r="AT19" s="178"/>
      <c r="AU19" s="178"/>
    </row>
    <row r="20" spans="1:47" s="7" customFormat="1" ht="13.8">
      <c r="A20" s="205" t="s">
        <v>778</v>
      </c>
      <c r="B20" s="205"/>
      <c r="C20" s="205"/>
      <c r="D20" s="194"/>
      <c r="E20" s="206"/>
      <c r="F20" s="204">
        <f t="shared" si="0"/>
        <v>0</v>
      </c>
      <c r="G20" s="205"/>
      <c r="O20" s="178"/>
      <c r="P20" s="178"/>
      <c r="Q20" s="178"/>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row>
    <row r="21" spans="1:47" s="7" customFormat="1" ht="13.8">
      <c r="A21" s="205" t="s">
        <v>779</v>
      </c>
      <c r="B21" s="205"/>
      <c r="C21" s="205"/>
      <c r="D21" s="194"/>
      <c r="E21" s="206"/>
      <c r="F21" s="204">
        <f t="shared" si="0"/>
        <v>0</v>
      </c>
      <c r="G21" s="205"/>
      <c r="O21" s="178"/>
      <c r="P21" s="178"/>
      <c r="Q21" s="178"/>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row>
    <row r="22" spans="1:47" s="7" customFormat="1" ht="13.8">
      <c r="A22" s="205" t="s">
        <v>780</v>
      </c>
      <c r="B22" s="205"/>
      <c r="C22" s="205"/>
      <c r="D22" s="194"/>
      <c r="E22" s="206"/>
      <c r="F22" s="204">
        <f t="shared" si="0"/>
        <v>0</v>
      </c>
      <c r="G22" s="205"/>
      <c r="O22" s="178"/>
      <c r="P22" s="178"/>
      <c r="Q22" s="178"/>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row>
    <row r="23" spans="1:47" s="7" customFormat="1" ht="13.8">
      <c r="A23" s="205" t="s">
        <v>781</v>
      </c>
      <c r="B23" s="205"/>
      <c r="C23" s="205"/>
      <c r="D23" s="194"/>
      <c r="E23" s="206"/>
      <c r="F23" s="204">
        <f t="shared" si="0"/>
        <v>0</v>
      </c>
      <c r="G23" s="205"/>
      <c r="O23" s="178"/>
      <c r="P23" s="178"/>
      <c r="Q23" s="178"/>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row>
    <row r="24" spans="1:47" s="7" customFormat="1" ht="13.8">
      <c r="A24" s="205" t="s">
        <v>782</v>
      </c>
      <c r="B24" s="205"/>
      <c r="C24" s="205"/>
      <c r="D24" s="194"/>
      <c r="E24" s="206"/>
      <c r="F24" s="204">
        <f t="shared" si="0"/>
        <v>0</v>
      </c>
      <c r="G24" s="205"/>
      <c r="O24" s="178"/>
      <c r="P24" s="178"/>
      <c r="Q24" s="178"/>
      <c r="R24" s="178"/>
      <c r="S24" s="178"/>
      <c r="T24" s="178"/>
      <c r="U24" s="178"/>
      <c r="V24" s="178"/>
      <c r="W24" s="178"/>
      <c r="X24" s="178"/>
      <c r="Y24" s="178"/>
      <c r="Z24" s="178"/>
      <c r="AA24" s="178"/>
      <c r="AB24" s="178"/>
      <c r="AC24" s="178"/>
      <c r="AD24" s="178"/>
      <c r="AE24" s="178"/>
      <c r="AF24" s="178"/>
      <c r="AG24" s="178"/>
      <c r="AH24" s="178"/>
      <c r="AI24" s="178"/>
      <c r="AJ24" s="178"/>
      <c r="AK24" s="178"/>
      <c r="AL24" s="178"/>
      <c r="AM24" s="178"/>
      <c r="AN24" s="178"/>
      <c r="AO24" s="178"/>
      <c r="AP24" s="178"/>
      <c r="AQ24" s="178"/>
      <c r="AR24" s="178"/>
      <c r="AS24" s="178"/>
      <c r="AT24" s="178"/>
      <c r="AU24" s="178"/>
    </row>
    <row r="25" spans="1:47" s="7" customFormat="1" ht="13.8">
      <c r="A25" s="205" t="s">
        <v>783</v>
      </c>
      <c r="B25" s="205"/>
      <c r="C25" s="205"/>
      <c r="D25" s="194"/>
      <c r="E25" s="206"/>
      <c r="F25" s="204">
        <f t="shared" si="0"/>
        <v>0</v>
      </c>
      <c r="G25" s="205"/>
      <c r="O25" s="178"/>
      <c r="P25" s="178"/>
      <c r="Q25" s="178"/>
      <c r="R25" s="178"/>
      <c r="S25" s="178"/>
      <c r="T25" s="178"/>
      <c r="U25" s="178"/>
      <c r="V25" s="178"/>
      <c r="W25" s="178"/>
      <c r="X25" s="178"/>
      <c r="Y25" s="178"/>
      <c r="Z25" s="178"/>
      <c r="AA25" s="178"/>
      <c r="AB25" s="178"/>
      <c r="AC25" s="178"/>
      <c r="AD25" s="178"/>
      <c r="AE25" s="178"/>
      <c r="AF25" s="178"/>
      <c r="AG25" s="178"/>
      <c r="AH25" s="178"/>
      <c r="AI25" s="178"/>
      <c r="AJ25" s="178"/>
      <c r="AK25" s="178"/>
      <c r="AL25" s="178"/>
      <c r="AM25" s="178"/>
      <c r="AN25" s="178"/>
      <c r="AO25" s="178"/>
      <c r="AP25" s="178"/>
      <c r="AQ25" s="178"/>
      <c r="AR25" s="178"/>
      <c r="AS25" s="178"/>
      <c r="AT25" s="178"/>
      <c r="AU25" s="178"/>
    </row>
    <row r="26" spans="1:47" s="7" customFormat="1" ht="13.8">
      <c r="A26" s="205" t="s">
        <v>784</v>
      </c>
      <c r="B26" s="205"/>
      <c r="C26" s="205"/>
      <c r="D26" s="194"/>
      <c r="E26" s="206"/>
      <c r="F26" s="204">
        <f t="shared" si="0"/>
        <v>0</v>
      </c>
      <c r="G26" s="205"/>
      <c r="O26" s="178"/>
      <c r="P26" s="178"/>
      <c r="Q26" s="178"/>
      <c r="R26" s="178"/>
      <c r="S26" s="178"/>
      <c r="T26" s="178"/>
      <c r="U26" s="178"/>
      <c r="V26" s="178"/>
      <c r="W26" s="178"/>
      <c r="X26" s="178"/>
      <c r="Y26" s="178"/>
      <c r="Z26" s="178"/>
      <c r="AA26" s="178"/>
      <c r="AB26" s="178"/>
      <c r="AC26" s="178"/>
      <c r="AD26" s="178"/>
      <c r="AE26" s="178"/>
      <c r="AF26" s="178"/>
      <c r="AG26" s="178"/>
      <c r="AH26" s="178"/>
      <c r="AI26" s="178"/>
      <c r="AJ26" s="178"/>
      <c r="AK26" s="178"/>
      <c r="AL26" s="178"/>
      <c r="AM26" s="178"/>
      <c r="AN26" s="178"/>
      <c r="AO26" s="178"/>
      <c r="AP26" s="178"/>
      <c r="AQ26" s="178"/>
      <c r="AR26" s="178"/>
      <c r="AS26" s="178"/>
      <c r="AT26" s="178"/>
      <c r="AU26" s="178"/>
    </row>
    <row r="27" spans="1:47" s="7" customFormat="1" ht="13.8">
      <c r="A27" s="205" t="s">
        <v>785</v>
      </c>
      <c r="B27" s="205"/>
      <c r="C27" s="205"/>
      <c r="D27" s="194"/>
      <c r="E27" s="206"/>
      <c r="F27" s="204">
        <f t="shared" si="0"/>
        <v>0</v>
      </c>
      <c r="G27" s="205"/>
      <c r="O27" s="178"/>
      <c r="P27" s="178"/>
      <c r="Q27" s="178"/>
      <c r="R27" s="178"/>
      <c r="S27" s="178"/>
      <c r="T27" s="178"/>
      <c r="U27" s="178"/>
      <c r="V27" s="178"/>
      <c r="W27" s="178"/>
      <c r="X27" s="178"/>
      <c r="Y27" s="178"/>
      <c r="Z27" s="178"/>
      <c r="AA27" s="178"/>
      <c r="AB27" s="178"/>
      <c r="AC27" s="178"/>
      <c r="AD27" s="178"/>
      <c r="AE27" s="178"/>
      <c r="AF27" s="178"/>
      <c r="AG27" s="178"/>
      <c r="AH27" s="178"/>
      <c r="AI27" s="178"/>
      <c r="AJ27" s="178"/>
      <c r="AK27" s="178"/>
      <c r="AL27" s="178"/>
      <c r="AM27" s="178"/>
      <c r="AN27" s="178"/>
      <c r="AO27" s="178"/>
      <c r="AP27" s="178"/>
      <c r="AQ27" s="178"/>
      <c r="AR27" s="178"/>
      <c r="AS27" s="178"/>
      <c r="AT27" s="178"/>
      <c r="AU27" s="178"/>
    </row>
    <row r="28" spans="1:47" s="7" customFormat="1" ht="13.8">
      <c r="A28" s="205" t="s">
        <v>786</v>
      </c>
      <c r="B28" s="205"/>
      <c r="C28" s="205"/>
      <c r="D28" s="194"/>
      <c r="E28" s="206"/>
      <c r="F28" s="204">
        <f t="shared" si="0"/>
        <v>0</v>
      </c>
      <c r="G28" s="205"/>
      <c r="O28" s="178"/>
      <c r="P28" s="178"/>
      <c r="Q28" s="178"/>
      <c r="R28" s="178"/>
      <c r="S28" s="178"/>
      <c r="T28" s="178"/>
      <c r="U28" s="178"/>
      <c r="V28" s="178"/>
      <c r="W28" s="178"/>
      <c r="X28" s="178"/>
      <c r="Y28" s="178"/>
      <c r="Z28" s="178"/>
      <c r="AA28" s="178"/>
      <c r="AB28" s="178"/>
      <c r="AC28" s="178"/>
      <c r="AD28" s="178"/>
      <c r="AE28" s="178"/>
      <c r="AF28" s="178"/>
      <c r="AG28" s="178"/>
      <c r="AH28" s="178"/>
      <c r="AI28" s="178"/>
      <c r="AJ28" s="178"/>
      <c r="AK28" s="178"/>
      <c r="AL28" s="178"/>
      <c r="AM28" s="178"/>
      <c r="AN28" s="178"/>
      <c r="AO28" s="178"/>
      <c r="AP28" s="178"/>
      <c r="AQ28" s="178"/>
      <c r="AR28" s="178"/>
      <c r="AS28" s="178"/>
      <c r="AT28" s="178"/>
      <c r="AU28" s="178"/>
    </row>
    <row r="29" spans="1:47" s="7" customFormat="1" ht="13.8">
      <c r="A29" s="205" t="s">
        <v>787</v>
      </c>
      <c r="B29" s="205"/>
      <c r="C29" s="205"/>
      <c r="D29" s="194"/>
      <c r="E29" s="206"/>
      <c r="F29" s="204">
        <f t="shared" si="0"/>
        <v>0</v>
      </c>
      <c r="G29" s="205"/>
      <c r="O29" s="178"/>
      <c r="P29" s="178"/>
      <c r="Q29" s="178"/>
      <c r="R29" s="178"/>
      <c r="S29" s="178"/>
      <c r="T29" s="178"/>
      <c r="U29" s="178"/>
      <c r="V29" s="178"/>
      <c r="W29" s="178"/>
      <c r="X29" s="178"/>
      <c r="Y29" s="178"/>
      <c r="Z29" s="178"/>
      <c r="AA29" s="178"/>
      <c r="AB29" s="178"/>
      <c r="AC29" s="178"/>
      <c r="AD29" s="178"/>
      <c r="AE29" s="178"/>
      <c r="AF29" s="178"/>
      <c r="AG29" s="178"/>
      <c r="AH29" s="178"/>
      <c r="AI29" s="178"/>
      <c r="AJ29" s="178"/>
      <c r="AK29" s="178"/>
      <c r="AL29" s="178"/>
      <c r="AM29" s="178"/>
      <c r="AN29" s="178"/>
      <c r="AO29" s="178"/>
      <c r="AP29" s="178"/>
      <c r="AQ29" s="178"/>
      <c r="AR29" s="178"/>
      <c r="AS29" s="178"/>
      <c r="AT29" s="178"/>
      <c r="AU29" s="178"/>
    </row>
    <row r="30" spans="1:47" s="7" customFormat="1" ht="13.8">
      <c r="A30" s="205" t="s">
        <v>788</v>
      </c>
      <c r="B30" s="205"/>
      <c r="C30" s="205"/>
      <c r="D30" s="194"/>
      <c r="E30" s="206"/>
      <c r="F30" s="204">
        <f t="shared" si="0"/>
        <v>0</v>
      </c>
      <c r="G30" s="205"/>
      <c r="O30" s="178"/>
      <c r="P30" s="178"/>
      <c r="Q30" s="178"/>
      <c r="R30" s="178"/>
      <c r="S30" s="178"/>
      <c r="T30" s="178"/>
      <c r="U30" s="178"/>
      <c r="V30" s="178"/>
      <c r="W30" s="178"/>
      <c r="X30" s="178"/>
      <c r="Y30" s="178"/>
      <c r="Z30" s="178"/>
      <c r="AA30" s="178"/>
      <c r="AB30" s="178"/>
      <c r="AC30" s="178"/>
      <c r="AD30" s="178"/>
      <c r="AE30" s="178"/>
      <c r="AF30" s="178"/>
      <c r="AG30" s="178"/>
      <c r="AH30" s="178"/>
      <c r="AI30" s="178"/>
      <c r="AJ30" s="178"/>
      <c r="AK30" s="178"/>
      <c r="AL30" s="178"/>
      <c r="AM30" s="178"/>
      <c r="AN30" s="178"/>
      <c r="AO30" s="178"/>
      <c r="AP30" s="178"/>
      <c r="AQ30" s="178"/>
      <c r="AR30" s="178"/>
      <c r="AS30" s="178"/>
      <c r="AT30" s="178"/>
      <c r="AU30" s="178"/>
    </row>
    <row r="31" spans="1:47" s="7" customFormat="1" ht="13.8">
      <c r="A31" s="205" t="s">
        <v>789</v>
      </c>
      <c r="B31" s="205"/>
      <c r="C31" s="205"/>
      <c r="D31" s="194"/>
      <c r="E31" s="206"/>
      <c r="F31" s="204">
        <f t="shared" si="0"/>
        <v>0</v>
      </c>
      <c r="G31" s="205"/>
      <c r="O31" s="178"/>
      <c r="P31" s="178"/>
      <c r="Q31" s="178"/>
      <c r="R31" s="178"/>
      <c r="S31" s="178"/>
      <c r="T31" s="178"/>
      <c r="U31" s="178"/>
      <c r="V31" s="178"/>
      <c r="W31" s="178"/>
      <c r="X31" s="178"/>
      <c r="Y31" s="178"/>
      <c r="Z31" s="178"/>
      <c r="AA31" s="178"/>
      <c r="AB31" s="178"/>
      <c r="AC31" s="178"/>
      <c r="AD31" s="178"/>
      <c r="AE31" s="178"/>
      <c r="AF31" s="178"/>
      <c r="AG31" s="178"/>
      <c r="AH31" s="178"/>
      <c r="AI31" s="178"/>
      <c r="AJ31" s="178"/>
      <c r="AK31" s="178"/>
      <c r="AL31" s="178"/>
      <c r="AM31" s="178"/>
      <c r="AN31" s="178"/>
      <c r="AO31" s="178"/>
      <c r="AP31" s="178"/>
      <c r="AQ31" s="178"/>
      <c r="AR31" s="178"/>
      <c r="AS31" s="178"/>
      <c r="AT31" s="178"/>
      <c r="AU31" s="178"/>
    </row>
    <row r="32" spans="1:47" s="7" customFormat="1" ht="13.8">
      <c r="A32" s="205" t="s">
        <v>790</v>
      </c>
      <c r="B32" s="205"/>
      <c r="C32" s="205"/>
      <c r="D32" s="194"/>
      <c r="E32" s="206"/>
      <c r="F32" s="204">
        <f t="shared" si="0"/>
        <v>0</v>
      </c>
      <c r="G32" s="205"/>
      <c r="O32" s="178"/>
      <c r="P32" s="178"/>
      <c r="Q32" s="178"/>
      <c r="R32" s="178"/>
      <c r="S32" s="178"/>
      <c r="T32" s="178"/>
      <c r="U32" s="178"/>
      <c r="V32" s="178"/>
      <c r="W32" s="178"/>
      <c r="X32" s="178"/>
      <c r="Y32" s="178"/>
      <c r="Z32" s="178"/>
      <c r="AA32" s="178"/>
      <c r="AB32" s="178"/>
      <c r="AC32" s="178"/>
      <c r="AD32" s="178"/>
      <c r="AE32" s="178"/>
      <c r="AF32" s="178"/>
      <c r="AG32" s="178"/>
      <c r="AH32" s="178"/>
      <c r="AI32" s="178"/>
      <c r="AJ32" s="178"/>
      <c r="AK32" s="178"/>
      <c r="AL32" s="178"/>
      <c r="AM32" s="178"/>
      <c r="AN32" s="178"/>
      <c r="AO32" s="178"/>
      <c r="AP32" s="178"/>
      <c r="AQ32" s="178"/>
      <c r="AR32" s="178"/>
      <c r="AS32" s="178"/>
      <c r="AT32" s="178"/>
      <c r="AU32" s="178"/>
    </row>
    <row r="33" spans="1:47" s="7" customFormat="1" ht="13.8">
      <c r="A33" s="205" t="s">
        <v>791</v>
      </c>
      <c r="B33" s="205"/>
      <c r="C33" s="205"/>
      <c r="D33" s="194"/>
      <c r="E33" s="206"/>
      <c r="F33" s="204">
        <f t="shared" si="0"/>
        <v>0</v>
      </c>
      <c r="G33" s="205"/>
      <c r="O33" s="178"/>
      <c r="P33" s="178"/>
      <c r="Q33" s="178"/>
      <c r="R33" s="178"/>
      <c r="S33" s="178"/>
      <c r="T33" s="178"/>
      <c r="U33" s="178"/>
      <c r="V33" s="178"/>
      <c r="W33" s="178"/>
      <c r="X33" s="178"/>
      <c r="Y33" s="178"/>
      <c r="Z33" s="178"/>
      <c r="AA33" s="178"/>
      <c r="AB33" s="178"/>
      <c r="AC33" s="178"/>
      <c r="AD33" s="178"/>
      <c r="AE33" s="178"/>
      <c r="AF33" s="178"/>
      <c r="AG33" s="178"/>
      <c r="AH33" s="178"/>
      <c r="AI33" s="178"/>
      <c r="AJ33" s="178"/>
      <c r="AK33" s="178"/>
      <c r="AL33" s="178"/>
      <c r="AM33" s="178"/>
      <c r="AN33" s="178"/>
      <c r="AO33" s="178"/>
      <c r="AP33" s="178"/>
      <c r="AQ33" s="178"/>
      <c r="AR33" s="178"/>
      <c r="AS33" s="178"/>
      <c r="AT33" s="178"/>
      <c r="AU33" s="178"/>
    </row>
    <row r="34" spans="1:47" s="7" customFormat="1" ht="13.8">
      <c r="A34" s="205" t="s">
        <v>792</v>
      </c>
      <c r="B34" s="205"/>
      <c r="C34" s="205"/>
      <c r="D34" s="194"/>
      <c r="E34" s="206"/>
      <c r="F34" s="204">
        <f t="shared" si="0"/>
        <v>0</v>
      </c>
      <c r="G34" s="205"/>
      <c r="O34" s="178"/>
      <c r="P34" s="178"/>
      <c r="Q34" s="178"/>
      <c r="R34" s="178"/>
      <c r="S34" s="178"/>
      <c r="T34" s="178"/>
      <c r="U34" s="178"/>
      <c r="V34" s="178"/>
      <c r="W34" s="178"/>
      <c r="X34" s="178"/>
      <c r="Y34" s="178"/>
      <c r="Z34" s="178"/>
      <c r="AA34" s="178"/>
      <c r="AB34" s="178"/>
      <c r="AC34" s="178"/>
      <c r="AD34" s="178"/>
      <c r="AE34" s="178"/>
      <c r="AF34" s="178"/>
      <c r="AG34" s="178"/>
      <c r="AH34" s="178"/>
      <c r="AI34" s="178"/>
      <c r="AJ34" s="178"/>
      <c r="AK34" s="178"/>
      <c r="AL34" s="178"/>
      <c r="AM34" s="178"/>
      <c r="AN34" s="178"/>
      <c r="AO34" s="178"/>
      <c r="AP34" s="178"/>
      <c r="AQ34" s="178"/>
      <c r="AR34" s="178"/>
      <c r="AS34" s="178"/>
      <c r="AT34" s="178"/>
      <c r="AU34" s="178"/>
    </row>
    <row r="35" spans="1:47" s="7" customFormat="1" ht="13.8">
      <c r="A35" s="205" t="s">
        <v>793</v>
      </c>
      <c r="B35" s="205"/>
      <c r="C35" s="205"/>
      <c r="D35" s="194"/>
      <c r="E35" s="206"/>
      <c r="F35" s="204">
        <f t="shared" si="0"/>
        <v>0</v>
      </c>
      <c r="G35" s="205"/>
      <c r="O35" s="178"/>
      <c r="P35" s="178"/>
      <c r="Q35" s="178"/>
      <c r="R35" s="178"/>
      <c r="S35" s="178"/>
      <c r="T35" s="178"/>
      <c r="U35" s="178"/>
      <c r="V35" s="178"/>
      <c r="W35" s="178"/>
      <c r="X35" s="178"/>
      <c r="Y35" s="178"/>
      <c r="Z35" s="178"/>
      <c r="AA35" s="178"/>
      <c r="AB35" s="178"/>
      <c r="AC35" s="178"/>
      <c r="AD35" s="178"/>
      <c r="AE35" s="178"/>
      <c r="AF35" s="178"/>
      <c r="AG35" s="178"/>
      <c r="AH35" s="178"/>
      <c r="AI35" s="178"/>
      <c r="AJ35" s="178"/>
      <c r="AK35" s="178"/>
      <c r="AL35" s="178"/>
      <c r="AM35" s="178"/>
      <c r="AN35" s="178"/>
      <c r="AO35" s="178"/>
      <c r="AP35" s="178"/>
      <c r="AQ35" s="178"/>
      <c r="AR35" s="178"/>
      <c r="AS35" s="178"/>
      <c r="AT35" s="178"/>
      <c r="AU35" s="178"/>
    </row>
    <row r="36" spans="1:47" s="7" customFormat="1" ht="13.8">
      <c r="A36" s="205" t="s">
        <v>794</v>
      </c>
      <c r="B36" s="205"/>
      <c r="C36" s="205"/>
      <c r="D36" s="194"/>
      <c r="E36" s="206"/>
      <c r="F36" s="204">
        <f t="shared" si="0"/>
        <v>0</v>
      </c>
      <c r="G36" s="205"/>
      <c r="O36" s="178"/>
      <c r="P36" s="178"/>
      <c r="Q36" s="178"/>
      <c r="R36" s="178"/>
      <c r="S36" s="178"/>
      <c r="T36" s="178"/>
      <c r="U36" s="178"/>
      <c r="V36" s="178"/>
      <c r="W36" s="178"/>
      <c r="X36" s="178"/>
      <c r="Y36" s="178"/>
      <c r="Z36" s="178"/>
      <c r="AA36" s="178"/>
      <c r="AB36" s="178"/>
      <c r="AC36" s="178"/>
      <c r="AD36" s="178"/>
      <c r="AE36" s="178"/>
      <c r="AF36" s="178"/>
      <c r="AG36" s="178"/>
      <c r="AH36" s="178"/>
      <c r="AI36" s="178"/>
      <c r="AJ36" s="178"/>
      <c r="AK36" s="178"/>
      <c r="AL36" s="178"/>
      <c r="AM36" s="178"/>
      <c r="AN36" s="178"/>
      <c r="AO36" s="178"/>
      <c r="AP36" s="178"/>
      <c r="AQ36" s="178"/>
      <c r="AR36" s="178"/>
      <c r="AS36" s="178"/>
      <c r="AT36" s="178"/>
      <c r="AU36" s="178"/>
    </row>
    <row r="37" spans="1:47" s="7" customFormat="1" ht="13.8">
      <c r="A37" s="205" t="s">
        <v>795</v>
      </c>
      <c r="B37" s="205"/>
      <c r="C37" s="205"/>
      <c r="D37" s="194"/>
      <c r="E37" s="206"/>
      <c r="F37" s="204">
        <f t="shared" si="0"/>
        <v>0</v>
      </c>
      <c r="G37" s="205"/>
      <c r="O37" s="178"/>
      <c r="P37" s="178"/>
      <c r="Q37" s="178"/>
      <c r="R37" s="178"/>
      <c r="S37" s="178"/>
      <c r="T37" s="178"/>
      <c r="U37" s="178"/>
      <c r="V37" s="178"/>
      <c r="W37" s="178"/>
      <c r="X37" s="178"/>
      <c r="Y37" s="178"/>
      <c r="Z37" s="178"/>
      <c r="AA37" s="178"/>
      <c r="AB37" s="178"/>
      <c r="AC37" s="178"/>
      <c r="AD37" s="178"/>
      <c r="AE37" s="178"/>
      <c r="AF37" s="178"/>
      <c r="AG37" s="178"/>
      <c r="AH37" s="178"/>
      <c r="AI37" s="178"/>
      <c r="AJ37" s="178"/>
      <c r="AK37" s="178"/>
      <c r="AL37" s="178"/>
      <c r="AM37" s="178"/>
      <c r="AN37" s="178"/>
      <c r="AO37" s="178"/>
      <c r="AP37" s="178"/>
      <c r="AQ37" s="178"/>
      <c r="AR37" s="178"/>
      <c r="AS37" s="178"/>
      <c r="AT37" s="178"/>
      <c r="AU37" s="178"/>
    </row>
    <row r="38" spans="1:47" s="7" customFormat="1" ht="13.8">
      <c r="A38" s="205" t="s">
        <v>796</v>
      </c>
      <c r="B38" s="205"/>
      <c r="C38" s="205"/>
      <c r="D38" s="194"/>
      <c r="E38" s="206"/>
      <c r="F38" s="204">
        <f t="shared" si="0"/>
        <v>0</v>
      </c>
      <c r="G38" s="205"/>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row>
    <row r="39" spans="1:47" s="7" customFormat="1" ht="13.8">
      <c r="A39" s="205" t="s">
        <v>797</v>
      </c>
      <c r="B39" s="205"/>
      <c r="C39" s="205"/>
      <c r="D39" s="194"/>
      <c r="E39" s="206"/>
      <c r="F39" s="204">
        <f t="shared" si="0"/>
        <v>0</v>
      </c>
      <c r="G39" s="205"/>
      <c r="O39" s="178"/>
      <c r="P39" s="178"/>
      <c r="Q39" s="178"/>
      <c r="R39" s="178"/>
      <c r="S39" s="178"/>
      <c r="T39" s="178"/>
      <c r="U39" s="178"/>
      <c r="V39" s="178"/>
      <c r="W39" s="178"/>
      <c r="X39" s="178"/>
      <c r="Y39" s="178"/>
      <c r="Z39" s="178"/>
      <c r="AA39" s="178"/>
      <c r="AB39" s="178"/>
      <c r="AC39" s="178"/>
      <c r="AD39" s="178"/>
      <c r="AE39" s="178"/>
      <c r="AF39" s="178"/>
      <c r="AG39" s="178"/>
      <c r="AH39" s="178"/>
      <c r="AI39" s="178"/>
      <c r="AJ39" s="178"/>
      <c r="AK39" s="178"/>
      <c r="AL39" s="178"/>
      <c r="AM39" s="178"/>
      <c r="AN39" s="178"/>
      <c r="AO39" s="178"/>
      <c r="AP39" s="178"/>
      <c r="AQ39" s="178"/>
      <c r="AR39" s="178"/>
      <c r="AS39" s="178"/>
      <c r="AT39" s="178"/>
      <c r="AU39" s="178"/>
    </row>
    <row r="40" spans="1:47" s="7" customFormat="1" ht="13.8">
      <c r="A40" s="205" t="s">
        <v>798</v>
      </c>
      <c r="B40" s="205"/>
      <c r="C40" s="205"/>
      <c r="D40" s="194"/>
      <c r="E40" s="206"/>
      <c r="F40" s="204">
        <f t="shared" si="0"/>
        <v>0</v>
      </c>
      <c r="G40" s="205"/>
      <c r="O40" s="178"/>
      <c r="P40" s="178"/>
      <c r="Q40" s="178"/>
      <c r="R40" s="178"/>
      <c r="S40" s="178"/>
      <c r="T40" s="178"/>
      <c r="U40" s="178"/>
      <c r="V40" s="178"/>
      <c r="W40" s="178"/>
      <c r="X40" s="178"/>
      <c r="Y40" s="178"/>
      <c r="Z40" s="178"/>
      <c r="AA40" s="178"/>
      <c r="AB40" s="178"/>
      <c r="AC40" s="178"/>
      <c r="AD40" s="178"/>
      <c r="AE40" s="178"/>
      <c r="AF40" s="178"/>
      <c r="AG40" s="178"/>
      <c r="AH40" s="178"/>
      <c r="AI40" s="178"/>
      <c r="AJ40" s="178"/>
      <c r="AK40" s="178"/>
      <c r="AL40" s="178"/>
      <c r="AM40" s="178"/>
      <c r="AN40" s="178"/>
      <c r="AO40" s="178"/>
      <c r="AP40" s="178"/>
      <c r="AQ40" s="178"/>
      <c r="AR40" s="178"/>
      <c r="AS40" s="178"/>
      <c r="AT40" s="178"/>
      <c r="AU40" s="178"/>
    </row>
    <row r="41" spans="1:47" s="7" customFormat="1" ht="13.8">
      <c r="A41" s="205" t="s">
        <v>799</v>
      </c>
      <c r="B41" s="205"/>
      <c r="C41" s="205"/>
      <c r="D41" s="194"/>
      <c r="E41" s="206"/>
      <c r="F41" s="204">
        <f t="shared" si="0"/>
        <v>0</v>
      </c>
      <c r="G41" s="205"/>
      <c r="O41" s="178"/>
      <c r="P41" s="178"/>
      <c r="Q41" s="178"/>
      <c r="R41" s="178"/>
      <c r="S41" s="178"/>
      <c r="T41" s="178"/>
      <c r="U41" s="178"/>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row>
    <row r="42" spans="1:47" s="7" customFormat="1" ht="13.8">
      <c r="A42" s="205" t="s">
        <v>800</v>
      </c>
      <c r="B42" s="205"/>
      <c r="C42" s="205"/>
      <c r="D42" s="194"/>
      <c r="E42" s="206"/>
      <c r="F42" s="204">
        <f t="shared" si="0"/>
        <v>0</v>
      </c>
      <c r="G42" s="205"/>
      <c r="O42" s="178"/>
      <c r="P42" s="178"/>
      <c r="Q42" s="178"/>
      <c r="R42" s="178"/>
      <c r="S42" s="178"/>
      <c r="T42" s="178"/>
      <c r="U42" s="178"/>
      <c r="V42" s="178"/>
      <c r="W42" s="178"/>
      <c r="X42" s="178"/>
      <c r="Y42" s="178"/>
      <c r="Z42" s="178"/>
      <c r="AA42" s="178"/>
      <c r="AB42" s="178"/>
      <c r="AC42" s="178"/>
      <c r="AD42" s="178"/>
      <c r="AE42" s="178"/>
      <c r="AF42" s="178"/>
      <c r="AG42" s="178"/>
      <c r="AH42" s="178"/>
      <c r="AI42" s="178"/>
      <c r="AJ42" s="178"/>
      <c r="AK42" s="178"/>
      <c r="AL42" s="178"/>
      <c r="AM42" s="178"/>
      <c r="AN42" s="178"/>
      <c r="AO42" s="178"/>
      <c r="AP42" s="178"/>
      <c r="AQ42" s="178"/>
      <c r="AR42" s="178"/>
      <c r="AS42" s="178"/>
      <c r="AT42" s="178"/>
      <c r="AU42" s="178"/>
    </row>
    <row r="43" spans="1:47" s="7" customFormat="1" ht="13.8">
      <c r="A43" s="205" t="s">
        <v>801</v>
      </c>
      <c r="B43" s="205"/>
      <c r="C43" s="205"/>
      <c r="D43" s="194"/>
      <c r="E43" s="206"/>
      <c r="F43" s="204">
        <f t="shared" si="0"/>
        <v>0</v>
      </c>
      <c r="G43" s="205"/>
      <c r="O43" s="178"/>
      <c r="P43" s="178"/>
      <c r="Q43" s="178"/>
      <c r="R43" s="178"/>
      <c r="S43" s="178"/>
      <c r="T43" s="178"/>
      <c r="U43" s="178"/>
      <c r="V43" s="178"/>
      <c r="W43" s="178"/>
      <c r="X43" s="178"/>
      <c r="Y43" s="178"/>
      <c r="Z43" s="178"/>
      <c r="AA43" s="178"/>
      <c r="AB43" s="178"/>
      <c r="AC43" s="178"/>
      <c r="AD43" s="178"/>
      <c r="AE43" s="178"/>
      <c r="AF43" s="178"/>
      <c r="AG43" s="178"/>
      <c r="AH43" s="178"/>
      <c r="AI43" s="178"/>
      <c r="AJ43" s="178"/>
      <c r="AK43" s="178"/>
      <c r="AL43" s="178"/>
      <c r="AM43" s="178"/>
      <c r="AN43" s="178"/>
      <c r="AO43" s="178"/>
      <c r="AP43" s="178"/>
      <c r="AQ43" s="178"/>
      <c r="AR43" s="178"/>
      <c r="AS43" s="178"/>
      <c r="AT43" s="178"/>
      <c r="AU43" s="178"/>
    </row>
    <row r="44" spans="1:47" s="7" customFormat="1" ht="13.8">
      <c r="A44" s="205" t="s">
        <v>802</v>
      </c>
      <c r="B44" s="205"/>
      <c r="C44" s="205"/>
      <c r="D44" s="194"/>
      <c r="E44" s="206"/>
      <c r="F44" s="204">
        <f t="shared" si="0"/>
        <v>0</v>
      </c>
      <c r="G44" s="205"/>
      <c r="O44" s="178"/>
      <c r="P44" s="178"/>
      <c r="Q44" s="178"/>
      <c r="R44" s="178"/>
      <c r="S44" s="178"/>
      <c r="T44" s="178"/>
      <c r="U44" s="178"/>
      <c r="V44" s="178"/>
      <c r="W44" s="178"/>
      <c r="X44" s="178"/>
      <c r="Y44" s="178"/>
      <c r="Z44" s="178"/>
      <c r="AA44" s="178"/>
      <c r="AB44" s="178"/>
      <c r="AC44" s="178"/>
      <c r="AD44" s="178"/>
      <c r="AE44" s="178"/>
      <c r="AF44" s="178"/>
      <c r="AG44" s="178"/>
      <c r="AH44" s="178"/>
      <c r="AI44" s="178"/>
      <c r="AJ44" s="178"/>
      <c r="AK44" s="178"/>
      <c r="AL44" s="178"/>
      <c r="AM44" s="178"/>
      <c r="AN44" s="178"/>
      <c r="AO44" s="178"/>
      <c r="AP44" s="178"/>
      <c r="AQ44" s="178"/>
      <c r="AR44" s="178"/>
      <c r="AS44" s="178"/>
      <c r="AT44" s="178"/>
      <c r="AU44" s="178"/>
    </row>
    <row r="45" spans="1:47" s="7" customFormat="1" ht="13.8">
      <c r="A45" s="205" t="s">
        <v>803</v>
      </c>
      <c r="B45" s="205"/>
      <c r="C45" s="205"/>
      <c r="D45" s="194"/>
      <c r="E45" s="206"/>
      <c r="F45" s="204">
        <f t="shared" si="0"/>
        <v>0</v>
      </c>
      <c r="G45" s="205"/>
      <c r="O45" s="178"/>
      <c r="P45" s="178"/>
      <c r="Q45" s="178"/>
      <c r="R45" s="178"/>
      <c r="S45" s="178"/>
      <c r="T45" s="178"/>
      <c r="U45" s="178"/>
      <c r="V45" s="178"/>
      <c r="W45" s="178"/>
      <c r="X45" s="178"/>
      <c r="Y45" s="178"/>
      <c r="Z45" s="178"/>
      <c r="AA45" s="178"/>
      <c r="AB45" s="178"/>
      <c r="AC45" s="178"/>
      <c r="AD45" s="178"/>
      <c r="AE45" s="178"/>
      <c r="AF45" s="178"/>
      <c r="AG45" s="178"/>
      <c r="AH45" s="178"/>
      <c r="AI45" s="178"/>
      <c r="AJ45" s="178"/>
      <c r="AK45" s="178"/>
      <c r="AL45" s="178"/>
      <c r="AM45" s="178"/>
      <c r="AN45" s="178"/>
      <c r="AO45" s="178"/>
      <c r="AP45" s="178"/>
      <c r="AQ45" s="178"/>
      <c r="AR45" s="178"/>
      <c r="AS45" s="178"/>
      <c r="AT45" s="178"/>
      <c r="AU45" s="178"/>
    </row>
    <row r="46" spans="1:47" s="7" customFormat="1" ht="13.8">
      <c r="A46" s="205" t="s">
        <v>804</v>
      </c>
      <c r="B46" s="205"/>
      <c r="C46" s="205"/>
      <c r="D46" s="194"/>
      <c r="E46" s="206"/>
      <c r="F46" s="204">
        <f t="shared" si="0"/>
        <v>0</v>
      </c>
      <c r="G46" s="205"/>
      <c r="O46" s="178"/>
      <c r="P46" s="178"/>
      <c r="Q46" s="178"/>
      <c r="R46" s="178"/>
      <c r="S46" s="178"/>
      <c r="T46" s="178"/>
      <c r="U46" s="178"/>
      <c r="V46" s="178"/>
      <c r="W46" s="178"/>
      <c r="X46" s="178"/>
      <c r="Y46" s="178"/>
      <c r="Z46" s="178"/>
      <c r="AA46" s="178"/>
      <c r="AB46" s="178"/>
      <c r="AC46" s="178"/>
      <c r="AD46" s="178"/>
      <c r="AE46" s="178"/>
      <c r="AF46" s="178"/>
      <c r="AG46" s="178"/>
      <c r="AH46" s="178"/>
      <c r="AI46" s="178"/>
      <c r="AJ46" s="178"/>
      <c r="AK46" s="178"/>
      <c r="AL46" s="178"/>
      <c r="AM46" s="178"/>
      <c r="AN46" s="178"/>
      <c r="AO46" s="178"/>
      <c r="AP46" s="178"/>
      <c r="AQ46" s="178"/>
      <c r="AR46" s="178"/>
      <c r="AS46" s="178"/>
      <c r="AT46" s="178"/>
      <c r="AU46" s="178"/>
    </row>
    <row r="47" spans="1:47" s="7" customFormat="1" ht="13.8">
      <c r="A47" s="205" t="s">
        <v>805</v>
      </c>
      <c r="B47" s="205"/>
      <c r="C47" s="205"/>
      <c r="D47" s="194"/>
      <c r="E47" s="206"/>
      <c r="F47" s="204">
        <f t="shared" si="0"/>
        <v>0</v>
      </c>
      <c r="G47" s="205"/>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row>
    <row r="48" spans="1:47" s="7" customFormat="1" ht="13.8">
      <c r="A48" s="205" t="s">
        <v>806</v>
      </c>
      <c r="B48" s="205"/>
      <c r="C48" s="205"/>
      <c r="D48" s="194"/>
      <c r="E48" s="206"/>
      <c r="F48" s="204">
        <f t="shared" si="0"/>
        <v>0</v>
      </c>
      <c r="G48" s="205"/>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row>
    <row r="49" spans="1:47" s="7" customFormat="1" ht="13.8">
      <c r="A49" s="205" t="s">
        <v>807</v>
      </c>
      <c r="B49" s="205"/>
      <c r="C49" s="205"/>
      <c r="D49" s="194"/>
      <c r="E49" s="206"/>
      <c r="F49" s="204">
        <f t="shared" si="0"/>
        <v>0</v>
      </c>
      <c r="G49" s="205"/>
      <c r="O49" s="178"/>
      <c r="P49" s="178"/>
      <c r="Q49" s="178"/>
      <c r="R49" s="178"/>
      <c r="S49" s="178"/>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row>
    <row r="50" spans="1:47" s="7" customFormat="1" ht="13.8">
      <c r="A50" s="205" t="s">
        <v>808</v>
      </c>
      <c r="B50" s="205"/>
      <c r="C50" s="205"/>
      <c r="D50" s="194"/>
      <c r="E50" s="206"/>
      <c r="F50" s="204">
        <f t="shared" si="0"/>
        <v>0</v>
      </c>
      <c r="G50" s="205"/>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row>
    <row r="51" spans="1:47" s="7" customFormat="1" ht="13.8">
      <c r="A51" s="205" t="s">
        <v>809</v>
      </c>
      <c r="B51" s="205"/>
      <c r="C51" s="205"/>
      <c r="D51" s="194"/>
      <c r="E51" s="206"/>
      <c r="F51" s="204">
        <f t="shared" si="0"/>
        <v>0</v>
      </c>
      <c r="G51" s="205"/>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row>
    <row r="52" spans="1:47" s="7" customFormat="1" ht="13.8">
      <c r="A52" s="205" t="s">
        <v>810</v>
      </c>
      <c r="B52" s="205"/>
      <c r="C52" s="205"/>
      <c r="D52" s="194"/>
      <c r="E52" s="206"/>
      <c r="F52" s="204">
        <f t="shared" si="0"/>
        <v>0</v>
      </c>
      <c r="G52" s="205"/>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c r="AO52" s="178"/>
      <c r="AP52" s="178"/>
      <c r="AQ52" s="178"/>
      <c r="AR52" s="178"/>
      <c r="AS52" s="178"/>
      <c r="AT52" s="178"/>
      <c r="AU52" s="178"/>
    </row>
    <row r="53" spans="1:47" s="7" customFormat="1" ht="13.8">
      <c r="A53" s="205" t="s">
        <v>811</v>
      </c>
      <c r="B53" s="205"/>
      <c r="C53" s="205"/>
      <c r="D53" s="194"/>
      <c r="E53" s="206"/>
      <c r="F53" s="204">
        <f>E53*D53</f>
        <v>0</v>
      </c>
      <c r="G53" s="205"/>
      <c r="O53" s="178"/>
      <c r="P53" s="178"/>
      <c r="Q53" s="178"/>
      <c r="R53" s="178"/>
      <c r="S53" s="178"/>
      <c r="T53" s="178"/>
      <c r="U53" s="178"/>
      <c r="V53" s="178"/>
      <c r="W53" s="178"/>
      <c r="X53" s="178"/>
      <c r="Y53" s="178"/>
      <c r="Z53" s="178"/>
      <c r="AA53" s="178"/>
      <c r="AB53" s="178"/>
      <c r="AC53" s="178"/>
      <c r="AD53" s="178"/>
      <c r="AE53" s="178"/>
      <c r="AF53" s="178"/>
      <c r="AG53" s="178"/>
      <c r="AH53" s="178"/>
      <c r="AI53" s="178"/>
      <c r="AJ53" s="178"/>
      <c r="AK53" s="178"/>
      <c r="AL53" s="178"/>
      <c r="AM53" s="178"/>
      <c r="AN53" s="178"/>
      <c r="AO53" s="178"/>
      <c r="AP53" s="178"/>
      <c r="AQ53" s="178"/>
      <c r="AR53" s="178"/>
      <c r="AS53" s="178"/>
      <c r="AT53" s="178"/>
      <c r="AU53" s="178"/>
    </row>
    <row r="54" spans="1:47" s="7" customFormat="1" ht="13.8">
      <c r="A54" s="205" t="s">
        <v>812</v>
      </c>
      <c r="B54" s="205"/>
      <c r="C54" s="205"/>
      <c r="D54" s="194"/>
      <c r="E54" s="206"/>
      <c r="F54" s="204">
        <f>E54*D54</f>
        <v>0</v>
      </c>
      <c r="G54" s="205"/>
      <c r="O54" s="178"/>
      <c r="P54" s="178"/>
      <c r="Q54" s="178"/>
      <c r="R54" s="178"/>
      <c r="S54" s="178"/>
      <c r="T54" s="178"/>
      <c r="U54" s="178"/>
      <c r="V54" s="178"/>
      <c r="W54" s="178"/>
      <c r="X54" s="178"/>
      <c r="Y54" s="178"/>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row>
    <row r="55" spans="1:47" s="7" customFormat="1" ht="13.8">
      <c r="A55" s="205" t="s">
        <v>813</v>
      </c>
      <c r="B55" s="205"/>
      <c r="C55" s="205"/>
      <c r="D55" s="194"/>
      <c r="E55" s="206"/>
      <c r="F55" s="204">
        <f>E55*D55</f>
        <v>0</v>
      </c>
      <c r="G55" s="205"/>
      <c r="O55" s="178"/>
      <c r="P55" s="178"/>
      <c r="Q55" s="178"/>
      <c r="R55" s="178"/>
      <c r="S55" s="178"/>
      <c r="T55" s="178"/>
      <c r="U55" s="178"/>
      <c r="V55" s="178"/>
      <c r="W55" s="178"/>
      <c r="X55" s="178"/>
      <c r="Y55" s="178"/>
      <c r="Z55" s="178"/>
      <c r="AA55" s="178"/>
      <c r="AB55" s="178"/>
      <c r="AC55" s="178"/>
      <c r="AD55" s="178"/>
      <c r="AE55" s="178"/>
      <c r="AF55" s="178"/>
      <c r="AG55" s="178"/>
      <c r="AH55" s="178"/>
      <c r="AI55" s="178"/>
      <c r="AJ55" s="178"/>
      <c r="AK55" s="178"/>
      <c r="AL55" s="178"/>
      <c r="AM55" s="178"/>
      <c r="AN55" s="178"/>
      <c r="AO55" s="178"/>
      <c r="AP55" s="178"/>
      <c r="AQ55" s="178"/>
      <c r="AR55" s="178"/>
      <c r="AS55" s="178"/>
      <c r="AT55" s="178"/>
      <c r="AU55" s="178"/>
    </row>
    <row r="56" spans="1:47" s="7" customFormat="1" ht="13.8">
      <c r="A56" s="205" t="s">
        <v>814</v>
      </c>
      <c r="B56" s="205"/>
      <c r="C56" s="205"/>
      <c r="D56" s="194"/>
      <c r="E56" s="206"/>
      <c r="F56" s="204">
        <f>E56*D56</f>
        <v>0</v>
      </c>
      <c r="G56" s="205"/>
      <c r="O56" s="178"/>
      <c r="P56" s="178"/>
      <c r="Q56" s="178"/>
      <c r="R56" s="178"/>
      <c r="S56" s="178"/>
      <c r="T56" s="178"/>
      <c r="U56" s="178"/>
      <c r="V56" s="178"/>
      <c r="W56" s="178"/>
      <c r="X56" s="178"/>
      <c r="Y56" s="178"/>
      <c r="Z56" s="178"/>
      <c r="AA56" s="178"/>
      <c r="AB56" s="178"/>
      <c r="AC56" s="178"/>
      <c r="AD56" s="178"/>
      <c r="AE56" s="178"/>
      <c r="AF56" s="178"/>
      <c r="AG56" s="178"/>
      <c r="AH56" s="178"/>
      <c r="AI56" s="178"/>
      <c r="AJ56" s="178"/>
      <c r="AK56" s="178"/>
      <c r="AL56" s="178"/>
      <c r="AM56" s="178"/>
      <c r="AN56" s="178"/>
      <c r="AO56" s="178"/>
      <c r="AP56" s="178"/>
      <c r="AQ56" s="178"/>
      <c r="AR56" s="178"/>
      <c r="AS56" s="178"/>
      <c r="AT56" s="178"/>
      <c r="AU56" s="178"/>
    </row>
  </sheetData>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61794" r:id="rId3" name="Label1">
          <controlPr defaultSize="0" autoLine="0" r:id="rId4">
            <anchor moveWithCells="1">
              <from>
                <xdr:col>2</xdr:col>
                <xdr:colOff>0</xdr:colOff>
                <xdr:row>0</xdr:row>
                <xdr:rowOff>60960</xdr:rowOff>
              </from>
              <to>
                <xdr:col>6</xdr:col>
                <xdr:colOff>426720</xdr:colOff>
                <xdr:row>0</xdr:row>
                <xdr:rowOff>190500</xdr:rowOff>
              </to>
            </anchor>
          </controlPr>
        </control>
      </mc:Choice>
      <mc:Fallback>
        <control shapeId="161794" r:id="rId3" name="Label1"/>
      </mc:Fallback>
    </mc:AlternateContent>
    <mc:AlternateContent xmlns:mc="http://schemas.openxmlformats.org/markup-compatibility/2006">
      <mc:Choice Requires="x14">
        <control shapeId="161793" r:id="rId5" name="ComboBox16">
          <controlPr defaultSize="0" autoLine="0" r:id="rId6">
            <anchor moveWithCells="1">
              <from>
                <xdr:col>2</xdr:col>
                <xdr:colOff>0</xdr:colOff>
                <xdr:row>0</xdr:row>
                <xdr:rowOff>213360</xdr:rowOff>
              </from>
              <to>
                <xdr:col>6</xdr:col>
                <xdr:colOff>594360</xdr:colOff>
                <xdr:row>0</xdr:row>
                <xdr:rowOff>449580</xdr:rowOff>
              </to>
            </anchor>
          </controlPr>
        </control>
      </mc:Choice>
      <mc:Fallback>
        <control shapeId="161793" r:id="rId5" name="ComboBox16"/>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0CF82-A4CF-40B6-85B0-779D6C0C8A6B}">
  <sheetPr codeName="Planilha36">
    <tabColor rgb="FFFFFF66"/>
  </sheetPr>
  <dimension ref="A1:L665"/>
  <sheetViews>
    <sheetView view="pageBreakPreview" topLeftCell="A34" zoomScaleNormal="100" zoomScaleSheetLayoutView="100" workbookViewId="0">
      <selection activeCell="E25" sqref="E25"/>
    </sheetView>
  </sheetViews>
  <sheetFormatPr defaultRowHeight="14.4"/>
  <cols>
    <col min="1" max="1" width="2.109375" customWidth="1"/>
    <col min="3" max="3" width="32.44140625" customWidth="1"/>
    <col min="11" max="11" width="2.109375" customWidth="1"/>
    <col min="12" max="12" width="10.5546875" bestFit="1" customWidth="1"/>
    <col min="16" max="16" width="11.88671875"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497" t="s">
        <v>250</v>
      </c>
      <c r="E4" s="1498"/>
      <c r="F4" s="1498"/>
      <c r="G4" s="1498"/>
      <c r="H4" s="1498"/>
      <c r="I4" s="1499"/>
      <c r="J4" s="475" t="s">
        <v>267</v>
      </c>
      <c r="K4" s="471"/>
    </row>
    <row r="5" spans="1:12" ht="22.5" customHeight="1">
      <c r="A5" s="463"/>
      <c r="B5" s="476" t="s">
        <v>3</v>
      </c>
      <c r="C5" s="477">
        <f ca="1">PLANEJAMENTO!F4</f>
        <v>46140</v>
      </c>
      <c r="D5" s="681" t="s">
        <v>207</v>
      </c>
      <c r="E5" s="479"/>
      <c r="F5" s="479"/>
      <c r="G5" s="479"/>
      <c r="H5" s="479"/>
      <c r="I5" s="480"/>
      <c r="J5" s="481" t="str">
        <f>F25</f>
        <v>m³</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9" t="s">
        <v>971</v>
      </c>
      <c r="C9" s="492"/>
      <c r="D9" s="493"/>
      <c r="E9" s="494">
        <v>1</v>
      </c>
      <c r="F9" s="494">
        <v>1</v>
      </c>
      <c r="G9" s="495">
        <f>1-F9</f>
        <v>0</v>
      </c>
      <c r="H9" s="503">
        <f>VLOOKUP(B9,EQUIPAMENTOS!$A:$J,10,FALSE)</f>
        <v>175</v>
      </c>
      <c r="I9" s="497">
        <f>H9</f>
        <v>175</v>
      </c>
      <c r="J9" s="498">
        <f>H9*F9*E9+I9*G9*E9</f>
        <v>175</v>
      </c>
      <c r="K9" s="471"/>
    </row>
    <row r="10" spans="1:12">
      <c r="A10" s="463"/>
      <c r="B10" s="499" t="str">
        <f>EQUIPAMENTOS!A4</f>
        <v>Caminhão basculante 14 m³</v>
      </c>
      <c r="C10" s="500"/>
      <c r="D10" s="501"/>
      <c r="E10" s="502">
        <v>3</v>
      </c>
      <c r="F10" s="502">
        <v>1</v>
      </c>
      <c r="G10" s="502"/>
      <c r="H10" s="503">
        <f>VLOOKUP(B10,EQUIPAMENTOS!$A:$J,10,FALSE)</f>
        <v>125</v>
      </c>
      <c r="I10" s="504">
        <f>H10</f>
        <v>125</v>
      </c>
      <c r="J10" s="505">
        <f>H10*F10*E10+I10*G10*E10</f>
        <v>375</v>
      </c>
      <c r="K10" s="471"/>
    </row>
    <row r="11" spans="1:12">
      <c r="A11" s="463"/>
      <c r="B11" s="499"/>
      <c r="C11" s="500"/>
      <c r="D11" s="501"/>
      <c r="E11" s="502"/>
      <c r="F11" s="502"/>
      <c r="G11" s="502"/>
      <c r="H11" s="503"/>
      <c r="I11" s="504"/>
      <c r="J11" s="505">
        <f>H11*F11*E11+I11*G11*E11</f>
        <v>0</v>
      </c>
      <c r="K11" s="471"/>
    </row>
    <row r="12" spans="1:12">
      <c r="A12" s="463"/>
      <c r="B12" s="499"/>
      <c r="C12" s="500"/>
      <c r="D12" s="501"/>
      <c r="E12" s="502"/>
      <c r="F12" s="502"/>
      <c r="G12" s="502"/>
      <c r="H12" s="503"/>
      <c r="I12" s="504"/>
      <c r="J12" s="505">
        <f>H12*F12*E12+I12*G12*E12</f>
        <v>0</v>
      </c>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550</v>
      </c>
      <c r="K14" s="471"/>
      <c r="L14" s="6"/>
    </row>
    <row r="15" spans="1:12">
      <c r="A15" s="463"/>
      <c r="B15" s="515"/>
      <c r="C15" s="515"/>
      <c r="D15" s="515"/>
      <c r="E15" s="515"/>
      <c r="F15" s="515"/>
      <c r="G15" s="515"/>
      <c r="H15" s="515"/>
      <c r="I15" s="516"/>
      <c r="J15" s="517"/>
      <c r="K15" s="471"/>
    </row>
    <row r="16" spans="1:12" ht="20.399999999999999">
      <c r="A16" s="463"/>
      <c r="B16" s="1490" t="s">
        <v>947</v>
      </c>
      <c r="C16" s="1491"/>
      <c r="D16" s="1491"/>
      <c r="E16" s="1492"/>
      <c r="F16" s="725" t="s">
        <v>688</v>
      </c>
      <c r="G16" s="519"/>
      <c r="H16" s="520" t="s">
        <v>427</v>
      </c>
      <c r="I16" s="521" t="s">
        <v>948</v>
      </c>
      <c r="J16" s="522" t="s">
        <v>949</v>
      </c>
      <c r="K16" s="471"/>
    </row>
    <row r="17" spans="1:11">
      <c r="A17" s="463"/>
      <c r="B17" s="523" t="s">
        <v>950</v>
      </c>
      <c r="C17" s="524"/>
      <c r="D17" s="525"/>
      <c r="E17" s="526"/>
      <c r="F17" s="527"/>
      <c r="G17" s="528"/>
      <c r="H17" s="529">
        <f>E10</f>
        <v>3</v>
      </c>
      <c r="I17" s="534">
        <f>(VLOOKUP(B17,'MÃO DE OBRA'!$A:$E,5,FALSE)/220)</f>
        <v>26.714454545454547</v>
      </c>
      <c r="J17" s="505">
        <f>H17*I17</f>
        <v>80.143363636363645</v>
      </c>
      <c r="K17" s="471"/>
    </row>
    <row r="18" spans="1:11">
      <c r="A18" s="463"/>
      <c r="B18" s="530" t="s">
        <v>556</v>
      </c>
      <c r="C18" s="531"/>
      <c r="D18" s="472"/>
      <c r="E18" s="500"/>
      <c r="F18" s="501"/>
      <c r="G18" s="532"/>
      <c r="H18" s="533">
        <v>1</v>
      </c>
      <c r="I18" s="534">
        <f>(VLOOKUP(B18,'MÃO DE OBRA'!$A:$E,5,FALSE)/220)</f>
        <v>35.988199999999999</v>
      </c>
      <c r="J18" s="505">
        <f>H18*I18</f>
        <v>35.988199999999999</v>
      </c>
      <c r="K18" s="471"/>
    </row>
    <row r="19" spans="1:11" hidden="1">
      <c r="A19" s="463"/>
      <c r="B19" s="530" t="s">
        <v>534</v>
      </c>
      <c r="C19" s="531"/>
      <c r="D19" s="472"/>
      <c r="E19" s="500"/>
      <c r="F19" s="501"/>
      <c r="G19" s="532"/>
      <c r="H19" s="533"/>
      <c r="I19" s="534">
        <f>(VLOOKUP(B19,'MÃO DE OBRA'!$A:$E,5,FALSE)/220)</f>
        <v>21.588799999999999</v>
      </c>
      <c r="J19" s="505">
        <f>H19*I19</f>
        <v>0</v>
      </c>
      <c r="K19" s="471"/>
    </row>
    <row r="20" spans="1:11">
      <c r="A20" s="463"/>
      <c r="B20" s="530" t="s">
        <v>472</v>
      </c>
      <c r="C20" s="531"/>
      <c r="D20" s="472"/>
      <c r="E20" s="500"/>
      <c r="F20" s="501"/>
      <c r="G20" s="532"/>
      <c r="H20" s="533">
        <v>1</v>
      </c>
      <c r="I20" s="534">
        <f>(VLOOKUP(B20,'MÃO DE OBRA'!$A:$E,5,FALSE)/220)</f>
        <v>18.377072727272729</v>
      </c>
      <c r="J20" s="505">
        <f>H20*I20</f>
        <v>18.377072727272729</v>
      </c>
      <c r="K20" s="471"/>
    </row>
    <row r="21" spans="1:11">
      <c r="A21" s="463"/>
      <c r="B21" s="530"/>
      <c r="C21" s="531"/>
      <c r="D21" s="472"/>
      <c r="E21" s="500"/>
      <c r="F21" s="501"/>
      <c r="G21" s="532"/>
      <c r="H21" s="533"/>
      <c r="I21" s="504"/>
      <c r="J21" s="505"/>
      <c r="K21" s="471"/>
    </row>
    <row r="22" spans="1:11">
      <c r="A22" s="463"/>
      <c r="B22" s="530"/>
      <c r="C22" s="531"/>
      <c r="D22" s="472"/>
      <c r="E22" s="500"/>
      <c r="F22" s="501"/>
      <c r="G22" s="532"/>
      <c r="H22" s="533"/>
      <c r="I22" s="504"/>
      <c r="J22" s="505">
        <f>H22*I22</f>
        <v>0</v>
      </c>
      <c r="K22" s="471"/>
    </row>
    <row r="23" spans="1:11">
      <c r="A23" s="463"/>
      <c r="B23" s="512" t="s">
        <v>946</v>
      </c>
      <c r="C23" s="515"/>
      <c r="D23" s="515"/>
      <c r="E23" s="515"/>
      <c r="F23" s="515"/>
      <c r="G23" s="515"/>
      <c r="H23" s="515"/>
      <c r="I23" s="535" t="s">
        <v>175</v>
      </c>
      <c r="J23" s="514">
        <f>SUM(J17:J22)</f>
        <v>134.50863636363636</v>
      </c>
      <c r="K23" s="471"/>
    </row>
    <row r="24" spans="1:11">
      <c r="A24" s="463"/>
      <c r="B24" s="536"/>
      <c r="C24" s="536"/>
      <c r="D24" s="536"/>
      <c r="E24" s="536"/>
      <c r="F24" s="536"/>
      <c r="G24" s="536"/>
      <c r="H24" s="536"/>
      <c r="I24" s="537"/>
      <c r="J24" s="536"/>
      <c r="K24" s="471"/>
    </row>
    <row r="25" spans="1:11">
      <c r="A25" s="463"/>
      <c r="B25" s="538" t="s">
        <v>952</v>
      </c>
      <c r="C25" s="539"/>
      <c r="D25" s="536"/>
      <c r="E25" s="540">
        <f>CRONOGRAMA!F48</f>
        <v>1</v>
      </c>
      <c r="F25" s="541" t="s">
        <v>208</v>
      </c>
      <c r="G25" s="519"/>
      <c r="H25" s="519"/>
      <c r="I25" s="542" t="s">
        <v>953</v>
      </c>
      <c r="J25" s="514">
        <f>J14+J23</f>
        <v>684.50863636363636</v>
      </c>
      <c r="K25" s="471"/>
    </row>
    <row r="26" spans="1:11">
      <c r="A26" s="463"/>
      <c r="B26" s="543"/>
      <c r="C26" s="536"/>
      <c r="D26" s="536"/>
      <c r="E26" s="544"/>
      <c r="F26" s="545"/>
      <c r="G26" s="545"/>
      <c r="H26" s="545"/>
      <c r="I26" s="537"/>
      <c r="J26" s="536"/>
      <c r="K26" s="471"/>
    </row>
    <row r="27" spans="1:11" ht="20.399999999999999">
      <c r="A27" s="463"/>
      <c r="B27" s="1493" t="s">
        <v>362</v>
      </c>
      <c r="C27" s="1494"/>
      <c r="D27" s="1494"/>
      <c r="E27" s="1495"/>
      <c r="F27" s="546" t="s">
        <v>688</v>
      </c>
      <c r="G27" s="547" t="s">
        <v>371</v>
      </c>
      <c r="H27" s="520" t="s">
        <v>942</v>
      </c>
      <c r="I27" s="548" t="s">
        <v>361</v>
      </c>
      <c r="J27" s="549" t="s">
        <v>363</v>
      </c>
      <c r="K27" s="471"/>
    </row>
    <row r="28" spans="1:11">
      <c r="A28" s="463"/>
      <c r="B28" s="550" t="str">
        <f>B9</f>
        <v>Escavadeira Hidráulica sobre esteira 22T</v>
      </c>
      <c r="C28" s="551"/>
      <c r="D28" s="551"/>
      <c r="E28" s="552"/>
      <c r="F28" s="553" t="str">
        <f>VLOOKUP(B28,EQUIPAMENTOS!$A:$N,12,FALSE)</f>
        <v>Diesel S10</v>
      </c>
      <c r="G28" s="554" t="s">
        <v>415</v>
      </c>
      <c r="H28" s="560">
        <f>VLOOKUP(B28,EQUIPAMENTOS!$A:$N,13,FALSE)</f>
        <v>0</v>
      </c>
      <c r="I28" s="556">
        <f>VLOOKUP(B28,EQUIPAMENTOS!$A:$N,14,FALSE)</f>
        <v>22</v>
      </c>
      <c r="J28" s="498">
        <f>H28*I28*E9*F9</f>
        <v>0</v>
      </c>
      <c r="K28" s="471"/>
    </row>
    <row r="29" spans="1:11" hidden="1">
      <c r="A29" s="463"/>
      <c r="B29" s="550" t="str">
        <f>B10</f>
        <v>Caminhão basculante 14 m³</v>
      </c>
      <c r="C29" s="531"/>
      <c r="D29" s="531"/>
      <c r="E29" s="500"/>
      <c r="F29" s="553" t="str">
        <f>VLOOKUP(B29,EQUIPAMENTOS!$A:$N,12,FALSE)</f>
        <v>Diesel S10</v>
      </c>
      <c r="G29" s="554" t="s">
        <v>415</v>
      </c>
      <c r="H29" s="560">
        <f>VLOOKUP(B29,EQUIPAMENTOS!$A:$N,13,FALSE)</f>
        <v>0</v>
      </c>
      <c r="I29" s="556">
        <f>VLOOKUP(B29,EQUIPAMENTOS!$A:$N,14,FALSE)</f>
        <v>2.5</v>
      </c>
      <c r="J29" s="505">
        <f>H29*I29*E10*F10</f>
        <v>0</v>
      </c>
      <c r="K29" s="471"/>
    </row>
    <row r="30" spans="1:11">
      <c r="A30" s="463"/>
      <c r="B30" s="530"/>
      <c r="C30" s="531"/>
      <c r="D30" s="531"/>
      <c r="E30" s="500"/>
      <c r="F30" s="558"/>
      <c r="G30" s="559"/>
      <c r="H30" s="560"/>
      <c r="I30" s="556"/>
      <c r="J30" s="505">
        <f>H30*I30*E10</f>
        <v>0</v>
      </c>
      <c r="K30" s="471"/>
    </row>
    <row r="31" spans="1:11">
      <c r="A31" s="463"/>
      <c r="B31" s="530"/>
      <c r="C31" s="531"/>
      <c r="D31" s="531"/>
      <c r="E31" s="500"/>
      <c r="F31" s="501"/>
      <c r="G31" s="559"/>
      <c r="H31" s="560"/>
      <c r="I31" s="556"/>
      <c r="J31" s="505">
        <f>H31*I31*E11</f>
        <v>0</v>
      </c>
      <c r="K31" s="471"/>
    </row>
    <row r="32" spans="1:11">
      <c r="A32" s="463"/>
      <c r="B32" s="530"/>
      <c r="C32" s="539"/>
      <c r="D32" s="539"/>
      <c r="E32" s="507"/>
      <c r="F32" s="501"/>
      <c r="G32" s="481"/>
      <c r="H32" s="560"/>
      <c r="I32" s="561"/>
      <c r="J32" s="562">
        <f>H32*I32*E12</f>
        <v>0</v>
      </c>
      <c r="K32" s="471"/>
    </row>
    <row r="33" spans="1:12">
      <c r="A33" s="463"/>
      <c r="B33" s="563" t="s">
        <v>946</v>
      </c>
      <c r="C33" s="539"/>
      <c r="D33" s="539"/>
      <c r="E33" s="539"/>
      <c r="F33" s="536"/>
      <c r="G33" s="539"/>
      <c r="H33" s="564"/>
      <c r="I33" s="565" t="s">
        <v>175</v>
      </c>
      <c r="J33" s="514">
        <f>SUM(J28:J32)</f>
        <v>0</v>
      </c>
      <c r="K33" s="471"/>
      <c r="L33" s="6">
        <f>J33/E25</f>
        <v>0</v>
      </c>
    </row>
    <row r="34" spans="1:12">
      <c r="A34" s="463"/>
      <c r="B34" s="566"/>
      <c r="C34" s="539"/>
      <c r="D34" s="539"/>
      <c r="E34" s="567"/>
      <c r="F34" s="568"/>
      <c r="G34" s="519"/>
      <c r="H34" s="519"/>
      <c r="I34" s="542"/>
      <c r="J34" s="567"/>
      <c r="K34" s="471"/>
    </row>
    <row r="35" spans="1:12" ht="20.399999999999999">
      <c r="A35" s="463"/>
      <c r="B35" s="1493" t="s">
        <v>955</v>
      </c>
      <c r="C35" s="1494"/>
      <c r="D35" s="1494"/>
      <c r="E35" s="1494"/>
      <c r="F35" s="1495"/>
      <c r="G35" s="569" t="s">
        <v>372</v>
      </c>
      <c r="H35" s="519" t="s">
        <v>956</v>
      </c>
      <c r="I35" s="570" t="s">
        <v>942</v>
      </c>
      <c r="J35" s="522" t="s">
        <v>363</v>
      </c>
      <c r="K35" s="471"/>
    </row>
    <row r="36" spans="1:12">
      <c r="A36" s="463"/>
      <c r="B36" s="571"/>
      <c r="C36" s="572"/>
      <c r="D36" s="573"/>
      <c r="E36" s="573"/>
      <c r="F36" s="574"/>
      <c r="G36" s="502"/>
      <c r="H36" s="502"/>
      <c r="I36" s="575"/>
      <c r="J36" s="505"/>
      <c r="K36" s="471"/>
    </row>
    <row r="37" spans="1:12">
      <c r="A37" s="463"/>
      <c r="B37" s="576"/>
      <c r="C37" s="577"/>
      <c r="D37" s="578"/>
      <c r="E37" s="578"/>
      <c r="F37" s="579"/>
      <c r="G37" s="502"/>
      <c r="H37" s="502"/>
      <c r="I37" s="575"/>
      <c r="J37" s="505"/>
      <c r="K37" s="471"/>
    </row>
    <row r="38" spans="1:12">
      <c r="A38" s="463"/>
      <c r="B38" s="1496" t="s">
        <v>175</v>
      </c>
      <c r="C38" s="1496"/>
      <c r="D38" s="1496"/>
      <c r="E38" s="1496"/>
      <c r="F38" s="1496"/>
      <c r="G38" s="1496"/>
      <c r="H38" s="1496"/>
      <c r="I38" s="1496"/>
      <c r="J38" s="514">
        <f>SUM(J36:J37)</f>
        <v>0</v>
      </c>
      <c r="K38" s="471"/>
    </row>
    <row r="39" spans="1:12">
      <c r="A39" s="463"/>
      <c r="B39" s="580"/>
      <c r="C39" s="524"/>
      <c r="D39" s="524"/>
      <c r="E39" s="581"/>
      <c r="F39" s="582"/>
      <c r="G39" s="583"/>
      <c r="H39" s="583"/>
      <c r="I39" s="584"/>
      <c r="J39" s="585"/>
      <c r="K39" s="471"/>
    </row>
    <row r="40" spans="1:12">
      <c r="A40" s="463"/>
      <c r="B40" s="586" t="s">
        <v>957</v>
      </c>
      <c r="C40" s="586"/>
      <c r="D40" s="563"/>
      <c r="E40" s="536"/>
      <c r="F40" s="536"/>
      <c r="G40" s="536"/>
      <c r="H40" s="587"/>
      <c r="I40" s="588"/>
      <c r="J40" s="514">
        <f>(J25+J33+J38)/E25</f>
        <v>684.50863636363636</v>
      </c>
      <c r="K40" s="471"/>
    </row>
    <row r="41" spans="1:12">
      <c r="A41" s="463"/>
      <c r="B41" s="566"/>
      <c r="C41" s="539"/>
      <c r="D41" s="539"/>
      <c r="E41" s="567"/>
      <c r="F41" s="568"/>
      <c r="G41" s="519"/>
      <c r="H41" s="519"/>
      <c r="I41" s="542"/>
      <c r="J41" s="589"/>
      <c r="K41" s="471"/>
    </row>
    <row r="42" spans="1:12" ht="20.399999999999999">
      <c r="A42" s="463"/>
      <c r="B42" s="1493" t="s">
        <v>958</v>
      </c>
      <c r="C42" s="1494"/>
      <c r="D42" s="1494"/>
      <c r="E42" s="1494"/>
      <c r="F42" s="1495"/>
      <c r="G42" s="569" t="s">
        <v>372</v>
      </c>
      <c r="H42" s="519" t="s">
        <v>956</v>
      </c>
      <c r="I42" s="570" t="s">
        <v>942</v>
      </c>
      <c r="J42" s="522" t="s">
        <v>363</v>
      </c>
      <c r="K42" s="471"/>
    </row>
    <row r="43" spans="1:12">
      <c r="A43" s="463"/>
      <c r="B43" s="571"/>
      <c r="C43" s="572"/>
      <c r="D43" s="573"/>
      <c r="E43" s="573"/>
      <c r="F43" s="574"/>
      <c r="G43" s="502"/>
      <c r="H43" s="502"/>
      <c r="I43" s="575"/>
      <c r="J43" s="505">
        <f>G43*I43</f>
        <v>0</v>
      </c>
      <c r="K43" s="471"/>
    </row>
    <row r="44" spans="1:12">
      <c r="A44" s="463"/>
      <c r="B44" s="576"/>
      <c r="C44" s="577"/>
      <c r="D44" s="578"/>
      <c r="E44" s="578"/>
      <c r="F44" s="579"/>
      <c r="G44" s="502"/>
      <c r="H44" s="502"/>
      <c r="I44" s="575"/>
      <c r="J44" s="505">
        <f>G44*I44</f>
        <v>0</v>
      </c>
      <c r="K44" s="471"/>
    </row>
    <row r="45" spans="1:12">
      <c r="A45" s="463"/>
      <c r="B45" s="576"/>
      <c r="C45" s="577"/>
      <c r="D45" s="578"/>
      <c r="E45" s="578"/>
      <c r="F45" s="579"/>
      <c r="G45" s="502"/>
      <c r="H45" s="502"/>
      <c r="I45" s="575"/>
      <c r="J45" s="505">
        <f>G45*I45</f>
        <v>0</v>
      </c>
      <c r="K45" s="471"/>
    </row>
    <row r="46" spans="1:12">
      <c r="A46" s="463"/>
      <c r="B46" s="590"/>
      <c r="C46" s="591"/>
      <c r="D46" s="592"/>
      <c r="E46" s="592"/>
      <c r="F46" s="593"/>
      <c r="G46" s="502"/>
      <c r="H46" s="502"/>
      <c r="I46" s="575"/>
      <c r="J46" s="505">
        <f>G46*I46</f>
        <v>0</v>
      </c>
      <c r="K46" s="471"/>
    </row>
    <row r="47" spans="1:12">
      <c r="A47" s="463"/>
      <c r="B47" s="594"/>
      <c r="C47" s="536"/>
      <c r="D47" s="536"/>
      <c r="E47" s="595"/>
      <c r="F47" s="596"/>
      <c r="G47" s="545"/>
      <c r="H47" s="545"/>
      <c r="I47" s="537" t="s">
        <v>175</v>
      </c>
      <c r="J47" s="514">
        <f>SUM(J43:J46)</f>
        <v>0</v>
      </c>
      <c r="K47" s="471"/>
    </row>
    <row r="48" spans="1:12">
      <c r="A48" s="463"/>
      <c r="B48" s="597"/>
      <c r="C48" s="536"/>
      <c r="D48" s="536"/>
      <c r="E48" s="595"/>
      <c r="F48" s="596"/>
      <c r="G48" s="545"/>
      <c r="H48" s="545"/>
      <c r="I48" s="537"/>
      <c r="J48" s="595"/>
      <c r="K48" s="471"/>
    </row>
    <row r="49" spans="1:11" ht="20.399999999999999">
      <c r="A49" s="463"/>
      <c r="B49" s="598" t="s">
        <v>959</v>
      </c>
      <c r="C49" s="598"/>
      <c r="D49" s="598"/>
      <c r="E49" s="599"/>
      <c r="F49" s="600" t="s">
        <v>372</v>
      </c>
      <c r="G49" s="569" t="s">
        <v>960</v>
      </c>
      <c r="H49" s="519" t="s">
        <v>942</v>
      </c>
      <c r="I49" s="570" t="s">
        <v>361</v>
      </c>
      <c r="J49" s="522" t="s">
        <v>363</v>
      </c>
      <c r="K49" s="471"/>
    </row>
    <row r="50" spans="1:11">
      <c r="A50" s="463"/>
      <c r="B50" s="571"/>
      <c r="C50" s="572"/>
      <c r="D50" s="573"/>
      <c r="E50" s="574"/>
      <c r="F50" s="502"/>
      <c r="G50" s="502"/>
      <c r="H50" s="624"/>
      <c r="I50" s="575"/>
      <c r="J50" s="505"/>
      <c r="K50" s="471"/>
    </row>
    <row r="51" spans="1:11">
      <c r="A51" s="463"/>
      <c r="B51" s="576"/>
      <c r="C51" s="577"/>
      <c r="D51" s="578"/>
      <c r="E51" s="579" t="s">
        <v>946</v>
      </c>
      <c r="F51" s="502">
        <v>0</v>
      </c>
      <c r="G51" s="502">
        <v>0</v>
      </c>
      <c r="H51" s="502">
        <v>0</v>
      </c>
      <c r="I51" s="575">
        <v>0</v>
      </c>
      <c r="J51" s="505">
        <f>I51*H51*G51*F51</f>
        <v>0</v>
      </c>
      <c r="K51" s="471"/>
    </row>
    <row r="52" spans="1:11">
      <c r="A52" s="463"/>
      <c r="B52" s="576"/>
      <c r="C52" s="577"/>
      <c r="D52" s="578"/>
      <c r="E52" s="579" t="s">
        <v>946</v>
      </c>
      <c r="F52" s="502">
        <v>0</v>
      </c>
      <c r="G52" s="502">
        <v>0</v>
      </c>
      <c r="H52" s="502">
        <v>0</v>
      </c>
      <c r="I52" s="575">
        <v>0</v>
      </c>
      <c r="J52" s="505">
        <f>I52*H52*G52*F52</f>
        <v>0</v>
      </c>
      <c r="K52" s="471"/>
    </row>
    <row r="53" spans="1:11">
      <c r="A53" s="463"/>
      <c r="B53" s="576" t="s">
        <v>946</v>
      </c>
      <c r="C53" s="577"/>
      <c r="D53" s="578"/>
      <c r="E53" s="579" t="s">
        <v>946</v>
      </c>
      <c r="F53" s="502">
        <v>0</v>
      </c>
      <c r="G53" s="502">
        <v>0</v>
      </c>
      <c r="H53" s="502">
        <v>0</v>
      </c>
      <c r="I53" s="575">
        <v>0</v>
      </c>
      <c r="J53" s="505">
        <f>I53*H53*G53*F53</f>
        <v>0</v>
      </c>
      <c r="K53" s="471"/>
    </row>
    <row r="54" spans="1:11">
      <c r="A54" s="463"/>
      <c r="B54" s="590" t="s">
        <v>946</v>
      </c>
      <c r="C54" s="591"/>
      <c r="D54" s="592"/>
      <c r="E54" s="593" t="s">
        <v>946</v>
      </c>
      <c r="F54" s="509">
        <v>0</v>
      </c>
      <c r="G54" s="509">
        <v>0</v>
      </c>
      <c r="H54" s="509">
        <v>0</v>
      </c>
      <c r="I54" s="601">
        <v>0</v>
      </c>
      <c r="J54" s="505">
        <f>I54*H54*G54*F54</f>
        <v>0</v>
      </c>
      <c r="K54" s="471"/>
    </row>
    <row r="55" spans="1:11">
      <c r="A55" s="463"/>
      <c r="B55" s="594"/>
      <c r="C55" s="536"/>
      <c r="D55" s="536"/>
      <c r="E55" s="595"/>
      <c r="F55" s="596"/>
      <c r="G55" s="545"/>
      <c r="H55" s="545"/>
      <c r="I55" s="537" t="s">
        <v>175</v>
      </c>
      <c r="J55" s="514">
        <f>SUM(J50:J54)</f>
        <v>0</v>
      </c>
      <c r="K55" s="471"/>
    </row>
    <row r="56" spans="1:11">
      <c r="A56" s="463"/>
      <c r="B56" s="536"/>
      <c r="C56" s="536"/>
      <c r="D56" s="536"/>
      <c r="E56" s="536"/>
      <c r="F56" s="536"/>
      <c r="G56" s="536"/>
      <c r="H56" s="536"/>
      <c r="I56" s="537"/>
      <c r="J56" s="536"/>
      <c r="K56" s="471"/>
    </row>
    <row r="57" spans="1:11">
      <c r="A57" s="463"/>
      <c r="B57" s="1481" t="s">
        <v>961</v>
      </c>
      <c r="C57" s="1482"/>
      <c r="D57" s="1482"/>
      <c r="E57" s="1482"/>
      <c r="F57" s="1482"/>
      <c r="G57" s="1482"/>
      <c r="H57" s="1482"/>
      <c r="I57" s="1483"/>
      <c r="J57" s="586">
        <f>J55+J47+J40</f>
        <v>684.50863636363636</v>
      </c>
      <c r="K57" s="471"/>
    </row>
    <row r="58" spans="1:11">
      <c r="A58" s="463"/>
      <c r="B58" s="536"/>
      <c r="C58" s="536"/>
      <c r="D58" s="536"/>
      <c r="E58" s="536"/>
      <c r="F58" s="536"/>
      <c r="G58" s="536"/>
      <c r="H58" s="536"/>
      <c r="I58" s="537"/>
      <c r="J58" s="536"/>
      <c r="K58" s="471"/>
    </row>
    <row r="59" spans="1:11">
      <c r="A59" s="463"/>
      <c r="B59" s="1481" t="s">
        <v>962</v>
      </c>
      <c r="C59" s="1482"/>
      <c r="D59" s="1482"/>
      <c r="E59" s="1482"/>
      <c r="F59" s="1482"/>
      <c r="G59" s="1482"/>
      <c r="H59" s="1482"/>
      <c r="I59" s="1483"/>
      <c r="J59" s="514">
        <f>J57*0</f>
        <v>0</v>
      </c>
      <c r="K59" s="471"/>
    </row>
    <row r="60" spans="1:11">
      <c r="A60" s="463"/>
      <c r="B60" s="536"/>
      <c r="C60" s="536"/>
      <c r="D60" s="536"/>
      <c r="E60" s="536"/>
      <c r="F60" s="536"/>
      <c r="G60" s="536"/>
      <c r="H60" s="536"/>
      <c r="I60" s="537"/>
      <c r="J60" s="536"/>
      <c r="K60" s="471"/>
    </row>
    <row r="61" spans="1:11">
      <c r="A61" s="463"/>
      <c r="B61" s="1481" t="s">
        <v>963</v>
      </c>
      <c r="C61" s="1482"/>
      <c r="D61" s="1482"/>
      <c r="E61" s="1482"/>
      <c r="F61" s="1482"/>
      <c r="G61" s="1482"/>
      <c r="H61" s="1482"/>
      <c r="I61" s="1483"/>
      <c r="J61" s="586">
        <f>J57+J59</f>
        <v>684.50863636363636</v>
      </c>
      <c r="K61" s="471"/>
    </row>
    <row r="62" spans="1:11">
      <c r="A62" s="463"/>
      <c r="B62" s="524"/>
      <c r="C62" s="524"/>
      <c r="D62" s="524"/>
      <c r="E62" s="524"/>
      <c r="F62" s="524"/>
      <c r="G62" s="524"/>
      <c r="H62" s="524"/>
      <c r="I62" s="584"/>
      <c r="J62" s="524"/>
      <c r="K62" s="471"/>
    </row>
    <row r="63" spans="1:11">
      <c r="A63" s="463"/>
      <c r="B63" s="602"/>
      <c r="C63" s="572"/>
      <c r="D63" s="572"/>
      <c r="E63" s="572"/>
      <c r="F63" s="572"/>
      <c r="G63" s="572"/>
      <c r="H63" s="572"/>
      <c r="I63" s="572"/>
      <c r="J63" s="603"/>
      <c r="K63" s="471"/>
    </row>
    <row r="64" spans="1:11">
      <c r="A64" s="463"/>
      <c r="B64" s="604"/>
      <c r="C64" s="605"/>
      <c r="D64" s="606"/>
      <c r="E64" s="606"/>
      <c r="F64" s="607" t="s">
        <v>946</v>
      </c>
      <c r="G64" s="608" t="s">
        <v>946</v>
      </c>
      <c r="H64" s="605"/>
      <c r="I64" s="605"/>
      <c r="J64" s="609"/>
      <c r="K64" s="471"/>
    </row>
    <row r="65" spans="1:11">
      <c r="A65" s="463"/>
      <c r="B65" s="472"/>
      <c r="C65" s="472"/>
      <c r="D65" s="472"/>
      <c r="E65" s="472"/>
      <c r="F65" s="472"/>
      <c r="G65" s="472"/>
      <c r="H65" s="472"/>
      <c r="I65" s="472"/>
      <c r="J65" s="472"/>
      <c r="K65" s="471"/>
    </row>
    <row r="66" spans="1:11">
      <c r="A66" s="463"/>
      <c r="B66" s="610" t="str">
        <f>PLANEJAMENTO!F2</f>
        <v>OPERAÇÃO DE SUPRESSÃO E SUMP</v>
      </c>
      <c r="C66" s="611"/>
      <c r="D66" s="611"/>
      <c r="E66" s="611"/>
      <c r="F66" s="612"/>
      <c r="G66" s="613" t="s">
        <v>363</v>
      </c>
      <c r="H66" s="515"/>
      <c r="I66" s="515"/>
      <c r="J66" s="518"/>
      <c r="K66" s="471"/>
    </row>
    <row r="67" spans="1:11">
      <c r="A67" s="463"/>
      <c r="B67" s="614" t="str">
        <f>PLANEJAMENTO!F3</f>
        <v>MARA ROSA</v>
      </c>
      <c r="C67" s="615"/>
      <c r="D67" s="615"/>
      <c r="E67" s="615"/>
      <c r="F67" s="616"/>
      <c r="G67" s="1484" t="s">
        <v>964</v>
      </c>
      <c r="H67" s="1485"/>
      <c r="I67" s="1485"/>
      <c r="J67" s="1486"/>
      <c r="K67" s="471"/>
    </row>
    <row r="68" spans="1:11">
      <c r="A68" s="463"/>
      <c r="B68" s="617"/>
      <c r="C68" s="618"/>
      <c r="D68" s="618"/>
      <c r="E68" s="618"/>
      <c r="F68" s="619"/>
      <c r="G68" s="620"/>
      <c r="H68" s="1487"/>
      <c r="I68" s="1488"/>
      <c r="J68" s="1489"/>
      <c r="K68" s="471"/>
    </row>
    <row r="69" spans="1:11" ht="15" thickBot="1">
      <c r="A69" s="621"/>
      <c r="B69" s="622"/>
      <c r="C69" s="622"/>
      <c r="D69" s="622"/>
      <c r="E69" s="622"/>
      <c r="F69" s="622"/>
      <c r="G69" s="622"/>
      <c r="H69" s="622"/>
      <c r="I69" s="622"/>
      <c r="J69" s="622"/>
      <c r="K69" s="623"/>
    </row>
    <row r="70" spans="1:11">
      <c r="A70" s="460"/>
      <c r="B70" s="461"/>
      <c r="C70" s="461"/>
      <c r="D70" s="461"/>
      <c r="E70" s="461"/>
      <c r="F70" s="461"/>
      <c r="G70" s="461"/>
      <c r="H70" s="461"/>
      <c r="I70" s="461"/>
      <c r="J70" s="461"/>
      <c r="K70" s="462"/>
    </row>
    <row r="71" spans="1:11">
      <c r="A71" s="463"/>
      <c r="B71" s="464" t="s">
        <v>178</v>
      </c>
      <c r="C71" s="465"/>
      <c r="D71" s="466" t="s">
        <v>936</v>
      </c>
      <c r="E71" s="467"/>
      <c r="F71" s="468"/>
      <c r="G71" s="468"/>
      <c r="H71" s="469"/>
      <c r="I71" s="469"/>
      <c r="J71" s="470"/>
      <c r="K71" s="471"/>
    </row>
    <row r="72" spans="1:11">
      <c r="A72" s="463"/>
      <c r="B72" s="472"/>
      <c r="C72" s="472"/>
      <c r="D72" s="472"/>
      <c r="E72" s="472"/>
      <c r="F72" s="472"/>
      <c r="G72" s="472"/>
      <c r="H72" s="472"/>
      <c r="I72" s="472"/>
      <c r="J72" s="472"/>
      <c r="K72" s="471"/>
    </row>
    <row r="73" spans="1:11">
      <c r="A73" s="463"/>
      <c r="B73" s="473" t="s">
        <v>972</v>
      </c>
      <c r="C73" s="474" t="s">
        <v>937</v>
      </c>
      <c r="D73" s="1497" t="s">
        <v>250</v>
      </c>
      <c r="E73" s="1498"/>
      <c r="F73" s="1498"/>
      <c r="G73" s="1498"/>
      <c r="H73" s="1498"/>
      <c r="I73" s="1499"/>
      <c r="J73" s="475" t="s">
        <v>267</v>
      </c>
      <c r="K73" s="471"/>
    </row>
    <row r="74" spans="1:11" ht="30.6">
      <c r="A74" s="463"/>
      <c r="B74" s="476">
        <v>5502162</v>
      </c>
      <c r="C74" s="477">
        <f ca="1">C5</f>
        <v>46140</v>
      </c>
      <c r="D74" s="681" t="s">
        <v>210</v>
      </c>
      <c r="E74" s="479"/>
      <c r="F74" s="479"/>
      <c r="G74" s="479"/>
      <c r="H74" s="479"/>
      <c r="I74" s="480"/>
      <c r="J74" s="481" t="str">
        <f>F93</f>
        <v>M3</v>
      </c>
      <c r="K74" s="471"/>
    </row>
    <row r="75" spans="1:11">
      <c r="A75" s="463"/>
      <c r="B75" s="482"/>
      <c r="C75" s="482"/>
      <c r="D75" s="482"/>
      <c r="E75" s="482"/>
      <c r="F75" s="482"/>
      <c r="G75" s="482"/>
      <c r="H75" s="482"/>
      <c r="I75" s="483"/>
      <c r="J75" s="484"/>
      <c r="K75" s="471"/>
    </row>
    <row r="76" spans="1:11">
      <c r="A76" s="463"/>
      <c r="B76" s="1484" t="s">
        <v>938</v>
      </c>
      <c r="C76" s="1486"/>
      <c r="D76" s="1502" t="s">
        <v>688</v>
      </c>
      <c r="E76" s="1504" t="s">
        <v>939</v>
      </c>
      <c r="F76" s="485" t="s">
        <v>940</v>
      </c>
      <c r="G76" s="486"/>
      <c r="H76" s="485" t="s">
        <v>941</v>
      </c>
      <c r="I76" s="486"/>
      <c r="J76" s="487" t="s">
        <v>942</v>
      </c>
      <c r="K76" s="471"/>
    </row>
    <row r="77" spans="1:11">
      <c r="A77" s="463"/>
      <c r="B77" s="1500"/>
      <c r="C77" s="1501"/>
      <c r="D77" s="1503"/>
      <c r="E77" s="1505"/>
      <c r="F77" s="488" t="s">
        <v>943</v>
      </c>
      <c r="G77" s="488" t="s">
        <v>944</v>
      </c>
      <c r="H77" s="488" t="s">
        <v>943</v>
      </c>
      <c r="I77" s="489" t="s">
        <v>944</v>
      </c>
      <c r="J77" s="490" t="s">
        <v>945</v>
      </c>
      <c r="K77" s="471"/>
    </row>
    <row r="78" spans="1:11">
      <c r="A78" s="463"/>
      <c r="B78" s="499" t="s">
        <v>971</v>
      </c>
      <c r="C78" s="492"/>
      <c r="D78" s="493"/>
      <c r="E78" s="494">
        <v>1</v>
      </c>
      <c r="F78" s="494">
        <v>1</v>
      </c>
      <c r="G78" s="495">
        <f>1-F78</f>
        <v>0</v>
      </c>
      <c r="H78" s="503">
        <f>VLOOKUP(B78,EQUIPAMENTOS!$A:$J,10,FALSE)</f>
        <v>175</v>
      </c>
      <c r="I78" s="497">
        <f>H78</f>
        <v>175</v>
      </c>
      <c r="J78" s="498">
        <f>H78*F78*E78+I78*G78*E78</f>
        <v>175</v>
      </c>
      <c r="K78" s="471"/>
    </row>
    <row r="79" spans="1:11">
      <c r="A79" s="463"/>
      <c r="B79" s="499" t="str">
        <f>EQUIPAMENTOS!A4</f>
        <v>Caminhão basculante 14 m³</v>
      </c>
      <c r="C79" s="500"/>
      <c r="D79" s="501"/>
      <c r="E79" s="502">
        <v>3</v>
      </c>
      <c r="F79" s="502">
        <v>1</v>
      </c>
      <c r="G79" s="502">
        <f>1-F79</f>
        <v>0</v>
      </c>
      <c r="H79" s="503">
        <f>VLOOKUP(B79,EQUIPAMENTOS!$A:$J,10,FALSE)</f>
        <v>125</v>
      </c>
      <c r="I79" s="504">
        <f>H79</f>
        <v>125</v>
      </c>
      <c r="J79" s="505">
        <f>H79*F79*E79+I79*G79*E79</f>
        <v>375</v>
      </c>
      <c r="K79" s="471"/>
    </row>
    <row r="80" spans="1:11">
      <c r="A80" s="463"/>
      <c r="B80" s="499"/>
      <c r="C80" s="500"/>
      <c r="D80" s="501"/>
      <c r="E80" s="502"/>
      <c r="F80" s="502"/>
      <c r="G80" s="502"/>
      <c r="H80" s="503"/>
      <c r="I80" s="504"/>
      <c r="J80" s="505">
        <f>H80*F80*E80+I80*G80*E80</f>
        <v>0</v>
      </c>
      <c r="K80" s="471"/>
    </row>
    <row r="81" spans="1:11">
      <c r="A81" s="463"/>
      <c r="B81" s="499"/>
      <c r="C81" s="500"/>
      <c r="D81" s="501"/>
      <c r="E81" s="502"/>
      <c r="F81" s="502"/>
      <c r="G81" s="502"/>
      <c r="H81" s="503"/>
      <c r="I81" s="504"/>
      <c r="J81" s="505">
        <f>H81*F81*E81+I81*G81*E81</f>
        <v>0</v>
      </c>
      <c r="K81" s="471"/>
    </row>
    <row r="82" spans="1:11">
      <c r="A82" s="463"/>
      <c r="B82" s="506"/>
      <c r="C82" s="507"/>
      <c r="D82" s="508"/>
      <c r="E82" s="509"/>
      <c r="F82" s="509"/>
      <c r="G82" s="509"/>
      <c r="H82" s="510"/>
      <c r="I82" s="511"/>
      <c r="J82" s="505">
        <f>H82*F82*E82+I82*G82*E82</f>
        <v>0</v>
      </c>
      <c r="K82" s="471"/>
    </row>
    <row r="83" spans="1:11">
      <c r="A83" s="463"/>
      <c r="B83" s="512" t="s">
        <v>946</v>
      </c>
      <c r="C83" s="482"/>
      <c r="D83" s="482"/>
      <c r="E83" s="482"/>
      <c r="F83" s="482"/>
      <c r="G83" s="482"/>
      <c r="H83" s="482"/>
      <c r="I83" s="513" t="s">
        <v>175</v>
      </c>
      <c r="J83" s="514">
        <f>SUM(J78:J82)</f>
        <v>550</v>
      </c>
      <c r="K83" s="471"/>
    </row>
    <row r="84" spans="1:11">
      <c r="A84" s="463"/>
      <c r="B84" s="515"/>
      <c r="C84" s="515"/>
      <c r="D84" s="515"/>
      <c r="E84" s="515"/>
      <c r="F84" s="515"/>
      <c r="G84" s="515"/>
      <c r="H84" s="515"/>
      <c r="I84" s="516"/>
      <c r="J84" s="517"/>
      <c r="K84" s="471"/>
    </row>
    <row r="85" spans="1:11" ht="20.399999999999999">
      <c r="A85" s="463"/>
      <c r="B85" s="1490" t="s">
        <v>947</v>
      </c>
      <c r="C85" s="1491"/>
      <c r="D85" s="1491"/>
      <c r="E85" s="1492"/>
      <c r="F85" s="518" t="s">
        <v>688</v>
      </c>
      <c r="G85" s="519"/>
      <c r="H85" s="520" t="s">
        <v>427</v>
      </c>
      <c r="I85" s="521" t="s">
        <v>948</v>
      </c>
      <c r="J85" s="522" t="s">
        <v>949</v>
      </c>
      <c r="K85" s="471"/>
    </row>
    <row r="86" spans="1:11">
      <c r="A86" s="463"/>
      <c r="B86" s="523" t="s">
        <v>950</v>
      </c>
      <c r="C86" s="524"/>
      <c r="D86" s="525"/>
      <c r="E86" s="526"/>
      <c r="F86" s="527"/>
      <c r="G86" s="528"/>
      <c r="H86" s="529">
        <f>E79</f>
        <v>3</v>
      </c>
      <c r="I86" s="534">
        <f>(VLOOKUP(B86,'MÃO DE OBRA'!$A:$E,5,FALSE)/220)</f>
        <v>26.714454545454547</v>
      </c>
      <c r="J86" s="505">
        <f>H86*I86</f>
        <v>80.143363636363645</v>
      </c>
      <c r="K86" s="471"/>
    </row>
    <row r="87" spans="1:11">
      <c r="A87" s="463"/>
      <c r="B87" s="530" t="s">
        <v>556</v>
      </c>
      <c r="C87" s="531"/>
      <c r="D87" s="472"/>
      <c r="E87" s="500"/>
      <c r="F87" s="501"/>
      <c r="G87" s="532"/>
      <c r="H87" s="533">
        <v>1</v>
      </c>
      <c r="I87" s="534">
        <f>(VLOOKUP(B87,'MÃO DE OBRA'!$A:$E,5,FALSE)/220)</f>
        <v>35.988199999999999</v>
      </c>
      <c r="J87" s="505">
        <f>H87*I87</f>
        <v>35.988199999999999</v>
      </c>
      <c r="K87" s="471"/>
    </row>
    <row r="88" spans="1:11">
      <c r="A88" s="463"/>
      <c r="B88" s="530" t="s">
        <v>472</v>
      </c>
      <c r="C88" s="531"/>
      <c r="D88" s="472"/>
      <c r="E88" s="500"/>
      <c r="F88" s="501"/>
      <c r="G88" s="532"/>
      <c r="H88" s="533">
        <v>1</v>
      </c>
      <c r="I88" s="534">
        <f>(VLOOKUP(B88,'MÃO DE OBRA'!$A:$E,5,FALSE)/220)</f>
        <v>18.377072727272729</v>
      </c>
      <c r="J88" s="505">
        <f>H88*I88</f>
        <v>18.377072727272729</v>
      </c>
      <c r="K88" s="471"/>
    </row>
    <row r="89" spans="1:11">
      <c r="A89" s="463"/>
      <c r="B89" s="530"/>
      <c r="C89" s="531"/>
      <c r="D89" s="472"/>
      <c r="E89" s="500"/>
      <c r="F89" s="501"/>
      <c r="G89" s="532"/>
      <c r="H89" s="533"/>
      <c r="I89" s="504"/>
      <c r="J89" s="505"/>
      <c r="K89" s="471"/>
    </row>
    <row r="90" spans="1:11">
      <c r="A90" s="463"/>
      <c r="B90" s="530"/>
      <c r="C90" s="531"/>
      <c r="D90" s="472"/>
      <c r="E90" s="500"/>
      <c r="F90" s="501"/>
      <c r="G90" s="532"/>
      <c r="H90" s="533"/>
      <c r="I90" s="504"/>
      <c r="J90" s="505">
        <f>H90*I90</f>
        <v>0</v>
      </c>
      <c r="K90" s="471"/>
    </row>
    <row r="91" spans="1:11">
      <c r="A91" s="463"/>
      <c r="B91" s="512" t="s">
        <v>946</v>
      </c>
      <c r="C91" s="515"/>
      <c r="D91" s="515"/>
      <c r="E91" s="515"/>
      <c r="F91" s="515"/>
      <c r="G91" s="515"/>
      <c r="H91" s="515"/>
      <c r="I91" s="535" t="s">
        <v>175</v>
      </c>
      <c r="J91" s="514">
        <f>SUM(J86:J90)</f>
        <v>134.50863636363636</v>
      </c>
      <c r="K91" s="471"/>
    </row>
    <row r="92" spans="1:11">
      <c r="A92" s="463"/>
      <c r="B92" s="536"/>
      <c r="C92" s="536"/>
      <c r="D92" s="536"/>
      <c r="E92" s="536"/>
      <c r="F92" s="536"/>
      <c r="G92" s="536"/>
      <c r="H92" s="536"/>
      <c r="I92" s="537"/>
      <c r="J92" s="536"/>
      <c r="K92" s="471"/>
    </row>
    <row r="93" spans="1:11">
      <c r="A93" s="463"/>
      <c r="B93" s="538" t="s">
        <v>952</v>
      </c>
      <c r="C93" s="539"/>
      <c r="D93" s="536"/>
      <c r="E93" s="540">
        <v>150</v>
      </c>
      <c r="F93" s="541" t="s">
        <v>973</v>
      </c>
      <c r="G93" s="519"/>
      <c r="H93" s="519"/>
      <c r="I93" s="542" t="s">
        <v>953</v>
      </c>
      <c r="J93" s="514">
        <f>J83+J91</f>
        <v>684.50863636363636</v>
      </c>
      <c r="K93" s="471"/>
    </row>
    <row r="94" spans="1:11">
      <c r="A94" s="463"/>
      <c r="B94" s="543"/>
      <c r="C94" s="536"/>
      <c r="D94" s="536"/>
      <c r="E94" s="544"/>
      <c r="F94" s="545"/>
      <c r="G94" s="545"/>
      <c r="H94" s="545"/>
      <c r="I94" s="537"/>
      <c r="J94" s="536"/>
      <c r="K94" s="471"/>
    </row>
    <row r="95" spans="1:11" ht="20.399999999999999">
      <c r="A95" s="463"/>
      <c r="B95" s="1493" t="s">
        <v>362</v>
      </c>
      <c r="C95" s="1494"/>
      <c r="D95" s="1494"/>
      <c r="E95" s="1495"/>
      <c r="F95" s="546" t="s">
        <v>688</v>
      </c>
      <c r="G95" s="547" t="s">
        <v>371</v>
      </c>
      <c r="H95" s="520" t="s">
        <v>942</v>
      </c>
      <c r="I95" s="548" t="s">
        <v>361</v>
      </c>
      <c r="J95" s="549" t="s">
        <v>363</v>
      </c>
      <c r="K95" s="471"/>
    </row>
    <row r="96" spans="1:11">
      <c r="A96" s="463"/>
      <c r="B96" s="550" t="str">
        <f>B78</f>
        <v>Escavadeira Hidráulica sobre esteira 22T</v>
      </c>
      <c r="C96" s="551"/>
      <c r="D96" s="551"/>
      <c r="E96" s="552"/>
      <c r="F96" s="553" t="str">
        <f>VLOOKUP(B96,EQUIPAMENTOS!$A:$N,12,FALSE)</f>
        <v>Diesel S10</v>
      </c>
      <c r="G96" s="554" t="s">
        <v>415</v>
      </c>
      <c r="H96" s="560">
        <f>VLOOKUP(B96,EQUIPAMENTOS!$A:$N,13,FALSE)</f>
        <v>0</v>
      </c>
      <c r="I96" s="556">
        <f>VLOOKUP(B96,EQUIPAMENTOS!$A:$N,14,FALSE)</f>
        <v>22</v>
      </c>
      <c r="J96" s="498">
        <f>H96*I96*E78*F78</f>
        <v>0</v>
      </c>
      <c r="K96" s="471"/>
    </row>
    <row r="97" spans="1:12">
      <c r="A97" s="463"/>
      <c r="B97" s="550" t="str">
        <f>B79</f>
        <v>Caminhão basculante 14 m³</v>
      </c>
      <c r="C97" s="531"/>
      <c r="D97" s="531"/>
      <c r="E97" s="500"/>
      <c r="F97" s="553" t="str">
        <f>VLOOKUP(B97,EQUIPAMENTOS!$A:$N,12,FALSE)</f>
        <v>Diesel S10</v>
      </c>
      <c r="G97" s="554" t="s">
        <v>415</v>
      </c>
      <c r="H97" s="560">
        <f>VLOOKUP(B97,EQUIPAMENTOS!$A:$N,13,FALSE)</f>
        <v>0</v>
      </c>
      <c r="I97" s="556">
        <f>VLOOKUP(B97,EQUIPAMENTOS!$A:$N,14,FALSE)</f>
        <v>2.5</v>
      </c>
      <c r="J97" s="505">
        <f>H97*I97*E79*F79</f>
        <v>0</v>
      </c>
      <c r="K97" s="471"/>
    </row>
    <row r="98" spans="1:12">
      <c r="A98" s="463"/>
      <c r="B98" s="530"/>
      <c r="C98" s="531"/>
      <c r="D98" s="531"/>
      <c r="E98" s="500"/>
      <c r="F98" s="558"/>
      <c r="G98" s="559"/>
      <c r="H98" s="560"/>
      <c r="I98" s="556"/>
      <c r="J98" s="505">
        <f>H98*I98*E79</f>
        <v>0</v>
      </c>
      <c r="K98" s="471"/>
    </row>
    <row r="99" spans="1:12">
      <c r="A99" s="463"/>
      <c r="B99" s="530"/>
      <c r="C99" s="531"/>
      <c r="D99" s="531"/>
      <c r="E99" s="500"/>
      <c r="F99" s="501"/>
      <c r="G99" s="559"/>
      <c r="H99" s="560"/>
      <c r="I99" s="556"/>
      <c r="J99" s="505">
        <f>H99*I99*E80</f>
        <v>0</v>
      </c>
      <c r="K99" s="471"/>
    </row>
    <row r="100" spans="1:12">
      <c r="A100" s="463"/>
      <c r="B100" s="530"/>
      <c r="C100" s="539"/>
      <c r="D100" s="539"/>
      <c r="E100" s="507"/>
      <c r="F100" s="501"/>
      <c r="G100" s="481"/>
      <c r="H100" s="560"/>
      <c r="I100" s="561"/>
      <c r="J100" s="562">
        <f>H100*I100*E81</f>
        <v>0</v>
      </c>
      <c r="K100" s="471"/>
    </row>
    <row r="101" spans="1:12">
      <c r="A101" s="463"/>
      <c r="B101" s="563" t="s">
        <v>946</v>
      </c>
      <c r="C101" s="539"/>
      <c r="D101" s="539"/>
      <c r="E101" s="539"/>
      <c r="F101" s="536"/>
      <c r="G101" s="539"/>
      <c r="H101" s="564"/>
      <c r="I101" s="565" t="s">
        <v>175</v>
      </c>
      <c r="J101" s="514">
        <f>SUM(J96:J100)</f>
        <v>0</v>
      </c>
      <c r="K101" s="471"/>
      <c r="L101" s="6">
        <f>J101/E93</f>
        <v>0</v>
      </c>
    </row>
    <row r="102" spans="1:12">
      <c r="A102" s="463"/>
      <c r="B102" s="566"/>
      <c r="C102" s="539"/>
      <c r="D102" s="539"/>
      <c r="E102" s="567"/>
      <c r="F102" s="568"/>
      <c r="G102" s="519"/>
      <c r="H102" s="519"/>
      <c r="I102" s="542"/>
      <c r="J102" s="567"/>
      <c r="K102" s="471"/>
    </row>
    <row r="103" spans="1:12" ht="20.399999999999999">
      <c r="A103" s="463"/>
      <c r="B103" s="1493" t="s">
        <v>955</v>
      </c>
      <c r="C103" s="1494"/>
      <c r="D103" s="1494"/>
      <c r="E103" s="1494"/>
      <c r="F103" s="1495"/>
      <c r="G103" s="569" t="s">
        <v>372</v>
      </c>
      <c r="H103" s="519" t="s">
        <v>956</v>
      </c>
      <c r="I103" s="570" t="s">
        <v>942</v>
      </c>
      <c r="J103" s="522" t="s">
        <v>363</v>
      </c>
      <c r="K103" s="471"/>
    </row>
    <row r="104" spans="1:12">
      <c r="A104" s="463"/>
      <c r="B104" s="571"/>
      <c r="C104" s="572"/>
      <c r="D104" s="573"/>
      <c r="E104" s="573"/>
      <c r="F104" s="574"/>
      <c r="G104" s="502"/>
      <c r="H104" s="502"/>
      <c r="I104" s="575"/>
      <c r="J104" s="505"/>
      <c r="K104" s="471"/>
    </row>
    <row r="105" spans="1:12">
      <c r="A105" s="463"/>
      <c r="B105" s="576"/>
      <c r="C105" s="577"/>
      <c r="D105" s="578"/>
      <c r="E105" s="578"/>
      <c r="F105" s="579"/>
      <c r="G105" s="502"/>
      <c r="H105" s="502"/>
      <c r="I105" s="575"/>
      <c r="J105" s="505"/>
      <c r="K105" s="471"/>
    </row>
    <row r="106" spans="1:12">
      <c r="A106" s="463"/>
      <c r="B106" s="1496" t="s">
        <v>175</v>
      </c>
      <c r="C106" s="1496"/>
      <c r="D106" s="1496"/>
      <c r="E106" s="1496"/>
      <c r="F106" s="1496"/>
      <c r="G106" s="1496"/>
      <c r="H106" s="1496"/>
      <c r="I106" s="1496"/>
      <c r="J106" s="514">
        <f>SUM(J104:J105)</f>
        <v>0</v>
      </c>
      <c r="K106" s="471"/>
    </row>
    <row r="107" spans="1:12">
      <c r="A107" s="463"/>
      <c r="B107" s="580"/>
      <c r="C107" s="524"/>
      <c r="D107" s="524"/>
      <c r="E107" s="581"/>
      <c r="F107" s="582"/>
      <c r="G107" s="583"/>
      <c r="H107" s="583"/>
      <c r="I107" s="584"/>
      <c r="J107" s="585"/>
      <c r="K107" s="471"/>
    </row>
    <row r="108" spans="1:12">
      <c r="A108" s="463"/>
      <c r="B108" s="586" t="s">
        <v>957</v>
      </c>
      <c r="C108" s="586"/>
      <c r="D108" s="563"/>
      <c r="E108" s="536"/>
      <c r="F108" s="536"/>
      <c r="G108" s="536"/>
      <c r="H108" s="587"/>
      <c r="I108" s="588"/>
      <c r="J108" s="514">
        <f>(J93+J101+J106)/E93</f>
        <v>4.5633909090909093</v>
      </c>
      <c r="K108" s="471"/>
    </row>
    <row r="109" spans="1:12">
      <c r="A109" s="463"/>
      <c r="B109" s="566"/>
      <c r="C109" s="539"/>
      <c r="D109" s="539"/>
      <c r="E109" s="567"/>
      <c r="F109" s="568"/>
      <c r="G109" s="519"/>
      <c r="H109" s="519"/>
      <c r="I109" s="542"/>
      <c r="J109" s="589"/>
      <c r="K109" s="471"/>
    </row>
    <row r="110" spans="1:12" ht="20.399999999999999">
      <c r="A110" s="463"/>
      <c r="B110" s="1493" t="s">
        <v>958</v>
      </c>
      <c r="C110" s="1494"/>
      <c r="D110" s="1494"/>
      <c r="E110" s="1494"/>
      <c r="F110" s="1495"/>
      <c r="G110" s="569" t="s">
        <v>372</v>
      </c>
      <c r="H110" s="519" t="s">
        <v>956</v>
      </c>
      <c r="I110" s="570" t="s">
        <v>942</v>
      </c>
      <c r="J110" s="522" t="s">
        <v>363</v>
      </c>
      <c r="K110" s="471"/>
    </row>
    <row r="111" spans="1:12">
      <c r="A111" s="463"/>
      <c r="B111" s="571"/>
      <c r="C111" s="572"/>
      <c r="D111" s="573"/>
      <c r="E111" s="573"/>
      <c r="F111" s="574"/>
      <c r="G111" s="502"/>
      <c r="H111" s="502"/>
      <c r="I111" s="575"/>
      <c r="J111" s="505">
        <f>G111*I111</f>
        <v>0</v>
      </c>
      <c r="K111" s="471"/>
    </row>
    <row r="112" spans="1:12">
      <c r="A112" s="463"/>
      <c r="B112" s="576"/>
      <c r="C112" s="577"/>
      <c r="D112" s="578"/>
      <c r="E112" s="578"/>
      <c r="F112" s="579"/>
      <c r="G112" s="502"/>
      <c r="H112" s="502"/>
      <c r="I112" s="575"/>
      <c r="J112" s="505">
        <f>G112*I112</f>
        <v>0</v>
      </c>
      <c r="K112" s="471"/>
    </row>
    <row r="113" spans="1:11">
      <c r="A113" s="463"/>
      <c r="B113" s="576"/>
      <c r="C113" s="577"/>
      <c r="D113" s="578"/>
      <c r="E113" s="578"/>
      <c r="F113" s="579"/>
      <c r="G113" s="502"/>
      <c r="H113" s="502"/>
      <c r="I113" s="575"/>
      <c r="J113" s="505">
        <f>G113*I113</f>
        <v>0</v>
      </c>
      <c r="K113" s="471"/>
    </row>
    <row r="114" spans="1:11">
      <c r="A114" s="463"/>
      <c r="B114" s="590"/>
      <c r="C114" s="591"/>
      <c r="D114" s="592"/>
      <c r="E114" s="592"/>
      <c r="F114" s="593"/>
      <c r="G114" s="502"/>
      <c r="H114" s="502"/>
      <c r="I114" s="575"/>
      <c r="J114" s="505">
        <f>G114*I114</f>
        <v>0</v>
      </c>
      <c r="K114" s="471"/>
    </row>
    <row r="115" spans="1:11">
      <c r="A115" s="463"/>
      <c r="B115" s="594"/>
      <c r="C115" s="536"/>
      <c r="D115" s="536"/>
      <c r="E115" s="595"/>
      <c r="F115" s="596"/>
      <c r="G115" s="545"/>
      <c r="H115" s="545"/>
      <c r="I115" s="537" t="s">
        <v>175</v>
      </c>
      <c r="J115" s="514">
        <f>SUM(J111:J114)</f>
        <v>0</v>
      </c>
      <c r="K115" s="471"/>
    </row>
    <row r="116" spans="1:11">
      <c r="A116" s="463"/>
      <c r="B116" s="597"/>
      <c r="C116" s="536"/>
      <c r="D116" s="536"/>
      <c r="E116" s="595"/>
      <c r="F116" s="596"/>
      <c r="G116" s="545"/>
      <c r="H116" s="545"/>
      <c r="I116" s="537"/>
      <c r="J116" s="595"/>
      <c r="K116" s="471"/>
    </row>
    <row r="117" spans="1:11" ht="20.399999999999999">
      <c r="A117" s="463"/>
      <c r="B117" s="598" t="s">
        <v>959</v>
      </c>
      <c r="C117" s="598"/>
      <c r="D117" s="598"/>
      <c r="E117" s="599"/>
      <c r="F117" s="600" t="s">
        <v>372</v>
      </c>
      <c r="G117" s="569" t="s">
        <v>960</v>
      </c>
      <c r="H117" s="519" t="s">
        <v>942</v>
      </c>
      <c r="I117" s="570" t="s">
        <v>361</v>
      </c>
      <c r="J117" s="522" t="s">
        <v>363</v>
      </c>
      <c r="K117" s="471"/>
    </row>
    <row r="118" spans="1:11">
      <c r="A118" s="463"/>
      <c r="B118" s="571"/>
      <c r="C118" s="572"/>
      <c r="D118" s="573"/>
      <c r="E118" s="574"/>
      <c r="F118" s="502"/>
      <c r="G118" s="502"/>
      <c r="H118" s="624"/>
      <c r="I118" s="575"/>
      <c r="J118" s="505"/>
      <c r="K118" s="471"/>
    </row>
    <row r="119" spans="1:11">
      <c r="A119" s="463"/>
      <c r="B119" s="576"/>
      <c r="C119" s="577"/>
      <c r="D119" s="578"/>
      <c r="E119" s="579" t="s">
        <v>946</v>
      </c>
      <c r="F119" s="502">
        <v>0</v>
      </c>
      <c r="G119" s="502">
        <v>0</v>
      </c>
      <c r="H119" s="502">
        <v>0</v>
      </c>
      <c r="I119" s="575">
        <v>0</v>
      </c>
      <c r="J119" s="505">
        <f>I119*H119*G119*F119</f>
        <v>0</v>
      </c>
      <c r="K119" s="471"/>
    </row>
    <row r="120" spans="1:11">
      <c r="A120" s="463"/>
      <c r="B120" s="576"/>
      <c r="C120" s="577"/>
      <c r="D120" s="578"/>
      <c r="E120" s="579" t="s">
        <v>946</v>
      </c>
      <c r="F120" s="502">
        <v>0</v>
      </c>
      <c r="G120" s="502">
        <v>0</v>
      </c>
      <c r="H120" s="502">
        <v>0</v>
      </c>
      <c r="I120" s="575">
        <v>0</v>
      </c>
      <c r="J120" s="505">
        <f>I120*H120*G120*F120</f>
        <v>0</v>
      </c>
      <c r="K120" s="471"/>
    </row>
    <row r="121" spans="1:11">
      <c r="A121" s="463"/>
      <c r="B121" s="576" t="s">
        <v>946</v>
      </c>
      <c r="C121" s="577"/>
      <c r="D121" s="578"/>
      <c r="E121" s="579" t="s">
        <v>946</v>
      </c>
      <c r="F121" s="502">
        <v>0</v>
      </c>
      <c r="G121" s="502">
        <v>0</v>
      </c>
      <c r="H121" s="502">
        <v>0</v>
      </c>
      <c r="I121" s="575">
        <v>0</v>
      </c>
      <c r="J121" s="505">
        <f>I121*H121*G121*F121</f>
        <v>0</v>
      </c>
      <c r="K121" s="471"/>
    </row>
    <row r="122" spans="1:11">
      <c r="A122" s="463"/>
      <c r="B122" s="590" t="s">
        <v>946</v>
      </c>
      <c r="C122" s="591"/>
      <c r="D122" s="592"/>
      <c r="E122" s="593" t="s">
        <v>946</v>
      </c>
      <c r="F122" s="509">
        <v>0</v>
      </c>
      <c r="G122" s="509">
        <v>0</v>
      </c>
      <c r="H122" s="509">
        <v>0</v>
      </c>
      <c r="I122" s="601">
        <v>0</v>
      </c>
      <c r="J122" s="505">
        <f>I122*H122*G122*F122</f>
        <v>0</v>
      </c>
      <c r="K122" s="471"/>
    </row>
    <row r="123" spans="1:11">
      <c r="A123" s="463"/>
      <c r="B123" s="594"/>
      <c r="C123" s="536"/>
      <c r="D123" s="536"/>
      <c r="E123" s="595"/>
      <c r="F123" s="596"/>
      <c r="G123" s="545"/>
      <c r="H123" s="545"/>
      <c r="I123" s="537" t="s">
        <v>175</v>
      </c>
      <c r="J123" s="514">
        <f>SUM(J118:J122)</f>
        <v>0</v>
      </c>
      <c r="K123" s="471"/>
    </row>
    <row r="124" spans="1:11">
      <c r="A124" s="463"/>
      <c r="B124" s="536"/>
      <c r="C124" s="536"/>
      <c r="D124" s="536"/>
      <c r="E124" s="536"/>
      <c r="F124" s="536"/>
      <c r="G124" s="536"/>
      <c r="H124" s="536"/>
      <c r="I124" s="537"/>
      <c r="J124" s="536"/>
      <c r="K124" s="471"/>
    </row>
    <row r="125" spans="1:11">
      <c r="A125" s="463"/>
      <c r="B125" s="1481" t="s">
        <v>961</v>
      </c>
      <c r="C125" s="1482"/>
      <c r="D125" s="1482"/>
      <c r="E125" s="1482"/>
      <c r="F125" s="1482"/>
      <c r="G125" s="1482"/>
      <c r="H125" s="1482"/>
      <c r="I125" s="1483"/>
      <c r="J125" s="586">
        <f>J123+J115+J108</f>
        <v>4.5633909090909093</v>
      </c>
      <c r="K125" s="471"/>
    </row>
    <row r="126" spans="1:11">
      <c r="A126" s="463"/>
      <c r="B126" s="536"/>
      <c r="C126" s="536"/>
      <c r="D126" s="536"/>
      <c r="E126" s="536"/>
      <c r="F126" s="536"/>
      <c r="G126" s="536"/>
      <c r="H126" s="536"/>
      <c r="I126" s="537"/>
      <c r="J126" s="536"/>
      <c r="K126" s="471"/>
    </row>
    <row r="127" spans="1:11">
      <c r="A127" s="463"/>
      <c r="B127" s="1481" t="s">
        <v>962</v>
      </c>
      <c r="C127" s="1482"/>
      <c r="D127" s="1482"/>
      <c r="E127" s="1482"/>
      <c r="F127" s="1482"/>
      <c r="G127" s="1482"/>
      <c r="H127" s="1482"/>
      <c r="I127" s="1483"/>
      <c r="J127" s="514">
        <f>J125*0</f>
        <v>0</v>
      </c>
      <c r="K127" s="471"/>
    </row>
    <row r="128" spans="1:11">
      <c r="A128" s="463"/>
      <c r="B128" s="536"/>
      <c r="C128" s="536"/>
      <c r="D128" s="536"/>
      <c r="E128" s="536"/>
      <c r="F128" s="536"/>
      <c r="G128" s="536"/>
      <c r="H128" s="536"/>
      <c r="I128" s="537"/>
      <c r="J128" s="536"/>
      <c r="K128" s="471"/>
    </row>
    <row r="129" spans="1:11">
      <c r="A129" s="463"/>
      <c r="B129" s="1481" t="s">
        <v>963</v>
      </c>
      <c r="C129" s="1482"/>
      <c r="D129" s="1482"/>
      <c r="E129" s="1482"/>
      <c r="F129" s="1482"/>
      <c r="G129" s="1482"/>
      <c r="H129" s="1482"/>
      <c r="I129" s="1483"/>
      <c r="J129" s="586">
        <f>J125+J127</f>
        <v>4.5633909090909093</v>
      </c>
      <c r="K129" s="471"/>
    </row>
    <row r="130" spans="1:11">
      <c r="A130" s="463"/>
      <c r="B130" s="524"/>
      <c r="C130" s="524"/>
      <c r="D130" s="524"/>
      <c r="E130" s="524"/>
      <c r="F130" s="524"/>
      <c r="G130" s="524"/>
      <c r="H130" s="524"/>
      <c r="I130" s="584"/>
      <c r="J130" s="524"/>
      <c r="K130" s="471"/>
    </row>
    <row r="131" spans="1:11">
      <c r="A131" s="463"/>
      <c r="B131" s="602"/>
      <c r="C131" s="572"/>
      <c r="D131" s="572"/>
      <c r="E131" s="572"/>
      <c r="F131" s="572"/>
      <c r="G131" s="572"/>
      <c r="H131" s="572"/>
      <c r="I131" s="572"/>
      <c r="J131" s="603"/>
      <c r="K131" s="471"/>
    </row>
    <row r="132" spans="1:11">
      <c r="A132" s="463"/>
      <c r="B132" s="604"/>
      <c r="C132" s="605"/>
      <c r="D132" s="606"/>
      <c r="E132" s="606"/>
      <c r="F132" s="607" t="s">
        <v>946</v>
      </c>
      <c r="G132" s="608" t="s">
        <v>946</v>
      </c>
      <c r="H132" s="605"/>
      <c r="I132" s="605"/>
      <c r="J132" s="609"/>
      <c r="K132" s="471"/>
    </row>
    <row r="133" spans="1:11">
      <c r="A133" s="463"/>
      <c r="B133" s="472"/>
      <c r="C133" s="472"/>
      <c r="D133" s="472"/>
      <c r="E133" s="472"/>
      <c r="F133" s="472"/>
      <c r="G133" s="472"/>
      <c r="H133" s="472"/>
      <c r="I133" s="472"/>
      <c r="J133" s="472"/>
      <c r="K133" s="471"/>
    </row>
    <row r="134" spans="1:11">
      <c r="A134" s="463"/>
      <c r="B134" s="610"/>
      <c r="C134" s="611"/>
      <c r="D134" s="611"/>
      <c r="E134" s="611"/>
      <c r="F134" s="612"/>
      <c r="G134" s="613" t="s">
        <v>363</v>
      </c>
      <c r="H134" s="515"/>
      <c r="I134" s="515"/>
      <c r="J134" s="518"/>
      <c r="K134" s="471"/>
    </row>
    <row r="135" spans="1:11">
      <c r="A135" s="463"/>
      <c r="B135" s="614"/>
      <c r="C135" s="615"/>
      <c r="D135" s="615"/>
      <c r="E135" s="615"/>
      <c r="F135" s="616"/>
      <c r="G135" s="1484" t="s">
        <v>964</v>
      </c>
      <c r="H135" s="1485"/>
      <c r="I135" s="1485"/>
      <c r="J135" s="1486"/>
      <c r="K135" s="471"/>
    </row>
    <row r="136" spans="1:11">
      <c r="A136" s="463"/>
      <c r="B136" s="617"/>
      <c r="C136" s="618"/>
      <c r="D136" s="618"/>
      <c r="E136" s="618"/>
      <c r="F136" s="619"/>
      <c r="G136" s="620"/>
      <c r="H136" s="1487"/>
      <c r="I136" s="1488"/>
      <c r="J136" s="1489"/>
      <c r="K136" s="471"/>
    </row>
    <row r="137" spans="1:11" ht="15" thickBot="1">
      <c r="A137" s="621"/>
      <c r="B137" s="622"/>
      <c r="C137" s="622"/>
      <c r="D137" s="622"/>
      <c r="E137" s="622"/>
      <c r="F137" s="622"/>
      <c r="G137" s="622"/>
      <c r="H137" s="622"/>
      <c r="I137" s="622"/>
      <c r="J137" s="622"/>
      <c r="K137" s="623"/>
    </row>
    <row r="138" spans="1:11">
      <c r="A138" s="460"/>
      <c r="B138" s="461"/>
      <c r="C138" s="461"/>
      <c r="D138" s="461"/>
      <c r="E138" s="461"/>
      <c r="F138" s="461"/>
      <c r="G138" s="461"/>
      <c r="H138" s="461"/>
      <c r="I138" s="461"/>
      <c r="J138" s="461"/>
      <c r="K138" s="462"/>
    </row>
    <row r="139" spans="1:11">
      <c r="A139" s="463"/>
      <c r="B139" s="464" t="s">
        <v>178</v>
      </c>
      <c r="C139" s="465"/>
      <c r="D139" s="466" t="s">
        <v>936</v>
      </c>
      <c r="E139" s="467"/>
      <c r="F139" s="468"/>
      <c r="G139" s="468"/>
      <c r="H139" s="469"/>
      <c r="I139" s="469"/>
      <c r="J139" s="470"/>
      <c r="K139" s="471"/>
    </row>
    <row r="140" spans="1:11">
      <c r="A140" s="463"/>
      <c r="B140" s="472"/>
      <c r="C140" s="472"/>
      <c r="D140" s="472"/>
      <c r="E140" s="472"/>
      <c r="F140" s="472"/>
      <c r="G140" s="472"/>
      <c r="H140" s="472"/>
      <c r="I140" s="472"/>
      <c r="J140" s="472"/>
      <c r="K140" s="471"/>
    </row>
    <row r="141" spans="1:11">
      <c r="A141" s="463"/>
      <c r="B141" s="473" t="s">
        <v>972</v>
      </c>
      <c r="C141" s="474" t="s">
        <v>937</v>
      </c>
      <c r="D141" s="1497" t="s">
        <v>250</v>
      </c>
      <c r="E141" s="1498"/>
      <c r="F141" s="1498"/>
      <c r="G141" s="1498"/>
      <c r="H141" s="1498"/>
      <c r="I141" s="1499"/>
      <c r="J141" s="475" t="s">
        <v>267</v>
      </c>
      <c r="K141" s="471"/>
    </row>
    <row r="142" spans="1:11" ht="30.6">
      <c r="A142" s="463"/>
      <c r="B142" s="476">
        <v>5502836</v>
      </c>
      <c r="C142" s="477">
        <f ca="1">C74</f>
        <v>46140</v>
      </c>
      <c r="D142" s="681" t="s">
        <v>212</v>
      </c>
      <c r="E142" s="479"/>
      <c r="F142" s="479"/>
      <c r="G142" s="479"/>
      <c r="H142" s="479"/>
      <c r="I142" s="480"/>
      <c r="J142" s="481" t="str">
        <f>F161</f>
        <v>m3</v>
      </c>
      <c r="K142" s="471"/>
    </row>
    <row r="143" spans="1:11">
      <c r="A143" s="463"/>
      <c r="B143" s="482"/>
      <c r="C143" s="482"/>
      <c r="D143" s="482"/>
      <c r="E143" s="482"/>
      <c r="F143" s="482"/>
      <c r="G143" s="482"/>
      <c r="H143" s="482"/>
      <c r="I143" s="483"/>
      <c r="J143" s="484"/>
      <c r="K143" s="471"/>
    </row>
    <row r="144" spans="1:11">
      <c r="A144" s="463"/>
      <c r="B144" s="1484" t="s">
        <v>938</v>
      </c>
      <c r="C144" s="1486"/>
      <c r="D144" s="1502" t="s">
        <v>688</v>
      </c>
      <c r="E144" s="1504" t="s">
        <v>939</v>
      </c>
      <c r="F144" s="485" t="s">
        <v>940</v>
      </c>
      <c r="G144" s="486"/>
      <c r="H144" s="485" t="s">
        <v>941</v>
      </c>
      <c r="I144" s="486"/>
      <c r="J144" s="487" t="s">
        <v>942</v>
      </c>
      <c r="K144" s="471"/>
    </row>
    <row r="145" spans="1:11">
      <c r="A145" s="463"/>
      <c r="B145" s="1500"/>
      <c r="C145" s="1501"/>
      <c r="D145" s="1503"/>
      <c r="E145" s="1505"/>
      <c r="F145" s="488" t="s">
        <v>943</v>
      </c>
      <c r="G145" s="488" t="s">
        <v>944</v>
      </c>
      <c r="H145" s="488" t="s">
        <v>943</v>
      </c>
      <c r="I145" s="489" t="s">
        <v>944</v>
      </c>
      <c r="J145" s="490" t="s">
        <v>945</v>
      </c>
      <c r="K145" s="471"/>
    </row>
    <row r="146" spans="1:11">
      <c r="A146" s="463"/>
      <c r="B146" s="499" t="s">
        <v>971</v>
      </c>
      <c r="C146" s="492"/>
      <c r="D146" s="493"/>
      <c r="E146" s="494">
        <v>1</v>
      </c>
      <c r="F146" s="494">
        <v>1</v>
      </c>
      <c r="G146" s="495">
        <f>1-F146</f>
        <v>0</v>
      </c>
      <c r="H146" s="503">
        <f>VLOOKUP(B146,EQUIPAMENTOS!$A:$J,10,FALSE)</f>
        <v>175</v>
      </c>
      <c r="I146" s="497">
        <f>H146</f>
        <v>175</v>
      </c>
      <c r="J146" s="498">
        <f>H146*F146*E146+I146*G146*E146</f>
        <v>175</v>
      </c>
      <c r="K146" s="471"/>
    </row>
    <row r="147" spans="1:11">
      <c r="A147" s="463"/>
      <c r="B147" s="499" t="s">
        <v>614</v>
      </c>
      <c r="C147" s="500"/>
      <c r="D147" s="501"/>
      <c r="E147" s="502">
        <v>6</v>
      </c>
      <c r="F147" s="502">
        <v>1</v>
      </c>
      <c r="G147" s="502">
        <f>1-F147</f>
        <v>0</v>
      </c>
      <c r="H147" s="503" t="e">
        <f>VLOOKUP(B147,EQUIPAMENTOS!$A:$J,10,FALSE)</f>
        <v>#N/A</v>
      </c>
      <c r="I147" s="504" t="e">
        <f>H147</f>
        <v>#N/A</v>
      </c>
      <c r="J147" s="505" t="e">
        <f>H147*F147*E147+I147*G147*E147</f>
        <v>#N/A</v>
      </c>
      <c r="K147" s="471"/>
    </row>
    <row r="148" spans="1:11">
      <c r="A148" s="463"/>
      <c r="B148" s="499"/>
      <c r="C148" s="500"/>
      <c r="D148" s="501"/>
      <c r="E148" s="502"/>
      <c r="F148" s="502"/>
      <c r="G148" s="502"/>
      <c r="H148" s="503"/>
      <c r="I148" s="504"/>
      <c r="J148" s="505">
        <f>H148*F148*E148+I148*G148*E148</f>
        <v>0</v>
      </c>
      <c r="K148" s="471"/>
    </row>
    <row r="149" spans="1:11">
      <c r="A149" s="463"/>
      <c r="B149" s="499"/>
      <c r="C149" s="500"/>
      <c r="D149" s="501"/>
      <c r="E149" s="502"/>
      <c r="F149" s="502"/>
      <c r="G149" s="502"/>
      <c r="H149" s="503"/>
      <c r="I149" s="504"/>
      <c r="J149" s="505">
        <f>H149*F149*E149+I149*G149*E149</f>
        <v>0</v>
      </c>
      <c r="K149" s="471"/>
    </row>
    <row r="150" spans="1:11">
      <c r="A150" s="463"/>
      <c r="B150" s="506"/>
      <c r="C150" s="507"/>
      <c r="D150" s="508"/>
      <c r="E150" s="509"/>
      <c r="F150" s="509"/>
      <c r="G150" s="509"/>
      <c r="H150" s="510"/>
      <c r="I150" s="511"/>
      <c r="J150" s="505">
        <f>H150*F150*E150+I150*G150*E150</f>
        <v>0</v>
      </c>
      <c r="K150" s="471"/>
    </row>
    <row r="151" spans="1:11">
      <c r="A151" s="463"/>
      <c r="B151" s="512" t="s">
        <v>946</v>
      </c>
      <c r="C151" s="482"/>
      <c r="D151" s="482"/>
      <c r="E151" s="482"/>
      <c r="F151" s="482"/>
      <c r="G151" s="482"/>
      <c r="H151" s="482"/>
      <c r="I151" s="513" t="s">
        <v>175</v>
      </c>
      <c r="J151" s="514" t="e">
        <f>SUM(J146:J150)</f>
        <v>#N/A</v>
      </c>
      <c r="K151" s="471"/>
    </row>
    <row r="152" spans="1:11">
      <c r="A152" s="463"/>
      <c r="B152" s="515"/>
      <c r="C152" s="515"/>
      <c r="D152" s="515"/>
      <c r="E152" s="515"/>
      <c r="F152" s="515"/>
      <c r="G152" s="515"/>
      <c r="H152" s="515"/>
      <c r="I152" s="516"/>
      <c r="J152" s="517"/>
      <c r="K152" s="471"/>
    </row>
    <row r="153" spans="1:11" ht="20.399999999999999">
      <c r="A153" s="463"/>
      <c r="B153" s="1490" t="s">
        <v>947</v>
      </c>
      <c r="C153" s="1491"/>
      <c r="D153" s="1491"/>
      <c r="E153" s="1492"/>
      <c r="F153" s="518" t="s">
        <v>688</v>
      </c>
      <c r="G153" s="519"/>
      <c r="H153" s="520" t="s">
        <v>427</v>
      </c>
      <c r="I153" s="521" t="s">
        <v>948</v>
      </c>
      <c r="J153" s="522" t="s">
        <v>949</v>
      </c>
      <c r="K153" s="471"/>
    </row>
    <row r="154" spans="1:11">
      <c r="A154" s="463"/>
      <c r="B154" s="523" t="s">
        <v>974</v>
      </c>
      <c r="C154" s="524"/>
      <c r="D154" s="525"/>
      <c r="E154" s="526"/>
      <c r="F154" s="527"/>
      <c r="G154" s="528"/>
      <c r="H154" s="529">
        <v>1</v>
      </c>
      <c r="I154" s="534">
        <f>(VLOOKUP(B154,'MÃO DE OBRA'!$A:$E,5,FALSE)/220)</f>
        <v>35.988199999999999</v>
      </c>
      <c r="J154" s="505">
        <f>H154*I154</f>
        <v>35.988199999999999</v>
      </c>
      <c r="K154" s="471"/>
    </row>
    <row r="155" spans="1:11">
      <c r="A155" s="463"/>
      <c r="B155" s="530" t="s">
        <v>950</v>
      </c>
      <c r="C155" s="531"/>
      <c r="D155" s="472"/>
      <c r="E155" s="500"/>
      <c r="F155" s="501"/>
      <c r="G155" s="532"/>
      <c r="H155" s="533">
        <f>E147</f>
        <v>6</v>
      </c>
      <c r="I155" s="534">
        <f>(VLOOKUP(B155,'MÃO DE OBRA'!$A:$E,5,FALSE)/220)</f>
        <v>26.714454545454547</v>
      </c>
      <c r="J155" s="505">
        <f>H155*I155</f>
        <v>160.28672727272729</v>
      </c>
      <c r="K155" s="471"/>
    </row>
    <row r="156" spans="1:11">
      <c r="A156" s="463"/>
      <c r="B156" s="530" t="s">
        <v>472</v>
      </c>
      <c r="C156" s="531"/>
      <c r="D156" s="472"/>
      <c r="E156" s="500"/>
      <c r="F156" s="501"/>
      <c r="G156" s="532"/>
      <c r="H156" s="533">
        <v>1</v>
      </c>
      <c r="I156" s="534">
        <f>(VLOOKUP(B156,'MÃO DE OBRA'!$A:$E,5,FALSE)/220)</f>
        <v>18.377072727272729</v>
      </c>
      <c r="J156" s="505">
        <f>H156*I156</f>
        <v>18.377072727272729</v>
      </c>
      <c r="K156" s="471"/>
    </row>
    <row r="157" spans="1:11">
      <c r="A157" s="463"/>
      <c r="B157" s="530"/>
      <c r="C157" s="531"/>
      <c r="D157" s="472"/>
      <c r="E157" s="500"/>
      <c r="F157" s="501"/>
      <c r="G157" s="532"/>
      <c r="H157" s="533"/>
      <c r="I157" s="504"/>
      <c r="J157" s="505"/>
      <c r="K157" s="471"/>
    </row>
    <row r="158" spans="1:11">
      <c r="A158" s="463"/>
      <c r="B158" s="530"/>
      <c r="C158" s="531"/>
      <c r="D158" s="472"/>
      <c r="E158" s="500"/>
      <c r="F158" s="501"/>
      <c r="G158" s="532"/>
      <c r="H158" s="533"/>
      <c r="I158" s="504"/>
      <c r="J158" s="505">
        <f>H158*I158</f>
        <v>0</v>
      </c>
      <c r="K158" s="471"/>
    </row>
    <row r="159" spans="1:11">
      <c r="A159" s="463"/>
      <c r="B159" s="512" t="s">
        <v>946</v>
      </c>
      <c r="C159" s="515"/>
      <c r="D159" s="515"/>
      <c r="E159" s="515"/>
      <c r="F159" s="515"/>
      <c r="G159" s="515"/>
      <c r="H159" s="515"/>
      <c r="I159" s="535" t="s">
        <v>175</v>
      </c>
      <c r="J159" s="514">
        <f>SUM(J154:J158)</f>
        <v>214.65200000000002</v>
      </c>
      <c r="K159" s="471"/>
    </row>
    <row r="160" spans="1:11">
      <c r="A160" s="463"/>
      <c r="B160" s="536"/>
      <c r="C160" s="536"/>
      <c r="D160" s="536"/>
      <c r="E160" s="536"/>
      <c r="F160" s="536"/>
      <c r="G160" s="536"/>
      <c r="H160" s="536"/>
      <c r="I160" s="537"/>
      <c r="J160" s="536"/>
      <c r="K160" s="471"/>
    </row>
    <row r="161" spans="1:12">
      <c r="A161" s="463"/>
      <c r="B161" s="538" t="s">
        <v>952</v>
      </c>
      <c r="C161" s="539"/>
      <c r="D161" s="536"/>
      <c r="E161" s="540">
        <v>160</v>
      </c>
      <c r="F161" s="541" t="s">
        <v>931</v>
      </c>
      <c r="G161" s="519"/>
      <c r="H161" s="519"/>
      <c r="I161" s="542" t="s">
        <v>953</v>
      </c>
      <c r="J161" s="514" t="e">
        <f>J151+J159</f>
        <v>#N/A</v>
      </c>
      <c r="K161" s="471"/>
    </row>
    <row r="162" spans="1:12">
      <c r="A162" s="463"/>
      <c r="B162" s="543"/>
      <c r="C162" s="536"/>
      <c r="D162" s="536"/>
      <c r="E162" s="544"/>
      <c r="F162" s="545"/>
      <c r="G162" s="545"/>
      <c r="H162" s="545"/>
      <c r="I162" s="537"/>
      <c r="J162" s="536"/>
      <c r="K162" s="471"/>
    </row>
    <row r="163" spans="1:12" ht="20.399999999999999">
      <c r="A163" s="463"/>
      <c r="B163" s="1493" t="s">
        <v>362</v>
      </c>
      <c r="C163" s="1494"/>
      <c r="D163" s="1494"/>
      <c r="E163" s="1495"/>
      <c r="F163" s="546" t="s">
        <v>688</v>
      </c>
      <c r="G163" s="547" t="s">
        <v>371</v>
      </c>
      <c r="H163" s="520" t="s">
        <v>942</v>
      </c>
      <c r="I163" s="548" t="s">
        <v>361</v>
      </c>
      <c r="J163" s="549" t="s">
        <v>363</v>
      </c>
      <c r="K163" s="471"/>
    </row>
    <row r="164" spans="1:12">
      <c r="A164" s="463"/>
      <c r="B164" s="550" t="str">
        <f>B146</f>
        <v>Escavadeira Hidráulica sobre esteira 22T</v>
      </c>
      <c r="C164" s="551"/>
      <c r="D164" s="551"/>
      <c r="E164" s="552"/>
      <c r="F164" s="553" t="str">
        <f>VLOOKUP(B164,EQUIPAMENTOS!$A:$N,12,FALSE)</f>
        <v>Diesel S10</v>
      </c>
      <c r="G164" s="554" t="s">
        <v>415</v>
      </c>
      <c r="H164" s="560">
        <f>VLOOKUP(B164,EQUIPAMENTOS!$A:$N,13,FALSE)</f>
        <v>0</v>
      </c>
      <c r="I164" s="556">
        <f>VLOOKUP(B164,EQUIPAMENTOS!$A:$N,14,FALSE)</f>
        <v>22</v>
      </c>
      <c r="J164" s="498">
        <f>H164*I164*E146*F146</f>
        <v>0</v>
      </c>
      <c r="K164" s="471"/>
    </row>
    <row r="165" spans="1:12">
      <c r="A165" s="463"/>
      <c r="B165" s="550" t="str">
        <f>B147</f>
        <v>Caçamba basculante com capacidade de 14 m³</v>
      </c>
      <c r="C165" s="531"/>
      <c r="D165" s="531"/>
      <c r="E165" s="500"/>
      <c r="F165" s="553" t="e">
        <f>VLOOKUP(B165,EQUIPAMENTOS!$A:$N,12,FALSE)</f>
        <v>#N/A</v>
      </c>
      <c r="G165" s="554" t="s">
        <v>415</v>
      </c>
      <c r="H165" s="560" t="e">
        <f>VLOOKUP(B165,EQUIPAMENTOS!$A:$N,13,FALSE)</f>
        <v>#N/A</v>
      </c>
      <c r="I165" s="556" t="e">
        <f>VLOOKUP(B165,EQUIPAMENTOS!$A:$N,14,FALSE)</f>
        <v>#N/A</v>
      </c>
      <c r="J165" s="505" t="e">
        <f>H165*I165*E147*F147</f>
        <v>#N/A</v>
      </c>
      <c r="K165" s="471"/>
    </row>
    <row r="166" spans="1:12">
      <c r="A166" s="463"/>
      <c r="B166" s="530"/>
      <c r="C166" s="531"/>
      <c r="D166" s="531"/>
      <c r="E166" s="500"/>
      <c r="F166" s="558"/>
      <c r="G166" s="559"/>
      <c r="H166" s="560"/>
      <c r="I166" s="556"/>
      <c r="J166" s="505">
        <f>H166*I166*E147</f>
        <v>0</v>
      </c>
      <c r="K166" s="471"/>
    </row>
    <row r="167" spans="1:12">
      <c r="A167" s="463"/>
      <c r="B167" s="530"/>
      <c r="C167" s="531"/>
      <c r="D167" s="531"/>
      <c r="E167" s="500"/>
      <c r="F167" s="501"/>
      <c r="G167" s="559"/>
      <c r="H167" s="560"/>
      <c r="I167" s="556"/>
      <c r="J167" s="505">
        <f>H167*I167*E148</f>
        <v>0</v>
      </c>
      <c r="K167" s="471"/>
    </row>
    <row r="168" spans="1:12">
      <c r="A168" s="463"/>
      <c r="B168" s="530"/>
      <c r="C168" s="539"/>
      <c r="D168" s="539"/>
      <c r="E168" s="507"/>
      <c r="F168" s="501"/>
      <c r="G168" s="481"/>
      <c r="H168" s="560"/>
      <c r="I168" s="561"/>
      <c r="J168" s="562">
        <f>H168*I168*E149</f>
        <v>0</v>
      </c>
      <c r="K168" s="471"/>
    </row>
    <row r="169" spans="1:12">
      <c r="A169" s="463"/>
      <c r="B169" s="563" t="s">
        <v>946</v>
      </c>
      <c r="C169" s="539"/>
      <c r="D169" s="539"/>
      <c r="E169" s="539"/>
      <c r="F169" s="536"/>
      <c r="G169" s="539"/>
      <c r="H169" s="564"/>
      <c r="I169" s="565" t="s">
        <v>175</v>
      </c>
      <c r="J169" s="514" t="e">
        <f>SUM(J164:J168)</f>
        <v>#N/A</v>
      </c>
      <c r="K169" s="471"/>
      <c r="L169" s="6" t="e">
        <f>J169/E161</f>
        <v>#N/A</v>
      </c>
    </row>
    <row r="170" spans="1:12">
      <c r="A170" s="463"/>
      <c r="B170" s="566"/>
      <c r="C170" s="539"/>
      <c r="D170" s="539"/>
      <c r="E170" s="567"/>
      <c r="F170" s="568"/>
      <c r="G170" s="519"/>
      <c r="H170" s="519"/>
      <c r="I170" s="542"/>
      <c r="J170" s="567"/>
      <c r="K170" s="471"/>
    </row>
    <row r="171" spans="1:12" ht="20.399999999999999">
      <c r="A171" s="463"/>
      <c r="B171" s="1493" t="s">
        <v>955</v>
      </c>
      <c r="C171" s="1494"/>
      <c r="D171" s="1494"/>
      <c r="E171" s="1494"/>
      <c r="F171" s="1495"/>
      <c r="G171" s="569" t="s">
        <v>372</v>
      </c>
      <c r="H171" s="519" t="s">
        <v>956</v>
      </c>
      <c r="I171" s="570" t="s">
        <v>942</v>
      </c>
      <c r="J171" s="522" t="s">
        <v>363</v>
      </c>
      <c r="K171" s="471"/>
    </row>
    <row r="172" spans="1:12">
      <c r="A172" s="463"/>
      <c r="B172" s="571"/>
      <c r="C172" s="572"/>
      <c r="D172" s="573"/>
      <c r="E172" s="573"/>
      <c r="F172" s="574"/>
      <c r="G172" s="502"/>
      <c r="H172" s="502"/>
      <c r="I172" s="575"/>
      <c r="J172" s="505"/>
      <c r="K172" s="471"/>
    </row>
    <row r="173" spans="1:12">
      <c r="A173" s="463"/>
      <c r="B173" s="576"/>
      <c r="C173" s="577"/>
      <c r="D173" s="578"/>
      <c r="E173" s="578"/>
      <c r="F173" s="579"/>
      <c r="G173" s="502"/>
      <c r="H173" s="502"/>
      <c r="I173" s="575"/>
      <c r="J173" s="505"/>
      <c r="K173" s="471"/>
    </row>
    <row r="174" spans="1:12">
      <c r="A174" s="463"/>
      <c r="B174" s="1496" t="s">
        <v>175</v>
      </c>
      <c r="C174" s="1496"/>
      <c r="D174" s="1496"/>
      <c r="E174" s="1496"/>
      <c r="F174" s="1496"/>
      <c r="G174" s="1496"/>
      <c r="H174" s="1496"/>
      <c r="I174" s="1496"/>
      <c r="J174" s="514">
        <f>SUM(J172:J173)</f>
        <v>0</v>
      </c>
      <c r="K174" s="471"/>
    </row>
    <row r="175" spans="1:12">
      <c r="A175" s="463"/>
      <c r="B175" s="580"/>
      <c r="C175" s="524"/>
      <c r="D175" s="524"/>
      <c r="E175" s="581"/>
      <c r="F175" s="582"/>
      <c r="G175" s="583"/>
      <c r="H175" s="583"/>
      <c r="I175" s="584"/>
      <c r="J175" s="585"/>
      <c r="K175" s="471"/>
    </row>
    <row r="176" spans="1:12">
      <c r="A176" s="463"/>
      <c r="B176" s="586" t="s">
        <v>957</v>
      </c>
      <c r="C176" s="586"/>
      <c r="D176" s="563"/>
      <c r="E176" s="536"/>
      <c r="F176" s="536"/>
      <c r="G176" s="536"/>
      <c r="H176" s="587"/>
      <c r="I176" s="588"/>
      <c r="J176" s="514" t="e">
        <f>(J161+J169+J174)/E161</f>
        <v>#N/A</v>
      </c>
      <c r="K176" s="471"/>
    </row>
    <row r="177" spans="1:11">
      <c r="A177" s="463"/>
      <c r="B177" s="566"/>
      <c r="C177" s="539"/>
      <c r="D177" s="539"/>
      <c r="E177" s="567"/>
      <c r="F177" s="568"/>
      <c r="G177" s="519"/>
      <c r="H177" s="519"/>
      <c r="I177" s="542"/>
      <c r="J177" s="589"/>
      <c r="K177" s="471"/>
    </row>
    <row r="178" spans="1:11" ht="20.399999999999999">
      <c r="A178" s="463"/>
      <c r="B178" s="1493" t="s">
        <v>958</v>
      </c>
      <c r="C178" s="1494"/>
      <c r="D178" s="1494"/>
      <c r="E178" s="1494"/>
      <c r="F178" s="1495"/>
      <c r="G178" s="569" t="s">
        <v>372</v>
      </c>
      <c r="H178" s="519" t="s">
        <v>956</v>
      </c>
      <c r="I178" s="570" t="s">
        <v>942</v>
      </c>
      <c r="J178" s="522" t="s">
        <v>363</v>
      </c>
      <c r="K178" s="471"/>
    </row>
    <row r="179" spans="1:11">
      <c r="A179" s="463"/>
      <c r="B179" s="571"/>
      <c r="C179" s="572"/>
      <c r="D179" s="573"/>
      <c r="E179" s="573"/>
      <c r="F179" s="574"/>
      <c r="G179" s="502"/>
      <c r="H179" s="502"/>
      <c r="I179" s="575"/>
      <c r="J179" s="505">
        <f>G179*I179</f>
        <v>0</v>
      </c>
      <c r="K179" s="471"/>
    </row>
    <row r="180" spans="1:11">
      <c r="A180" s="463"/>
      <c r="B180" s="576"/>
      <c r="C180" s="577"/>
      <c r="D180" s="578"/>
      <c r="E180" s="578"/>
      <c r="F180" s="579"/>
      <c r="G180" s="502"/>
      <c r="H180" s="502"/>
      <c r="I180" s="575"/>
      <c r="J180" s="505">
        <f>G180*I180</f>
        <v>0</v>
      </c>
      <c r="K180" s="471"/>
    </row>
    <row r="181" spans="1:11">
      <c r="A181" s="463"/>
      <c r="B181" s="576"/>
      <c r="C181" s="577"/>
      <c r="D181" s="578"/>
      <c r="E181" s="578"/>
      <c r="F181" s="579"/>
      <c r="G181" s="502"/>
      <c r="H181" s="502"/>
      <c r="I181" s="575"/>
      <c r="J181" s="505">
        <f>G181*I181</f>
        <v>0</v>
      </c>
      <c r="K181" s="471"/>
    </row>
    <row r="182" spans="1:11">
      <c r="A182" s="463"/>
      <c r="B182" s="590"/>
      <c r="C182" s="591"/>
      <c r="D182" s="592"/>
      <c r="E182" s="592"/>
      <c r="F182" s="593"/>
      <c r="G182" s="502"/>
      <c r="H182" s="502"/>
      <c r="I182" s="575"/>
      <c r="J182" s="505">
        <f>G182*I182</f>
        <v>0</v>
      </c>
      <c r="K182" s="471"/>
    </row>
    <row r="183" spans="1:11">
      <c r="A183" s="463"/>
      <c r="B183" s="594"/>
      <c r="C183" s="536"/>
      <c r="D183" s="536"/>
      <c r="E183" s="595"/>
      <c r="F183" s="596"/>
      <c r="G183" s="545"/>
      <c r="H183" s="545"/>
      <c r="I183" s="537" t="s">
        <v>175</v>
      </c>
      <c r="J183" s="514">
        <f>SUM(J179:J182)</f>
        <v>0</v>
      </c>
      <c r="K183" s="471"/>
    </row>
    <row r="184" spans="1:11">
      <c r="A184" s="463"/>
      <c r="B184" s="597"/>
      <c r="C184" s="536"/>
      <c r="D184" s="536"/>
      <c r="E184" s="595"/>
      <c r="F184" s="596"/>
      <c r="G184" s="545"/>
      <c r="H184" s="545"/>
      <c r="I184" s="537"/>
      <c r="J184" s="595"/>
      <c r="K184" s="471"/>
    </row>
    <row r="185" spans="1:11" ht="20.399999999999999">
      <c r="A185" s="463"/>
      <c r="B185" s="598" t="s">
        <v>959</v>
      </c>
      <c r="C185" s="598"/>
      <c r="D185" s="598"/>
      <c r="E185" s="599"/>
      <c r="F185" s="600" t="s">
        <v>372</v>
      </c>
      <c r="G185" s="569" t="s">
        <v>960</v>
      </c>
      <c r="H185" s="519" t="s">
        <v>942</v>
      </c>
      <c r="I185" s="570" t="s">
        <v>361</v>
      </c>
      <c r="J185" s="522" t="s">
        <v>363</v>
      </c>
      <c r="K185" s="471"/>
    </row>
    <row r="186" spans="1:11">
      <c r="A186" s="463"/>
      <c r="B186" s="571"/>
      <c r="C186" s="572"/>
      <c r="D186" s="573"/>
      <c r="E186" s="574"/>
      <c r="F186" s="502"/>
      <c r="G186" s="502"/>
      <c r="H186" s="624"/>
      <c r="I186" s="575"/>
      <c r="J186" s="505"/>
      <c r="K186" s="471"/>
    </row>
    <row r="187" spans="1:11">
      <c r="A187" s="463"/>
      <c r="B187" s="576" t="s">
        <v>946</v>
      </c>
      <c r="C187" s="577"/>
      <c r="D187" s="578"/>
      <c r="E187" s="579" t="s">
        <v>946</v>
      </c>
      <c r="F187" s="502">
        <v>0</v>
      </c>
      <c r="G187" s="502">
        <v>0</v>
      </c>
      <c r="H187" s="502">
        <v>0</v>
      </c>
      <c r="I187" s="575">
        <v>0</v>
      </c>
      <c r="J187" s="505">
        <f>I187*H187*G187*F187</f>
        <v>0</v>
      </c>
      <c r="K187" s="471"/>
    </row>
    <row r="188" spans="1:11">
      <c r="A188" s="463"/>
      <c r="B188" s="590" t="s">
        <v>946</v>
      </c>
      <c r="C188" s="591"/>
      <c r="D188" s="592"/>
      <c r="E188" s="593" t="s">
        <v>946</v>
      </c>
      <c r="F188" s="509">
        <v>0</v>
      </c>
      <c r="G188" s="509">
        <v>0</v>
      </c>
      <c r="H188" s="509">
        <v>0</v>
      </c>
      <c r="I188" s="601">
        <v>0</v>
      </c>
      <c r="J188" s="505">
        <f>I188*H188*G188*F188</f>
        <v>0</v>
      </c>
      <c r="K188" s="471"/>
    </row>
    <row r="189" spans="1:11">
      <c r="A189" s="463"/>
      <c r="B189" s="594"/>
      <c r="C189" s="536"/>
      <c r="D189" s="536"/>
      <c r="E189" s="595"/>
      <c r="F189" s="596"/>
      <c r="G189" s="545"/>
      <c r="H189" s="545"/>
      <c r="I189" s="537" t="s">
        <v>175</v>
      </c>
      <c r="J189" s="514">
        <f>SUM(J186:J188)</f>
        <v>0</v>
      </c>
      <c r="K189" s="471"/>
    </row>
    <row r="190" spans="1:11">
      <c r="A190" s="463"/>
      <c r="B190" s="536"/>
      <c r="C190" s="536"/>
      <c r="D190" s="536"/>
      <c r="E190" s="536"/>
      <c r="F190" s="536"/>
      <c r="G190" s="536"/>
      <c r="H190" s="536"/>
      <c r="I190" s="537"/>
      <c r="J190" s="536"/>
      <c r="K190" s="471"/>
    </row>
    <row r="191" spans="1:11">
      <c r="A191" s="463"/>
      <c r="B191" s="1481" t="s">
        <v>961</v>
      </c>
      <c r="C191" s="1482"/>
      <c r="D191" s="1482"/>
      <c r="E191" s="1482"/>
      <c r="F191" s="1482"/>
      <c r="G191" s="1482"/>
      <c r="H191" s="1482"/>
      <c r="I191" s="1483"/>
      <c r="J191" s="586" t="e">
        <f>J189+J183+J176</f>
        <v>#N/A</v>
      </c>
      <c r="K191" s="471"/>
    </row>
    <row r="192" spans="1:11">
      <c r="A192" s="463"/>
      <c r="B192" s="536"/>
      <c r="C192" s="536"/>
      <c r="D192" s="536"/>
      <c r="E192" s="536"/>
      <c r="F192" s="536"/>
      <c r="G192" s="536"/>
      <c r="H192" s="536"/>
      <c r="I192" s="537"/>
      <c r="J192" s="536"/>
      <c r="K192" s="471"/>
    </row>
    <row r="193" spans="1:11">
      <c r="A193" s="463"/>
      <c r="B193" s="1481" t="s">
        <v>962</v>
      </c>
      <c r="C193" s="1482"/>
      <c r="D193" s="1482"/>
      <c r="E193" s="1482"/>
      <c r="F193" s="1482"/>
      <c r="G193" s="1482"/>
      <c r="H193" s="1482"/>
      <c r="I193" s="1483"/>
      <c r="J193" s="514" t="e">
        <f>J191*0</f>
        <v>#N/A</v>
      </c>
      <c r="K193" s="471"/>
    </row>
    <row r="194" spans="1:11">
      <c r="A194" s="463"/>
      <c r="B194" s="536"/>
      <c r="C194" s="536"/>
      <c r="D194" s="536"/>
      <c r="E194" s="536"/>
      <c r="F194" s="536"/>
      <c r="G194" s="536"/>
      <c r="H194" s="536"/>
      <c r="I194" s="537"/>
      <c r="J194" s="536"/>
      <c r="K194" s="471"/>
    </row>
    <row r="195" spans="1:11">
      <c r="A195" s="463"/>
      <c r="B195" s="1481" t="s">
        <v>963</v>
      </c>
      <c r="C195" s="1482"/>
      <c r="D195" s="1482"/>
      <c r="E195" s="1482"/>
      <c r="F195" s="1482"/>
      <c r="G195" s="1482"/>
      <c r="H195" s="1482"/>
      <c r="I195" s="1483"/>
      <c r="J195" s="586" t="e">
        <f>J191+J193</f>
        <v>#N/A</v>
      </c>
      <c r="K195" s="471"/>
    </row>
    <row r="196" spans="1:11">
      <c r="A196" s="463"/>
      <c r="B196" s="524"/>
      <c r="C196" s="524"/>
      <c r="D196" s="524"/>
      <c r="E196" s="524"/>
      <c r="F196" s="524"/>
      <c r="G196" s="524"/>
      <c r="H196" s="524"/>
      <c r="I196" s="584"/>
      <c r="J196" s="524"/>
      <c r="K196" s="471"/>
    </row>
    <row r="197" spans="1:11">
      <c r="A197" s="463"/>
      <c r="B197" s="602"/>
      <c r="C197" s="572"/>
      <c r="D197" s="572"/>
      <c r="E197" s="572"/>
      <c r="F197" s="572"/>
      <c r="G197" s="572"/>
      <c r="H197" s="572"/>
      <c r="I197" s="572"/>
      <c r="J197" s="603"/>
      <c r="K197" s="471"/>
    </row>
    <row r="198" spans="1:11">
      <c r="A198" s="463"/>
      <c r="B198" s="604"/>
      <c r="C198" s="605"/>
      <c r="D198" s="606"/>
      <c r="E198" s="606"/>
      <c r="F198" s="607" t="s">
        <v>946</v>
      </c>
      <c r="G198" s="608" t="s">
        <v>946</v>
      </c>
      <c r="H198" s="605"/>
      <c r="I198" s="605"/>
      <c r="J198" s="609"/>
      <c r="K198" s="471"/>
    </row>
    <row r="199" spans="1:11">
      <c r="A199" s="463"/>
      <c r="B199" s="472"/>
      <c r="C199" s="472"/>
      <c r="D199" s="472"/>
      <c r="E199" s="472"/>
      <c r="F199" s="472"/>
      <c r="G199" s="472"/>
      <c r="H199" s="472"/>
      <c r="I199" s="472"/>
      <c r="J199" s="472"/>
      <c r="K199" s="471"/>
    </row>
    <row r="200" spans="1:11">
      <c r="A200" s="463"/>
      <c r="B200" s="610"/>
      <c r="C200" s="611"/>
      <c r="D200" s="611"/>
      <c r="E200" s="611"/>
      <c r="F200" s="612"/>
      <c r="G200" s="613" t="s">
        <v>363</v>
      </c>
      <c r="H200" s="515"/>
      <c r="I200" s="515"/>
      <c r="J200" s="518"/>
      <c r="K200" s="471"/>
    </row>
    <row r="201" spans="1:11">
      <c r="A201" s="463"/>
      <c r="B201" s="614"/>
      <c r="C201" s="615"/>
      <c r="D201" s="615"/>
      <c r="E201" s="615"/>
      <c r="F201" s="616"/>
      <c r="G201" s="1484" t="s">
        <v>964</v>
      </c>
      <c r="H201" s="1485"/>
      <c r="I201" s="1485"/>
      <c r="J201" s="1486"/>
      <c r="K201" s="471"/>
    </row>
    <row r="202" spans="1:11">
      <c r="A202" s="463"/>
      <c r="B202" s="617"/>
      <c r="C202" s="618"/>
      <c r="D202" s="618"/>
      <c r="E202" s="618"/>
      <c r="F202" s="619"/>
      <c r="G202" s="620"/>
      <c r="H202" s="1487"/>
      <c r="I202" s="1488"/>
      <c r="J202" s="1489"/>
      <c r="K202" s="471"/>
    </row>
    <row r="203" spans="1:11" ht="15" thickBot="1">
      <c r="A203" s="621"/>
      <c r="B203" s="622"/>
      <c r="C203" s="622"/>
      <c r="D203" s="622"/>
      <c r="E203" s="622"/>
      <c r="F203" s="622"/>
      <c r="G203" s="622"/>
      <c r="H203" s="622"/>
      <c r="I203" s="622"/>
      <c r="J203" s="622"/>
      <c r="K203" s="623"/>
    </row>
    <row r="204" spans="1:11">
      <c r="A204" s="460"/>
      <c r="B204" s="461"/>
      <c r="C204" s="461"/>
      <c r="D204" s="461"/>
      <c r="E204" s="461"/>
      <c r="F204" s="461"/>
      <c r="G204" s="461"/>
      <c r="H204" s="461"/>
      <c r="I204" s="461"/>
      <c r="J204" s="461"/>
      <c r="K204" s="462"/>
    </row>
    <row r="205" spans="1:11">
      <c r="A205" s="463"/>
      <c r="B205" s="464" t="s">
        <v>178</v>
      </c>
      <c r="C205" s="465"/>
      <c r="D205" s="466" t="s">
        <v>936</v>
      </c>
      <c r="E205" s="467"/>
      <c r="F205" s="468"/>
      <c r="G205" s="468"/>
      <c r="H205" s="469"/>
      <c r="I205" s="469"/>
      <c r="J205" s="470"/>
      <c r="K205" s="471"/>
    </row>
    <row r="206" spans="1:11">
      <c r="A206" s="463"/>
      <c r="B206" s="472"/>
      <c r="C206" s="472"/>
      <c r="D206" s="472"/>
      <c r="E206" s="472"/>
      <c r="F206" s="472"/>
      <c r="G206" s="472"/>
      <c r="H206" s="472"/>
      <c r="I206" s="472"/>
      <c r="J206" s="472"/>
      <c r="K206" s="471"/>
    </row>
    <row r="207" spans="1:11">
      <c r="A207" s="463"/>
      <c r="B207" s="473" t="s">
        <v>972</v>
      </c>
      <c r="C207" s="474" t="s">
        <v>937</v>
      </c>
      <c r="D207" s="1497" t="s">
        <v>250</v>
      </c>
      <c r="E207" s="1498"/>
      <c r="F207" s="1498"/>
      <c r="G207" s="1498"/>
      <c r="H207" s="1498"/>
      <c r="I207" s="1499"/>
      <c r="J207" s="475" t="s">
        <v>267</v>
      </c>
      <c r="K207" s="471"/>
    </row>
    <row r="208" spans="1:11" ht="20.399999999999999">
      <c r="A208" s="463"/>
      <c r="B208" s="476">
        <v>5914351</v>
      </c>
      <c r="C208" s="477"/>
      <c r="D208" s="681" t="s">
        <v>205</v>
      </c>
      <c r="E208" s="479"/>
      <c r="F208" s="479"/>
      <c r="G208" s="479"/>
      <c r="H208" s="479"/>
      <c r="I208" s="480"/>
      <c r="J208" s="481" t="str">
        <f>F227</f>
        <v>T</v>
      </c>
      <c r="K208" s="471"/>
    </row>
    <row r="209" spans="1:11">
      <c r="A209" s="463"/>
      <c r="B209" s="482"/>
      <c r="C209" s="482"/>
      <c r="D209" s="482"/>
      <c r="E209" s="482"/>
      <c r="F209" s="482"/>
      <c r="G209" s="482"/>
      <c r="H209" s="482"/>
      <c r="I209" s="483"/>
      <c r="J209" s="484"/>
      <c r="K209" s="471"/>
    </row>
    <row r="210" spans="1:11">
      <c r="A210" s="463"/>
      <c r="B210" s="1484" t="s">
        <v>938</v>
      </c>
      <c r="C210" s="1486"/>
      <c r="D210" s="1502" t="s">
        <v>688</v>
      </c>
      <c r="E210" s="1504" t="s">
        <v>939</v>
      </c>
      <c r="F210" s="485" t="s">
        <v>940</v>
      </c>
      <c r="G210" s="486"/>
      <c r="H210" s="485" t="s">
        <v>941</v>
      </c>
      <c r="I210" s="486"/>
      <c r="J210" s="487" t="s">
        <v>942</v>
      </c>
      <c r="K210" s="471"/>
    </row>
    <row r="211" spans="1:11">
      <c r="A211" s="463"/>
      <c r="B211" s="1500"/>
      <c r="C211" s="1501"/>
      <c r="D211" s="1503"/>
      <c r="E211" s="1505"/>
      <c r="F211" s="488" t="s">
        <v>943</v>
      </c>
      <c r="G211" s="488" t="s">
        <v>944</v>
      </c>
      <c r="H211" s="488" t="s">
        <v>943</v>
      </c>
      <c r="I211" s="489" t="s">
        <v>944</v>
      </c>
      <c r="J211" s="490" t="s">
        <v>945</v>
      </c>
      <c r="K211" s="471"/>
    </row>
    <row r="212" spans="1:11">
      <c r="A212" s="463"/>
      <c r="B212" s="499" t="s">
        <v>971</v>
      </c>
      <c r="C212" s="492"/>
      <c r="D212" s="493"/>
      <c r="E212" s="494">
        <v>1</v>
      </c>
      <c r="F212" s="494">
        <v>1</v>
      </c>
      <c r="G212" s="495">
        <f>1-F212</f>
        <v>0</v>
      </c>
      <c r="H212" s="503">
        <f>VLOOKUP(B212,EQUIPAMENTOS!$A:$J,10,FALSE)</f>
        <v>175</v>
      </c>
      <c r="I212" s="497">
        <f>H212</f>
        <v>175</v>
      </c>
      <c r="J212" s="498">
        <f>H212*F212*E212+I212*G212*E212</f>
        <v>175</v>
      </c>
      <c r="K212" s="471"/>
    </row>
    <row r="213" spans="1:11">
      <c r="A213" s="463"/>
      <c r="B213" s="499" t="s">
        <v>614</v>
      </c>
      <c r="C213" s="500"/>
      <c r="D213" s="501"/>
      <c r="E213" s="502">
        <v>3</v>
      </c>
      <c r="F213" s="502">
        <v>1</v>
      </c>
      <c r="G213" s="502">
        <f>1-F213</f>
        <v>0</v>
      </c>
      <c r="H213" s="503" t="e">
        <f>VLOOKUP(B213,EQUIPAMENTOS!$A:$J,10,FALSE)</f>
        <v>#N/A</v>
      </c>
      <c r="I213" s="504" t="e">
        <f>H213</f>
        <v>#N/A</v>
      </c>
      <c r="J213" s="505" t="e">
        <f>H213*F213*E213+I213*G213*E213</f>
        <v>#N/A</v>
      </c>
      <c r="K213" s="471"/>
    </row>
    <row r="214" spans="1:11">
      <c r="A214" s="463"/>
      <c r="B214" s="499"/>
      <c r="C214" s="500"/>
      <c r="D214" s="501"/>
      <c r="E214" s="502"/>
      <c r="F214" s="502"/>
      <c r="G214" s="502"/>
      <c r="H214" s="503"/>
      <c r="I214" s="504"/>
      <c r="J214" s="505">
        <f>H214*F214*E214+I214*G214*E214</f>
        <v>0</v>
      </c>
      <c r="K214" s="471"/>
    </row>
    <row r="215" spans="1:11">
      <c r="A215" s="463"/>
      <c r="B215" s="499"/>
      <c r="C215" s="500"/>
      <c r="D215" s="501"/>
      <c r="E215" s="502"/>
      <c r="F215" s="502"/>
      <c r="G215" s="502"/>
      <c r="H215" s="503"/>
      <c r="I215" s="504"/>
      <c r="J215" s="505">
        <f>H215*F215*E215+I215*G215*E215</f>
        <v>0</v>
      </c>
      <c r="K215" s="471"/>
    </row>
    <row r="216" spans="1:11">
      <c r="A216" s="463"/>
      <c r="B216" s="506"/>
      <c r="C216" s="507"/>
      <c r="D216" s="508"/>
      <c r="E216" s="509"/>
      <c r="F216" s="509"/>
      <c r="G216" s="509"/>
      <c r="H216" s="510"/>
      <c r="I216" s="511"/>
      <c r="J216" s="505">
        <f>H216*F216*E216+I216*G216*E216</f>
        <v>0</v>
      </c>
      <c r="K216" s="471"/>
    </row>
    <row r="217" spans="1:11">
      <c r="A217" s="463"/>
      <c r="B217" s="512" t="s">
        <v>946</v>
      </c>
      <c r="C217" s="482"/>
      <c r="D217" s="482"/>
      <c r="E217" s="482"/>
      <c r="F217" s="482"/>
      <c r="G217" s="482"/>
      <c r="H217" s="482"/>
      <c r="I217" s="513" t="s">
        <v>175</v>
      </c>
      <c r="J217" s="514" t="e">
        <f>SUM(J212:J216)</f>
        <v>#N/A</v>
      </c>
      <c r="K217" s="471"/>
    </row>
    <row r="218" spans="1:11">
      <c r="A218" s="463"/>
      <c r="B218" s="515"/>
      <c r="C218" s="515"/>
      <c r="D218" s="515"/>
      <c r="E218" s="515"/>
      <c r="F218" s="515"/>
      <c r="G218" s="515"/>
      <c r="H218" s="515"/>
      <c r="I218" s="516"/>
      <c r="J218" s="517"/>
      <c r="K218" s="471"/>
    </row>
    <row r="219" spans="1:11" ht="20.399999999999999">
      <c r="A219" s="463"/>
      <c r="B219" s="1490" t="s">
        <v>947</v>
      </c>
      <c r="C219" s="1491"/>
      <c r="D219" s="1491"/>
      <c r="E219" s="1492"/>
      <c r="F219" s="518" t="s">
        <v>688</v>
      </c>
      <c r="G219" s="519"/>
      <c r="H219" s="520" t="s">
        <v>427</v>
      </c>
      <c r="I219" s="521" t="s">
        <v>948</v>
      </c>
      <c r="J219" s="522" t="s">
        <v>949</v>
      </c>
      <c r="K219" s="471"/>
    </row>
    <row r="220" spans="1:11">
      <c r="A220" s="463"/>
      <c r="B220" s="523" t="s">
        <v>974</v>
      </c>
      <c r="C220" s="524"/>
      <c r="D220" s="525"/>
      <c r="E220" s="526"/>
      <c r="F220" s="527"/>
      <c r="G220" s="528"/>
      <c r="H220" s="529">
        <f>E212</f>
        <v>1</v>
      </c>
      <c r="I220" s="534">
        <f>(VLOOKUP(B220,'MÃO DE OBRA'!$A:$E,5,FALSE)/220)</f>
        <v>35.988199999999999</v>
      </c>
      <c r="J220" s="505">
        <f>H220*I220</f>
        <v>35.988199999999999</v>
      </c>
      <c r="K220" s="471"/>
    </row>
    <row r="221" spans="1:11">
      <c r="A221" s="463"/>
      <c r="B221" s="530" t="s">
        <v>950</v>
      </c>
      <c r="C221" s="531"/>
      <c r="D221" s="472"/>
      <c r="E221" s="500"/>
      <c r="F221" s="501"/>
      <c r="G221" s="532"/>
      <c r="H221" s="533">
        <f>E213</f>
        <v>3</v>
      </c>
      <c r="I221" s="534">
        <f>(VLOOKUP(B221,'MÃO DE OBRA'!$A:$E,5,FALSE)/220)</f>
        <v>26.714454545454547</v>
      </c>
      <c r="J221" s="505">
        <f>H221*I221</f>
        <v>80.143363636363645</v>
      </c>
      <c r="K221" s="471"/>
    </row>
    <row r="222" spans="1:11" hidden="1">
      <c r="A222" s="463"/>
      <c r="B222" s="530" t="s">
        <v>472</v>
      </c>
      <c r="C222" s="531"/>
      <c r="D222" s="472"/>
      <c r="E222" s="500"/>
      <c r="F222" s="501"/>
      <c r="G222" s="532"/>
      <c r="H222" s="533"/>
      <c r="I222" s="534">
        <f>(VLOOKUP(B222,'MÃO DE OBRA'!$A:$E,5,FALSE)/220)</f>
        <v>18.377072727272729</v>
      </c>
      <c r="J222" s="505">
        <f>H222*I222</f>
        <v>0</v>
      </c>
      <c r="K222" s="471"/>
    </row>
    <row r="223" spans="1:11">
      <c r="A223" s="463"/>
      <c r="B223" s="530"/>
      <c r="C223" s="531"/>
      <c r="D223" s="472"/>
      <c r="E223" s="500"/>
      <c r="F223" s="501"/>
      <c r="G223" s="532"/>
      <c r="H223" s="533"/>
      <c r="I223" s="504"/>
      <c r="J223" s="505"/>
      <c r="K223" s="471"/>
    </row>
    <row r="224" spans="1:11">
      <c r="A224" s="463"/>
      <c r="B224" s="530"/>
      <c r="C224" s="531"/>
      <c r="D224" s="472"/>
      <c r="E224" s="500"/>
      <c r="F224" s="501"/>
      <c r="G224" s="532"/>
      <c r="H224" s="533"/>
      <c r="I224" s="504"/>
      <c r="J224" s="505">
        <f>H224*I224</f>
        <v>0</v>
      </c>
      <c r="K224" s="471"/>
    </row>
    <row r="225" spans="1:12">
      <c r="A225" s="463"/>
      <c r="B225" s="512" t="s">
        <v>946</v>
      </c>
      <c r="C225" s="515"/>
      <c r="D225" s="515"/>
      <c r="E225" s="515"/>
      <c r="F225" s="515"/>
      <c r="G225" s="515"/>
      <c r="H225" s="515"/>
      <c r="I225" s="535" t="s">
        <v>175</v>
      </c>
      <c r="J225" s="514">
        <f>SUM(J220:J224)</f>
        <v>116.13156363636364</v>
      </c>
      <c r="K225" s="471"/>
    </row>
    <row r="226" spans="1:12">
      <c r="A226" s="463"/>
      <c r="B226" s="536"/>
      <c r="C226" s="536"/>
      <c r="D226" s="536"/>
      <c r="E226" s="536"/>
      <c r="F226" s="536"/>
      <c r="G226" s="536"/>
      <c r="H226" s="536"/>
      <c r="I226" s="537"/>
      <c r="J226" s="536"/>
      <c r="K226" s="471"/>
    </row>
    <row r="227" spans="1:12">
      <c r="A227" s="463"/>
      <c r="B227" s="538" t="s">
        <v>952</v>
      </c>
      <c r="C227" s="539"/>
      <c r="D227" s="536"/>
      <c r="E227" s="540">
        <v>450</v>
      </c>
      <c r="F227" s="541" t="s">
        <v>854</v>
      </c>
      <c r="G227" s="519"/>
      <c r="H227" s="519"/>
      <c r="I227" s="542" t="s">
        <v>953</v>
      </c>
      <c r="J227" s="514" t="e">
        <f>J217+J225</f>
        <v>#N/A</v>
      </c>
      <c r="K227" s="471"/>
    </row>
    <row r="228" spans="1:12">
      <c r="A228" s="463"/>
      <c r="B228" s="543"/>
      <c r="C228" s="536"/>
      <c r="D228" s="536"/>
      <c r="E228" s="544"/>
      <c r="F228" s="545"/>
      <c r="G228" s="545"/>
      <c r="H228" s="545"/>
      <c r="I228" s="537"/>
      <c r="J228" s="536"/>
      <c r="K228" s="471"/>
    </row>
    <row r="229" spans="1:12" ht="20.399999999999999">
      <c r="A229" s="463"/>
      <c r="B229" s="1493" t="s">
        <v>362</v>
      </c>
      <c r="C229" s="1494"/>
      <c r="D229" s="1494"/>
      <c r="E229" s="1495"/>
      <c r="F229" s="546" t="s">
        <v>688</v>
      </c>
      <c r="G229" s="547" t="s">
        <v>371</v>
      </c>
      <c r="H229" s="520" t="s">
        <v>942</v>
      </c>
      <c r="I229" s="548" t="s">
        <v>361</v>
      </c>
      <c r="J229" s="549" t="s">
        <v>363</v>
      </c>
      <c r="K229" s="471"/>
    </row>
    <row r="230" spans="1:12">
      <c r="A230" s="463"/>
      <c r="B230" s="550" t="str">
        <f>B212</f>
        <v>Escavadeira Hidráulica sobre esteira 22T</v>
      </c>
      <c r="C230" s="551"/>
      <c r="D230" s="551"/>
      <c r="E230" s="552"/>
      <c r="F230" s="553" t="str">
        <f>VLOOKUP(B230,EQUIPAMENTOS!$A:$N,12,FALSE)</f>
        <v>Diesel S10</v>
      </c>
      <c r="G230" s="554" t="s">
        <v>415</v>
      </c>
      <c r="H230" s="560">
        <f>VLOOKUP(B230,EQUIPAMENTOS!$A:$N,13,FALSE)</f>
        <v>0</v>
      </c>
      <c r="I230" s="556">
        <f>VLOOKUP(B230,EQUIPAMENTOS!$A:$N,14,FALSE)</f>
        <v>22</v>
      </c>
      <c r="J230" s="498">
        <f>H230*I230*E212*F212</f>
        <v>0</v>
      </c>
      <c r="K230" s="471"/>
    </row>
    <row r="231" spans="1:12">
      <c r="A231" s="463"/>
      <c r="B231" s="550" t="str">
        <f>B213</f>
        <v>Caçamba basculante com capacidade de 14 m³</v>
      </c>
      <c r="C231" s="531"/>
      <c r="D231" s="531"/>
      <c r="E231" s="500"/>
      <c r="F231" s="553" t="e">
        <f>VLOOKUP(B231,EQUIPAMENTOS!$A:$N,12,FALSE)</f>
        <v>#N/A</v>
      </c>
      <c r="G231" s="554" t="s">
        <v>415</v>
      </c>
      <c r="H231" s="560" t="e">
        <f>VLOOKUP(B231,EQUIPAMENTOS!$A:$N,13,FALSE)</f>
        <v>#N/A</v>
      </c>
      <c r="I231" s="556" t="e">
        <f>VLOOKUP(B231,EQUIPAMENTOS!$A:$N,14,FALSE)</f>
        <v>#N/A</v>
      </c>
      <c r="J231" s="505" t="e">
        <f>H231*I231*E213*F213</f>
        <v>#N/A</v>
      </c>
      <c r="K231" s="471"/>
    </row>
    <row r="232" spans="1:12">
      <c r="A232" s="463"/>
      <c r="B232" s="530"/>
      <c r="C232" s="531"/>
      <c r="D232" s="531"/>
      <c r="E232" s="500"/>
      <c r="F232" s="558"/>
      <c r="G232" s="559"/>
      <c r="H232" s="560"/>
      <c r="I232" s="556"/>
      <c r="J232" s="505">
        <f>H232*I232*E213</f>
        <v>0</v>
      </c>
      <c r="K232" s="471"/>
    </row>
    <row r="233" spans="1:12">
      <c r="A233" s="463"/>
      <c r="B233" s="530"/>
      <c r="C233" s="531"/>
      <c r="D233" s="531"/>
      <c r="E233" s="500"/>
      <c r="F233" s="501"/>
      <c r="G233" s="559"/>
      <c r="H233" s="560"/>
      <c r="I233" s="556"/>
      <c r="J233" s="505">
        <f>H233*I233*E214</f>
        <v>0</v>
      </c>
      <c r="K233" s="471"/>
    </row>
    <row r="234" spans="1:12">
      <c r="A234" s="463"/>
      <c r="B234" s="530"/>
      <c r="C234" s="539"/>
      <c r="D234" s="539"/>
      <c r="E234" s="507"/>
      <c r="F234" s="501"/>
      <c r="G234" s="481"/>
      <c r="H234" s="560"/>
      <c r="I234" s="561"/>
      <c r="J234" s="562">
        <f>H234*I234*E215</f>
        <v>0</v>
      </c>
      <c r="K234" s="471"/>
    </row>
    <row r="235" spans="1:12">
      <c r="A235" s="463"/>
      <c r="B235" s="563" t="s">
        <v>946</v>
      </c>
      <c r="C235" s="539"/>
      <c r="D235" s="539"/>
      <c r="E235" s="539"/>
      <c r="F235" s="536"/>
      <c r="G235" s="539"/>
      <c r="H235" s="564"/>
      <c r="I235" s="565" t="s">
        <v>175</v>
      </c>
      <c r="J235" s="514" t="e">
        <f>SUM(J230:J234)</f>
        <v>#N/A</v>
      </c>
      <c r="K235" s="471"/>
      <c r="L235" s="6" t="e">
        <f>J235/E227</f>
        <v>#N/A</v>
      </c>
    </row>
    <row r="236" spans="1:12">
      <c r="A236" s="463"/>
      <c r="B236" s="566"/>
      <c r="C236" s="539"/>
      <c r="D236" s="539"/>
      <c r="E236" s="567"/>
      <c r="F236" s="568"/>
      <c r="G236" s="519"/>
      <c r="H236" s="519"/>
      <c r="I236" s="542"/>
      <c r="J236" s="567"/>
      <c r="K236" s="471"/>
    </row>
    <row r="237" spans="1:12" ht="20.399999999999999">
      <c r="A237" s="463"/>
      <c r="B237" s="1493" t="s">
        <v>955</v>
      </c>
      <c r="C237" s="1494"/>
      <c r="D237" s="1494"/>
      <c r="E237" s="1494"/>
      <c r="F237" s="1495"/>
      <c r="G237" s="569" t="s">
        <v>372</v>
      </c>
      <c r="H237" s="519" t="s">
        <v>956</v>
      </c>
      <c r="I237" s="570" t="s">
        <v>942</v>
      </c>
      <c r="J237" s="522" t="s">
        <v>363</v>
      </c>
      <c r="K237" s="471"/>
    </row>
    <row r="238" spans="1:12">
      <c r="A238" s="463"/>
      <c r="B238" s="571"/>
      <c r="C238" s="572"/>
      <c r="D238" s="573"/>
      <c r="E238" s="573"/>
      <c r="F238" s="574"/>
      <c r="G238" s="502"/>
      <c r="H238" s="502"/>
      <c r="I238" s="575"/>
      <c r="J238" s="505"/>
      <c r="K238" s="471"/>
    </row>
    <row r="239" spans="1:12">
      <c r="A239" s="463"/>
      <c r="B239" s="576"/>
      <c r="C239" s="577"/>
      <c r="D239" s="578"/>
      <c r="E239" s="578"/>
      <c r="F239" s="579"/>
      <c r="G239" s="502"/>
      <c r="H239" s="502"/>
      <c r="I239" s="575"/>
      <c r="J239" s="505"/>
      <c r="K239" s="471"/>
    </row>
    <row r="240" spans="1:12">
      <c r="A240" s="463"/>
      <c r="B240" s="1496" t="s">
        <v>175</v>
      </c>
      <c r="C240" s="1496"/>
      <c r="D240" s="1496"/>
      <c r="E240" s="1496"/>
      <c r="F240" s="1496"/>
      <c r="G240" s="1496"/>
      <c r="H240" s="1496"/>
      <c r="I240" s="1496"/>
      <c r="J240" s="514">
        <f>SUM(J238:J239)</f>
        <v>0</v>
      </c>
      <c r="K240" s="471"/>
    </row>
    <row r="241" spans="1:11">
      <c r="A241" s="463"/>
      <c r="B241" s="580"/>
      <c r="C241" s="524"/>
      <c r="D241" s="524"/>
      <c r="E241" s="581"/>
      <c r="F241" s="582"/>
      <c r="G241" s="583"/>
      <c r="H241" s="583"/>
      <c r="I241" s="584"/>
      <c r="J241" s="585"/>
      <c r="K241" s="471"/>
    </row>
    <row r="242" spans="1:11">
      <c r="A242" s="463"/>
      <c r="B242" s="586" t="s">
        <v>957</v>
      </c>
      <c r="C242" s="586"/>
      <c r="D242" s="563"/>
      <c r="E242" s="536"/>
      <c r="F242" s="536"/>
      <c r="G242" s="536"/>
      <c r="H242" s="587"/>
      <c r="I242" s="588"/>
      <c r="J242" s="514" t="e">
        <f>(J227+J235+J240)/E227</f>
        <v>#N/A</v>
      </c>
      <c r="K242" s="471"/>
    </row>
    <row r="243" spans="1:11">
      <c r="A243" s="463"/>
      <c r="B243" s="566"/>
      <c r="C243" s="539"/>
      <c r="D243" s="539"/>
      <c r="E243" s="567"/>
      <c r="F243" s="568"/>
      <c r="G243" s="519"/>
      <c r="H243" s="519"/>
      <c r="I243" s="542"/>
      <c r="J243" s="589"/>
      <c r="K243" s="471"/>
    </row>
    <row r="244" spans="1:11" ht="20.399999999999999">
      <c r="A244" s="463"/>
      <c r="B244" s="1493" t="s">
        <v>958</v>
      </c>
      <c r="C244" s="1494"/>
      <c r="D244" s="1494"/>
      <c r="E244" s="1494"/>
      <c r="F244" s="1495"/>
      <c r="G244" s="569" t="s">
        <v>372</v>
      </c>
      <c r="H244" s="519" t="s">
        <v>956</v>
      </c>
      <c r="I244" s="570" t="s">
        <v>942</v>
      </c>
      <c r="J244" s="522" t="s">
        <v>363</v>
      </c>
      <c r="K244" s="471"/>
    </row>
    <row r="245" spans="1:11">
      <c r="A245" s="463"/>
      <c r="B245" s="571"/>
      <c r="C245" s="572"/>
      <c r="D245" s="573"/>
      <c r="E245" s="573"/>
      <c r="F245" s="574"/>
      <c r="G245" s="502"/>
      <c r="H245" s="502"/>
      <c r="I245" s="575"/>
      <c r="J245" s="505">
        <f>G245*I245</f>
        <v>0</v>
      </c>
      <c r="K245" s="471"/>
    </row>
    <row r="246" spans="1:11">
      <c r="A246" s="463"/>
      <c r="B246" s="576"/>
      <c r="C246" s="577"/>
      <c r="D246" s="578"/>
      <c r="E246" s="578"/>
      <c r="F246" s="579"/>
      <c r="G246" s="502"/>
      <c r="H246" s="502"/>
      <c r="I246" s="575"/>
      <c r="J246" s="505">
        <f>G246*I246</f>
        <v>0</v>
      </c>
      <c r="K246" s="471"/>
    </row>
    <row r="247" spans="1:11">
      <c r="A247" s="463"/>
      <c r="B247" s="576"/>
      <c r="C247" s="577"/>
      <c r="D247" s="578"/>
      <c r="E247" s="578"/>
      <c r="F247" s="579"/>
      <c r="G247" s="502"/>
      <c r="H247" s="502"/>
      <c r="I247" s="575"/>
      <c r="J247" s="505">
        <f>G247*I247</f>
        <v>0</v>
      </c>
      <c r="K247" s="471"/>
    </row>
    <row r="248" spans="1:11">
      <c r="A248" s="463"/>
      <c r="B248" s="590"/>
      <c r="C248" s="591"/>
      <c r="D248" s="592"/>
      <c r="E248" s="592"/>
      <c r="F248" s="593"/>
      <c r="G248" s="502"/>
      <c r="H248" s="502"/>
      <c r="I248" s="575"/>
      <c r="J248" s="505">
        <f>G248*I248</f>
        <v>0</v>
      </c>
      <c r="K248" s="471"/>
    </row>
    <row r="249" spans="1:11">
      <c r="A249" s="463"/>
      <c r="B249" s="594"/>
      <c r="C249" s="536"/>
      <c r="D249" s="536"/>
      <c r="E249" s="595"/>
      <c r="F249" s="596"/>
      <c r="G249" s="545"/>
      <c r="H249" s="545"/>
      <c r="I249" s="537" t="s">
        <v>175</v>
      </c>
      <c r="J249" s="514">
        <f>SUM(J245:J248)</f>
        <v>0</v>
      </c>
      <c r="K249" s="471"/>
    </row>
    <row r="250" spans="1:11">
      <c r="A250" s="463"/>
      <c r="B250" s="597"/>
      <c r="C250" s="536"/>
      <c r="D250" s="536"/>
      <c r="E250" s="595"/>
      <c r="F250" s="596"/>
      <c r="G250" s="545"/>
      <c r="H250" s="545"/>
      <c r="I250" s="537"/>
      <c r="J250" s="595"/>
      <c r="K250" s="471"/>
    </row>
    <row r="251" spans="1:11" ht="20.399999999999999">
      <c r="A251" s="463"/>
      <c r="B251" s="598" t="s">
        <v>959</v>
      </c>
      <c r="C251" s="598"/>
      <c r="D251" s="598"/>
      <c r="E251" s="599"/>
      <c r="F251" s="600" t="s">
        <v>372</v>
      </c>
      <c r="G251" s="569" t="s">
        <v>960</v>
      </c>
      <c r="H251" s="519" t="s">
        <v>942</v>
      </c>
      <c r="I251" s="570" t="s">
        <v>361</v>
      </c>
      <c r="J251" s="522" t="s">
        <v>363</v>
      </c>
      <c r="K251" s="471"/>
    </row>
    <row r="252" spans="1:11">
      <c r="A252" s="463"/>
      <c r="B252" s="571"/>
      <c r="C252" s="572"/>
      <c r="D252" s="573"/>
      <c r="E252" s="574"/>
      <c r="F252" s="502"/>
      <c r="G252" s="502"/>
      <c r="H252" s="624"/>
      <c r="I252" s="575"/>
      <c r="J252" s="505"/>
      <c r="K252" s="471"/>
    </row>
    <row r="253" spans="1:11">
      <c r="A253" s="463"/>
      <c r="B253" s="576" t="s">
        <v>946</v>
      </c>
      <c r="C253" s="577"/>
      <c r="D253" s="578"/>
      <c r="E253" s="579" t="s">
        <v>946</v>
      </c>
      <c r="F253" s="502">
        <v>0</v>
      </c>
      <c r="G253" s="502">
        <v>0</v>
      </c>
      <c r="H253" s="502">
        <v>0</v>
      </c>
      <c r="I253" s="575">
        <v>0</v>
      </c>
      <c r="J253" s="505">
        <f>I253*H253*G253*F253</f>
        <v>0</v>
      </c>
      <c r="K253" s="471"/>
    </row>
    <row r="254" spans="1:11">
      <c r="A254" s="463"/>
      <c r="B254" s="590" t="s">
        <v>946</v>
      </c>
      <c r="C254" s="591"/>
      <c r="D254" s="592"/>
      <c r="E254" s="593" t="s">
        <v>946</v>
      </c>
      <c r="F254" s="509">
        <v>0</v>
      </c>
      <c r="G254" s="509">
        <v>0</v>
      </c>
      <c r="H254" s="509">
        <v>0</v>
      </c>
      <c r="I254" s="601">
        <v>0</v>
      </c>
      <c r="J254" s="505">
        <f>I254*H254*G254*F254</f>
        <v>0</v>
      </c>
      <c r="K254" s="471"/>
    </row>
    <row r="255" spans="1:11">
      <c r="A255" s="463"/>
      <c r="B255" s="594"/>
      <c r="C255" s="536"/>
      <c r="D255" s="536"/>
      <c r="E255" s="595"/>
      <c r="F255" s="596"/>
      <c r="G255" s="545"/>
      <c r="H255" s="545"/>
      <c r="I255" s="537" t="s">
        <v>175</v>
      </c>
      <c r="J255" s="514">
        <f>SUM(J252:J254)</f>
        <v>0</v>
      </c>
      <c r="K255" s="471"/>
    </row>
    <row r="256" spans="1:11">
      <c r="A256" s="463"/>
      <c r="B256" s="536"/>
      <c r="C256" s="536"/>
      <c r="D256" s="536"/>
      <c r="E256" s="536"/>
      <c r="F256" s="536"/>
      <c r="G256" s="536"/>
      <c r="H256" s="536"/>
      <c r="I256" s="537"/>
      <c r="J256" s="536"/>
      <c r="K256" s="471"/>
    </row>
    <row r="257" spans="1:11">
      <c r="A257" s="463"/>
      <c r="B257" s="1481" t="s">
        <v>961</v>
      </c>
      <c r="C257" s="1482"/>
      <c r="D257" s="1482"/>
      <c r="E257" s="1482"/>
      <c r="F257" s="1482"/>
      <c r="G257" s="1482"/>
      <c r="H257" s="1482"/>
      <c r="I257" s="1483"/>
      <c r="J257" s="586" t="e">
        <f>J255+J249+J242</f>
        <v>#N/A</v>
      </c>
      <c r="K257" s="471"/>
    </row>
    <row r="258" spans="1:11">
      <c r="A258" s="463"/>
      <c r="B258" s="536"/>
      <c r="C258" s="536"/>
      <c r="D258" s="536"/>
      <c r="E258" s="536"/>
      <c r="F258" s="536"/>
      <c r="G258" s="536"/>
      <c r="H258" s="536"/>
      <c r="I258" s="537"/>
      <c r="J258" s="536"/>
      <c r="K258" s="471"/>
    </row>
    <row r="259" spans="1:11">
      <c r="A259" s="463"/>
      <c r="B259" s="1481" t="s">
        <v>962</v>
      </c>
      <c r="C259" s="1482"/>
      <c r="D259" s="1482"/>
      <c r="E259" s="1482"/>
      <c r="F259" s="1482"/>
      <c r="G259" s="1482"/>
      <c r="H259" s="1482"/>
      <c r="I259" s="1483"/>
      <c r="J259" s="514" t="e">
        <f>J257*0</f>
        <v>#N/A</v>
      </c>
      <c r="K259" s="471"/>
    </row>
    <row r="260" spans="1:11">
      <c r="A260" s="463"/>
      <c r="B260" s="536"/>
      <c r="C260" s="536"/>
      <c r="D260" s="536"/>
      <c r="E260" s="536"/>
      <c r="F260" s="536"/>
      <c r="G260" s="536"/>
      <c r="H260" s="536"/>
      <c r="I260" s="537"/>
      <c r="J260" s="536"/>
      <c r="K260" s="471"/>
    </row>
    <row r="261" spans="1:11">
      <c r="A261" s="463"/>
      <c r="B261" s="1481" t="s">
        <v>963</v>
      </c>
      <c r="C261" s="1482"/>
      <c r="D261" s="1482"/>
      <c r="E261" s="1482"/>
      <c r="F261" s="1482"/>
      <c r="G261" s="1482"/>
      <c r="H261" s="1482"/>
      <c r="I261" s="1483"/>
      <c r="J261" s="586" t="e">
        <f>J257+J259</f>
        <v>#N/A</v>
      </c>
      <c r="K261" s="471"/>
    </row>
    <row r="262" spans="1:11">
      <c r="A262" s="463"/>
      <c r="B262" s="524"/>
      <c r="C262" s="524"/>
      <c r="D262" s="524"/>
      <c r="E262" s="524"/>
      <c r="F262" s="524"/>
      <c r="G262" s="524"/>
      <c r="H262" s="524"/>
      <c r="I262" s="584"/>
      <c r="J262" s="524"/>
      <c r="K262" s="471"/>
    </row>
    <row r="263" spans="1:11">
      <c r="A263" s="463"/>
      <c r="B263" s="602"/>
      <c r="C263" s="572"/>
      <c r="D263" s="572"/>
      <c r="E263" s="572"/>
      <c r="F263" s="572"/>
      <c r="G263" s="572"/>
      <c r="H263" s="572"/>
      <c r="I263" s="572"/>
      <c r="J263" s="603"/>
      <c r="K263" s="471"/>
    </row>
    <row r="264" spans="1:11">
      <c r="A264" s="463"/>
      <c r="B264" s="604"/>
      <c r="C264" s="605"/>
      <c r="D264" s="606"/>
      <c r="E264" s="606"/>
      <c r="F264" s="607" t="s">
        <v>946</v>
      </c>
      <c r="G264" s="608" t="s">
        <v>946</v>
      </c>
      <c r="H264" s="605"/>
      <c r="I264" s="605"/>
      <c r="J264" s="609"/>
      <c r="K264" s="471"/>
    </row>
    <row r="265" spans="1:11">
      <c r="A265" s="463"/>
      <c r="B265" s="472"/>
      <c r="C265" s="472"/>
      <c r="D265" s="472"/>
      <c r="E265" s="472"/>
      <c r="F265" s="472"/>
      <c r="G265" s="472"/>
      <c r="H265" s="472"/>
      <c r="I265" s="472"/>
      <c r="J265" s="472"/>
      <c r="K265" s="471"/>
    </row>
    <row r="266" spans="1:11">
      <c r="A266" s="463"/>
      <c r="B266" s="610"/>
      <c r="C266" s="611"/>
      <c r="D266" s="611"/>
      <c r="E266" s="611"/>
      <c r="F266" s="612"/>
      <c r="G266" s="613" t="s">
        <v>363</v>
      </c>
      <c r="H266" s="515"/>
      <c r="I266" s="515"/>
      <c r="J266" s="518"/>
      <c r="K266" s="471"/>
    </row>
    <row r="267" spans="1:11">
      <c r="A267" s="463"/>
      <c r="B267" s="614"/>
      <c r="C267" s="615"/>
      <c r="D267" s="615"/>
      <c r="E267" s="615"/>
      <c r="F267" s="616"/>
      <c r="G267" s="1484" t="s">
        <v>964</v>
      </c>
      <c r="H267" s="1485"/>
      <c r="I267" s="1485"/>
      <c r="J267" s="1486"/>
      <c r="K267" s="471"/>
    </row>
    <row r="268" spans="1:11">
      <c r="A268" s="463"/>
      <c r="B268" s="617"/>
      <c r="C268" s="618"/>
      <c r="D268" s="618"/>
      <c r="E268" s="618"/>
      <c r="F268" s="619"/>
      <c r="G268" s="620"/>
      <c r="H268" s="1487"/>
      <c r="I268" s="1488"/>
      <c r="J268" s="1489"/>
      <c r="K268" s="471"/>
    </row>
    <row r="269" spans="1:11" ht="15" thickBot="1">
      <c r="A269" s="621"/>
      <c r="B269" s="622"/>
      <c r="C269" s="622"/>
      <c r="D269" s="622"/>
      <c r="E269" s="622"/>
      <c r="F269" s="622"/>
      <c r="G269" s="622"/>
      <c r="H269" s="622"/>
      <c r="I269" s="622"/>
      <c r="J269" s="622"/>
      <c r="K269" s="623"/>
    </row>
    <row r="270" spans="1:11">
      <c r="A270" s="460"/>
      <c r="B270" s="461"/>
      <c r="C270" s="461"/>
      <c r="D270" s="461"/>
      <c r="E270" s="461"/>
      <c r="F270" s="461"/>
      <c r="G270" s="461"/>
      <c r="H270" s="461"/>
      <c r="I270" s="461"/>
      <c r="J270" s="461"/>
      <c r="K270" s="462"/>
    </row>
    <row r="271" spans="1:11">
      <c r="A271" s="463"/>
      <c r="B271" s="464" t="s">
        <v>178</v>
      </c>
      <c r="C271" s="465"/>
      <c r="D271" s="466" t="s">
        <v>936</v>
      </c>
      <c r="E271" s="467"/>
      <c r="F271" s="468"/>
      <c r="G271" s="468"/>
      <c r="H271" s="469"/>
      <c r="I271" s="469"/>
      <c r="J271" s="470"/>
      <c r="K271" s="471"/>
    </row>
    <row r="272" spans="1:11">
      <c r="A272" s="463"/>
      <c r="B272" s="472"/>
      <c r="C272" s="472"/>
      <c r="D272" s="472"/>
      <c r="E272" s="472"/>
      <c r="F272" s="472"/>
      <c r="G272" s="472"/>
      <c r="H272" s="472"/>
      <c r="I272" s="472"/>
      <c r="J272" s="472"/>
      <c r="K272" s="471"/>
    </row>
    <row r="273" spans="1:11">
      <c r="A273" s="463"/>
      <c r="B273" s="473" t="s">
        <v>972</v>
      </c>
      <c r="C273" s="474" t="s">
        <v>937</v>
      </c>
      <c r="D273" s="1497" t="s">
        <v>250</v>
      </c>
      <c r="E273" s="1498"/>
      <c r="F273" s="1498"/>
      <c r="G273" s="1498"/>
      <c r="H273" s="1498"/>
      <c r="I273" s="1499"/>
      <c r="J273" s="475" t="s">
        <v>267</v>
      </c>
      <c r="K273" s="471"/>
    </row>
    <row r="274" spans="1:11">
      <c r="A274" s="463"/>
      <c r="B274" s="476">
        <v>5915321</v>
      </c>
      <c r="C274" s="477"/>
      <c r="D274" s="681" t="s">
        <v>206</v>
      </c>
      <c r="E274" s="479"/>
      <c r="F274" s="479"/>
      <c r="G274" s="479"/>
      <c r="H274" s="479"/>
      <c r="I274" s="480"/>
      <c r="J274" s="481" t="str">
        <f>F293</f>
        <v>TKM</v>
      </c>
      <c r="K274" s="471"/>
    </row>
    <row r="275" spans="1:11">
      <c r="A275" s="463"/>
      <c r="B275" s="482"/>
      <c r="C275" s="482"/>
      <c r="D275" s="482"/>
      <c r="E275" s="482"/>
      <c r="F275" s="482"/>
      <c r="G275" s="482"/>
      <c r="H275" s="482"/>
      <c r="I275" s="483"/>
      <c r="J275" s="484"/>
      <c r="K275" s="471"/>
    </row>
    <row r="276" spans="1:11">
      <c r="A276" s="463"/>
      <c r="B276" s="1484" t="s">
        <v>938</v>
      </c>
      <c r="C276" s="1486"/>
      <c r="D276" s="1502" t="s">
        <v>688</v>
      </c>
      <c r="E276" s="1504" t="s">
        <v>939</v>
      </c>
      <c r="F276" s="485" t="s">
        <v>940</v>
      </c>
      <c r="G276" s="486"/>
      <c r="H276" s="485" t="s">
        <v>941</v>
      </c>
      <c r="I276" s="486"/>
      <c r="J276" s="487" t="s">
        <v>942</v>
      </c>
      <c r="K276" s="471"/>
    </row>
    <row r="277" spans="1:11">
      <c r="A277" s="463"/>
      <c r="B277" s="1500"/>
      <c r="C277" s="1501"/>
      <c r="D277" s="1503"/>
      <c r="E277" s="1505"/>
      <c r="F277" s="488" t="s">
        <v>943</v>
      </c>
      <c r="G277" s="488" t="s">
        <v>944</v>
      </c>
      <c r="H277" s="488" t="s">
        <v>943</v>
      </c>
      <c r="I277" s="489" t="s">
        <v>944</v>
      </c>
      <c r="J277" s="490" t="s">
        <v>945</v>
      </c>
      <c r="K277" s="471"/>
    </row>
    <row r="278" spans="1:11" hidden="1">
      <c r="A278" s="463"/>
      <c r="B278" s="499" t="s">
        <v>971</v>
      </c>
      <c r="C278" s="492"/>
      <c r="D278" s="493"/>
      <c r="E278" s="494"/>
      <c r="F278" s="494">
        <v>1</v>
      </c>
      <c r="G278" s="495">
        <f>1-F278</f>
        <v>0</v>
      </c>
      <c r="H278" s="503">
        <f>VLOOKUP(B278,EQUIPAMENTOS!$A:$J,10,FALSE)</f>
        <v>175</v>
      </c>
      <c r="I278" s="497">
        <f>H278</f>
        <v>175</v>
      </c>
      <c r="J278" s="498">
        <f>H278*F278*E278+I278*G278*E278</f>
        <v>0</v>
      </c>
      <c r="K278" s="471"/>
    </row>
    <row r="279" spans="1:11">
      <c r="A279" s="463"/>
      <c r="B279" s="499" t="s">
        <v>614</v>
      </c>
      <c r="C279" s="500"/>
      <c r="D279" s="501"/>
      <c r="E279" s="502">
        <v>1</v>
      </c>
      <c r="F279" s="502">
        <v>1</v>
      </c>
      <c r="G279" s="502">
        <f>1-F279</f>
        <v>0</v>
      </c>
      <c r="H279" s="503" t="e">
        <f>VLOOKUP(B279,EQUIPAMENTOS!$A:$J,10,FALSE)</f>
        <v>#N/A</v>
      </c>
      <c r="I279" s="504" t="e">
        <f>H279</f>
        <v>#N/A</v>
      </c>
      <c r="J279" s="505" t="e">
        <f>H279*F279*E279+I279*G279*E279</f>
        <v>#N/A</v>
      </c>
      <c r="K279" s="471"/>
    </row>
    <row r="280" spans="1:11">
      <c r="A280" s="463"/>
      <c r="B280" s="499"/>
      <c r="C280" s="500"/>
      <c r="D280" s="501"/>
      <c r="E280" s="502"/>
      <c r="F280" s="502"/>
      <c r="G280" s="502"/>
      <c r="H280" s="503"/>
      <c r="I280" s="504"/>
      <c r="J280" s="505">
        <f>H280*F280*E280+I280*G280*E280</f>
        <v>0</v>
      </c>
      <c r="K280" s="471"/>
    </row>
    <row r="281" spans="1:11">
      <c r="A281" s="463"/>
      <c r="B281" s="499"/>
      <c r="C281" s="500"/>
      <c r="D281" s="501"/>
      <c r="E281" s="502"/>
      <c r="F281" s="502"/>
      <c r="G281" s="502"/>
      <c r="H281" s="503"/>
      <c r="I281" s="504"/>
      <c r="J281" s="505">
        <f>H281*F281*E281+I281*G281*E281</f>
        <v>0</v>
      </c>
      <c r="K281" s="471"/>
    </row>
    <row r="282" spans="1:11">
      <c r="A282" s="463"/>
      <c r="B282" s="506"/>
      <c r="C282" s="507"/>
      <c r="D282" s="508"/>
      <c r="E282" s="509"/>
      <c r="F282" s="509"/>
      <c r="G282" s="509"/>
      <c r="H282" s="510"/>
      <c r="I282" s="511"/>
      <c r="J282" s="505">
        <f>H282*F282*E282+I282*G282*E282</f>
        <v>0</v>
      </c>
      <c r="K282" s="471"/>
    </row>
    <row r="283" spans="1:11">
      <c r="A283" s="463"/>
      <c r="B283" s="512" t="s">
        <v>946</v>
      </c>
      <c r="C283" s="482"/>
      <c r="D283" s="482"/>
      <c r="E283" s="482"/>
      <c r="F283" s="482"/>
      <c r="G283" s="482"/>
      <c r="H283" s="482"/>
      <c r="I283" s="513" t="s">
        <v>175</v>
      </c>
      <c r="J283" s="514" t="e">
        <f>SUM(J278:J282)</f>
        <v>#N/A</v>
      </c>
      <c r="K283" s="471"/>
    </row>
    <row r="284" spans="1:11">
      <c r="A284" s="463"/>
      <c r="B284" s="515"/>
      <c r="C284" s="515"/>
      <c r="D284" s="515"/>
      <c r="E284" s="515"/>
      <c r="F284" s="515"/>
      <c r="G284" s="515"/>
      <c r="H284" s="515"/>
      <c r="I284" s="516"/>
      <c r="J284" s="517"/>
      <c r="K284" s="471"/>
    </row>
    <row r="285" spans="1:11" ht="20.399999999999999">
      <c r="A285" s="463"/>
      <c r="B285" s="1490" t="s">
        <v>947</v>
      </c>
      <c r="C285" s="1491"/>
      <c r="D285" s="1491"/>
      <c r="E285" s="1492"/>
      <c r="F285" s="725" t="s">
        <v>688</v>
      </c>
      <c r="G285" s="519"/>
      <c r="H285" s="520" t="s">
        <v>427</v>
      </c>
      <c r="I285" s="521" t="s">
        <v>948</v>
      </c>
      <c r="J285" s="522" t="s">
        <v>949</v>
      </c>
      <c r="K285" s="471"/>
    </row>
    <row r="286" spans="1:11" hidden="1">
      <c r="A286" s="463"/>
      <c r="B286" s="523" t="s">
        <v>974</v>
      </c>
      <c r="C286" s="524"/>
      <c r="D286" s="525"/>
      <c r="E286" s="526"/>
      <c r="F286" s="527"/>
      <c r="G286" s="528"/>
      <c r="H286" s="529">
        <f>E278</f>
        <v>0</v>
      </c>
      <c r="I286" s="534">
        <f>(VLOOKUP(B286,'MÃO DE OBRA'!$A:$E,5,FALSE)/220)</f>
        <v>35.988199999999999</v>
      </c>
      <c r="J286" s="505">
        <f>H286*I286</f>
        <v>0</v>
      </c>
      <c r="K286" s="471"/>
    </row>
    <row r="287" spans="1:11">
      <c r="A287" s="463"/>
      <c r="B287" s="530" t="s">
        <v>950</v>
      </c>
      <c r="C287" s="531"/>
      <c r="D287" s="472"/>
      <c r="E287" s="500"/>
      <c r="F287" s="501"/>
      <c r="G287" s="532"/>
      <c r="H287" s="533">
        <f>E279</f>
        <v>1</v>
      </c>
      <c r="I287" s="534">
        <f>(VLOOKUP(B287,'MÃO DE OBRA'!$A:$E,5,FALSE)/220)</f>
        <v>26.714454545454547</v>
      </c>
      <c r="J287" s="505">
        <f>H287*I287</f>
        <v>26.714454545454547</v>
      </c>
      <c r="K287" s="471"/>
    </row>
    <row r="288" spans="1:11" hidden="1">
      <c r="A288" s="463"/>
      <c r="B288" s="530" t="s">
        <v>472</v>
      </c>
      <c r="C288" s="531"/>
      <c r="D288" s="472"/>
      <c r="E288" s="500"/>
      <c r="F288" s="501"/>
      <c r="G288" s="532"/>
      <c r="H288" s="533"/>
      <c r="I288" s="534">
        <f>(VLOOKUP(B288,'MÃO DE OBRA'!$A:$E,5,FALSE)/220)</f>
        <v>18.377072727272729</v>
      </c>
      <c r="J288" s="505">
        <f>H288*I288</f>
        <v>0</v>
      </c>
      <c r="K288" s="471"/>
    </row>
    <row r="289" spans="1:12">
      <c r="A289" s="463"/>
      <c r="B289" s="530"/>
      <c r="C289" s="531"/>
      <c r="D289" s="472"/>
      <c r="E289" s="500"/>
      <c r="F289" s="501"/>
      <c r="G289" s="532"/>
      <c r="H289" s="533"/>
      <c r="I289" s="504"/>
      <c r="J289" s="505"/>
      <c r="K289" s="471"/>
    </row>
    <row r="290" spans="1:12">
      <c r="A290" s="463"/>
      <c r="B290" s="530"/>
      <c r="C290" s="531"/>
      <c r="D290" s="472"/>
      <c r="E290" s="500"/>
      <c r="F290" s="501"/>
      <c r="G290" s="532"/>
      <c r="H290" s="533"/>
      <c r="I290" s="504"/>
      <c r="J290" s="505">
        <f>H290*I290</f>
        <v>0</v>
      </c>
      <c r="K290" s="471"/>
    </row>
    <row r="291" spans="1:12">
      <c r="A291" s="463"/>
      <c r="B291" s="512" t="s">
        <v>946</v>
      </c>
      <c r="C291" s="515"/>
      <c r="D291" s="515"/>
      <c r="E291" s="515"/>
      <c r="F291" s="515"/>
      <c r="G291" s="515"/>
      <c r="H291" s="515"/>
      <c r="I291" s="535" t="s">
        <v>175</v>
      </c>
      <c r="J291" s="514">
        <f>SUM(J286:J290)</f>
        <v>26.714454545454547</v>
      </c>
      <c r="K291" s="471"/>
    </row>
    <row r="292" spans="1:12">
      <c r="A292" s="463"/>
      <c r="B292" s="536"/>
      <c r="C292" s="536"/>
      <c r="D292" s="536"/>
      <c r="E292" s="536"/>
      <c r="F292" s="536"/>
      <c r="G292" s="536"/>
      <c r="H292" s="536"/>
      <c r="I292" s="537"/>
      <c r="J292" s="536"/>
      <c r="K292" s="471"/>
    </row>
    <row r="293" spans="1:12">
      <c r="A293" s="463"/>
      <c r="B293" s="538" t="s">
        <v>952</v>
      </c>
      <c r="C293" s="539"/>
      <c r="D293" s="536"/>
      <c r="E293" s="540">
        <v>522</v>
      </c>
      <c r="F293" s="541" t="s">
        <v>975</v>
      </c>
      <c r="G293" s="519"/>
      <c r="H293" s="519"/>
      <c r="I293" s="542" t="s">
        <v>953</v>
      </c>
      <c r="J293" s="514" t="e">
        <f>J283+J291</f>
        <v>#N/A</v>
      </c>
      <c r="K293" s="471"/>
    </row>
    <row r="294" spans="1:12">
      <c r="A294" s="463"/>
      <c r="B294" s="543"/>
      <c r="C294" s="536"/>
      <c r="D294" s="536"/>
      <c r="E294" s="544"/>
      <c r="F294" s="545"/>
      <c r="G294" s="545"/>
      <c r="H294" s="545"/>
      <c r="I294" s="537"/>
      <c r="J294" s="536"/>
      <c r="K294" s="471"/>
    </row>
    <row r="295" spans="1:12" ht="20.399999999999999">
      <c r="A295" s="463"/>
      <c r="B295" s="1493" t="s">
        <v>362</v>
      </c>
      <c r="C295" s="1494"/>
      <c r="D295" s="1494"/>
      <c r="E295" s="1495"/>
      <c r="F295" s="546" t="s">
        <v>688</v>
      </c>
      <c r="G295" s="547" t="s">
        <v>371</v>
      </c>
      <c r="H295" s="520" t="s">
        <v>942</v>
      </c>
      <c r="I295" s="548" t="s">
        <v>361</v>
      </c>
      <c r="J295" s="549" t="s">
        <v>363</v>
      </c>
      <c r="K295" s="471"/>
    </row>
    <row r="296" spans="1:12" hidden="1">
      <c r="A296" s="463"/>
      <c r="B296" s="550" t="str">
        <f>B278</f>
        <v>Escavadeira Hidráulica sobre esteira 22T</v>
      </c>
      <c r="C296" s="551"/>
      <c r="D296" s="551"/>
      <c r="E296" s="552"/>
      <c r="F296" s="553" t="str">
        <f>VLOOKUP(B296,EQUIPAMENTOS!$A:$N,12,FALSE)</f>
        <v>Diesel S10</v>
      </c>
      <c r="G296" s="554" t="s">
        <v>415</v>
      </c>
      <c r="H296" s="560">
        <f>VLOOKUP(B296,EQUIPAMENTOS!$A:$N,13,FALSE)</f>
        <v>0</v>
      </c>
      <c r="I296" s="556">
        <f>VLOOKUP(B296,EQUIPAMENTOS!$A:$N,14,FALSE)</f>
        <v>22</v>
      </c>
      <c r="J296" s="498">
        <f>H296*I296*E278*F278</f>
        <v>0</v>
      </c>
      <c r="K296" s="471"/>
    </row>
    <row r="297" spans="1:12">
      <c r="A297" s="463"/>
      <c r="B297" s="550" t="str">
        <f>B279</f>
        <v>Caçamba basculante com capacidade de 14 m³</v>
      </c>
      <c r="C297" s="531"/>
      <c r="D297" s="531"/>
      <c r="E297" s="500"/>
      <c r="F297" s="553" t="e">
        <f>VLOOKUP(B297,EQUIPAMENTOS!$A:$N,12,FALSE)</f>
        <v>#N/A</v>
      </c>
      <c r="G297" s="554" t="s">
        <v>415</v>
      </c>
      <c r="H297" s="560" t="e">
        <f>VLOOKUP(B297,EQUIPAMENTOS!$A:$N,13,FALSE)</f>
        <v>#N/A</v>
      </c>
      <c r="I297" s="556" t="e">
        <f>VLOOKUP(B297,EQUIPAMENTOS!$A:$N,14,FALSE)</f>
        <v>#N/A</v>
      </c>
      <c r="J297" s="505" t="e">
        <f>H297*I297*E279*F279</f>
        <v>#N/A</v>
      </c>
      <c r="K297" s="471"/>
    </row>
    <row r="298" spans="1:12">
      <c r="A298" s="463"/>
      <c r="B298" s="530"/>
      <c r="C298" s="531"/>
      <c r="D298" s="531"/>
      <c r="E298" s="500"/>
      <c r="F298" s="558"/>
      <c r="G298" s="559"/>
      <c r="H298" s="560"/>
      <c r="I298" s="556"/>
      <c r="J298" s="505">
        <f>H298*I298*E279</f>
        <v>0</v>
      </c>
      <c r="K298" s="471"/>
    </row>
    <row r="299" spans="1:12">
      <c r="A299" s="463"/>
      <c r="B299" s="530"/>
      <c r="C299" s="531"/>
      <c r="D299" s="531"/>
      <c r="E299" s="500"/>
      <c r="F299" s="501"/>
      <c r="G299" s="559"/>
      <c r="H299" s="560"/>
      <c r="I299" s="556"/>
      <c r="J299" s="505">
        <f>H299*I299*E280</f>
        <v>0</v>
      </c>
      <c r="K299" s="471"/>
    </row>
    <row r="300" spans="1:12">
      <c r="A300" s="463"/>
      <c r="B300" s="530"/>
      <c r="C300" s="539"/>
      <c r="D300" s="539"/>
      <c r="E300" s="507"/>
      <c r="F300" s="501"/>
      <c r="G300" s="481"/>
      <c r="H300" s="560"/>
      <c r="I300" s="561"/>
      <c r="J300" s="562">
        <f>H300*I300*E281</f>
        <v>0</v>
      </c>
      <c r="K300" s="471"/>
    </row>
    <row r="301" spans="1:12">
      <c r="A301" s="463"/>
      <c r="B301" s="563" t="s">
        <v>946</v>
      </c>
      <c r="C301" s="539"/>
      <c r="D301" s="539"/>
      <c r="E301" s="539"/>
      <c r="F301" s="536"/>
      <c r="G301" s="539"/>
      <c r="H301" s="564"/>
      <c r="I301" s="565" t="s">
        <v>175</v>
      </c>
      <c r="J301" s="514" t="e">
        <f>SUM(J296:J300)</f>
        <v>#N/A</v>
      </c>
      <c r="K301" s="471"/>
      <c r="L301" s="6" t="e">
        <f>J301/E293</f>
        <v>#N/A</v>
      </c>
    </row>
    <row r="302" spans="1:12">
      <c r="A302" s="463"/>
      <c r="B302" s="566"/>
      <c r="C302" s="539"/>
      <c r="D302" s="539"/>
      <c r="E302" s="567"/>
      <c r="F302" s="568"/>
      <c r="G302" s="519"/>
      <c r="H302" s="519"/>
      <c r="I302" s="542"/>
      <c r="J302" s="567"/>
      <c r="K302" s="471"/>
    </row>
    <row r="303" spans="1:12" ht="20.399999999999999">
      <c r="A303" s="463"/>
      <c r="B303" s="1493" t="s">
        <v>955</v>
      </c>
      <c r="C303" s="1494"/>
      <c r="D303" s="1494"/>
      <c r="E303" s="1494"/>
      <c r="F303" s="1495"/>
      <c r="G303" s="569" t="s">
        <v>372</v>
      </c>
      <c r="H303" s="519" t="s">
        <v>956</v>
      </c>
      <c r="I303" s="570" t="s">
        <v>942</v>
      </c>
      <c r="J303" s="522" t="s">
        <v>363</v>
      </c>
      <c r="K303" s="471"/>
    </row>
    <row r="304" spans="1:12">
      <c r="A304" s="463"/>
      <c r="B304" s="571"/>
      <c r="C304" s="572"/>
      <c r="D304" s="573"/>
      <c r="E304" s="573"/>
      <c r="F304" s="574"/>
      <c r="G304" s="502"/>
      <c r="H304" s="502"/>
      <c r="I304" s="575"/>
      <c r="J304" s="505"/>
      <c r="K304" s="471"/>
    </row>
    <row r="305" spans="1:11">
      <c r="A305" s="463"/>
      <c r="B305" s="576"/>
      <c r="C305" s="577"/>
      <c r="D305" s="578"/>
      <c r="E305" s="578"/>
      <c r="F305" s="579"/>
      <c r="G305" s="502"/>
      <c r="H305" s="502"/>
      <c r="I305" s="575"/>
      <c r="J305" s="505"/>
      <c r="K305" s="471"/>
    </row>
    <row r="306" spans="1:11">
      <c r="A306" s="463"/>
      <c r="B306" s="1496" t="s">
        <v>175</v>
      </c>
      <c r="C306" s="1496"/>
      <c r="D306" s="1496"/>
      <c r="E306" s="1496"/>
      <c r="F306" s="1496"/>
      <c r="G306" s="1496"/>
      <c r="H306" s="1496"/>
      <c r="I306" s="1496"/>
      <c r="J306" s="514">
        <f>SUM(J304:J305)</f>
        <v>0</v>
      </c>
      <c r="K306" s="471"/>
    </row>
    <row r="307" spans="1:11">
      <c r="A307" s="463"/>
      <c r="B307" s="580"/>
      <c r="C307" s="524"/>
      <c r="D307" s="524"/>
      <c r="E307" s="581"/>
      <c r="F307" s="582"/>
      <c r="G307" s="583"/>
      <c r="H307" s="583"/>
      <c r="I307" s="584"/>
      <c r="J307" s="585"/>
      <c r="K307" s="471"/>
    </row>
    <row r="308" spans="1:11">
      <c r="A308" s="463"/>
      <c r="B308" s="586" t="s">
        <v>957</v>
      </c>
      <c r="C308" s="586"/>
      <c r="D308" s="563"/>
      <c r="E308" s="536"/>
      <c r="F308" s="536"/>
      <c r="G308" s="536"/>
      <c r="H308" s="587"/>
      <c r="I308" s="588"/>
      <c r="J308" s="514" t="e">
        <f>(J293+J301+J306)/E293</f>
        <v>#N/A</v>
      </c>
      <c r="K308" s="471"/>
    </row>
    <row r="309" spans="1:11">
      <c r="A309" s="463"/>
      <c r="B309" s="566"/>
      <c r="C309" s="539"/>
      <c r="D309" s="539"/>
      <c r="E309" s="567"/>
      <c r="F309" s="568"/>
      <c r="G309" s="519"/>
      <c r="H309" s="519"/>
      <c r="I309" s="542"/>
      <c r="J309" s="589"/>
      <c r="K309" s="471"/>
    </row>
    <row r="310" spans="1:11" ht="20.399999999999999">
      <c r="A310" s="463"/>
      <c r="B310" s="1493" t="s">
        <v>958</v>
      </c>
      <c r="C310" s="1494"/>
      <c r="D310" s="1494"/>
      <c r="E310" s="1494"/>
      <c r="F310" s="1495"/>
      <c r="G310" s="569" t="s">
        <v>372</v>
      </c>
      <c r="H310" s="519" t="s">
        <v>956</v>
      </c>
      <c r="I310" s="570" t="s">
        <v>942</v>
      </c>
      <c r="J310" s="522" t="s">
        <v>363</v>
      </c>
      <c r="K310" s="471"/>
    </row>
    <row r="311" spans="1:11">
      <c r="A311" s="463"/>
      <c r="B311" s="571"/>
      <c r="C311" s="572"/>
      <c r="D311" s="573"/>
      <c r="E311" s="573"/>
      <c r="F311" s="574"/>
      <c r="G311" s="502"/>
      <c r="H311" s="502"/>
      <c r="I311" s="575"/>
      <c r="J311" s="505">
        <f>G311*I311</f>
        <v>0</v>
      </c>
      <c r="K311" s="471"/>
    </row>
    <row r="312" spans="1:11">
      <c r="A312" s="463"/>
      <c r="B312" s="576"/>
      <c r="C312" s="577"/>
      <c r="D312" s="578"/>
      <c r="E312" s="578"/>
      <c r="F312" s="579"/>
      <c r="G312" s="502"/>
      <c r="H312" s="502"/>
      <c r="I312" s="575"/>
      <c r="J312" s="505">
        <f>G312*I312</f>
        <v>0</v>
      </c>
      <c r="K312" s="471"/>
    </row>
    <row r="313" spans="1:11">
      <c r="A313" s="463"/>
      <c r="B313" s="576"/>
      <c r="C313" s="577"/>
      <c r="D313" s="578"/>
      <c r="E313" s="578"/>
      <c r="F313" s="579"/>
      <c r="G313" s="502"/>
      <c r="H313" s="502"/>
      <c r="I313" s="575"/>
      <c r="J313" s="505">
        <f>G313*I313</f>
        <v>0</v>
      </c>
      <c r="K313" s="471"/>
    </row>
    <row r="314" spans="1:11">
      <c r="A314" s="463"/>
      <c r="B314" s="590"/>
      <c r="C314" s="591"/>
      <c r="D314" s="592"/>
      <c r="E314" s="592"/>
      <c r="F314" s="593"/>
      <c r="G314" s="502"/>
      <c r="H314" s="502"/>
      <c r="I314" s="575"/>
      <c r="J314" s="505">
        <f>G314*I314</f>
        <v>0</v>
      </c>
      <c r="K314" s="471"/>
    </row>
    <row r="315" spans="1:11">
      <c r="A315" s="463"/>
      <c r="B315" s="594"/>
      <c r="C315" s="536"/>
      <c r="D315" s="536"/>
      <c r="E315" s="595"/>
      <c r="F315" s="596"/>
      <c r="G315" s="545"/>
      <c r="H315" s="545"/>
      <c r="I315" s="537" t="s">
        <v>175</v>
      </c>
      <c r="J315" s="514">
        <f>SUM(J311:J314)</f>
        <v>0</v>
      </c>
      <c r="K315" s="471"/>
    </row>
    <row r="316" spans="1:11">
      <c r="A316" s="463"/>
      <c r="B316" s="597"/>
      <c r="C316" s="536"/>
      <c r="D316" s="536"/>
      <c r="E316" s="595"/>
      <c r="F316" s="596"/>
      <c r="G316" s="545"/>
      <c r="H316" s="545"/>
      <c r="I316" s="537"/>
      <c r="J316" s="595"/>
      <c r="K316" s="471"/>
    </row>
    <row r="317" spans="1:11" ht="20.399999999999999">
      <c r="A317" s="463"/>
      <c r="B317" s="598" t="s">
        <v>959</v>
      </c>
      <c r="C317" s="598"/>
      <c r="D317" s="598"/>
      <c r="E317" s="599"/>
      <c r="F317" s="600" t="s">
        <v>372</v>
      </c>
      <c r="G317" s="569" t="s">
        <v>960</v>
      </c>
      <c r="H317" s="519" t="s">
        <v>942</v>
      </c>
      <c r="I317" s="570" t="s">
        <v>361</v>
      </c>
      <c r="J317" s="522" t="s">
        <v>363</v>
      </c>
      <c r="K317" s="471"/>
    </row>
    <row r="318" spans="1:11">
      <c r="A318" s="463"/>
      <c r="B318" s="571"/>
      <c r="C318" s="572"/>
      <c r="D318" s="573"/>
      <c r="E318" s="574"/>
      <c r="F318" s="502"/>
      <c r="G318" s="502"/>
      <c r="H318" s="624"/>
      <c r="I318" s="575"/>
      <c r="J318" s="505"/>
      <c r="K318" s="471"/>
    </row>
    <row r="319" spans="1:11">
      <c r="A319" s="463"/>
      <c r="B319" s="576" t="s">
        <v>946</v>
      </c>
      <c r="C319" s="577"/>
      <c r="D319" s="578"/>
      <c r="E319" s="579" t="s">
        <v>946</v>
      </c>
      <c r="F319" s="502">
        <v>0</v>
      </c>
      <c r="G319" s="502">
        <v>0</v>
      </c>
      <c r="H319" s="502">
        <v>0</v>
      </c>
      <c r="I319" s="575">
        <v>0</v>
      </c>
      <c r="J319" s="505">
        <f>I319*H319*G319*F319</f>
        <v>0</v>
      </c>
      <c r="K319" s="471"/>
    </row>
    <row r="320" spans="1:11">
      <c r="A320" s="463"/>
      <c r="B320" s="590" t="s">
        <v>946</v>
      </c>
      <c r="C320" s="591"/>
      <c r="D320" s="592"/>
      <c r="E320" s="593" t="s">
        <v>946</v>
      </c>
      <c r="F320" s="509">
        <v>0</v>
      </c>
      <c r="G320" s="509">
        <v>0</v>
      </c>
      <c r="H320" s="509">
        <v>0</v>
      </c>
      <c r="I320" s="601">
        <v>0</v>
      </c>
      <c r="J320" s="505">
        <f>I320*H320*G320*F320</f>
        <v>0</v>
      </c>
      <c r="K320" s="471"/>
    </row>
    <row r="321" spans="1:11">
      <c r="A321" s="463"/>
      <c r="B321" s="594"/>
      <c r="C321" s="536"/>
      <c r="D321" s="536"/>
      <c r="E321" s="595"/>
      <c r="F321" s="596"/>
      <c r="G321" s="545"/>
      <c r="H321" s="545"/>
      <c r="I321" s="537" t="s">
        <v>175</v>
      </c>
      <c r="J321" s="514">
        <f>SUM(J318:J320)</f>
        <v>0</v>
      </c>
      <c r="K321" s="471"/>
    </row>
    <row r="322" spans="1:11">
      <c r="A322" s="463"/>
      <c r="B322" s="536"/>
      <c r="C322" s="536"/>
      <c r="D322" s="536"/>
      <c r="E322" s="536"/>
      <c r="F322" s="536"/>
      <c r="G322" s="536"/>
      <c r="H322" s="536"/>
      <c r="I322" s="537"/>
      <c r="J322" s="536"/>
      <c r="K322" s="471"/>
    </row>
    <row r="323" spans="1:11">
      <c r="A323" s="463"/>
      <c r="B323" s="1481" t="s">
        <v>961</v>
      </c>
      <c r="C323" s="1482"/>
      <c r="D323" s="1482"/>
      <c r="E323" s="1482"/>
      <c r="F323" s="1482"/>
      <c r="G323" s="1482"/>
      <c r="H323" s="1482"/>
      <c r="I323" s="1483"/>
      <c r="J323" s="586" t="e">
        <f>J321+J315+J308</f>
        <v>#N/A</v>
      </c>
      <c r="K323" s="471"/>
    </row>
    <row r="324" spans="1:11">
      <c r="A324" s="463"/>
      <c r="B324" s="536"/>
      <c r="C324" s="536"/>
      <c r="D324" s="536"/>
      <c r="E324" s="536"/>
      <c r="F324" s="536"/>
      <c r="G324" s="536"/>
      <c r="H324" s="536"/>
      <c r="I324" s="537"/>
      <c r="J324" s="536"/>
      <c r="K324" s="471"/>
    </row>
    <row r="325" spans="1:11">
      <c r="A325" s="463"/>
      <c r="B325" s="1481" t="s">
        <v>962</v>
      </c>
      <c r="C325" s="1482"/>
      <c r="D325" s="1482"/>
      <c r="E325" s="1482"/>
      <c r="F325" s="1482"/>
      <c r="G325" s="1482"/>
      <c r="H325" s="1482"/>
      <c r="I325" s="1483"/>
      <c r="J325" s="514" t="e">
        <f>J323*0</f>
        <v>#N/A</v>
      </c>
      <c r="K325" s="471"/>
    </row>
    <row r="326" spans="1:11">
      <c r="A326" s="463"/>
      <c r="B326" s="536"/>
      <c r="C326" s="536"/>
      <c r="D326" s="536"/>
      <c r="E326" s="536"/>
      <c r="F326" s="536"/>
      <c r="G326" s="536"/>
      <c r="H326" s="536"/>
      <c r="I326" s="537"/>
      <c r="J326" s="536"/>
      <c r="K326" s="471"/>
    </row>
    <row r="327" spans="1:11">
      <c r="A327" s="463"/>
      <c r="B327" s="1481" t="s">
        <v>963</v>
      </c>
      <c r="C327" s="1482"/>
      <c r="D327" s="1482"/>
      <c r="E327" s="1482"/>
      <c r="F327" s="1482"/>
      <c r="G327" s="1482"/>
      <c r="H327" s="1482"/>
      <c r="I327" s="1483"/>
      <c r="J327" s="586" t="e">
        <f>J323+J325</f>
        <v>#N/A</v>
      </c>
      <c r="K327" s="471"/>
    </row>
    <row r="328" spans="1:11">
      <c r="A328" s="463"/>
      <c r="B328" s="524"/>
      <c r="C328" s="524"/>
      <c r="D328" s="524"/>
      <c r="E328" s="524"/>
      <c r="F328" s="524"/>
      <c r="G328" s="524"/>
      <c r="H328" s="524"/>
      <c r="I328" s="584"/>
      <c r="J328" s="524"/>
      <c r="K328" s="471"/>
    </row>
    <row r="329" spans="1:11">
      <c r="A329" s="463"/>
      <c r="B329" s="602"/>
      <c r="C329" s="572"/>
      <c r="D329" s="572"/>
      <c r="E329" s="572"/>
      <c r="F329" s="572"/>
      <c r="G329" s="572"/>
      <c r="H329" s="572"/>
      <c r="I329" s="572"/>
      <c r="J329" s="603"/>
      <c r="K329" s="471"/>
    </row>
    <row r="330" spans="1:11">
      <c r="A330" s="463"/>
      <c r="B330" s="604"/>
      <c r="C330" s="605"/>
      <c r="D330" s="606"/>
      <c r="E330" s="606"/>
      <c r="F330" s="607" t="s">
        <v>946</v>
      </c>
      <c r="G330" s="608" t="s">
        <v>946</v>
      </c>
      <c r="H330" s="605"/>
      <c r="I330" s="605"/>
      <c r="J330" s="609"/>
      <c r="K330" s="471"/>
    </row>
    <row r="331" spans="1:11">
      <c r="A331" s="463"/>
      <c r="B331" s="472"/>
      <c r="C331" s="472"/>
      <c r="D331" s="472"/>
      <c r="E331" s="472"/>
      <c r="F331" s="472"/>
      <c r="G331" s="472"/>
      <c r="H331" s="472"/>
      <c r="I331" s="472"/>
      <c r="J331" s="472"/>
      <c r="K331" s="471"/>
    </row>
    <row r="332" spans="1:11">
      <c r="A332" s="463"/>
      <c r="B332" s="610"/>
      <c r="C332" s="611"/>
      <c r="D332" s="611"/>
      <c r="E332" s="611"/>
      <c r="F332" s="612"/>
      <c r="G332" s="613" t="s">
        <v>363</v>
      </c>
      <c r="H332" s="515"/>
      <c r="I332" s="515"/>
      <c r="J332" s="518"/>
      <c r="K332" s="471"/>
    </row>
    <row r="333" spans="1:11">
      <c r="A333" s="463"/>
      <c r="B333" s="614"/>
      <c r="C333" s="615"/>
      <c r="D333" s="615"/>
      <c r="E333" s="615"/>
      <c r="F333" s="616"/>
      <c r="G333" s="1484" t="s">
        <v>964</v>
      </c>
      <c r="H333" s="1485"/>
      <c r="I333" s="1485"/>
      <c r="J333" s="1486"/>
      <c r="K333" s="471"/>
    </row>
    <row r="334" spans="1:11">
      <c r="A334" s="463"/>
      <c r="B334" s="617"/>
      <c r="C334" s="618"/>
      <c r="D334" s="618"/>
      <c r="E334" s="618"/>
      <c r="F334" s="619"/>
      <c r="G334" s="620"/>
      <c r="H334" s="1487"/>
      <c r="I334" s="1488"/>
      <c r="J334" s="1489"/>
      <c r="K334" s="471"/>
    </row>
    <row r="335" spans="1:11" ht="15" thickBot="1">
      <c r="A335" s="621"/>
      <c r="B335" s="622"/>
      <c r="C335" s="622"/>
      <c r="D335" s="622"/>
      <c r="E335" s="622"/>
      <c r="F335" s="622"/>
      <c r="G335" s="622"/>
      <c r="H335" s="622"/>
      <c r="I335" s="622"/>
      <c r="J335" s="622"/>
      <c r="K335" s="623"/>
    </row>
    <row r="336" spans="1:11">
      <c r="A336" s="460"/>
      <c r="B336" s="461"/>
      <c r="C336" s="461"/>
      <c r="D336" s="461"/>
      <c r="E336" s="461"/>
      <c r="F336" s="461"/>
      <c r="G336" s="461"/>
      <c r="H336" s="461"/>
      <c r="I336" s="461"/>
      <c r="J336" s="461"/>
      <c r="K336" s="462"/>
    </row>
    <row r="337" spans="1:11">
      <c r="A337" s="463"/>
      <c r="B337" s="464" t="s">
        <v>178</v>
      </c>
      <c r="C337" s="465"/>
      <c r="D337" s="466" t="s">
        <v>936</v>
      </c>
      <c r="E337" s="467"/>
      <c r="F337" s="468"/>
      <c r="G337" s="468"/>
      <c r="H337" s="469"/>
      <c r="I337" s="469"/>
      <c r="J337" s="470"/>
      <c r="K337" s="471"/>
    </row>
    <row r="338" spans="1:11">
      <c r="A338" s="463"/>
      <c r="B338" s="472"/>
      <c r="C338" s="472"/>
      <c r="D338" s="472"/>
      <c r="E338" s="472"/>
      <c r="F338" s="472"/>
      <c r="G338" s="472"/>
      <c r="H338" s="472"/>
      <c r="I338" s="472"/>
      <c r="J338" s="472"/>
      <c r="K338" s="471"/>
    </row>
    <row r="339" spans="1:11">
      <c r="A339" s="463"/>
      <c r="B339" s="473" t="s">
        <v>972</v>
      </c>
      <c r="C339" s="474" t="s">
        <v>937</v>
      </c>
      <c r="D339" s="1497" t="s">
        <v>250</v>
      </c>
      <c r="E339" s="1498"/>
      <c r="F339" s="1498"/>
      <c r="G339" s="1498"/>
      <c r="H339" s="1498"/>
      <c r="I339" s="1499"/>
      <c r="J339" s="475" t="s">
        <v>267</v>
      </c>
      <c r="K339" s="471"/>
    </row>
    <row r="340" spans="1:11" ht="33.75" customHeight="1">
      <c r="A340" s="463"/>
      <c r="B340" s="476">
        <v>5502163</v>
      </c>
      <c r="C340" s="477"/>
      <c r="D340" s="1721" t="s">
        <v>239</v>
      </c>
      <c r="E340" s="1722"/>
      <c r="F340" s="1722"/>
      <c r="G340" s="1722"/>
      <c r="H340" s="1722"/>
      <c r="I340" s="1723"/>
      <c r="J340" s="481" t="str">
        <f>F359</f>
        <v>m3</v>
      </c>
      <c r="K340" s="471"/>
    </row>
    <row r="341" spans="1:11">
      <c r="A341" s="463"/>
      <c r="B341" s="482"/>
      <c r="C341" s="482"/>
      <c r="D341" s="482"/>
      <c r="E341" s="482"/>
      <c r="F341" s="482"/>
      <c r="G341" s="482"/>
      <c r="H341" s="482"/>
      <c r="I341" s="483"/>
      <c r="J341" s="484"/>
      <c r="K341" s="471"/>
    </row>
    <row r="342" spans="1:11">
      <c r="A342" s="463"/>
      <c r="B342" s="1484" t="s">
        <v>938</v>
      </c>
      <c r="C342" s="1486"/>
      <c r="D342" s="1502" t="s">
        <v>688</v>
      </c>
      <c r="E342" s="1504" t="s">
        <v>939</v>
      </c>
      <c r="F342" s="485" t="s">
        <v>940</v>
      </c>
      <c r="G342" s="486"/>
      <c r="H342" s="485" t="s">
        <v>941</v>
      </c>
      <c r="I342" s="486"/>
      <c r="J342" s="487" t="s">
        <v>942</v>
      </c>
      <c r="K342" s="471"/>
    </row>
    <row r="343" spans="1:11">
      <c r="A343" s="463"/>
      <c r="B343" s="1500"/>
      <c r="C343" s="1501"/>
      <c r="D343" s="1503"/>
      <c r="E343" s="1505"/>
      <c r="F343" s="488" t="s">
        <v>943</v>
      </c>
      <c r="G343" s="488" t="s">
        <v>944</v>
      </c>
      <c r="H343" s="488" t="s">
        <v>943</v>
      </c>
      <c r="I343" s="489" t="s">
        <v>944</v>
      </c>
      <c r="J343" s="490" t="s">
        <v>945</v>
      </c>
      <c r="K343" s="471"/>
    </row>
    <row r="344" spans="1:11">
      <c r="A344" s="463"/>
      <c r="B344" s="499" t="s">
        <v>971</v>
      </c>
      <c r="C344" s="492"/>
      <c r="D344" s="493"/>
      <c r="E344" s="494">
        <v>1</v>
      </c>
      <c r="F344" s="494">
        <v>1</v>
      </c>
      <c r="G344" s="495">
        <f>1-F344</f>
        <v>0</v>
      </c>
      <c r="H344" s="503">
        <f>VLOOKUP(B344,EQUIPAMENTOS!$A:$J,10,FALSE)</f>
        <v>175</v>
      </c>
      <c r="I344" s="497">
        <f>H344</f>
        <v>175</v>
      </c>
      <c r="J344" s="498">
        <f>H344*F344*E344+I344*G344*E344</f>
        <v>175</v>
      </c>
      <c r="K344" s="471"/>
    </row>
    <row r="345" spans="1:11">
      <c r="A345" s="463"/>
      <c r="B345" s="499" t="s">
        <v>614</v>
      </c>
      <c r="C345" s="500"/>
      <c r="D345" s="501"/>
      <c r="E345" s="502">
        <v>4</v>
      </c>
      <c r="F345" s="502">
        <v>1</v>
      </c>
      <c r="G345" s="502">
        <f>1-F345</f>
        <v>0</v>
      </c>
      <c r="H345" s="503" t="e">
        <f>VLOOKUP(B345,EQUIPAMENTOS!$A:$J,10,FALSE)</f>
        <v>#N/A</v>
      </c>
      <c r="I345" s="504" t="e">
        <f>H345</f>
        <v>#N/A</v>
      </c>
      <c r="J345" s="505" t="e">
        <f>H345*F345*E345+I345*G345*E345</f>
        <v>#N/A</v>
      </c>
      <c r="K345" s="471"/>
    </row>
    <row r="346" spans="1:11">
      <c r="A346" s="463"/>
      <c r="B346" s="499"/>
      <c r="C346" s="500"/>
      <c r="D346" s="501"/>
      <c r="E346" s="502"/>
      <c r="F346" s="502"/>
      <c r="G346" s="502"/>
      <c r="H346" s="503"/>
      <c r="I346" s="504"/>
      <c r="J346" s="505">
        <f>H346*F346*E346+I346*G346*E346</f>
        <v>0</v>
      </c>
      <c r="K346" s="471"/>
    </row>
    <row r="347" spans="1:11">
      <c r="A347" s="463"/>
      <c r="B347" s="499"/>
      <c r="C347" s="500"/>
      <c r="D347" s="501"/>
      <c r="E347" s="502"/>
      <c r="F347" s="502"/>
      <c r="G347" s="502"/>
      <c r="H347" s="503"/>
      <c r="I347" s="504"/>
      <c r="J347" s="505">
        <f>H347*F347*E347+I347*G347*E347</f>
        <v>0</v>
      </c>
      <c r="K347" s="471"/>
    </row>
    <row r="348" spans="1:11">
      <c r="A348" s="463"/>
      <c r="B348" s="506"/>
      <c r="C348" s="507"/>
      <c r="D348" s="508"/>
      <c r="E348" s="509"/>
      <c r="F348" s="509"/>
      <c r="G348" s="509"/>
      <c r="H348" s="510"/>
      <c r="I348" s="511"/>
      <c r="J348" s="505">
        <f>H348*F348*E348+I348*G348*E348</f>
        <v>0</v>
      </c>
      <c r="K348" s="471"/>
    </row>
    <row r="349" spans="1:11">
      <c r="A349" s="463"/>
      <c r="B349" s="512" t="s">
        <v>946</v>
      </c>
      <c r="C349" s="482"/>
      <c r="D349" s="482"/>
      <c r="E349" s="482"/>
      <c r="F349" s="482"/>
      <c r="G349" s="482"/>
      <c r="H349" s="482"/>
      <c r="I349" s="513" t="s">
        <v>175</v>
      </c>
      <c r="J349" s="514" t="e">
        <f>SUM(J344:J348)</f>
        <v>#N/A</v>
      </c>
      <c r="K349" s="471"/>
    </row>
    <row r="350" spans="1:11">
      <c r="A350" s="463"/>
      <c r="B350" s="515"/>
      <c r="C350" s="515"/>
      <c r="D350" s="515"/>
      <c r="E350" s="515"/>
      <c r="F350" s="515"/>
      <c r="G350" s="515"/>
      <c r="H350" s="515"/>
      <c r="I350" s="516"/>
      <c r="J350" s="517"/>
      <c r="K350" s="471"/>
    </row>
    <row r="351" spans="1:11" ht="20.399999999999999">
      <c r="A351" s="463"/>
      <c r="B351" s="1490" t="s">
        <v>947</v>
      </c>
      <c r="C351" s="1491"/>
      <c r="D351" s="1491"/>
      <c r="E351" s="1492"/>
      <c r="F351" s="725" t="s">
        <v>688</v>
      </c>
      <c r="G351" s="519"/>
      <c r="H351" s="520" t="s">
        <v>427</v>
      </c>
      <c r="I351" s="521" t="s">
        <v>948</v>
      </c>
      <c r="J351" s="522" t="s">
        <v>949</v>
      </c>
      <c r="K351" s="471"/>
    </row>
    <row r="352" spans="1:11">
      <c r="A352" s="463"/>
      <c r="B352" s="523" t="s">
        <v>974</v>
      </c>
      <c r="C352" s="524"/>
      <c r="D352" s="525"/>
      <c r="E352" s="526"/>
      <c r="F352" s="527"/>
      <c r="G352" s="528"/>
      <c r="H352" s="529">
        <f>E344</f>
        <v>1</v>
      </c>
      <c r="I352" s="534">
        <f>(VLOOKUP(B352,'MÃO DE OBRA'!$A:$E,5,FALSE)/220)</f>
        <v>35.988199999999999</v>
      </c>
      <c r="J352" s="505">
        <f>H352*I352</f>
        <v>35.988199999999999</v>
      </c>
      <c r="K352" s="471"/>
    </row>
    <row r="353" spans="1:12">
      <c r="A353" s="463"/>
      <c r="B353" s="530" t="s">
        <v>950</v>
      </c>
      <c r="C353" s="531"/>
      <c r="D353" s="472"/>
      <c r="E353" s="500"/>
      <c r="F353" s="501"/>
      <c r="G353" s="532"/>
      <c r="H353" s="533">
        <f>E345</f>
        <v>4</v>
      </c>
      <c r="I353" s="534">
        <f>(VLOOKUP(B353,'MÃO DE OBRA'!$A:$E,5,FALSE)/220)</f>
        <v>26.714454545454547</v>
      </c>
      <c r="J353" s="505">
        <f>H353*I353</f>
        <v>106.85781818181819</v>
      </c>
      <c r="K353" s="471"/>
    </row>
    <row r="354" spans="1:12">
      <c r="A354" s="463"/>
      <c r="B354" s="530" t="s">
        <v>472</v>
      </c>
      <c r="C354" s="531"/>
      <c r="D354" s="472"/>
      <c r="E354" s="500"/>
      <c r="F354" s="501"/>
      <c r="G354" s="532"/>
      <c r="H354" s="533">
        <v>1</v>
      </c>
      <c r="I354" s="534">
        <f>(VLOOKUP(B354,'MÃO DE OBRA'!$A:$E,5,FALSE)/220)</f>
        <v>18.377072727272729</v>
      </c>
      <c r="J354" s="505">
        <f>H354*I354</f>
        <v>18.377072727272729</v>
      </c>
      <c r="K354" s="471"/>
    </row>
    <row r="355" spans="1:12">
      <c r="A355" s="463"/>
      <c r="B355" s="530"/>
      <c r="C355" s="531"/>
      <c r="D355" s="472"/>
      <c r="E355" s="500"/>
      <c r="F355" s="501"/>
      <c r="G355" s="532"/>
      <c r="H355" s="533"/>
      <c r="I355" s="504"/>
      <c r="J355" s="505"/>
      <c r="K355" s="471"/>
    </row>
    <row r="356" spans="1:12">
      <c r="A356" s="463"/>
      <c r="B356" s="530"/>
      <c r="C356" s="531"/>
      <c r="D356" s="472"/>
      <c r="E356" s="500"/>
      <c r="F356" s="501"/>
      <c r="G356" s="532"/>
      <c r="H356" s="533"/>
      <c r="I356" s="504"/>
      <c r="J356" s="505">
        <f>H356*I356</f>
        <v>0</v>
      </c>
      <c r="K356" s="471"/>
    </row>
    <row r="357" spans="1:12">
      <c r="A357" s="463"/>
      <c r="B357" s="512" t="s">
        <v>946</v>
      </c>
      <c r="C357" s="515"/>
      <c r="D357" s="515"/>
      <c r="E357" s="515"/>
      <c r="F357" s="515"/>
      <c r="G357" s="515"/>
      <c r="H357" s="515"/>
      <c r="I357" s="535" t="s">
        <v>175</v>
      </c>
      <c r="J357" s="514">
        <f>SUM(J352:J356)</f>
        <v>161.2230909090909</v>
      </c>
      <c r="K357" s="471"/>
    </row>
    <row r="358" spans="1:12">
      <c r="A358" s="463"/>
      <c r="B358" s="536"/>
      <c r="C358" s="536"/>
      <c r="D358" s="536"/>
      <c r="E358" s="536"/>
      <c r="F358" s="536"/>
      <c r="G358" s="536"/>
      <c r="H358" s="536"/>
      <c r="I358" s="537"/>
      <c r="J358" s="536"/>
      <c r="K358" s="471"/>
    </row>
    <row r="359" spans="1:12">
      <c r="A359" s="463"/>
      <c r="B359" s="538" t="s">
        <v>952</v>
      </c>
      <c r="C359" s="539"/>
      <c r="D359" s="536"/>
      <c r="E359" s="540">
        <v>160</v>
      </c>
      <c r="F359" s="541" t="s">
        <v>931</v>
      </c>
      <c r="G359" s="519"/>
      <c r="H359" s="519"/>
      <c r="I359" s="542" t="s">
        <v>953</v>
      </c>
      <c r="J359" s="514" t="e">
        <f>J349+J357</f>
        <v>#N/A</v>
      </c>
      <c r="K359" s="471"/>
    </row>
    <row r="360" spans="1:12">
      <c r="A360" s="463"/>
      <c r="B360" s="543"/>
      <c r="C360" s="536"/>
      <c r="D360" s="536"/>
      <c r="E360" s="544"/>
      <c r="F360" s="545"/>
      <c r="G360" s="545"/>
      <c r="H360" s="545"/>
      <c r="I360" s="537"/>
      <c r="J360" s="536"/>
      <c r="K360" s="471"/>
    </row>
    <row r="361" spans="1:12" ht="20.399999999999999">
      <c r="A361" s="463"/>
      <c r="B361" s="1493" t="s">
        <v>362</v>
      </c>
      <c r="C361" s="1494"/>
      <c r="D361" s="1494"/>
      <c r="E361" s="1495"/>
      <c r="F361" s="546" t="s">
        <v>688</v>
      </c>
      <c r="G361" s="547" t="s">
        <v>371</v>
      </c>
      <c r="H361" s="520" t="s">
        <v>942</v>
      </c>
      <c r="I361" s="548" t="s">
        <v>361</v>
      </c>
      <c r="J361" s="549" t="s">
        <v>363</v>
      </c>
      <c r="K361" s="471"/>
    </row>
    <row r="362" spans="1:12">
      <c r="A362" s="463"/>
      <c r="B362" s="550" t="str">
        <f>B344</f>
        <v>Escavadeira Hidráulica sobre esteira 22T</v>
      </c>
      <c r="C362" s="551"/>
      <c r="D362" s="551"/>
      <c r="E362" s="552"/>
      <c r="F362" s="553" t="str">
        <f>VLOOKUP(B362,EQUIPAMENTOS!$A:$N,12,FALSE)</f>
        <v>Diesel S10</v>
      </c>
      <c r="G362" s="554" t="s">
        <v>415</v>
      </c>
      <c r="H362" s="560">
        <f>VLOOKUP(B362,EQUIPAMENTOS!$A:$N,13,FALSE)</f>
        <v>0</v>
      </c>
      <c r="I362" s="556">
        <f>VLOOKUP(B362,EQUIPAMENTOS!$A:$N,14,FALSE)</f>
        <v>22</v>
      </c>
      <c r="J362" s="498">
        <f>H362*I362*E344*F344</f>
        <v>0</v>
      </c>
      <c r="K362" s="471"/>
    </row>
    <row r="363" spans="1:12">
      <c r="A363" s="463"/>
      <c r="B363" s="550" t="str">
        <f>B345</f>
        <v>Caçamba basculante com capacidade de 14 m³</v>
      </c>
      <c r="C363" s="531"/>
      <c r="D363" s="531"/>
      <c r="E363" s="500"/>
      <c r="F363" s="553" t="e">
        <f>VLOOKUP(B363,EQUIPAMENTOS!$A:$N,12,FALSE)</f>
        <v>#N/A</v>
      </c>
      <c r="G363" s="554" t="s">
        <v>415</v>
      </c>
      <c r="H363" s="560" t="e">
        <f>VLOOKUP(B363,EQUIPAMENTOS!$A:$N,13,FALSE)</f>
        <v>#N/A</v>
      </c>
      <c r="I363" s="556" t="e">
        <f>VLOOKUP(B363,EQUIPAMENTOS!$A:$N,14,FALSE)</f>
        <v>#N/A</v>
      </c>
      <c r="J363" s="505" t="e">
        <f>H363*I363*E345*F345</f>
        <v>#N/A</v>
      </c>
      <c r="K363" s="471"/>
    </row>
    <row r="364" spans="1:12">
      <c r="A364" s="463"/>
      <c r="B364" s="530"/>
      <c r="C364" s="531"/>
      <c r="D364" s="531"/>
      <c r="E364" s="500"/>
      <c r="F364" s="558"/>
      <c r="G364" s="559"/>
      <c r="H364" s="560"/>
      <c r="I364" s="556"/>
      <c r="J364" s="505">
        <f>H364*I364*E345</f>
        <v>0</v>
      </c>
      <c r="K364" s="471"/>
    </row>
    <row r="365" spans="1:12">
      <c r="A365" s="463"/>
      <c r="B365" s="530"/>
      <c r="C365" s="531"/>
      <c r="D365" s="531"/>
      <c r="E365" s="500"/>
      <c r="F365" s="501"/>
      <c r="G365" s="559"/>
      <c r="H365" s="560"/>
      <c r="I365" s="556"/>
      <c r="J365" s="505">
        <f>H365*I365*E346</f>
        <v>0</v>
      </c>
      <c r="K365" s="471"/>
    </row>
    <row r="366" spans="1:12">
      <c r="A366" s="463"/>
      <c r="B366" s="530"/>
      <c r="C366" s="539"/>
      <c r="D366" s="539"/>
      <c r="E366" s="507"/>
      <c r="F366" s="501"/>
      <c r="G366" s="481"/>
      <c r="H366" s="560"/>
      <c r="I366" s="561"/>
      <c r="J366" s="562">
        <f>H366*I366*E347</f>
        <v>0</v>
      </c>
      <c r="K366" s="471"/>
    </row>
    <row r="367" spans="1:12">
      <c r="A367" s="463"/>
      <c r="B367" s="563" t="s">
        <v>946</v>
      </c>
      <c r="C367" s="539"/>
      <c r="D367" s="539"/>
      <c r="E367" s="539"/>
      <c r="F367" s="536"/>
      <c r="G367" s="539"/>
      <c r="H367" s="564"/>
      <c r="I367" s="565" t="s">
        <v>175</v>
      </c>
      <c r="J367" s="514" t="e">
        <f>SUM(J362:J366)</f>
        <v>#N/A</v>
      </c>
      <c r="K367" s="471"/>
      <c r="L367" s="6" t="e">
        <f>J367/E359</f>
        <v>#N/A</v>
      </c>
    </row>
    <row r="368" spans="1:12">
      <c r="A368" s="463"/>
      <c r="B368" s="566"/>
      <c r="C368" s="539"/>
      <c r="D368" s="539"/>
      <c r="E368" s="567"/>
      <c r="F368" s="568"/>
      <c r="G368" s="519"/>
      <c r="H368" s="519"/>
      <c r="I368" s="542"/>
      <c r="J368" s="567"/>
      <c r="K368" s="471"/>
    </row>
    <row r="369" spans="1:11" ht="20.399999999999999">
      <c r="A369" s="463"/>
      <c r="B369" s="1493" t="s">
        <v>955</v>
      </c>
      <c r="C369" s="1494"/>
      <c r="D369" s="1494"/>
      <c r="E369" s="1494"/>
      <c r="F369" s="1495"/>
      <c r="G369" s="569" t="s">
        <v>372</v>
      </c>
      <c r="H369" s="519" t="s">
        <v>956</v>
      </c>
      <c r="I369" s="570" t="s">
        <v>942</v>
      </c>
      <c r="J369" s="522" t="s">
        <v>363</v>
      </c>
      <c r="K369" s="471"/>
    </row>
    <row r="370" spans="1:11">
      <c r="A370" s="463"/>
      <c r="B370" s="571"/>
      <c r="C370" s="572"/>
      <c r="D370" s="573"/>
      <c r="E370" s="573"/>
      <c r="F370" s="574"/>
      <c r="G370" s="502"/>
      <c r="H370" s="502"/>
      <c r="I370" s="575"/>
      <c r="J370" s="505"/>
      <c r="K370" s="471"/>
    </row>
    <row r="371" spans="1:11">
      <c r="A371" s="463"/>
      <c r="B371" s="576"/>
      <c r="C371" s="577"/>
      <c r="D371" s="578"/>
      <c r="E371" s="578"/>
      <c r="F371" s="579"/>
      <c r="G371" s="502"/>
      <c r="H371" s="502"/>
      <c r="I371" s="575"/>
      <c r="J371" s="505"/>
      <c r="K371" s="471"/>
    </row>
    <row r="372" spans="1:11">
      <c r="A372" s="463"/>
      <c r="B372" s="1496" t="s">
        <v>175</v>
      </c>
      <c r="C372" s="1496"/>
      <c r="D372" s="1496"/>
      <c r="E372" s="1496"/>
      <c r="F372" s="1496"/>
      <c r="G372" s="1496"/>
      <c r="H372" s="1496"/>
      <c r="I372" s="1496"/>
      <c r="J372" s="514">
        <f>SUM(J370:J371)</f>
        <v>0</v>
      </c>
      <c r="K372" s="471"/>
    </row>
    <row r="373" spans="1:11">
      <c r="A373" s="463"/>
      <c r="B373" s="580"/>
      <c r="C373" s="524"/>
      <c r="D373" s="524"/>
      <c r="E373" s="581"/>
      <c r="F373" s="582"/>
      <c r="G373" s="583"/>
      <c r="H373" s="583"/>
      <c r="I373" s="584"/>
      <c r="J373" s="585"/>
      <c r="K373" s="471"/>
    </row>
    <row r="374" spans="1:11">
      <c r="A374" s="463"/>
      <c r="B374" s="586" t="s">
        <v>957</v>
      </c>
      <c r="C374" s="586"/>
      <c r="D374" s="563"/>
      <c r="E374" s="536"/>
      <c r="F374" s="536"/>
      <c r="G374" s="536"/>
      <c r="H374" s="587"/>
      <c r="I374" s="588"/>
      <c r="J374" s="514" t="e">
        <f>(J359+J367+J372)/E359</f>
        <v>#N/A</v>
      </c>
      <c r="K374" s="471"/>
    </row>
    <row r="375" spans="1:11">
      <c r="A375" s="463"/>
      <c r="B375" s="566"/>
      <c r="C375" s="539"/>
      <c r="D375" s="539"/>
      <c r="E375" s="567"/>
      <c r="F375" s="568"/>
      <c r="G375" s="519"/>
      <c r="H375" s="519"/>
      <c r="I375" s="542"/>
      <c r="J375" s="589"/>
      <c r="K375" s="471"/>
    </row>
    <row r="376" spans="1:11" ht="20.399999999999999">
      <c r="A376" s="463"/>
      <c r="B376" s="1493" t="s">
        <v>958</v>
      </c>
      <c r="C376" s="1494"/>
      <c r="D376" s="1494"/>
      <c r="E376" s="1494"/>
      <c r="F376" s="1495"/>
      <c r="G376" s="569" t="s">
        <v>372</v>
      </c>
      <c r="H376" s="519" t="s">
        <v>956</v>
      </c>
      <c r="I376" s="570" t="s">
        <v>942</v>
      </c>
      <c r="J376" s="522" t="s">
        <v>363</v>
      </c>
      <c r="K376" s="471"/>
    </row>
    <row r="377" spans="1:11">
      <c r="A377" s="463"/>
      <c r="B377" s="571"/>
      <c r="C377" s="572"/>
      <c r="D377" s="573"/>
      <c r="E377" s="573"/>
      <c r="F377" s="574"/>
      <c r="G377" s="502"/>
      <c r="H377" s="502"/>
      <c r="I377" s="575"/>
      <c r="J377" s="505">
        <f>G377*I377</f>
        <v>0</v>
      </c>
      <c r="K377" s="471"/>
    </row>
    <row r="378" spans="1:11">
      <c r="A378" s="463"/>
      <c r="B378" s="576"/>
      <c r="C378" s="577"/>
      <c r="D378" s="578"/>
      <c r="E378" s="578"/>
      <c r="F378" s="579"/>
      <c r="G378" s="502"/>
      <c r="H378" s="502"/>
      <c r="I378" s="575"/>
      <c r="J378" s="505">
        <f>G378*I378</f>
        <v>0</v>
      </c>
      <c r="K378" s="471"/>
    </row>
    <row r="379" spans="1:11">
      <c r="A379" s="463"/>
      <c r="B379" s="576"/>
      <c r="C379" s="577"/>
      <c r="D379" s="578"/>
      <c r="E379" s="578"/>
      <c r="F379" s="579"/>
      <c r="G379" s="502"/>
      <c r="H379" s="502"/>
      <c r="I379" s="575"/>
      <c r="J379" s="505">
        <f>G379*I379</f>
        <v>0</v>
      </c>
      <c r="K379" s="471"/>
    </row>
    <row r="380" spans="1:11">
      <c r="A380" s="463"/>
      <c r="B380" s="590"/>
      <c r="C380" s="591"/>
      <c r="D380" s="592"/>
      <c r="E380" s="592"/>
      <c r="F380" s="593"/>
      <c r="G380" s="502"/>
      <c r="H380" s="502"/>
      <c r="I380" s="575"/>
      <c r="J380" s="505">
        <f>G380*I380</f>
        <v>0</v>
      </c>
      <c r="K380" s="471"/>
    </row>
    <row r="381" spans="1:11">
      <c r="A381" s="463"/>
      <c r="B381" s="594"/>
      <c r="C381" s="536"/>
      <c r="D381" s="536"/>
      <c r="E381" s="595"/>
      <c r="F381" s="596"/>
      <c r="G381" s="545"/>
      <c r="H381" s="545"/>
      <c r="I381" s="537" t="s">
        <v>175</v>
      </c>
      <c r="J381" s="514">
        <f>SUM(J377:J380)</f>
        <v>0</v>
      </c>
      <c r="K381" s="471"/>
    </row>
    <row r="382" spans="1:11">
      <c r="A382" s="463"/>
      <c r="B382" s="597"/>
      <c r="C382" s="536"/>
      <c r="D382" s="536"/>
      <c r="E382" s="595"/>
      <c r="F382" s="596"/>
      <c r="G382" s="545"/>
      <c r="H382" s="545"/>
      <c r="I382" s="537"/>
      <c r="J382" s="595"/>
      <c r="K382" s="471"/>
    </row>
    <row r="383" spans="1:11" ht="20.399999999999999">
      <c r="A383" s="463"/>
      <c r="B383" s="598" t="s">
        <v>959</v>
      </c>
      <c r="C383" s="598"/>
      <c r="D383" s="598"/>
      <c r="E383" s="599"/>
      <c r="F383" s="600" t="s">
        <v>372</v>
      </c>
      <c r="G383" s="569" t="s">
        <v>960</v>
      </c>
      <c r="H383" s="519" t="s">
        <v>942</v>
      </c>
      <c r="I383" s="570" t="s">
        <v>361</v>
      </c>
      <c r="J383" s="522" t="s">
        <v>363</v>
      </c>
      <c r="K383" s="471"/>
    </row>
    <row r="384" spans="1:11">
      <c r="A384" s="463"/>
      <c r="B384" s="571"/>
      <c r="C384" s="572"/>
      <c r="D384" s="573"/>
      <c r="E384" s="574"/>
      <c r="F384" s="502"/>
      <c r="G384" s="502"/>
      <c r="H384" s="624"/>
      <c r="I384" s="575"/>
      <c r="J384" s="505"/>
      <c r="K384" s="471"/>
    </row>
    <row r="385" spans="1:11">
      <c r="A385" s="463"/>
      <c r="B385" s="576" t="s">
        <v>946</v>
      </c>
      <c r="C385" s="577"/>
      <c r="D385" s="578"/>
      <c r="E385" s="579" t="s">
        <v>946</v>
      </c>
      <c r="F385" s="502">
        <v>0</v>
      </c>
      <c r="G385" s="502">
        <v>0</v>
      </c>
      <c r="H385" s="502">
        <v>0</v>
      </c>
      <c r="I385" s="575">
        <v>0</v>
      </c>
      <c r="J385" s="505">
        <f>I385*H385*G385*F385</f>
        <v>0</v>
      </c>
      <c r="K385" s="471"/>
    </row>
    <row r="386" spans="1:11">
      <c r="A386" s="463"/>
      <c r="B386" s="590" t="s">
        <v>946</v>
      </c>
      <c r="C386" s="591"/>
      <c r="D386" s="592"/>
      <c r="E386" s="593" t="s">
        <v>946</v>
      </c>
      <c r="F386" s="509">
        <v>0</v>
      </c>
      <c r="G386" s="509">
        <v>0</v>
      </c>
      <c r="H386" s="509">
        <v>0</v>
      </c>
      <c r="I386" s="601">
        <v>0</v>
      </c>
      <c r="J386" s="505">
        <f>I386*H386*G386*F386</f>
        <v>0</v>
      </c>
      <c r="K386" s="471"/>
    </row>
    <row r="387" spans="1:11">
      <c r="A387" s="463"/>
      <c r="B387" s="594"/>
      <c r="C387" s="536"/>
      <c r="D387" s="536"/>
      <c r="E387" s="595"/>
      <c r="F387" s="596"/>
      <c r="G387" s="545"/>
      <c r="H387" s="545"/>
      <c r="I387" s="537" t="s">
        <v>175</v>
      </c>
      <c r="J387" s="514">
        <f>SUM(J384:J386)</f>
        <v>0</v>
      </c>
      <c r="K387" s="471"/>
    </row>
    <row r="388" spans="1:11">
      <c r="A388" s="463"/>
      <c r="B388" s="536"/>
      <c r="C388" s="536"/>
      <c r="D388" s="536"/>
      <c r="E388" s="536"/>
      <c r="F388" s="536"/>
      <c r="G388" s="536"/>
      <c r="H388" s="536"/>
      <c r="I388" s="537"/>
      <c r="J388" s="536"/>
      <c r="K388" s="471"/>
    </row>
    <row r="389" spans="1:11">
      <c r="A389" s="463"/>
      <c r="B389" s="1481" t="s">
        <v>961</v>
      </c>
      <c r="C389" s="1482"/>
      <c r="D389" s="1482"/>
      <c r="E389" s="1482"/>
      <c r="F389" s="1482"/>
      <c r="G389" s="1482"/>
      <c r="H389" s="1482"/>
      <c r="I389" s="1483"/>
      <c r="J389" s="586" t="e">
        <f>J387+J381+J374</f>
        <v>#N/A</v>
      </c>
      <c r="K389" s="471"/>
    </row>
    <row r="390" spans="1:11">
      <c r="A390" s="463"/>
      <c r="B390" s="536"/>
      <c r="C390" s="536"/>
      <c r="D390" s="536"/>
      <c r="E390" s="536"/>
      <c r="F390" s="536"/>
      <c r="G390" s="536"/>
      <c r="H390" s="536"/>
      <c r="I390" s="537"/>
      <c r="J390" s="536"/>
      <c r="K390" s="471"/>
    </row>
    <row r="391" spans="1:11">
      <c r="A391" s="463"/>
      <c r="B391" s="1481" t="s">
        <v>962</v>
      </c>
      <c r="C391" s="1482"/>
      <c r="D391" s="1482"/>
      <c r="E391" s="1482"/>
      <c r="F391" s="1482"/>
      <c r="G391" s="1482"/>
      <c r="H391" s="1482"/>
      <c r="I391" s="1483"/>
      <c r="J391" s="514" t="e">
        <f>J389*0</f>
        <v>#N/A</v>
      </c>
      <c r="K391" s="471"/>
    </row>
    <row r="392" spans="1:11">
      <c r="A392" s="463"/>
      <c r="B392" s="536"/>
      <c r="C392" s="536"/>
      <c r="D392" s="536"/>
      <c r="E392" s="536"/>
      <c r="F392" s="536"/>
      <c r="G392" s="536"/>
      <c r="H392" s="536"/>
      <c r="I392" s="537"/>
      <c r="J392" s="536"/>
      <c r="K392" s="471"/>
    </row>
    <row r="393" spans="1:11">
      <c r="A393" s="463"/>
      <c r="B393" s="1481" t="s">
        <v>963</v>
      </c>
      <c r="C393" s="1482"/>
      <c r="D393" s="1482"/>
      <c r="E393" s="1482"/>
      <c r="F393" s="1482"/>
      <c r="G393" s="1482"/>
      <c r="H393" s="1482"/>
      <c r="I393" s="1483"/>
      <c r="J393" s="586" t="e">
        <f>J389+J391</f>
        <v>#N/A</v>
      </c>
      <c r="K393" s="471"/>
    </row>
    <row r="394" spans="1:11">
      <c r="A394" s="463"/>
      <c r="B394" s="524"/>
      <c r="C394" s="524"/>
      <c r="D394" s="524"/>
      <c r="E394" s="524"/>
      <c r="F394" s="524"/>
      <c r="G394" s="524"/>
      <c r="H394" s="524"/>
      <c r="I394" s="584"/>
      <c r="J394" s="524"/>
      <c r="K394" s="471"/>
    </row>
    <row r="395" spans="1:11">
      <c r="A395" s="463"/>
      <c r="B395" s="602"/>
      <c r="C395" s="572"/>
      <c r="D395" s="572"/>
      <c r="E395" s="572"/>
      <c r="F395" s="572"/>
      <c r="G395" s="572"/>
      <c r="H395" s="572"/>
      <c r="I395" s="572"/>
      <c r="J395" s="603"/>
      <c r="K395" s="471"/>
    </row>
    <row r="396" spans="1:11">
      <c r="A396" s="463"/>
      <c r="B396" s="604"/>
      <c r="C396" s="605"/>
      <c r="D396" s="606"/>
      <c r="E396" s="606"/>
      <c r="F396" s="607" t="s">
        <v>946</v>
      </c>
      <c r="G396" s="608" t="s">
        <v>946</v>
      </c>
      <c r="H396" s="605"/>
      <c r="I396" s="605"/>
      <c r="J396" s="609"/>
      <c r="K396" s="471"/>
    </row>
    <row r="397" spans="1:11">
      <c r="A397" s="463"/>
      <c r="B397" s="472"/>
      <c r="C397" s="472"/>
      <c r="D397" s="472"/>
      <c r="E397" s="472"/>
      <c r="F397" s="472"/>
      <c r="G397" s="472"/>
      <c r="H397" s="472"/>
      <c r="I397" s="472"/>
      <c r="J397" s="472"/>
      <c r="K397" s="471"/>
    </row>
    <row r="398" spans="1:11">
      <c r="A398" s="463"/>
      <c r="B398" s="610"/>
      <c r="C398" s="611"/>
      <c r="D398" s="611"/>
      <c r="E398" s="611"/>
      <c r="F398" s="612"/>
      <c r="G398" s="613" t="s">
        <v>363</v>
      </c>
      <c r="H398" s="515"/>
      <c r="I398" s="515"/>
      <c r="J398" s="518"/>
      <c r="K398" s="471"/>
    </row>
    <row r="399" spans="1:11">
      <c r="A399" s="463"/>
      <c r="B399" s="614"/>
      <c r="C399" s="615"/>
      <c r="D399" s="615"/>
      <c r="E399" s="615"/>
      <c r="F399" s="616"/>
      <c r="G399" s="1484" t="s">
        <v>964</v>
      </c>
      <c r="H399" s="1485"/>
      <c r="I399" s="1485"/>
      <c r="J399" s="1486"/>
      <c r="K399" s="471"/>
    </row>
    <row r="400" spans="1:11">
      <c r="A400" s="463"/>
      <c r="B400" s="617"/>
      <c r="C400" s="618"/>
      <c r="D400" s="618"/>
      <c r="E400" s="618"/>
      <c r="F400" s="619"/>
      <c r="G400" s="620"/>
      <c r="H400" s="1487"/>
      <c r="I400" s="1488"/>
      <c r="J400" s="1489"/>
      <c r="K400" s="471"/>
    </row>
    <row r="401" spans="1:11" ht="15" thickBot="1">
      <c r="A401" s="621"/>
      <c r="B401" s="622"/>
      <c r="C401" s="622"/>
      <c r="D401" s="622"/>
      <c r="E401" s="622"/>
      <c r="F401" s="622"/>
      <c r="G401" s="622"/>
      <c r="H401" s="622"/>
      <c r="I401" s="622"/>
      <c r="J401" s="622"/>
      <c r="K401" s="623"/>
    </row>
    <row r="402" spans="1:11">
      <c r="A402" s="460"/>
      <c r="B402" s="461"/>
      <c r="C402" s="461"/>
      <c r="D402" s="461"/>
      <c r="E402" s="461"/>
      <c r="F402" s="461"/>
      <c r="G402" s="461"/>
      <c r="H402" s="461"/>
      <c r="I402" s="461"/>
      <c r="J402" s="461"/>
      <c r="K402" s="462"/>
    </row>
    <row r="403" spans="1:11">
      <c r="A403" s="463"/>
      <c r="B403" s="464" t="s">
        <v>178</v>
      </c>
      <c r="C403" s="465"/>
      <c r="D403" s="466" t="s">
        <v>936</v>
      </c>
      <c r="E403" s="467"/>
      <c r="F403" s="468"/>
      <c r="G403" s="468"/>
      <c r="H403" s="469"/>
      <c r="I403" s="469"/>
      <c r="J403" s="470"/>
      <c r="K403" s="471"/>
    </row>
    <row r="404" spans="1:11">
      <c r="A404" s="463"/>
      <c r="B404" s="472"/>
      <c r="C404" s="472"/>
      <c r="D404" s="472"/>
      <c r="E404" s="472"/>
      <c r="F404" s="472"/>
      <c r="G404" s="472"/>
      <c r="H404" s="472"/>
      <c r="I404" s="472"/>
      <c r="J404" s="472"/>
      <c r="K404" s="471"/>
    </row>
    <row r="405" spans="1:11">
      <c r="A405" s="463"/>
      <c r="B405" s="473" t="s">
        <v>972</v>
      </c>
      <c r="C405" s="474" t="s">
        <v>937</v>
      </c>
      <c r="D405" s="1497" t="s">
        <v>250</v>
      </c>
      <c r="E405" s="1498"/>
      <c r="F405" s="1498"/>
      <c r="G405" s="1498"/>
      <c r="H405" s="1498"/>
      <c r="I405" s="1499"/>
      <c r="J405" s="475" t="s">
        <v>267</v>
      </c>
      <c r="K405" s="471"/>
    </row>
    <row r="406" spans="1:11" ht="30.6">
      <c r="A406" s="463"/>
      <c r="B406" s="476">
        <v>5502169</v>
      </c>
      <c r="C406" s="477"/>
      <c r="D406" s="681" t="s">
        <v>240</v>
      </c>
      <c r="E406" s="479"/>
      <c r="F406" s="479"/>
      <c r="G406" s="479"/>
      <c r="H406" s="479"/>
      <c r="I406" s="480"/>
      <c r="J406" s="481" t="str">
        <f>F425</f>
        <v>m3</v>
      </c>
      <c r="K406" s="471"/>
    </row>
    <row r="407" spans="1:11">
      <c r="A407" s="463"/>
      <c r="B407" s="482"/>
      <c r="C407" s="482"/>
      <c r="D407" s="482"/>
      <c r="E407" s="482"/>
      <c r="F407" s="482"/>
      <c r="G407" s="482"/>
      <c r="H407" s="482"/>
      <c r="I407" s="483"/>
      <c r="J407" s="484"/>
      <c r="K407" s="471"/>
    </row>
    <row r="408" spans="1:11">
      <c r="A408" s="463"/>
      <c r="B408" s="1484" t="s">
        <v>938</v>
      </c>
      <c r="C408" s="1486"/>
      <c r="D408" s="1502" t="s">
        <v>688</v>
      </c>
      <c r="E408" s="1504" t="s">
        <v>939</v>
      </c>
      <c r="F408" s="485" t="s">
        <v>940</v>
      </c>
      <c r="G408" s="486"/>
      <c r="H408" s="485" t="s">
        <v>941</v>
      </c>
      <c r="I408" s="486"/>
      <c r="J408" s="487" t="s">
        <v>942</v>
      </c>
      <c r="K408" s="471"/>
    </row>
    <row r="409" spans="1:11">
      <c r="A409" s="463"/>
      <c r="B409" s="1500"/>
      <c r="C409" s="1501"/>
      <c r="D409" s="1503"/>
      <c r="E409" s="1505"/>
      <c r="F409" s="488" t="s">
        <v>943</v>
      </c>
      <c r="G409" s="488" t="s">
        <v>944</v>
      </c>
      <c r="H409" s="488" t="s">
        <v>943</v>
      </c>
      <c r="I409" s="489" t="s">
        <v>944</v>
      </c>
      <c r="J409" s="490" t="s">
        <v>945</v>
      </c>
      <c r="K409" s="471"/>
    </row>
    <row r="410" spans="1:11">
      <c r="A410" s="463"/>
      <c r="B410" s="499" t="s">
        <v>971</v>
      </c>
      <c r="C410" s="492"/>
      <c r="D410" s="493"/>
      <c r="E410" s="494">
        <v>1</v>
      </c>
      <c r="F410" s="494">
        <v>1</v>
      </c>
      <c r="G410" s="495">
        <f>1-F410</f>
        <v>0</v>
      </c>
      <c r="H410" s="503">
        <f>VLOOKUP(B410,EQUIPAMENTOS!$A:$J,10,FALSE)</f>
        <v>175</v>
      </c>
      <c r="I410" s="497">
        <f>H410</f>
        <v>175</v>
      </c>
      <c r="J410" s="498">
        <f>H410*F410*E410+I410*G410*E410</f>
        <v>175</v>
      </c>
      <c r="K410" s="471"/>
    </row>
    <row r="411" spans="1:11">
      <c r="A411" s="463"/>
      <c r="B411" s="499" t="s">
        <v>614</v>
      </c>
      <c r="C411" s="500"/>
      <c r="D411" s="501"/>
      <c r="E411" s="502">
        <v>5</v>
      </c>
      <c r="F411" s="502">
        <v>1</v>
      </c>
      <c r="G411" s="502">
        <f>1-F411</f>
        <v>0</v>
      </c>
      <c r="H411" s="503" t="e">
        <f>VLOOKUP(B411,EQUIPAMENTOS!$A:$J,10,FALSE)</f>
        <v>#N/A</v>
      </c>
      <c r="I411" s="504" t="e">
        <f>H411</f>
        <v>#N/A</v>
      </c>
      <c r="J411" s="505" t="e">
        <f>H411*F411*E411+I411*G411*E411</f>
        <v>#N/A</v>
      </c>
      <c r="K411" s="471"/>
    </row>
    <row r="412" spans="1:11">
      <c r="A412" s="463"/>
      <c r="B412" s="499"/>
      <c r="C412" s="500"/>
      <c r="D412" s="501"/>
      <c r="E412" s="502"/>
      <c r="F412" s="502"/>
      <c r="G412" s="502"/>
      <c r="H412" s="503"/>
      <c r="I412" s="504"/>
      <c r="J412" s="505">
        <f>H412*F412*E412+I412*G412*E412</f>
        <v>0</v>
      </c>
      <c r="K412" s="471"/>
    </row>
    <row r="413" spans="1:11">
      <c r="A413" s="463"/>
      <c r="B413" s="499"/>
      <c r="C413" s="500"/>
      <c r="D413" s="501"/>
      <c r="E413" s="502"/>
      <c r="F413" s="502"/>
      <c r="G413" s="502"/>
      <c r="H413" s="503"/>
      <c r="I413" s="504"/>
      <c r="J413" s="505">
        <f>H413*F413*E413+I413*G413*E413</f>
        <v>0</v>
      </c>
      <c r="K413" s="471"/>
    </row>
    <row r="414" spans="1:11">
      <c r="A414" s="463"/>
      <c r="B414" s="506"/>
      <c r="C414" s="507"/>
      <c r="D414" s="508"/>
      <c r="E414" s="509"/>
      <c r="F414" s="509"/>
      <c r="G414" s="509"/>
      <c r="H414" s="510"/>
      <c r="I414" s="511"/>
      <c r="J414" s="505">
        <f>H414*F414*E414+I414*G414*E414</f>
        <v>0</v>
      </c>
      <c r="K414" s="471"/>
    </row>
    <row r="415" spans="1:11">
      <c r="A415" s="463"/>
      <c r="B415" s="512" t="s">
        <v>946</v>
      </c>
      <c r="C415" s="482"/>
      <c r="D415" s="482"/>
      <c r="E415" s="482"/>
      <c r="F415" s="482"/>
      <c r="G415" s="482"/>
      <c r="H415" s="482"/>
      <c r="I415" s="513" t="s">
        <v>175</v>
      </c>
      <c r="J415" s="514" t="e">
        <f>SUM(J410:J414)</f>
        <v>#N/A</v>
      </c>
      <c r="K415" s="471"/>
    </row>
    <row r="416" spans="1:11">
      <c r="A416" s="463"/>
      <c r="B416" s="515"/>
      <c r="C416" s="515"/>
      <c r="D416" s="515"/>
      <c r="E416" s="515"/>
      <c r="F416" s="515"/>
      <c r="G416" s="515"/>
      <c r="H416" s="515"/>
      <c r="I416" s="516"/>
      <c r="J416" s="517"/>
      <c r="K416" s="471"/>
    </row>
    <row r="417" spans="1:11" ht="20.399999999999999">
      <c r="A417" s="463"/>
      <c r="B417" s="1490" t="s">
        <v>947</v>
      </c>
      <c r="C417" s="1491"/>
      <c r="D417" s="1491"/>
      <c r="E417" s="1492"/>
      <c r="F417" s="725" t="s">
        <v>688</v>
      </c>
      <c r="G417" s="519"/>
      <c r="H417" s="520" t="s">
        <v>427</v>
      </c>
      <c r="I417" s="521" t="s">
        <v>948</v>
      </c>
      <c r="J417" s="522" t="s">
        <v>949</v>
      </c>
      <c r="K417" s="471"/>
    </row>
    <row r="418" spans="1:11">
      <c r="A418" s="463"/>
      <c r="B418" s="523" t="s">
        <v>974</v>
      </c>
      <c r="C418" s="524"/>
      <c r="D418" s="525"/>
      <c r="E418" s="526"/>
      <c r="F418" s="527"/>
      <c r="G418" s="528"/>
      <c r="H418" s="529">
        <f>E410</f>
        <v>1</v>
      </c>
      <c r="I418" s="534">
        <f>(VLOOKUP(B418,'MÃO DE OBRA'!$A:$E,5,FALSE)/220)</f>
        <v>35.988199999999999</v>
      </c>
      <c r="J418" s="505">
        <f>H418*I418</f>
        <v>35.988199999999999</v>
      </c>
      <c r="K418" s="471"/>
    </row>
    <row r="419" spans="1:11">
      <c r="A419" s="463"/>
      <c r="B419" s="530" t="s">
        <v>950</v>
      </c>
      <c r="C419" s="531"/>
      <c r="D419" s="472"/>
      <c r="E419" s="500"/>
      <c r="F419" s="501"/>
      <c r="G419" s="532"/>
      <c r="H419" s="533">
        <f>E411</f>
        <v>5</v>
      </c>
      <c r="I419" s="534">
        <f>(VLOOKUP(B419,'MÃO DE OBRA'!$A:$E,5,FALSE)/220)</f>
        <v>26.714454545454547</v>
      </c>
      <c r="J419" s="505">
        <f>H419*I419</f>
        <v>133.57227272727275</v>
      </c>
      <c r="K419" s="471"/>
    </row>
    <row r="420" spans="1:11">
      <c r="A420" s="463"/>
      <c r="B420" s="530" t="s">
        <v>472</v>
      </c>
      <c r="C420" s="531"/>
      <c r="D420" s="472"/>
      <c r="E420" s="500"/>
      <c r="F420" s="501"/>
      <c r="G420" s="532"/>
      <c r="H420" s="533">
        <v>1</v>
      </c>
      <c r="I420" s="534">
        <f>(VLOOKUP(B420,'MÃO DE OBRA'!$A:$E,5,FALSE)/220)</f>
        <v>18.377072727272729</v>
      </c>
      <c r="J420" s="505">
        <f>H420*I420</f>
        <v>18.377072727272729</v>
      </c>
      <c r="K420" s="471"/>
    </row>
    <row r="421" spans="1:11">
      <c r="A421" s="463"/>
      <c r="B421" s="530"/>
      <c r="C421" s="531"/>
      <c r="D421" s="472"/>
      <c r="E421" s="500"/>
      <c r="F421" s="501"/>
      <c r="G421" s="532"/>
      <c r="H421" s="533"/>
      <c r="I421" s="504"/>
      <c r="J421" s="505"/>
      <c r="K421" s="471"/>
    </row>
    <row r="422" spans="1:11">
      <c r="A422" s="463"/>
      <c r="B422" s="530"/>
      <c r="C422" s="531"/>
      <c r="D422" s="472"/>
      <c r="E422" s="500"/>
      <c r="F422" s="501"/>
      <c r="G422" s="532"/>
      <c r="H422" s="533"/>
      <c r="I422" s="504"/>
      <c r="J422" s="505">
        <f>H422*I422</f>
        <v>0</v>
      </c>
      <c r="K422" s="471"/>
    </row>
    <row r="423" spans="1:11">
      <c r="A423" s="463"/>
      <c r="B423" s="512" t="s">
        <v>946</v>
      </c>
      <c r="C423" s="515"/>
      <c r="D423" s="515"/>
      <c r="E423" s="515"/>
      <c r="F423" s="515"/>
      <c r="G423" s="515"/>
      <c r="H423" s="515"/>
      <c r="I423" s="535" t="s">
        <v>175</v>
      </c>
      <c r="J423" s="514">
        <f>SUM(J418:J422)</f>
        <v>187.93754545454547</v>
      </c>
      <c r="K423" s="471"/>
    </row>
    <row r="424" spans="1:11">
      <c r="A424" s="463"/>
      <c r="B424" s="536"/>
      <c r="C424" s="536"/>
      <c r="D424" s="536"/>
      <c r="E424" s="536"/>
      <c r="F424" s="536"/>
      <c r="G424" s="536"/>
      <c r="H424" s="536"/>
      <c r="I424" s="537"/>
      <c r="J424" s="536"/>
      <c r="K424" s="471"/>
    </row>
    <row r="425" spans="1:11">
      <c r="A425" s="463"/>
      <c r="B425" s="538" t="s">
        <v>952</v>
      </c>
      <c r="C425" s="539"/>
      <c r="D425" s="536"/>
      <c r="E425" s="540">
        <v>160</v>
      </c>
      <c r="F425" s="541" t="s">
        <v>931</v>
      </c>
      <c r="G425" s="519"/>
      <c r="H425" s="519"/>
      <c r="I425" s="542" t="s">
        <v>953</v>
      </c>
      <c r="J425" s="514" t="e">
        <f>J415+J423</f>
        <v>#N/A</v>
      </c>
      <c r="K425" s="471"/>
    </row>
    <row r="426" spans="1:11">
      <c r="A426" s="463"/>
      <c r="B426" s="543"/>
      <c r="C426" s="536"/>
      <c r="D426" s="536"/>
      <c r="E426" s="544"/>
      <c r="F426" s="545"/>
      <c r="G426" s="545"/>
      <c r="H426" s="545"/>
      <c r="I426" s="537"/>
      <c r="J426" s="536"/>
      <c r="K426" s="471"/>
    </row>
    <row r="427" spans="1:11" ht="20.399999999999999">
      <c r="A427" s="463"/>
      <c r="B427" s="1493" t="s">
        <v>362</v>
      </c>
      <c r="C427" s="1494"/>
      <c r="D427" s="1494"/>
      <c r="E427" s="1495"/>
      <c r="F427" s="546" t="s">
        <v>688</v>
      </c>
      <c r="G427" s="547" t="s">
        <v>371</v>
      </c>
      <c r="H427" s="520" t="s">
        <v>942</v>
      </c>
      <c r="I427" s="548" t="s">
        <v>361</v>
      </c>
      <c r="J427" s="549" t="s">
        <v>363</v>
      </c>
      <c r="K427" s="471"/>
    </row>
    <row r="428" spans="1:11">
      <c r="A428" s="463"/>
      <c r="B428" s="550" t="str">
        <f>B410</f>
        <v>Escavadeira Hidráulica sobre esteira 22T</v>
      </c>
      <c r="C428" s="551"/>
      <c r="D428" s="551"/>
      <c r="E428" s="552"/>
      <c r="F428" s="553" t="str">
        <f>VLOOKUP(B428,EQUIPAMENTOS!$A:$N,12,FALSE)</f>
        <v>Diesel S10</v>
      </c>
      <c r="G428" s="554" t="s">
        <v>415</v>
      </c>
      <c r="H428" s="560">
        <f>VLOOKUP(B428,EQUIPAMENTOS!$A:$N,13,FALSE)</f>
        <v>0</v>
      </c>
      <c r="I428" s="556">
        <f>VLOOKUP(B428,EQUIPAMENTOS!$A:$N,14,FALSE)</f>
        <v>22</v>
      </c>
      <c r="J428" s="498">
        <f>H428*I428*E410*F410</f>
        <v>0</v>
      </c>
      <c r="K428" s="471"/>
    </row>
    <row r="429" spans="1:11">
      <c r="A429" s="463"/>
      <c r="B429" s="550" t="str">
        <f>B411</f>
        <v>Caçamba basculante com capacidade de 14 m³</v>
      </c>
      <c r="C429" s="531"/>
      <c r="D429" s="531"/>
      <c r="E429" s="500"/>
      <c r="F429" s="553" t="e">
        <f>VLOOKUP(B429,EQUIPAMENTOS!$A:$N,12,FALSE)</f>
        <v>#N/A</v>
      </c>
      <c r="G429" s="554" t="s">
        <v>415</v>
      </c>
      <c r="H429" s="560" t="e">
        <f>VLOOKUP(B429,EQUIPAMENTOS!$A:$N,13,FALSE)</f>
        <v>#N/A</v>
      </c>
      <c r="I429" s="556" t="e">
        <f>VLOOKUP(B429,EQUIPAMENTOS!$A:$N,14,FALSE)</f>
        <v>#N/A</v>
      </c>
      <c r="J429" s="505" t="e">
        <f>H429*I429*E411*F411</f>
        <v>#N/A</v>
      </c>
      <c r="K429" s="471"/>
    </row>
    <row r="430" spans="1:11">
      <c r="A430" s="463"/>
      <c r="B430" s="530"/>
      <c r="C430" s="531"/>
      <c r="D430" s="531"/>
      <c r="E430" s="500"/>
      <c r="F430" s="558"/>
      <c r="G430" s="559"/>
      <c r="H430" s="560"/>
      <c r="I430" s="556"/>
      <c r="J430" s="505">
        <f>H430*I430*E411</f>
        <v>0</v>
      </c>
      <c r="K430" s="471"/>
    </row>
    <row r="431" spans="1:11">
      <c r="A431" s="463"/>
      <c r="B431" s="530"/>
      <c r="C431" s="531"/>
      <c r="D431" s="531"/>
      <c r="E431" s="500"/>
      <c r="F431" s="501"/>
      <c r="G431" s="559"/>
      <c r="H431" s="560"/>
      <c r="I431" s="556"/>
      <c r="J431" s="505">
        <f>H431*I431*E412</f>
        <v>0</v>
      </c>
      <c r="K431" s="471"/>
    </row>
    <row r="432" spans="1:11">
      <c r="A432" s="463"/>
      <c r="B432" s="530"/>
      <c r="C432" s="539"/>
      <c r="D432" s="539"/>
      <c r="E432" s="507"/>
      <c r="F432" s="501"/>
      <c r="G432" s="481"/>
      <c r="H432" s="560"/>
      <c r="I432" s="561"/>
      <c r="J432" s="562">
        <f>H432*I432*E413</f>
        <v>0</v>
      </c>
      <c r="K432" s="471"/>
    </row>
    <row r="433" spans="1:12">
      <c r="A433" s="463"/>
      <c r="B433" s="563" t="s">
        <v>946</v>
      </c>
      <c r="C433" s="539"/>
      <c r="D433" s="539"/>
      <c r="E433" s="539"/>
      <c r="F433" s="536"/>
      <c r="G433" s="539"/>
      <c r="H433" s="564"/>
      <c r="I433" s="565" t="s">
        <v>175</v>
      </c>
      <c r="J433" s="514" t="e">
        <f>SUM(J428:J432)</f>
        <v>#N/A</v>
      </c>
      <c r="K433" s="471"/>
      <c r="L433" s="6" t="e">
        <f>J433/E425</f>
        <v>#N/A</v>
      </c>
    </row>
    <row r="434" spans="1:12">
      <c r="A434" s="463"/>
      <c r="B434" s="566"/>
      <c r="C434" s="539"/>
      <c r="D434" s="539"/>
      <c r="E434" s="567"/>
      <c r="F434" s="568"/>
      <c r="G434" s="519"/>
      <c r="H434" s="519"/>
      <c r="I434" s="542"/>
      <c r="J434" s="567"/>
      <c r="K434" s="471"/>
    </row>
    <row r="435" spans="1:12" ht="20.399999999999999">
      <c r="A435" s="463"/>
      <c r="B435" s="1493" t="s">
        <v>955</v>
      </c>
      <c r="C435" s="1494"/>
      <c r="D435" s="1494"/>
      <c r="E435" s="1494"/>
      <c r="F435" s="1495"/>
      <c r="G435" s="569" t="s">
        <v>372</v>
      </c>
      <c r="H435" s="519" t="s">
        <v>956</v>
      </c>
      <c r="I435" s="570" t="s">
        <v>942</v>
      </c>
      <c r="J435" s="522" t="s">
        <v>363</v>
      </c>
      <c r="K435" s="471"/>
    </row>
    <row r="436" spans="1:12">
      <c r="A436" s="463"/>
      <c r="B436" s="571"/>
      <c r="C436" s="572"/>
      <c r="D436" s="573"/>
      <c r="E436" s="573"/>
      <c r="F436" s="574"/>
      <c r="G436" s="502"/>
      <c r="H436" s="502"/>
      <c r="I436" s="575"/>
      <c r="J436" s="505"/>
      <c r="K436" s="471"/>
    </row>
    <row r="437" spans="1:12">
      <c r="A437" s="463"/>
      <c r="B437" s="576"/>
      <c r="C437" s="577"/>
      <c r="D437" s="578"/>
      <c r="E437" s="578"/>
      <c r="F437" s="579"/>
      <c r="G437" s="502"/>
      <c r="H437" s="502"/>
      <c r="I437" s="575"/>
      <c r="J437" s="505"/>
      <c r="K437" s="471"/>
    </row>
    <row r="438" spans="1:12">
      <c r="A438" s="463"/>
      <c r="B438" s="1496" t="s">
        <v>175</v>
      </c>
      <c r="C438" s="1496"/>
      <c r="D438" s="1496"/>
      <c r="E438" s="1496"/>
      <c r="F438" s="1496"/>
      <c r="G438" s="1496"/>
      <c r="H438" s="1496"/>
      <c r="I438" s="1496"/>
      <c r="J438" s="514">
        <f>SUM(J436:J437)</f>
        <v>0</v>
      </c>
      <c r="K438" s="471"/>
    </row>
    <row r="439" spans="1:12">
      <c r="A439" s="463"/>
      <c r="B439" s="580"/>
      <c r="C439" s="524"/>
      <c r="D439" s="524"/>
      <c r="E439" s="581"/>
      <c r="F439" s="582"/>
      <c r="G439" s="583"/>
      <c r="H439" s="583"/>
      <c r="I439" s="584"/>
      <c r="J439" s="585"/>
      <c r="K439" s="471"/>
    </row>
    <row r="440" spans="1:12">
      <c r="A440" s="463"/>
      <c r="B440" s="586" t="s">
        <v>957</v>
      </c>
      <c r="C440" s="586"/>
      <c r="D440" s="563"/>
      <c r="E440" s="536"/>
      <c r="F440" s="536"/>
      <c r="G440" s="536"/>
      <c r="H440" s="587"/>
      <c r="I440" s="588"/>
      <c r="J440" s="514" t="e">
        <f>(J425+J433+J438)/E425</f>
        <v>#N/A</v>
      </c>
      <c r="K440" s="471"/>
    </row>
    <row r="441" spans="1:12">
      <c r="A441" s="463"/>
      <c r="B441" s="566"/>
      <c r="C441" s="539"/>
      <c r="D441" s="539"/>
      <c r="E441" s="567"/>
      <c r="F441" s="568"/>
      <c r="G441" s="519"/>
      <c r="H441" s="519"/>
      <c r="I441" s="542"/>
      <c r="J441" s="589"/>
      <c r="K441" s="471"/>
    </row>
    <row r="442" spans="1:12" ht="20.399999999999999">
      <c r="A442" s="463"/>
      <c r="B442" s="1493" t="s">
        <v>958</v>
      </c>
      <c r="C442" s="1494"/>
      <c r="D442" s="1494"/>
      <c r="E442" s="1494"/>
      <c r="F442" s="1495"/>
      <c r="G442" s="569" t="s">
        <v>372</v>
      </c>
      <c r="H442" s="519" t="s">
        <v>956</v>
      </c>
      <c r="I442" s="570" t="s">
        <v>942</v>
      </c>
      <c r="J442" s="522" t="s">
        <v>363</v>
      </c>
      <c r="K442" s="471"/>
    </row>
    <row r="443" spans="1:12">
      <c r="A443" s="463"/>
      <c r="B443" s="571"/>
      <c r="C443" s="572"/>
      <c r="D443" s="573"/>
      <c r="E443" s="573"/>
      <c r="F443" s="574"/>
      <c r="G443" s="502"/>
      <c r="H443" s="502"/>
      <c r="I443" s="575"/>
      <c r="J443" s="505">
        <f>G443*I443</f>
        <v>0</v>
      </c>
      <c r="K443" s="471"/>
    </row>
    <row r="444" spans="1:12">
      <c r="A444" s="463"/>
      <c r="B444" s="576"/>
      <c r="C444" s="577"/>
      <c r="D444" s="578"/>
      <c r="E444" s="578"/>
      <c r="F444" s="579"/>
      <c r="G444" s="502"/>
      <c r="H444" s="502"/>
      <c r="I444" s="575"/>
      <c r="J444" s="505">
        <f>G444*I444</f>
        <v>0</v>
      </c>
      <c r="K444" s="471"/>
    </row>
    <row r="445" spans="1:12">
      <c r="A445" s="463"/>
      <c r="B445" s="576"/>
      <c r="C445" s="577"/>
      <c r="D445" s="578"/>
      <c r="E445" s="578"/>
      <c r="F445" s="579"/>
      <c r="G445" s="502"/>
      <c r="H445" s="502"/>
      <c r="I445" s="575"/>
      <c r="J445" s="505">
        <f>G445*I445</f>
        <v>0</v>
      </c>
      <c r="K445" s="471"/>
    </row>
    <row r="446" spans="1:12">
      <c r="A446" s="463"/>
      <c r="B446" s="590"/>
      <c r="C446" s="591"/>
      <c r="D446" s="592"/>
      <c r="E446" s="592"/>
      <c r="F446" s="593"/>
      <c r="G446" s="502"/>
      <c r="H446" s="502"/>
      <c r="I446" s="575"/>
      <c r="J446" s="505">
        <f>G446*I446</f>
        <v>0</v>
      </c>
      <c r="K446" s="471"/>
    </row>
    <row r="447" spans="1:12">
      <c r="A447" s="463"/>
      <c r="B447" s="594"/>
      <c r="C447" s="536"/>
      <c r="D447" s="536"/>
      <c r="E447" s="595"/>
      <c r="F447" s="596"/>
      <c r="G447" s="545"/>
      <c r="H447" s="545"/>
      <c r="I447" s="537" t="s">
        <v>175</v>
      </c>
      <c r="J447" s="514">
        <f>SUM(J443:J446)</f>
        <v>0</v>
      </c>
      <c r="K447" s="471"/>
    </row>
    <row r="448" spans="1:12">
      <c r="A448" s="463"/>
      <c r="B448" s="597"/>
      <c r="C448" s="536"/>
      <c r="D448" s="536"/>
      <c r="E448" s="595"/>
      <c r="F448" s="596"/>
      <c r="G448" s="545"/>
      <c r="H448" s="545"/>
      <c r="I448" s="537"/>
      <c r="J448" s="595"/>
      <c r="K448" s="471"/>
    </row>
    <row r="449" spans="1:11" ht="20.399999999999999">
      <c r="A449" s="463"/>
      <c r="B449" s="598" t="s">
        <v>959</v>
      </c>
      <c r="C449" s="598"/>
      <c r="D449" s="598"/>
      <c r="E449" s="599"/>
      <c r="F449" s="600" t="s">
        <v>372</v>
      </c>
      <c r="G449" s="569" t="s">
        <v>960</v>
      </c>
      <c r="H449" s="519" t="s">
        <v>942</v>
      </c>
      <c r="I449" s="570" t="s">
        <v>361</v>
      </c>
      <c r="J449" s="522" t="s">
        <v>363</v>
      </c>
      <c r="K449" s="471"/>
    </row>
    <row r="450" spans="1:11">
      <c r="A450" s="463"/>
      <c r="B450" s="571"/>
      <c r="C450" s="572"/>
      <c r="D450" s="573"/>
      <c r="E450" s="574"/>
      <c r="F450" s="502"/>
      <c r="G450" s="502"/>
      <c r="H450" s="624"/>
      <c r="I450" s="575"/>
      <c r="J450" s="505"/>
      <c r="K450" s="471"/>
    </row>
    <row r="451" spans="1:11">
      <c r="A451" s="463"/>
      <c r="B451" s="576" t="s">
        <v>946</v>
      </c>
      <c r="C451" s="577"/>
      <c r="D451" s="578"/>
      <c r="E451" s="579" t="s">
        <v>946</v>
      </c>
      <c r="F451" s="502">
        <v>0</v>
      </c>
      <c r="G451" s="502">
        <v>0</v>
      </c>
      <c r="H451" s="502">
        <v>0</v>
      </c>
      <c r="I451" s="575">
        <v>0</v>
      </c>
      <c r="J451" s="505">
        <f>I451*H451*G451*F451</f>
        <v>0</v>
      </c>
      <c r="K451" s="471"/>
    </row>
    <row r="452" spans="1:11">
      <c r="A452" s="463"/>
      <c r="B452" s="590" t="s">
        <v>946</v>
      </c>
      <c r="C452" s="591"/>
      <c r="D452" s="592"/>
      <c r="E452" s="593" t="s">
        <v>946</v>
      </c>
      <c r="F452" s="509">
        <v>0</v>
      </c>
      <c r="G452" s="509">
        <v>0</v>
      </c>
      <c r="H452" s="509">
        <v>0</v>
      </c>
      <c r="I452" s="601">
        <v>0</v>
      </c>
      <c r="J452" s="505">
        <f>I452*H452*G452*F452</f>
        <v>0</v>
      </c>
      <c r="K452" s="471"/>
    </row>
    <row r="453" spans="1:11">
      <c r="A453" s="463"/>
      <c r="B453" s="594"/>
      <c r="C453" s="536"/>
      <c r="D453" s="536"/>
      <c r="E453" s="595"/>
      <c r="F453" s="596"/>
      <c r="G453" s="545"/>
      <c r="H453" s="545"/>
      <c r="I453" s="537" t="s">
        <v>175</v>
      </c>
      <c r="J453" s="514">
        <f>SUM(J450:J452)</f>
        <v>0</v>
      </c>
      <c r="K453" s="471"/>
    </row>
    <row r="454" spans="1:11">
      <c r="A454" s="463"/>
      <c r="B454" s="536"/>
      <c r="C454" s="536"/>
      <c r="D454" s="536"/>
      <c r="E454" s="536"/>
      <c r="F454" s="536"/>
      <c r="G454" s="536"/>
      <c r="H454" s="536"/>
      <c r="I454" s="537"/>
      <c r="J454" s="536"/>
      <c r="K454" s="471"/>
    </row>
    <row r="455" spans="1:11">
      <c r="A455" s="463"/>
      <c r="B455" s="1481" t="s">
        <v>961</v>
      </c>
      <c r="C455" s="1482"/>
      <c r="D455" s="1482"/>
      <c r="E455" s="1482"/>
      <c r="F455" s="1482"/>
      <c r="G455" s="1482"/>
      <c r="H455" s="1482"/>
      <c r="I455" s="1483"/>
      <c r="J455" s="586" t="e">
        <f>J453+J447+J440</f>
        <v>#N/A</v>
      </c>
      <c r="K455" s="471"/>
    </row>
    <row r="456" spans="1:11">
      <c r="A456" s="463"/>
      <c r="B456" s="536"/>
      <c r="C456" s="536"/>
      <c r="D456" s="536"/>
      <c r="E456" s="536"/>
      <c r="F456" s="536"/>
      <c r="G456" s="536"/>
      <c r="H456" s="536"/>
      <c r="I456" s="537"/>
      <c r="J456" s="536"/>
      <c r="K456" s="471"/>
    </row>
    <row r="457" spans="1:11">
      <c r="A457" s="463"/>
      <c r="B457" s="1481" t="s">
        <v>962</v>
      </c>
      <c r="C457" s="1482"/>
      <c r="D457" s="1482"/>
      <c r="E457" s="1482"/>
      <c r="F457" s="1482"/>
      <c r="G457" s="1482"/>
      <c r="H457" s="1482"/>
      <c r="I457" s="1483"/>
      <c r="J457" s="514" t="e">
        <f>J455*0</f>
        <v>#N/A</v>
      </c>
      <c r="K457" s="471"/>
    </row>
    <row r="458" spans="1:11">
      <c r="A458" s="463"/>
      <c r="B458" s="536"/>
      <c r="C458" s="536"/>
      <c r="D458" s="536"/>
      <c r="E458" s="536"/>
      <c r="F458" s="536"/>
      <c r="G458" s="536"/>
      <c r="H458" s="536"/>
      <c r="I458" s="537"/>
      <c r="J458" s="536"/>
      <c r="K458" s="471"/>
    </row>
    <row r="459" spans="1:11">
      <c r="A459" s="463"/>
      <c r="B459" s="1481" t="s">
        <v>963</v>
      </c>
      <c r="C459" s="1482"/>
      <c r="D459" s="1482"/>
      <c r="E459" s="1482"/>
      <c r="F459" s="1482"/>
      <c r="G459" s="1482"/>
      <c r="H459" s="1482"/>
      <c r="I459" s="1483"/>
      <c r="J459" s="586" t="e">
        <f>J455+J457</f>
        <v>#N/A</v>
      </c>
      <c r="K459" s="471"/>
    </row>
    <row r="460" spans="1:11">
      <c r="A460" s="463"/>
      <c r="B460" s="524"/>
      <c r="C460" s="524"/>
      <c r="D460" s="524"/>
      <c r="E460" s="524"/>
      <c r="F460" s="524"/>
      <c r="G460" s="524"/>
      <c r="H460" s="524"/>
      <c r="I460" s="584"/>
      <c r="J460" s="524"/>
      <c r="K460" s="471"/>
    </row>
    <row r="461" spans="1:11">
      <c r="A461" s="463"/>
      <c r="B461" s="602"/>
      <c r="C461" s="572"/>
      <c r="D461" s="572"/>
      <c r="E461" s="572"/>
      <c r="F461" s="572"/>
      <c r="G461" s="572"/>
      <c r="H461" s="572"/>
      <c r="I461" s="572"/>
      <c r="J461" s="603"/>
      <c r="K461" s="471"/>
    </row>
    <row r="462" spans="1:11">
      <c r="A462" s="463"/>
      <c r="B462" s="604"/>
      <c r="C462" s="605"/>
      <c r="D462" s="606"/>
      <c r="E462" s="606"/>
      <c r="F462" s="607" t="s">
        <v>946</v>
      </c>
      <c r="G462" s="608" t="s">
        <v>946</v>
      </c>
      <c r="H462" s="605"/>
      <c r="I462" s="605"/>
      <c r="J462" s="609"/>
      <c r="K462" s="471"/>
    </row>
    <row r="463" spans="1:11">
      <c r="A463" s="463"/>
      <c r="B463" s="472"/>
      <c r="C463" s="472"/>
      <c r="D463" s="472"/>
      <c r="E463" s="472"/>
      <c r="F463" s="472"/>
      <c r="G463" s="472"/>
      <c r="H463" s="472"/>
      <c r="I463" s="472"/>
      <c r="J463" s="472"/>
      <c r="K463" s="471"/>
    </row>
    <row r="464" spans="1:11">
      <c r="A464" s="463"/>
      <c r="B464" s="610"/>
      <c r="C464" s="611"/>
      <c r="D464" s="611"/>
      <c r="E464" s="611"/>
      <c r="F464" s="612"/>
      <c r="G464" s="613" t="s">
        <v>363</v>
      </c>
      <c r="H464" s="515"/>
      <c r="I464" s="515"/>
      <c r="J464" s="518"/>
      <c r="K464" s="471"/>
    </row>
    <row r="465" spans="1:11">
      <c r="A465" s="463"/>
      <c r="B465" s="614"/>
      <c r="C465" s="615"/>
      <c r="D465" s="615"/>
      <c r="E465" s="615"/>
      <c r="F465" s="616"/>
      <c r="G465" s="1484" t="s">
        <v>964</v>
      </c>
      <c r="H465" s="1485"/>
      <c r="I465" s="1485"/>
      <c r="J465" s="1486"/>
      <c r="K465" s="471"/>
    </row>
    <row r="466" spans="1:11">
      <c r="A466" s="463"/>
      <c r="B466" s="617"/>
      <c r="C466" s="618"/>
      <c r="D466" s="618"/>
      <c r="E466" s="618"/>
      <c r="F466" s="619"/>
      <c r="G466" s="620"/>
      <c r="H466" s="1487"/>
      <c r="I466" s="1488"/>
      <c r="J466" s="1489"/>
      <c r="K466" s="471"/>
    </row>
    <row r="467" spans="1:11" ht="15" thickBot="1">
      <c r="A467" s="621"/>
      <c r="B467" s="622"/>
      <c r="C467" s="622"/>
      <c r="D467" s="622"/>
      <c r="E467" s="622"/>
      <c r="F467" s="622"/>
      <c r="G467" s="622"/>
      <c r="H467" s="622"/>
      <c r="I467" s="622"/>
      <c r="J467" s="622"/>
      <c r="K467" s="623"/>
    </row>
    <row r="468" spans="1:11">
      <c r="A468" s="460"/>
      <c r="B468" s="461"/>
      <c r="C468" s="461"/>
      <c r="D468" s="461"/>
      <c r="E468" s="461"/>
      <c r="F468" s="461"/>
      <c r="G468" s="461"/>
      <c r="H468" s="461"/>
      <c r="I468" s="461"/>
      <c r="J468" s="461"/>
      <c r="K468" s="462"/>
    </row>
    <row r="469" spans="1:11">
      <c r="A469" s="463"/>
      <c r="B469" s="464" t="s">
        <v>178</v>
      </c>
      <c r="C469" s="465"/>
      <c r="D469" s="466" t="s">
        <v>936</v>
      </c>
      <c r="E469" s="467"/>
      <c r="F469" s="468"/>
      <c r="G469" s="468"/>
      <c r="H469" s="469"/>
      <c r="I469" s="469"/>
      <c r="J469" s="470"/>
      <c r="K469" s="471"/>
    </row>
    <row r="470" spans="1:11">
      <c r="A470" s="463"/>
      <c r="B470" s="472"/>
      <c r="C470" s="472"/>
      <c r="D470" s="472"/>
      <c r="E470" s="472"/>
      <c r="F470" s="472"/>
      <c r="G470" s="472"/>
      <c r="H470" s="472"/>
      <c r="I470" s="472"/>
      <c r="J470" s="472"/>
      <c r="K470" s="471"/>
    </row>
    <row r="471" spans="1:11">
      <c r="A471" s="463"/>
      <c r="B471" s="473" t="s">
        <v>972</v>
      </c>
      <c r="C471" s="474" t="s">
        <v>937</v>
      </c>
      <c r="D471" s="1497" t="s">
        <v>250</v>
      </c>
      <c r="E471" s="1498"/>
      <c r="F471" s="1498"/>
      <c r="G471" s="1498"/>
      <c r="H471" s="1498"/>
      <c r="I471" s="1499"/>
      <c r="J471" s="475" t="s">
        <v>267</v>
      </c>
      <c r="K471" s="471"/>
    </row>
    <row r="472" spans="1:11" ht="30.6">
      <c r="A472" s="463"/>
      <c r="B472" s="476">
        <v>5502170</v>
      </c>
      <c r="C472" s="477"/>
      <c r="D472" s="681" t="s">
        <v>241</v>
      </c>
      <c r="E472" s="479"/>
      <c r="F472" s="479"/>
      <c r="G472" s="479"/>
      <c r="H472" s="479"/>
      <c r="I472" s="480"/>
      <c r="J472" s="481" t="str">
        <f>F491</f>
        <v>m3</v>
      </c>
      <c r="K472" s="471"/>
    </row>
    <row r="473" spans="1:11">
      <c r="A473" s="463"/>
      <c r="B473" s="482"/>
      <c r="C473" s="482"/>
      <c r="D473" s="482"/>
      <c r="E473" s="482"/>
      <c r="F473" s="482"/>
      <c r="G473" s="482"/>
      <c r="H473" s="482"/>
      <c r="I473" s="483"/>
      <c r="J473" s="484"/>
      <c r="K473" s="471"/>
    </row>
    <row r="474" spans="1:11">
      <c r="A474" s="463"/>
      <c r="B474" s="1484" t="s">
        <v>938</v>
      </c>
      <c r="C474" s="1486"/>
      <c r="D474" s="1502" t="s">
        <v>688</v>
      </c>
      <c r="E474" s="1504" t="s">
        <v>939</v>
      </c>
      <c r="F474" s="485" t="s">
        <v>940</v>
      </c>
      <c r="G474" s="486"/>
      <c r="H474" s="485" t="s">
        <v>941</v>
      </c>
      <c r="I474" s="486"/>
      <c r="J474" s="487" t="s">
        <v>942</v>
      </c>
      <c r="K474" s="471"/>
    </row>
    <row r="475" spans="1:11">
      <c r="A475" s="463"/>
      <c r="B475" s="1500"/>
      <c r="C475" s="1501"/>
      <c r="D475" s="1503"/>
      <c r="E475" s="1505"/>
      <c r="F475" s="488" t="s">
        <v>943</v>
      </c>
      <c r="G475" s="488" t="s">
        <v>944</v>
      </c>
      <c r="H475" s="488" t="s">
        <v>943</v>
      </c>
      <c r="I475" s="489" t="s">
        <v>944</v>
      </c>
      <c r="J475" s="490" t="s">
        <v>945</v>
      </c>
      <c r="K475" s="471"/>
    </row>
    <row r="476" spans="1:11">
      <c r="A476" s="463"/>
      <c r="B476" s="499" t="s">
        <v>971</v>
      </c>
      <c r="C476" s="492"/>
      <c r="D476" s="493"/>
      <c r="E476" s="494">
        <v>1</v>
      </c>
      <c r="F476" s="494">
        <v>1</v>
      </c>
      <c r="G476" s="495">
        <f>1-F476</f>
        <v>0</v>
      </c>
      <c r="H476" s="503">
        <f>VLOOKUP(B476,EQUIPAMENTOS!$A:$J,10,FALSE)</f>
        <v>175</v>
      </c>
      <c r="I476" s="497">
        <f>H476</f>
        <v>175</v>
      </c>
      <c r="J476" s="498">
        <f>H476*F476*E476+I476*G476*E476</f>
        <v>175</v>
      </c>
      <c r="K476" s="471"/>
    </row>
    <row r="477" spans="1:11">
      <c r="A477" s="463"/>
      <c r="B477" s="499" t="s">
        <v>614</v>
      </c>
      <c r="C477" s="500"/>
      <c r="D477" s="501"/>
      <c r="E477" s="502">
        <v>5</v>
      </c>
      <c r="F477" s="502">
        <v>1</v>
      </c>
      <c r="G477" s="502">
        <f>1-F477</f>
        <v>0</v>
      </c>
      <c r="H477" s="503" t="e">
        <f>VLOOKUP(B477,EQUIPAMENTOS!$A:$J,10,FALSE)</f>
        <v>#N/A</v>
      </c>
      <c r="I477" s="504" t="e">
        <f>H477</f>
        <v>#N/A</v>
      </c>
      <c r="J477" s="505" t="e">
        <f>H477*F477*E477+I477*G477*E477</f>
        <v>#N/A</v>
      </c>
      <c r="K477" s="471"/>
    </row>
    <row r="478" spans="1:11">
      <c r="A478" s="463"/>
      <c r="B478" s="499"/>
      <c r="C478" s="500"/>
      <c r="D478" s="501"/>
      <c r="E478" s="502"/>
      <c r="F478" s="502"/>
      <c r="G478" s="502"/>
      <c r="H478" s="503"/>
      <c r="I478" s="504"/>
      <c r="J478" s="505">
        <f>H478*F478*E478+I478*G478*E478</f>
        <v>0</v>
      </c>
      <c r="K478" s="471"/>
    </row>
    <row r="479" spans="1:11">
      <c r="A479" s="463"/>
      <c r="B479" s="499"/>
      <c r="C479" s="500"/>
      <c r="D479" s="501"/>
      <c r="E479" s="502"/>
      <c r="F479" s="502"/>
      <c r="G479" s="502"/>
      <c r="H479" s="503"/>
      <c r="I479" s="504"/>
      <c r="J479" s="505">
        <f>H479*F479*E479+I479*G479*E479</f>
        <v>0</v>
      </c>
      <c r="K479" s="471"/>
    </row>
    <row r="480" spans="1:11">
      <c r="A480" s="463"/>
      <c r="B480" s="506"/>
      <c r="C480" s="507"/>
      <c r="D480" s="508"/>
      <c r="E480" s="509"/>
      <c r="F480" s="509"/>
      <c r="G480" s="509"/>
      <c r="H480" s="510"/>
      <c r="I480" s="511"/>
      <c r="J480" s="505">
        <f>H480*F480*E480+I480*G480*E480</f>
        <v>0</v>
      </c>
      <c r="K480" s="471"/>
    </row>
    <row r="481" spans="1:11">
      <c r="A481" s="463"/>
      <c r="B481" s="512" t="s">
        <v>946</v>
      </c>
      <c r="C481" s="482"/>
      <c r="D481" s="482"/>
      <c r="E481" s="482"/>
      <c r="F481" s="482"/>
      <c r="G481" s="482"/>
      <c r="H481" s="482"/>
      <c r="I481" s="513" t="s">
        <v>175</v>
      </c>
      <c r="J481" s="514" t="e">
        <f>SUM(J476:J480)</f>
        <v>#N/A</v>
      </c>
      <c r="K481" s="471"/>
    </row>
    <row r="482" spans="1:11">
      <c r="A482" s="463"/>
      <c r="B482" s="515"/>
      <c r="C482" s="515"/>
      <c r="D482" s="515"/>
      <c r="E482" s="515"/>
      <c r="F482" s="515"/>
      <c r="G482" s="515"/>
      <c r="H482" s="515"/>
      <c r="I482" s="516"/>
      <c r="J482" s="517"/>
      <c r="K482" s="471"/>
    </row>
    <row r="483" spans="1:11" ht="20.399999999999999">
      <c r="A483" s="463"/>
      <c r="B483" s="1490" t="s">
        <v>947</v>
      </c>
      <c r="C483" s="1491"/>
      <c r="D483" s="1491"/>
      <c r="E483" s="1492"/>
      <c r="F483" s="725" t="s">
        <v>688</v>
      </c>
      <c r="G483" s="519"/>
      <c r="H483" s="520" t="s">
        <v>427</v>
      </c>
      <c r="I483" s="521" t="s">
        <v>948</v>
      </c>
      <c r="J483" s="522" t="s">
        <v>949</v>
      </c>
      <c r="K483" s="471"/>
    </row>
    <row r="484" spans="1:11">
      <c r="A484" s="463"/>
      <c r="B484" s="523" t="s">
        <v>974</v>
      </c>
      <c r="C484" s="524"/>
      <c r="D484" s="525"/>
      <c r="E484" s="526"/>
      <c r="F484" s="527"/>
      <c r="G484" s="528"/>
      <c r="H484" s="529">
        <f>E476</f>
        <v>1</v>
      </c>
      <c r="I484" s="534">
        <f>(VLOOKUP(B484,'MÃO DE OBRA'!$A:$E,5,FALSE)/220)</f>
        <v>35.988199999999999</v>
      </c>
      <c r="J484" s="505">
        <f>H484*I484</f>
        <v>35.988199999999999</v>
      </c>
      <c r="K484" s="471"/>
    </row>
    <row r="485" spans="1:11">
      <c r="A485" s="463"/>
      <c r="B485" s="530" t="s">
        <v>950</v>
      </c>
      <c r="C485" s="531"/>
      <c r="D485" s="472"/>
      <c r="E485" s="500"/>
      <c r="F485" s="501"/>
      <c r="G485" s="532"/>
      <c r="H485" s="533">
        <f>E477</f>
        <v>5</v>
      </c>
      <c r="I485" s="534">
        <f>(VLOOKUP(B485,'MÃO DE OBRA'!$A:$E,5,FALSE)/220)</f>
        <v>26.714454545454547</v>
      </c>
      <c r="J485" s="505">
        <f>H485*I485</f>
        <v>133.57227272727275</v>
      </c>
      <c r="K485" s="471"/>
    </row>
    <row r="486" spans="1:11">
      <c r="A486" s="463"/>
      <c r="B486" s="530" t="s">
        <v>472</v>
      </c>
      <c r="C486" s="531"/>
      <c r="D486" s="472"/>
      <c r="E486" s="500"/>
      <c r="F486" s="501"/>
      <c r="G486" s="532"/>
      <c r="H486" s="533">
        <v>1</v>
      </c>
      <c r="I486" s="534">
        <f>(VLOOKUP(B486,'MÃO DE OBRA'!$A:$E,5,FALSE)/220)</f>
        <v>18.377072727272729</v>
      </c>
      <c r="J486" s="505">
        <f>H486*I486</f>
        <v>18.377072727272729</v>
      </c>
      <c r="K486" s="471"/>
    </row>
    <row r="487" spans="1:11">
      <c r="A487" s="463"/>
      <c r="B487" s="530"/>
      <c r="C487" s="531"/>
      <c r="D487" s="472"/>
      <c r="E487" s="500"/>
      <c r="F487" s="501"/>
      <c r="G487" s="532"/>
      <c r="H487" s="533"/>
      <c r="I487" s="504"/>
      <c r="J487" s="505"/>
      <c r="K487" s="471"/>
    </row>
    <row r="488" spans="1:11">
      <c r="A488" s="463"/>
      <c r="B488" s="530"/>
      <c r="C488" s="531"/>
      <c r="D488" s="472"/>
      <c r="E488" s="500"/>
      <c r="F488" s="501"/>
      <c r="G488" s="532"/>
      <c r="H488" s="533"/>
      <c r="I488" s="504"/>
      <c r="J488" s="505">
        <f>H488*I488</f>
        <v>0</v>
      </c>
      <c r="K488" s="471"/>
    </row>
    <row r="489" spans="1:11">
      <c r="A489" s="463"/>
      <c r="B489" s="512" t="s">
        <v>946</v>
      </c>
      <c r="C489" s="515"/>
      <c r="D489" s="515"/>
      <c r="E489" s="515"/>
      <c r="F489" s="515"/>
      <c r="G489" s="515"/>
      <c r="H489" s="515"/>
      <c r="I489" s="535" t="s">
        <v>175</v>
      </c>
      <c r="J489" s="514">
        <f>SUM(J484:J488)</f>
        <v>187.93754545454547</v>
      </c>
      <c r="K489" s="471"/>
    </row>
    <row r="490" spans="1:11">
      <c r="A490" s="463"/>
      <c r="B490" s="536"/>
      <c r="C490" s="536"/>
      <c r="D490" s="536"/>
      <c r="E490" s="536"/>
      <c r="F490" s="536"/>
      <c r="G490" s="536"/>
      <c r="H490" s="536"/>
      <c r="I490" s="537"/>
      <c r="J490" s="536"/>
      <c r="K490" s="471"/>
    </row>
    <row r="491" spans="1:11">
      <c r="A491" s="463"/>
      <c r="B491" s="538" t="s">
        <v>952</v>
      </c>
      <c r="C491" s="539"/>
      <c r="D491" s="536"/>
      <c r="E491" s="540">
        <v>160</v>
      </c>
      <c r="F491" s="541" t="s">
        <v>931</v>
      </c>
      <c r="G491" s="519"/>
      <c r="H491" s="519"/>
      <c r="I491" s="542" t="s">
        <v>953</v>
      </c>
      <c r="J491" s="514" t="e">
        <f>J481+J489</f>
        <v>#N/A</v>
      </c>
      <c r="K491" s="471"/>
    </row>
    <row r="492" spans="1:11">
      <c r="A492" s="463"/>
      <c r="B492" s="543"/>
      <c r="C492" s="536"/>
      <c r="D492" s="536"/>
      <c r="E492" s="544"/>
      <c r="F492" s="545"/>
      <c r="G492" s="545"/>
      <c r="H492" s="545"/>
      <c r="I492" s="537"/>
      <c r="J492" s="536"/>
      <c r="K492" s="471"/>
    </row>
    <row r="493" spans="1:11" ht="20.399999999999999">
      <c r="A493" s="463"/>
      <c r="B493" s="1493" t="s">
        <v>362</v>
      </c>
      <c r="C493" s="1494"/>
      <c r="D493" s="1494"/>
      <c r="E493" s="1495"/>
      <c r="F493" s="546" t="s">
        <v>688</v>
      </c>
      <c r="G493" s="547" t="s">
        <v>371</v>
      </c>
      <c r="H493" s="520" t="s">
        <v>942</v>
      </c>
      <c r="I493" s="548" t="s">
        <v>361</v>
      </c>
      <c r="J493" s="549" t="s">
        <v>363</v>
      </c>
      <c r="K493" s="471"/>
    </row>
    <row r="494" spans="1:11">
      <c r="A494" s="463"/>
      <c r="B494" s="550" t="str">
        <f>B476</f>
        <v>Escavadeira Hidráulica sobre esteira 22T</v>
      </c>
      <c r="C494" s="551"/>
      <c r="D494" s="551"/>
      <c r="E494" s="552"/>
      <c r="F494" s="553" t="str">
        <f>VLOOKUP(B494,EQUIPAMENTOS!$A:$N,12,FALSE)</f>
        <v>Diesel S10</v>
      </c>
      <c r="G494" s="554" t="s">
        <v>415</v>
      </c>
      <c r="H494" s="560">
        <f>VLOOKUP(B494,EQUIPAMENTOS!$A:$N,13,FALSE)</f>
        <v>0</v>
      </c>
      <c r="I494" s="556">
        <f>VLOOKUP(B494,EQUIPAMENTOS!$A:$N,14,FALSE)</f>
        <v>22</v>
      </c>
      <c r="J494" s="498">
        <f>H494*I494*E476*F476</f>
        <v>0</v>
      </c>
      <c r="K494" s="471"/>
    </row>
    <row r="495" spans="1:11">
      <c r="A495" s="463"/>
      <c r="B495" s="550" t="str">
        <f>B477</f>
        <v>Caçamba basculante com capacidade de 14 m³</v>
      </c>
      <c r="C495" s="531"/>
      <c r="D495" s="531"/>
      <c r="E495" s="500"/>
      <c r="F495" s="553" t="e">
        <f>VLOOKUP(B495,EQUIPAMENTOS!$A:$N,12,FALSE)</f>
        <v>#N/A</v>
      </c>
      <c r="G495" s="554" t="s">
        <v>415</v>
      </c>
      <c r="H495" s="560" t="e">
        <f>VLOOKUP(B495,EQUIPAMENTOS!$A:$N,13,FALSE)</f>
        <v>#N/A</v>
      </c>
      <c r="I495" s="556" t="e">
        <f>VLOOKUP(B495,EQUIPAMENTOS!$A:$N,14,FALSE)</f>
        <v>#N/A</v>
      </c>
      <c r="J495" s="505" t="e">
        <f>H495*I495*E477*F477</f>
        <v>#N/A</v>
      </c>
      <c r="K495" s="471"/>
    </row>
    <row r="496" spans="1:11">
      <c r="A496" s="463"/>
      <c r="B496" s="530"/>
      <c r="C496" s="531"/>
      <c r="D496" s="531"/>
      <c r="E496" s="500"/>
      <c r="F496" s="558"/>
      <c r="G496" s="559"/>
      <c r="H496" s="560"/>
      <c r="I496" s="556"/>
      <c r="J496" s="505">
        <f>H496*I496*E477</f>
        <v>0</v>
      </c>
      <c r="K496" s="471"/>
    </row>
    <row r="497" spans="1:12">
      <c r="A497" s="463"/>
      <c r="B497" s="530"/>
      <c r="C497" s="531"/>
      <c r="D497" s="531"/>
      <c r="E497" s="500"/>
      <c r="F497" s="501"/>
      <c r="G497" s="559"/>
      <c r="H497" s="560"/>
      <c r="I497" s="556"/>
      <c r="J497" s="505">
        <f>H497*I497*E478</f>
        <v>0</v>
      </c>
      <c r="K497" s="471"/>
    </row>
    <row r="498" spans="1:12">
      <c r="A498" s="463"/>
      <c r="B498" s="530"/>
      <c r="C498" s="539"/>
      <c r="D498" s="539"/>
      <c r="E498" s="507"/>
      <c r="F498" s="501"/>
      <c r="G498" s="481"/>
      <c r="H498" s="560"/>
      <c r="I498" s="561"/>
      <c r="J498" s="562">
        <f>H498*I498*E479</f>
        <v>0</v>
      </c>
      <c r="K498" s="471"/>
    </row>
    <row r="499" spans="1:12">
      <c r="A499" s="463"/>
      <c r="B499" s="563" t="s">
        <v>946</v>
      </c>
      <c r="C499" s="539"/>
      <c r="D499" s="539"/>
      <c r="E499" s="539"/>
      <c r="F499" s="536"/>
      <c r="G499" s="539"/>
      <c r="H499" s="564"/>
      <c r="I499" s="565" t="s">
        <v>175</v>
      </c>
      <c r="J499" s="514" t="e">
        <f>SUM(J494:J498)</f>
        <v>#N/A</v>
      </c>
      <c r="K499" s="471"/>
      <c r="L499" s="6" t="e">
        <f>J499/E491</f>
        <v>#N/A</v>
      </c>
    </row>
    <row r="500" spans="1:12">
      <c r="A500" s="463"/>
      <c r="B500" s="566"/>
      <c r="C500" s="539"/>
      <c r="D500" s="539"/>
      <c r="E500" s="567"/>
      <c r="F500" s="568"/>
      <c r="G500" s="519"/>
      <c r="H500" s="519"/>
      <c r="I500" s="542"/>
      <c r="J500" s="567"/>
      <c r="K500" s="471"/>
    </row>
    <row r="501" spans="1:12" ht="20.399999999999999">
      <c r="A501" s="463"/>
      <c r="B501" s="1493" t="s">
        <v>955</v>
      </c>
      <c r="C501" s="1494"/>
      <c r="D501" s="1494"/>
      <c r="E501" s="1494"/>
      <c r="F501" s="1495"/>
      <c r="G501" s="569" t="s">
        <v>372</v>
      </c>
      <c r="H501" s="519" t="s">
        <v>956</v>
      </c>
      <c r="I501" s="570" t="s">
        <v>942</v>
      </c>
      <c r="J501" s="522" t="s">
        <v>363</v>
      </c>
      <c r="K501" s="471"/>
    </row>
    <row r="502" spans="1:12">
      <c r="A502" s="463"/>
      <c r="B502" s="571"/>
      <c r="C502" s="572"/>
      <c r="D502" s="573"/>
      <c r="E502" s="573"/>
      <c r="F502" s="574"/>
      <c r="G502" s="502"/>
      <c r="H502" s="502"/>
      <c r="I502" s="575"/>
      <c r="J502" s="505"/>
      <c r="K502" s="471"/>
    </row>
    <row r="503" spans="1:12">
      <c r="A503" s="463"/>
      <c r="B503" s="576"/>
      <c r="C503" s="577"/>
      <c r="D503" s="578"/>
      <c r="E503" s="578"/>
      <c r="F503" s="579"/>
      <c r="G503" s="502"/>
      <c r="H503" s="502"/>
      <c r="I503" s="575"/>
      <c r="J503" s="505"/>
      <c r="K503" s="471"/>
    </row>
    <row r="504" spans="1:12">
      <c r="A504" s="463"/>
      <c r="B504" s="1496" t="s">
        <v>175</v>
      </c>
      <c r="C504" s="1496"/>
      <c r="D504" s="1496"/>
      <c r="E504" s="1496"/>
      <c r="F504" s="1496"/>
      <c r="G504" s="1496"/>
      <c r="H504" s="1496"/>
      <c r="I504" s="1496"/>
      <c r="J504" s="514">
        <f>SUM(J502:J503)</f>
        <v>0</v>
      </c>
      <c r="K504" s="471"/>
    </row>
    <row r="505" spans="1:12">
      <c r="A505" s="463"/>
      <c r="B505" s="580"/>
      <c r="C505" s="524"/>
      <c r="D505" s="524"/>
      <c r="E505" s="581"/>
      <c r="F505" s="582"/>
      <c r="G505" s="583"/>
      <c r="H505" s="583"/>
      <c r="I505" s="584"/>
      <c r="J505" s="585"/>
      <c r="K505" s="471"/>
    </row>
    <row r="506" spans="1:12">
      <c r="A506" s="463"/>
      <c r="B506" s="586" t="s">
        <v>957</v>
      </c>
      <c r="C506" s="586"/>
      <c r="D506" s="563"/>
      <c r="E506" s="536"/>
      <c r="F506" s="536"/>
      <c r="G506" s="536"/>
      <c r="H506" s="587"/>
      <c r="I506" s="588"/>
      <c r="J506" s="514" t="e">
        <f>(J491+J499+J504)/E491</f>
        <v>#N/A</v>
      </c>
      <c r="K506" s="471"/>
    </row>
    <row r="507" spans="1:12">
      <c r="A507" s="463"/>
      <c r="B507" s="566"/>
      <c r="C507" s="539"/>
      <c r="D507" s="539"/>
      <c r="E507" s="567"/>
      <c r="F507" s="568"/>
      <c r="G507" s="519"/>
      <c r="H507" s="519"/>
      <c r="I507" s="542"/>
      <c r="J507" s="589"/>
      <c r="K507" s="471"/>
    </row>
    <row r="508" spans="1:12" ht="20.399999999999999">
      <c r="A508" s="463"/>
      <c r="B508" s="1493" t="s">
        <v>958</v>
      </c>
      <c r="C508" s="1494"/>
      <c r="D508" s="1494"/>
      <c r="E508" s="1494"/>
      <c r="F508" s="1495"/>
      <c r="G508" s="569" t="s">
        <v>372</v>
      </c>
      <c r="H508" s="519" t="s">
        <v>956</v>
      </c>
      <c r="I508" s="570" t="s">
        <v>942</v>
      </c>
      <c r="J508" s="522" t="s">
        <v>363</v>
      </c>
      <c r="K508" s="471"/>
    </row>
    <row r="509" spans="1:12">
      <c r="A509" s="463"/>
      <c r="B509" s="571"/>
      <c r="C509" s="572"/>
      <c r="D509" s="573"/>
      <c r="E509" s="573"/>
      <c r="F509" s="574"/>
      <c r="G509" s="502"/>
      <c r="H509" s="502"/>
      <c r="I509" s="575"/>
      <c r="J509" s="505">
        <f>G509*I509</f>
        <v>0</v>
      </c>
      <c r="K509" s="471"/>
    </row>
    <row r="510" spans="1:12">
      <c r="A510" s="463"/>
      <c r="B510" s="576"/>
      <c r="C510" s="577"/>
      <c r="D510" s="578"/>
      <c r="E510" s="578"/>
      <c r="F510" s="579"/>
      <c r="G510" s="502"/>
      <c r="H510" s="502"/>
      <c r="I510" s="575"/>
      <c r="J510" s="505">
        <f>G510*I510</f>
        <v>0</v>
      </c>
      <c r="K510" s="471"/>
    </row>
    <row r="511" spans="1:12">
      <c r="A511" s="463"/>
      <c r="B511" s="576"/>
      <c r="C511" s="577"/>
      <c r="D511" s="578"/>
      <c r="E511" s="578"/>
      <c r="F511" s="579"/>
      <c r="G511" s="502"/>
      <c r="H511" s="502"/>
      <c r="I511" s="575"/>
      <c r="J511" s="505">
        <f>G511*I511</f>
        <v>0</v>
      </c>
      <c r="K511" s="471"/>
    </row>
    <row r="512" spans="1:12">
      <c r="A512" s="463"/>
      <c r="B512" s="590"/>
      <c r="C512" s="591"/>
      <c r="D512" s="592"/>
      <c r="E512" s="592"/>
      <c r="F512" s="593"/>
      <c r="G512" s="502"/>
      <c r="H512" s="502"/>
      <c r="I512" s="575"/>
      <c r="J512" s="505">
        <f>G512*I512</f>
        <v>0</v>
      </c>
      <c r="K512" s="471"/>
    </row>
    <row r="513" spans="1:11">
      <c r="A513" s="463"/>
      <c r="B513" s="594"/>
      <c r="C513" s="536"/>
      <c r="D513" s="536"/>
      <c r="E513" s="595"/>
      <c r="F513" s="596"/>
      <c r="G513" s="545"/>
      <c r="H513" s="545"/>
      <c r="I513" s="537" t="s">
        <v>175</v>
      </c>
      <c r="J513" s="514">
        <f>SUM(J509:J512)</f>
        <v>0</v>
      </c>
      <c r="K513" s="471"/>
    </row>
    <row r="514" spans="1:11">
      <c r="A514" s="463"/>
      <c r="B514" s="597"/>
      <c r="C514" s="536"/>
      <c r="D514" s="536"/>
      <c r="E514" s="595"/>
      <c r="F514" s="596"/>
      <c r="G514" s="545"/>
      <c r="H514" s="545"/>
      <c r="I514" s="537"/>
      <c r="J514" s="595"/>
      <c r="K514" s="471"/>
    </row>
    <row r="515" spans="1:11" ht="20.399999999999999">
      <c r="A515" s="463"/>
      <c r="B515" s="598" t="s">
        <v>959</v>
      </c>
      <c r="C515" s="598"/>
      <c r="D515" s="598"/>
      <c r="E515" s="599"/>
      <c r="F515" s="600" t="s">
        <v>372</v>
      </c>
      <c r="G515" s="569" t="s">
        <v>960</v>
      </c>
      <c r="H515" s="519" t="s">
        <v>942</v>
      </c>
      <c r="I515" s="570" t="s">
        <v>361</v>
      </c>
      <c r="J515" s="522" t="s">
        <v>363</v>
      </c>
      <c r="K515" s="471"/>
    </row>
    <row r="516" spans="1:11">
      <c r="A516" s="463"/>
      <c r="B516" s="571"/>
      <c r="C516" s="572"/>
      <c r="D516" s="573"/>
      <c r="E516" s="574"/>
      <c r="F516" s="502"/>
      <c r="G516" s="502"/>
      <c r="H516" s="624"/>
      <c r="I516" s="575"/>
      <c r="J516" s="505"/>
      <c r="K516" s="471"/>
    </row>
    <row r="517" spans="1:11">
      <c r="A517" s="463"/>
      <c r="B517" s="576" t="s">
        <v>946</v>
      </c>
      <c r="C517" s="577"/>
      <c r="D517" s="578"/>
      <c r="E517" s="579" t="s">
        <v>946</v>
      </c>
      <c r="F517" s="502">
        <v>0</v>
      </c>
      <c r="G517" s="502">
        <v>0</v>
      </c>
      <c r="H517" s="502">
        <v>0</v>
      </c>
      <c r="I517" s="575">
        <v>0</v>
      </c>
      <c r="J517" s="505">
        <f>I517*H517*G517*F517</f>
        <v>0</v>
      </c>
      <c r="K517" s="471"/>
    </row>
    <row r="518" spans="1:11">
      <c r="A518" s="463"/>
      <c r="B518" s="590" t="s">
        <v>946</v>
      </c>
      <c r="C518" s="591"/>
      <c r="D518" s="592"/>
      <c r="E518" s="593" t="s">
        <v>946</v>
      </c>
      <c r="F518" s="509">
        <v>0</v>
      </c>
      <c r="G518" s="509">
        <v>0</v>
      </c>
      <c r="H518" s="509">
        <v>0</v>
      </c>
      <c r="I518" s="601">
        <v>0</v>
      </c>
      <c r="J518" s="505">
        <f>I518*H518*G518*F518</f>
        <v>0</v>
      </c>
      <c r="K518" s="471"/>
    </row>
    <row r="519" spans="1:11">
      <c r="A519" s="463"/>
      <c r="B519" s="594"/>
      <c r="C519" s="536"/>
      <c r="D519" s="536"/>
      <c r="E519" s="595"/>
      <c r="F519" s="596"/>
      <c r="G519" s="545"/>
      <c r="H519" s="545"/>
      <c r="I519" s="537" t="s">
        <v>175</v>
      </c>
      <c r="J519" s="514">
        <f>SUM(J516:J518)</f>
        <v>0</v>
      </c>
      <c r="K519" s="471"/>
    </row>
    <row r="520" spans="1:11">
      <c r="A520" s="463"/>
      <c r="B520" s="536"/>
      <c r="C520" s="536"/>
      <c r="D520" s="536"/>
      <c r="E520" s="536"/>
      <c r="F520" s="536"/>
      <c r="G520" s="536"/>
      <c r="H520" s="536"/>
      <c r="I520" s="537"/>
      <c r="J520" s="536"/>
      <c r="K520" s="471"/>
    </row>
    <row r="521" spans="1:11">
      <c r="A521" s="463"/>
      <c r="B521" s="1481" t="s">
        <v>961</v>
      </c>
      <c r="C521" s="1482"/>
      <c r="D521" s="1482"/>
      <c r="E521" s="1482"/>
      <c r="F521" s="1482"/>
      <c r="G521" s="1482"/>
      <c r="H521" s="1482"/>
      <c r="I521" s="1483"/>
      <c r="J521" s="586" t="e">
        <f>J519+J513+J506</f>
        <v>#N/A</v>
      </c>
      <c r="K521" s="471"/>
    </row>
    <row r="522" spans="1:11">
      <c r="A522" s="463"/>
      <c r="B522" s="536"/>
      <c r="C522" s="536"/>
      <c r="D522" s="536"/>
      <c r="E522" s="536"/>
      <c r="F522" s="536"/>
      <c r="G522" s="536"/>
      <c r="H522" s="536"/>
      <c r="I522" s="537"/>
      <c r="J522" s="536"/>
      <c r="K522" s="471"/>
    </row>
    <row r="523" spans="1:11">
      <c r="A523" s="463"/>
      <c r="B523" s="1481" t="s">
        <v>962</v>
      </c>
      <c r="C523" s="1482"/>
      <c r="D523" s="1482"/>
      <c r="E523" s="1482"/>
      <c r="F523" s="1482"/>
      <c r="G523" s="1482"/>
      <c r="H523" s="1482"/>
      <c r="I523" s="1483"/>
      <c r="J523" s="514" t="e">
        <f>J521*0</f>
        <v>#N/A</v>
      </c>
      <c r="K523" s="471"/>
    </row>
    <row r="524" spans="1:11">
      <c r="A524" s="463"/>
      <c r="B524" s="536"/>
      <c r="C524" s="536"/>
      <c r="D524" s="536"/>
      <c r="E524" s="536"/>
      <c r="F524" s="536"/>
      <c r="G524" s="536"/>
      <c r="H524" s="536"/>
      <c r="I524" s="537"/>
      <c r="J524" s="536"/>
      <c r="K524" s="471"/>
    </row>
    <row r="525" spans="1:11">
      <c r="A525" s="463"/>
      <c r="B525" s="1481" t="s">
        <v>963</v>
      </c>
      <c r="C525" s="1482"/>
      <c r="D525" s="1482"/>
      <c r="E525" s="1482"/>
      <c r="F525" s="1482"/>
      <c r="G525" s="1482"/>
      <c r="H525" s="1482"/>
      <c r="I525" s="1483"/>
      <c r="J525" s="586" t="e">
        <f>J521+J523</f>
        <v>#N/A</v>
      </c>
      <c r="K525" s="471"/>
    </row>
    <row r="526" spans="1:11">
      <c r="A526" s="463"/>
      <c r="B526" s="524"/>
      <c r="C526" s="524"/>
      <c r="D526" s="524"/>
      <c r="E526" s="524"/>
      <c r="F526" s="524"/>
      <c r="G526" s="524"/>
      <c r="H526" s="524"/>
      <c r="I526" s="584"/>
      <c r="J526" s="524"/>
      <c r="K526" s="471"/>
    </row>
    <row r="527" spans="1:11">
      <c r="A527" s="463"/>
      <c r="B527" s="602"/>
      <c r="C527" s="572"/>
      <c r="D527" s="572"/>
      <c r="E527" s="572"/>
      <c r="F527" s="572"/>
      <c r="G527" s="572"/>
      <c r="H527" s="572"/>
      <c r="I527" s="572"/>
      <c r="J527" s="603"/>
      <c r="K527" s="471"/>
    </row>
    <row r="528" spans="1:11">
      <c r="A528" s="463"/>
      <c r="B528" s="604"/>
      <c r="C528" s="605"/>
      <c r="D528" s="606"/>
      <c r="E528" s="606"/>
      <c r="F528" s="607" t="s">
        <v>946</v>
      </c>
      <c r="G528" s="608" t="s">
        <v>946</v>
      </c>
      <c r="H528" s="605"/>
      <c r="I528" s="605"/>
      <c r="J528" s="609"/>
      <c r="K528" s="471"/>
    </row>
    <row r="529" spans="1:11">
      <c r="A529" s="463"/>
      <c r="B529" s="472"/>
      <c r="C529" s="472"/>
      <c r="D529" s="472"/>
      <c r="E529" s="472"/>
      <c r="F529" s="472"/>
      <c r="G529" s="472"/>
      <c r="H529" s="472"/>
      <c r="I529" s="472"/>
      <c r="J529" s="472"/>
      <c r="K529" s="471"/>
    </row>
    <row r="530" spans="1:11">
      <c r="A530" s="463"/>
      <c r="B530" s="610"/>
      <c r="C530" s="611"/>
      <c r="D530" s="611"/>
      <c r="E530" s="611"/>
      <c r="F530" s="612"/>
      <c r="G530" s="613" t="s">
        <v>363</v>
      </c>
      <c r="H530" s="515"/>
      <c r="I530" s="515"/>
      <c r="J530" s="518"/>
      <c r="K530" s="471"/>
    </row>
    <row r="531" spans="1:11">
      <c r="A531" s="463"/>
      <c r="B531" s="614"/>
      <c r="C531" s="615"/>
      <c r="D531" s="615"/>
      <c r="E531" s="615"/>
      <c r="F531" s="616"/>
      <c r="G531" s="1484" t="s">
        <v>964</v>
      </c>
      <c r="H531" s="1485"/>
      <c r="I531" s="1485"/>
      <c r="J531" s="1486"/>
      <c r="K531" s="471"/>
    </row>
    <row r="532" spans="1:11">
      <c r="A532" s="463"/>
      <c r="B532" s="617"/>
      <c r="C532" s="618"/>
      <c r="D532" s="618"/>
      <c r="E532" s="618"/>
      <c r="F532" s="619"/>
      <c r="G532" s="620"/>
      <c r="H532" s="1487"/>
      <c r="I532" s="1488"/>
      <c r="J532" s="1489"/>
      <c r="K532" s="471"/>
    </row>
    <row r="533" spans="1:11" ht="15" thickBot="1">
      <c r="A533" s="621"/>
      <c r="B533" s="622"/>
      <c r="C533" s="622"/>
      <c r="D533" s="622"/>
      <c r="E533" s="622"/>
      <c r="F533" s="622"/>
      <c r="G533" s="622"/>
      <c r="H533" s="622"/>
      <c r="I533" s="622"/>
      <c r="J533" s="622"/>
      <c r="K533" s="623"/>
    </row>
    <row r="534" spans="1:11">
      <c r="A534" s="460"/>
      <c r="B534" s="461"/>
      <c r="C534" s="461"/>
      <c r="D534" s="461"/>
      <c r="E534" s="461"/>
      <c r="F534" s="461"/>
      <c r="G534" s="461"/>
      <c r="H534" s="461"/>
      <c r="I534" s="461"/>
      <c r="J534" s="461"/>
      <c r="K534" s="462"/>
    </row>
    <row r="535" spans="1:11">
      <c r="A535" s="463"/>
      <c r="B535" s="464" t="s">
        <v>178</v>
      </c>
      <c r="C535" s="465"/>
      <c r="D535" s="466" t="s">
        <v>936</v>
      </c>
      <c r="E535" s="467"/>
      <c r="F535" s="468"/>
      <c r="G535" s="468"/>
      <c r="H535" s="469"/>
      <c r="I535" s="469"/>
      <c r="J535" s="470"/>
      <c r="K535" s="471"/>
    </row>
    <row r="536" spans="1:11">
      <c r="A536" s="463"/>
      <c r="B536" s="472"/>
      <c r="C536" s="472"/>
      <c r="D536" s="472"/>
      <c r="E536" s="472"/>
      <c r="F536" s="472"/>
      <c r="G536" s="472"/>
      <c r="H536" s="472"/>
      <c r="I536" s="472"/>
      <c r="J536" s="472"/>
      <c r="K536" s="471"/>
    </row>
    <row r="537" spans="1:11">
      <c r="A537" s="463"/>
      <c r="B537" s="473" t="s">
        <v>972</v>
      </c>
      <c r="C537" s="474" t="s">
        <v>937</v>
      </c>
      <c r="D537" s="1497" t="s">
        <v>250</v>
      </c>
      <c r="E537" s="1498"/>
      <c r="F537" s="1498"/>
      <c r="G537" s="1498"/>
      <c r="H537" s="1498"/>
      <c r="I537" s="1499"/>
      <c r="J537" s="475" t="s">
        <v>267</v>
      </c>
      <c r="K537" s="471"/>
    </row>
    <row r="538" spans="1:11" ht="30.6">
      <c r="A538" s="463"/>
      <c r="B538" s="476">
        <v>5502171</v>
      </c>
      <c r="C538" s="477"/>
      <c r="D538" s="681" t="s">
        <v>242</v>
      </c>
      <c r="E538" s="479"/>
      <c r="F538" s="479"/>
      <c r="G538" s="479"/>
      <c r="H538" s="479"/>
      <c r="I538" s="480"/>
      <c r="J538" s="481" t="str">
        <f>F557</f>
        <v>m3</v>
      </c>
      <c r="K538" s="471"/>
    </row>
    <row r="539" spans="1:11">
      <c r="A539" s="463"/>
      <c r="B539" s="482"/>
      <c r="C539" s="482"/>
      <c r="D539" s="482"/>
      <c r="E539" s="482"/>
      <c r="F539" s="482"/>
      <c r="G539" s="482"/>
      <c r="H539" s="482"/>
      <c r="I539" s="483"/>
      <c r="J539" s="484"/>
      <c r="K539" s="471"/>
    </row>
    <row r="540" spans="1:11">
      <c r="A540" s="463"/>
      <c r="B540" s="1484" t="s">
        <v>938</v>
      </c>
      <c r="C540" s="1486"/>
      <c r="D540" s="1502" t="s">
        <v>688</v>
      </c>
      <c r="E540" s="1504" t="s">
        <v>939</v>
      </c>
      <c r="F540" s="485" t="s">
        <v>940</v>
      </c>
      <c r="G540" s="486"/>
      <c r="H540" s="485" t="s">
        <v>941</v>
      </c>
      <c r="I540" s="486"/>
      <c r="J540" s="487" t="s">
        <v>942</v>
      </c>
      <c r="K540" s="471"/>
    </row>
    <row r="541" spans="1:11">
      <c r="A541" s="463"/>
      <c r="B541" s="1500"/>
      <c r="C541" s="1501"/>
      <c r="D541" s="1503"/>
      <c r="E541" s="1505"/>
      <c r="F541" s="488" t="s">
        <v>943</v>
      </c>
      <c r="G541" s="488" t="s">
        <v>944</v>
      </c>
      <c r="H541" s="488" t="s">
        <v>943</v>
      </c>
      <c r="I541" s="489" t="s">
        <v>944</v>
      </c>
      <c r="J541" s="490" t="s">
        <v>945</v>
      </c>
      <c r="K541" s="471"/>
    </row>
    <row r="542" spans="1:11">
      <c r="A542" s="463"/>
      <c r="B542" s="499" t="s">
        <v>971</v>
      </c>
      <c r="C542" s="492"/>
      <c r="D542" s="493"/>
      <c r="E542" s="494">
        <v>1</v>
      </c>
      <c r="F542" s="494">
        <v>1</v>
      </c>
      <c r="G542" s="495">
        <f>1-F542</f>
        <v>0</v>
      </c>
      <c r="H542" s="503">
        <f>VLOOKUP(B542,EQUIPAMENTOS!$A:$J,10,FALSE)</f>
        <v>175</v>
      </c>
      <c r="I542" s="497">
        <f>H542</f>
        <v>175</v>
      </c>
      <c r="J542" s="498">
        <f>H542*F542*E542+I542*G542*E542</f>
        <v>175</v>
      </c>
      <c r="K542" s="471"/>
    </row>
    <row r="543" spans="1:11">
      <c r="A543" s="463"/>
      <c r="B543" s="499" t="s">
        <v>614</v>
      </c>
      <c r="C543" s="500"/>
      <c r="D543" s="501"/>
      <c r="E543" s="502">
        <v>5</v>
      </c>
      <c r="F543" s="502">
        <v>1</v>
      </c>
      <c r="G543" s="502">
        <f>1-F543</f>
        <v>0</v>
      </c>
      <c r="H543" s="503" t="e">
        <f>VLOOKUP(B543,EQUIPAMENTOS!$A:$J,10,FALSE)</f>
        <v>#N/A</v>
      </c>
      <c r="I543" s="504" t="e">
        <f>H543</f>
        <v>#N/A</v>
      </c>
      <c r="J543" s="505" t="e">
        <f>H543*F543*E543+I543*G543*E543</f>
        <v>#N/A</v>
      </c>
      <c r="K543" s="471"/>
    </row>
    <row r="544" spans="1:11">
      <c r="A544" s="463"/>
      <c r="B544" s="499"/>
      <c r="C544" s="500"/>
      <c r="D544" s="501"/>
      <c r="E544" s="502"/>
      <c r="F544" s="502"/>
      <c r="G544" s="502"/>
      <c r="H544" s="503"/>
      <c r="I544" s="504"/>
      <c r="J544" s="505">
        <f>H544*F544*E544+I544*G544*E544</f>
        <v>0</v>
      </c>
      <c r="K544" s="471"/>
    </row>
    <row r="545" spans="1:11">
      <c r="A545" s="463"/>
      <c r="B545" s="499"/>
      <c r="C545" s="500"/>
      <c r="D545" s="501"/>
      <c r="E545" s="502"/>
      <c r="F545" s="502"/>
      <c r="G545" s="502"/>
      <c r="H545" s="503"/>
      <c r="I545" s="504"/>
      <c r="J545" s="505">
        <f>H545*F545*E545+I545*G545*E545</f>
        <v>0</v>
      </c>
      <c r="K545" s="471"/>
    </row>
    <row r="546" spans="1:11">
      <c r="A546" s="463"/>
      <c r="B546" s="506"/>
      <c r="C546" s="507"/>
      <c r="D546" s="508"/>
      <c r="E546" s="509"/>
      <c r="F546" s="509"/>
      <c r="G546" s="509"/>
      <c r="H546" s="510"/>
      <c r="I546" s="511"/>
      <c r="J546" s="505">
        <f>H546*F546*E546+I546*G546*E546</f>
        <v>0</v>
      </c>
      <c r="K546" s="471"/>
    </row>
    <row r="547" spans="1:11">
      <c r="A547" s="463"/>
      <c r="B547" s="512" t="s">
        <v>946</v>
      </c>
      <c r="C547" s="482"/>
      <c r="D547" s="482"/>
      <c r="E547" s="482"/>
      <c r="F547" s="482"/>
      <c r="G547" s="482"/>
      <c r="H547" s="482"/>
      <c r="I547" s="513" t="s">
        <v>175</v>
      </c>
      <c r="J547" s="514" t="e">
        <f>SUM(J542:J546)</f>
        <v>#N/A</v>
      </c>
      <c r="K547" s="471"/>
    </row>
    <row r="548" spans="1:11">
      <c r="A548" s="463"/>
      <c r="B548" s="515"/>
      <c r="C548" s="515"/>
      <c r="D548" s="515"/>
      <c r="E548" s="515"/>
      <c r="F548" s="515"/>
      <c r="G548" s="515"/>
      <c r="H548" s="515"/>
      <c r="I548" s="516"/>
      <c r="J548" s="517"/>
      <c r="K548" s="471"/>
    </row>
    <row r="549" spans="1:11" ht="20.399999999999999">
      <c r="A549" s="463"/>
      <c r="B549" s="1490" t="s">
        <v>947</v>
      </c>
      <c r="C549" s="1491"/>
      <c r="D549" s="1491"/>
      <c r="E549" s="1492"/>
      <c r="F549" s="725" t="s">
        <v>688</v>
      </c>
      <c r="G549" s="519"/>
      <c r="H549" s="520" t="s">
        <v>427</v>
      </c>
      <c r="I549" s="521" t="s">
        <v>948</v>
      </c>
      <c r="J549" s="522" t="s">
        <v>949</v>
      </c>
      <c r="K549" s="471"/>
    </row>
    <row r="550" spans="1:11">
      <c r="A550" s="463"/>
      <c r="B550" s="523" t="s">
        <v>974</v>
      </c>
      <c r="C550" s="524"/>
      <c r="D550" s="525"/>
      <c r="E550" s="526"/>
      <c r="F550" s="527"/>
      <c r="G550" s="528"/>
      <c r="H550" s="529">
        <f>E542</f>
        <v>1</v>
      </c>
      <c r="I550" s="534">
        <f>(VLOOKUP(B550,'MÃO DE OBRA'!$A:$E,5,FALSE)/220)</f>
        <v>35.988199999999999</v>
      </c>
      <c r="J550" s="505">
        <f>H550*I550</f>
        <v>35.988199999999999</v>
      </c>
      <c r="K550" s="471"/>
    </row>
    <row r="551" spans="1:11">
      <c r="A551" s="463"/>
      <c r="B551" s="530" t="s">
        <v>950</v>
      </c>
      <c r="C551" s="531"/>
      <c r="D551" s="472"/>
      <c r="E551" s="500"/>
      <c r="F551" s="501"/>
      <c r="G551" s="532"/>
      <c r="H551" s="533">
        <f>E543</f>
        <v>5</v>
      </c>
      <c r="I551" s="534">
        <f>(VLOOKUP(B551,'MÃO DE OBRA'!$A:$E,5,FALSE)/220)</f>
        <v>26.714454545454547</v>
      </c>
      <c r="J551" s="505">
        <f>H551*I551</f>
        <v>133.57227272727275</v>
      </c>
      <c r="K551" s="471"/>
    </row>
    <row r="552" spans="1:11">
      <c r="A552" s="463"/>
      <c r="B552" s="530" t="s">
        <v>472</v>
      </c>
      <c r="C552" s="531"/>
      <c r="D552" s="472"/>
      <c r="E552" s="500"/>
      <c r="F552" s="501"/>
      <c r="G552" s="532"/>
      <c r="H552" s="533">
        <v>1</v>
      </c>
      <c r="I552" s="534">
        <f>(VLOOKUP(B552,'MÃO DE OBRA'!$A:$E,5,FALSE)/220)</f>
        <v>18.377072727272729</v>
      </c>
      <c r="J552" s="505">
        <f>H552*I552</f>
        <v>18.377072727272729</v>
      </c>
      <c r="K552" s="471"/>
    </row>
    <row r="553" spans="1:11">
      <c r="A553" s="463"/>
      <c r="B553" s="530"/>
      <c r="C553" s="531"/>
      <c r="D553" s="472"/>
      <c r="E553" s="500"/>
      <c r="F553" s="501"/>
      <c r="G553" s="532"/>
      <c r="H553" s="533"/>
      <c r="I553" s="504"/>
      <c r="J553" s="505"/>
      <c r="K553" s="471"/>
    </row>
    <row r="554" spans="1:11">
      <c r="A554" s="463"/>
      <c r="B554" s="530"/>
      <c r="C554" s="531"/>
      <c r="D554" s="472"/>
      <c r="E554" s="500"/>
      <c r="F554" s="501"/>
      <c r="G554" s="532"/>
      <c r="H554" s="533"/>
      <c r="I554" s="504"/>
      <c r="J554" s="505">
        <f>H554*I554</f>
        <v>0</v>
      </c>
      <c r="K554" s="471"/>
    </row>
    <row r="555" spans="1:11">
      <c r="A555" s="463"/>
      <c r="B555" s="512" t="s">
        <v>946</v>
      </c>
      <c r="C555" s="515"/>
      <c r="D555" s="515"/>
      <c r="E555" s="515"/>
      <c r="F555" s="515"/>
      <c r="G555" s="515"/>
      <c r="H555" s="515"/>
      <c r="I555" s="535" t="s">
        <v>175</v>
      </c>
      <c r="J555" s="514">
        <f>SUM(J550:J554)</f>
        <v>187.93754545454547</v>
      </c>
      <c r="K555" s="471"/>
    </row>
    <row r="556" spans="1:11">
      <c r="A556" s="463"/>
      <c r="B556" s="536"/>
      <c r="C556" s="536"/>
      <c r="D556" s="536"/>
      <c r="E556" s="536"/>
      <c r="F556" s="536"/>
      <c r="G556" s="536"/>
      <c r="H556" s="536"/>
      <c r="I556" s="537"/>
      <c r="J556" s="536"/>
      <c r="K556" s="471"/>
    </row>
    <row r="557" spans="1:11">
      <c r="A557" s="463"/>
      <c r="B557" s="538" t="s">
        <v>952</v>
      </c>
      <c r="C557" s="539"/>
      <c r="D557" s="536"/>
      <c r="E557" s="540">
        <v>160</v>
      </c>
      <c r="F557" s="541" t="s">
        <v>931</v>
      </c>
      <c r="G557" s="519"/>
      <c r="H557" s="519"/>
      <c r="I557" s="542" t="s">
        <v>953</v>
      </c>
      <c r="J557" s="514" t="e">
        <f>J547+J555</f>
        <v>#N/A</v>
      </c>
      <c r="K557" s="471"/>
    </row>
    <row r="558" spans="1:11">
      <c r="A558" s="463"/>
      <c r="B558" s="543"/>
      <c r="C558" s="536"/>
      <c r="D558" s="536"/>
      <c r="E558" s="544"/>
      <c r="F558" s="545"/>
      <c r="G558" s="545"/>
      <c r="H558" s="545"/>
      <c r="I558" s="537"/>
      <c r="J558" s="536"/>
      <c r="K558" s="471"/>
    </row>
    <row r="559" spans="1:11" ht="20.399999999999999">
      <c r="A559" s="463"/>
      <c r="B559" s="1493" t="s">
        <v>362</v>
      </c>
      <c r="C559" s="1494"/>
      <c r="D559" s="1494"/>
      <c r="E559" s="1495"/>
      <c r="F559" s="546" t="s">
        <v>688</v>
      </c>
      <c r="G559" s="547" t="s">
        <v>371</v>
      </c>
      <c r="H559" s="520" t="s">
        <v>942</v>
      </c>
      <c r="I559" s="548" t="s">
        <v>361</v>
      </c>
      <c r="J559" s="549" t="s">
        <v>363</v>
      </c>
      <c r="K559" s="471"/>
    </row>
    <row r="560" spans="1:11">
      <c r="A560" s="463"/>
      <c r="B560" s="550" t="str">
        <f>B542</f>
        <v>Escavadeira Hidráulica sobre esteira 22T</v>
      </c>
      <c r="C560" s="551"/>
      <c r="D560" s="551"/>
      <c r="E560" s="552"/>
      <c r="F560" s="553" t="str">
        <f>VLOOKUP(B560,EQUIPAMENTOS!$A:$N,12,FALSE)</f>
        <v>Diesel S10</v>
      </c>
      <c r="G560" s="554" t="s">
        <v>415</v>
      </c>
      <c r="H560" s="560">
        <f>VLOOKUP(B560,EQUIPAMENTOS!$A:$N,13,FALSE)</f>
        <v>0</v>
      </c>
      <c r="I560" s="556">
        <f>VLOOKUP(B560,EQUIPAMENTOS!$A:$N,14,FALSE)</f>
        <v>22</v>
      </c>
      <c r="J560" s="498">
        <f>H560*I560*E542*F542</f>
        <v>0</v>
      </c>
      <c r="K560" s="471"/>
    </row>
    <row r="561" spans="1:12">
      <c r="A561" s="463"/>
      <c r="B561" s="550" t="str">
        <f>B543</f>
        <v>Caçamba basculante com capacidade de 14 m³</v>
      </c>
      <c r="C561" s="531"/>
      <c r="D561" s="531"/>
      <c r="E561" s="500"/>
      <c r="F561" s="553" t="e">
        <f>VLOOKUP(B561,EQUIPAMENTOS!$A:$N,12,FALSE)</f>
        <v>#N/A</v>
      </c>
      <c r="G561" s="554" t="s">
        <v>415</v>
      </c>
      <c r="H561" s="560" t="e">
        <f>VLOOKUP(B561,EQUIPAMENTOS!$A:$N,13,FALSE)</f>
        <v>#N/A</v>
      </c>
      <c r="I561" s="556" t="e">
        <f>VLOOKUP(B561,EQUIPAMENTOS!$A:$N,14,FALSE)</f>
        <v>#N/A</v>
      </c>
      <c r="J561" s="505" t="e">
        <f>H561*I561*E543*F543</f>
        <v>#N/A</v>
      </c>
      <c r="K561" s="471"/>
    </row>
    <row r="562" spans="1:12">
      <c r="A562" s="463"/>
      <c r="B562" s="530"/>
      <c r="C562" s="531"/>
      <c r="D562" s="531"/>
      <c r="E562" s="500"/>
      <c r="F562" s="558"/>
      <c r="G562" s="559"/>
      <c r="H562" s="560"/>
      <c r="I562" s="556"/>
      <c r="J562" s="505">
        <f>H562*I562*E543</f>
        <v>0</v>
      </c>
      <c r="K562" s="471"/>
    </row>
    <row r="563" spans="1:12">
      <c r="A563" s="463"/>
      <c r="B563" s="530"/>
      <c r="C563" s="531"/>
      <c r="D563" s="531"/>
      <c r="E563" s="500"/>
      <c r="F563" s="501"/>
      <c r="G563" s="559"/>
      <c r="H563" s="560"/>
      <c r="I563" s="556"/>
      <c r="J563" s="505">
        <f>H563*I563*E544</f>
        <v>0</v>
      </c>
      <c r="K563" s="471"/>
    </row>
    <row r="564" spans="1:12">
      <c r="A564" s="463"/>
      <c r="B564" s="530"/>
      <c r="C564" s="539"/>
      <c r="D564" s="539"/>
      <c r="E564" s="507"/>
      <c r="F564" s="501"/>
      <c r="G564" s="481"/>
      <c r="H564" s="560"/>
      <c r="I564" s="561"/>
      <c r="J564" s="562">
        <f>H564*I564*E545</f>
        <v>0</v>
      </c>
      <c r="K564" s="471"/>
    </row>
    <row r="565" spans="1:12">
      <c r="A565" s="463"/>
      <c r="B565" s="563" t="s">
        <v>946</v>
      </c>
      <c r="C565" s="539"/>
      <c r="D565" s="539"/>
      <c r="E565" s="539"/>
      <c r="F565" s="536"/>
      <c r="G565" s="539"/>
      <c r="H565" s="564"/>
      <c r="I565" s="565" t="s">
        <v>175</v>
      </c>
      <c r="J565" s="514" t="e">
        <f>SUM(J560:J564)</f>
        <v>#N/A</v>
      </c>
      <c r="K565" s="471"/>
      <c r="L565" s="6" t="e">
        <f>J565/E557</f>
        <v>#N/A</v>
      </c>
    </row>
    <row r="566" spans="1:12">
      <c r="A566" s="463"/>
      <c r="B566" s="566"/>
      <c r="C566" s="539"/>
      <c r="D566" s="539"/>
      <c r="E566" s="567"/>
      <c r="F566" s="568"/>
      <c r="G566" s="519"/>
      <c r="H566" s="519"/>
      <c r="I566" s="542"/>
      <c r="J566" s="567"/>
      <c r="K566" s="471"/>
    </row>
    <row r="567" spans="1:12" ht="20.399999999999999">
      <c r="A567" s="463"/>
      <c r="B567" s="1493" t="s">
        <v>955</v>
      </c>
      <c r="C567" s="1494"/>
      <c r="D567" s="1494"/>
      <c r="E567" s="1494"/>
      <c r="F567" s="1495"/>
      <c r="G567" s="569" t="s">
        <v>372</v>
      </c>
      <c r="H567" s="519" t="s">
        <v>956</v>
      </c>
      <c r="I567" s="570" t="s">
        <v>942</v>
      </c>
      <c r="J567" s="522" t="s">
        <v>363</v>
      </c>
      <c r="K567" s="471"/>
    </row>
    <row r="568" spans="1:12">
      <c r="A568" s="463"/>
      <c r="B568" s="571"/>
      <c r="C568" s="572"/>
      <c r="D568" s="573"/>
      <c r="E568" s="573"/>
      <c r="F568" s="574"/>
      <c r="G568" s="502"/>
      <c r="H568" s="502"/>
      <c r="I568" s="575"/>
      <c r="J568" s="505"/>
      <c r="K568" s="471"/>
    </row>
    <row r="569" spans="1:12">
      <c r="A569" s="463"/>
      <c r="B569" s="576"/>
      <c r="C569" s="577"/>
      <c r="D569" s="578"/>
      <c r="E569" s="578"/>
      <c r="F569" s="579"/>
      <c r="G569" s="502"/>
      <c r="H569" s="502"/>
      <c r="I569" s="575"/>
      <c r="J569" s="505"/>
      <c r="K569" s="471"/>
    </row>
    <row r="570" spans="1:12">
      <c r="A570" s="463"/>
      <c r="B570" s="1496" t="s">
        <v>175</v>
      </c>
      <c r="C570" s="1496"/>
      <c r="D570" s="1496"/>
      <c r="E570" s="1496"/>
      <c r="F570" s="1496"/>
      <c r="G570" s="1496"/>
      <c r="H570" s="1496"/>
      <c r="I570" s="1496"/>
      <c r="J570" s="514">
        <f>SUM(J568:J569)</f>
        <v>0</v>
      </c>
      <c r="K570" s="471"/>
    </row>
    <row r="571" spans="1:12">
      <c r="A571" s="463"/>
      <c r="B571" s="580"/>
      <c r="C571" s="524"/>
      <c r="D571" s="524"/>
      <c r="E571" s="581"/>
      <c r="F571" s="582"/>
      <c r="G571" s="583"/>
      <c r="H571" s="583"/>
      <c r="I571" s="584"/>
      <c r="J571" s="585"/>
      <c r="K571" s="471"/>
    </row>
    <row r="572" spans="1:12">
      <c r="A572" s="463"/>
      <c r="B572" s="586" t="s">
        <v>957</v>
      </c>
      <c r="C572" s="586"/>
      <c r="D572" s="563"/>
      <c r="E572" s="536"/>
      <c r="F572" s="536"/>
      <c r="G572" s="536"/>
      <c r="H572" s="587"/>
      <c r="I572" s="588"/>
      <c r="J572" s="514" t="e">
        <f>(J557+J565+J570)/E557</f>
        <v>#N/A</v>
      </c>
      <c r="K572" s="471"/>
    </row>
    <row r="573" spans="1:12">
      <c r="A573" s="463"/>
      <c r="B573" s="566"/>
      <c r="C573" s="539"/>
      <c r="D573" s="539"/>
      <c r="E573" s="567"/>
      <c r="F573" s="568"/>
      <c r="G573" s="519"/>
      <c r="H573" s="519"/>
      <c r="I573" s="542"/>
      <c r="J573" s="589"/>
      <c r="K573" s="471"/>
    </row>
    <row r="574" spans="1:12" ht="20.399999999999999">
      <c r="A574" s="463"/>
      <c r="B574" s="1493" t="s">
        <v>958</v>
      </c>
      <c r="C574" s="1494"/>
      <c r="D574" s="1494"/>
      <c r="E574" s="1494"/>
      <c r="F574" s="1495"/>
      <c r="G574" s="569" t="s">
        <v>372</v>
      </c>
      <c r="H574" s="519" t="s">
        <v>956</v>
      </c>
      <c r="I574" s="570" t="s">
        <v>942</v>
      </c>
      <c r="J574" s="522" t="s">
        <v>363</v>
      </c>
      <c r="K574" s="471"/>
    </row>
    <row r="575" spans="1:12">
      <c r="A575" s="463"/>
      <c r="B575" s="571"/>
      <c r="C575" s="572"/>
      <c r="D575" s="573"/>
      <c r="E575" s="573"/>
      <c r="F575" s="574"/>
      <c r="G575" s="502"/>
      <c r="H575" s="502"/>
      <c r="I575" s="575"/>
      <c r="J575" s="505">
        <f>G575*I575</f>
        <v>0</v>
      </c>
      <c r="K575" s="471"/>
    </row>
    <row r="576" spans="1:12">
      <c r="A576" s="463"/>
      <c r="B576" s="576"/>
      <c r="C576" s="577"/>
      <c r="D576" s="578"/>
      <c r="E576" s="578"/>
      <c r="F576" s="579"/>
      <c r="G576" s="502"/>
      <c r="H576" s="502"/>
      <c r="I576" s="575"/>
      <c r="J576" s="505">
        <f>G576*I576</f>
        <v>0</v>
      </c>
      <c r="K576" s="471"/>
    </row>
    <row r="577" spans="1:11">
      <c r="A577" s="463"/>
      <c r="B577" s="576"/>
      <c r="C577" s="577"/>
      <c r="D577" s="578"/>
      <c r="E577" s="578"/>
      <c r="F577" s="579"/>
      <c r="G577" s="502"/>
      <c r="H577" s="502"/>
      <c r="I577" s="575"/>
      <c r="J577" s="505">
        <f>G577*I577</f>
        <v>0</v>
      </c>
      <c r="K577" s="471"/>
    </row>
    <row r="578" spans="1:11">
      <c r="A578" s="463"/>
      <c r="B578" s="590"/>
      <c r="C578" s="591"/>
      <c r="D578" s="592"/>
      <c r="E578" s="592"/>
      <c r="F578" s="593"/>
      <c r="G578" s="502"/>
      <c r="H578" s="502"/>
      <c r="I578" s="575"/>
      <c r="J578" s="505">
        <f>G578*I578</f>
        <v>0</v>
      </c>
      <c r="K578" s="471"/>
    </row>
    <row r="579" spans="1:11">
      <c r="A579" s="463"/>
      <c r="B579" s="594"/>
      <c r="C579" s="536"/>
      <c r="D579" s="536"/>
      <c r="E579" s="595"/>
      <c r="F579" s="596"/>
      <c r="G579" s="545"/>
      <c r="H579" s="545"/>
      <c r="I579" s="537" t="s">
        <v>175</v>
      </c>
      <c r="J579" s="514">
        <f>SUM(J575:J578)</f>
        <v>0</v>
      </c>
      <c r="K579" s="471"/>
    </row>
    <row r="580" spans="1:11">
      <c r="A580" s="463"/>
      <c r="B580" s="597"/>
      <c r="C580" s="536"/>
      <c r="D580" s="536"/>
      <c r="E580" s="595"/>
      <c r="F580" s="596"/>
      <c r="G580" s="545"/>
      <c r="H580" s="545"/>
      <c r="I580" s="537"/>
      <c r="J580" s="595"/>
      <c r="K580" s="471"/>
    </row>
    <row r="581" spans="1:11" ht="20.399999999999999">
      <c r="A581" s="463"/>
      <c r="B581" s="598" t="s">
        <v>959</v>
      </c>
      <c r="C581" s="598"/>
      <c r="D581" s="598"/>
      <c r="E581" s="599"/>
      <c r="F581" s="600" t="s">
        <v>372</v>
      </c>
      <c r="G581" s="569" t="s">
        <v>960</v>
      </c>
      <c r="H581" s="519" t="s">
        <v>942</v>
      </c>
      <c r="I581" s="570" t="s">
        <v>361</v>
      </c>
      <c r="J581" s="522" t="s">
        <v>363</v>
      </c>
      <c r="K581" s="471"/>
    </row>
    <row r="582" spans="1:11">
      <c r="A582" s="463"/>
      <c r="B582" s="571"/>
      <c r="C582" s="572"/>
      <c r="D582" s="573"/>
      <c r="E582" s="574"/>
      <c r="F582" s="502"/>
      <c r="G582" s="502"/>
      <c r="H582" s="624"/>
      <c r="I582" s="575"/>
      <c r="J582" s="505"/>
      <c r="K582" s="471"/>
    </row>
    <row r="583" spans="1:11">
      <c r="A583" s="463"/>
      <c r="B583" s="576" t="s">
        <v>946</v>
      </c>
      <c r="C583" s="577"/>
      <c r="D583" s="578"/>
      <c r="E583" s="579" t="s">
        <v>946</v>
      </c>
      <c r="F583" s="502">
        <v>0</v>
      </c>
      <c r="G583" s="502">
        <v>0</v>
      </c>
      <c r="H583" s="502">
        <v>0</v>
      </c>
      <c r="I583" s="575">
        <v>0</v>
      </c>
      <c r="J583" s="505">
        <f>I583*H583*G583*F583</f>
        <v>0</v>
      </c>
      <c r="K583" s="471"/>
    </row>
    <row r="584" spans="1:11">
      <c r="A584" s="463"/>
      <c r="B584" s="590" t="s">
        <v>946</v>
      </c>
      <c r="C584" s="591"/>
      <c r="D584" s="592"/>
      <c r="E584" s="593" t="s">
        <v>946</v>
      </c>
      <c r="F584" s="509">
        <v>0</v>
      </c>
      <c r="G584" s="509">
        <v>0</v>
      </c>
      <c r="H584" s="509">
        <v>0</v>
      </c>
      <c r="I584" s="601">
        <v>0</v>
      </c>
      <c r="J584" s="505">
        <f>I584*H584*G584*F584</f>
        <v>0</v>
      </c>
      <c r="K584" s="471"/>
    </row>
    <row r="585" spans="1:11">
      <c r="A585" s="463"/>
      <c r="B585" s="594"/>
      <c r="C585" s="536"/>
      <c r="D585" s="536"/>
      <c r="E585" s="595"/>
      <c r="F585" s="596"/>
      <c r="G585" s="545"/>
      <c r="H585" s="545"/>
      <c r="I585" s="537" t="s">
        <v>175</v>
      </c>
      <c r="J585" s="514">
        <f>SUM(J582:J584)</f>
        <v>0</v>
      </c>
      <c r="K585" s="471"/>
    </row>
    <row r="586" spans="1:11">
      <c r="A586" s="463"/>
      <c r="B586" s="536"/>
      <c r="C586" s="536"/>
      <c r="D586" s="536"/>
      <c r="E586" s="536"/>
      <c r="F586" s="536"/>
      <c r="G586" s="536"/>
      <c r="H586" s="536"/>
      <c r="I586" s="537"/>
      <c r="J586" s="536"/>
      <c r="K586" s="471"/>
    </row>
    <row r="587" spans="1:11">
      <c r="A587" s="463"/>
      <c r="B587" s="1481" t="s">
        <v>961</v>
      </c>
      <c r="C587" s="1482"/>
      <c r="D587" s="1482"/>
      <c r="E587" s="1482"/>
      <c r="F587" s="1482"/>
      <c r="G587" s="1482"/>
      <c r="H587" s="1482"/>
      <c r="I587" s="1483"/>
      <c r="J587" s="586" t="e">
        <f>J585+J579+J572</f>
        <v>#N/A</v>
      </c>
      <c r="K587" s="471"/>
    </row>
    <row r="588" spans="1:11">
      <c r="A588" s="463"/>
      <c r="B588" s="536"/>
      <c r="C588" s="536"/>
      <c r="D588" s="536"/>
      <c r="E588" s="536"/>
      <c r="F588" s="536"/>
      <c r="G588" s="536"/>
      <c r="H588" s="536"/>
      <c r="I588" s="537"/>
      <c r="J588" s="536"/>
      <c r="K588" s="471"/>
    </row>
    <row r="589" spans="1:11">
      <c r="A589" s="463"/>
      <c r="B589" s="1481" t="s">
        <v>962</v>
      </c>
      <c r="C589" s="1482"/>
      <c r="D589" s="1482"/>
      <c r="E589" s="1482"/>
      <c r="F589" s="1482"/>
      <c r="G589" s="1482"/>
      <c r="H589" s="1482"/>
      <c r="I589" s="1483"/>
      <c r="J589" s="514" t="e">
        <f>J587*0</f>
        <v>#N/A</v>
      </c>
      <c r="K589" s="471"/>
    </row>
    <row r="590" spans="1:11">
      <c r="A590" s="463"/>
      <c r="B590" s="536"/>
      <c r="C590" s="536"/>
      <c r="D590" s="536"/>
      <c r="E590" s="536"/>
      <c r="F590" s="536"/>
      <c r="G590" s="536"/>
      <c r="H590" s="536"/>
      <c r="I590" s="537"/>
      <c r="J590" s="536"/>
      <c r="K590" s="471"/>
    </row>
    <row r="591" spans="1:11">
      <c r="A591" s="463"/>
      <c r="B591" s="1481" t="s">
        <v>963</v>
      </c>
      <c r="C591" s="1482"/>
      <c r="D591" s="1482"/>
      <c r="E591" s="1482"/>
      <c r="F591" s="1482"/>
      <c r="G591" s="1482"/>
      <c r="H591" s="1482"/>
      <c r="I591" s="1483"/>
      <c r="J591" s="586" t="e">
        <f>J587+J589</f>
        <v>#N/A</v>
      </c>
      <c r="K591" s="471"/>
    </row>
    <row r="592" spans="1:11">
      <c r="A592" s="463"/>
      <c r="B592" s="524"/>
      <c r="C592" s="524"/>
      <c r="D592" s="524"/>
      <c r="E592" s="524"/>
      <c r="F592" s="524"/>
      <c r="G592" s="524"/>
      <c r="H592" s="524"/>
      <c r="I592" s="584"/>
      <c r="J592" s="524"/>
      <c r="K592" s="471"/>
    </row>
    <row r="593" spans="1:11">
      <c r="A593" s="463"/>
      <c r="B593" s="602"/>
      <c r="C593" s="572"/>
      <c r="D593" s="572"/>
      <c r="E593" s="572"/>
      <c r="F593" s="572"/>
      <c r="G593" s="572"/>
      <c r="H593" s="572"/>
      <c r="I593" s="572"/>
      <c r="J593" s="603"/>
      <c r="K593" s="471"/>
    </row>
    <row r="594" spans="1:11">
      <c r="A594" s="463"/>
      <c r="B594" s="604"/>
      <c r="C594" s="605"/>
      <c r="D594" s="606"/>
      <c r="E594" s="606"/>
      <c r="F594" s="607" t="s">
        <v>946</v>
      </c>
      <c r="G594" s="608" t="s">
        <v>946</v>
      </c>
      <c r="H594" s="605"/>
      <c r="I594" s="605"/>
      <c r="J594" s="609"/>
      <c r="K594" s="471"/>
    </row>
    <row r="595" spans="1:11">
      <c r="A595" s="463"/>
      <c r="B595" s="472"/>
      <c r="C595" s="472"/>
      <c r="D595" s="472"/>
      <c r="E595" s="472"/>
      <c r="F595" s="472"/>
      <c r="G595" s="472"/>
      <c r="H595" s="472"/>
      <c r="I595" s="472"/>
      <c r="J595" s="472"/>
      <c r="K595" s="471"/>
    </row>
    <row r="596" spans="1:11">
      <c r="A596" s="463"/>
      <c r="B596" s="610"/>
      <c r="C596" s="611"/>
      <c r="D596" s="611"/>
      <c r="E596" s="611"/>
      <c r="F596" s="612"/>
      <c r="G596" s="613" t="s">
        <v>363</v>
      </c>
      <c r="H596" s="515"/>
      <c r="I596" s="515"/>
      <c r="J596" s="518"/>
      <c r="K596" s="471"/>
    </row>
    <row r="597" spans="1:11">
      <c r="A597" s="463"/>
      <c r="B597" s="614"/>
      <c r="C597" s="615"/>
      <c r="D597" s="615"/>
      <c r="E597" s="615"/>
      <c r="F597" s="616"/>
      <c r="G597" s="1484" t="s">
        <v>964</v>
      </c>
      <c r="H597" s="1485"/>
      <c r="I597" s="1485"/>
      <c r="J597" s="1486"/>
      <c r="K597" s="471"/>
    </row>
    <row r="598" spans="1:11">
      <c r="A598" s="463"/>
      <c r="B598" s="617"/>
      <c r="C598" s="618"/>
      <c r="D598" s="618"/>
      <c r="E598" s="618"/>
      <c r="F598" s="619"/>
      <c r="G598" s="620"/>
      <c r="H598" s="1487"/>
      <c r="I598" s="1488"/>
      <c r="J598" s="1489"/>
      <c r="K598" s="471"/>
    </row>
    <row r="599" spans="1:11" ht="15" thickBot="1">
      <c r="A599" s="621"/>
      <c r="B599" s="622"/>
      <c r="C599" s="622"/>
      <c r="D599" s="622"/>
      <c r="E599" s="622"/>
      <c r="F599" s="622"/>
      <c r="G599" s="622"/>
      <c r="H599" s="622"/>
      <c r="I599" s="622"/>
      <c r="J599" s="622"/>
      <c r="K599" s="623"/>
    </row>
    <row r="600" spans="1:11">
      <c r="A600" s="460"/>
      <c r="B600" s="461"/>
      <c r="C600" s="461"/>
      <c r="D600" s="461"/>
      <c r="E600" s="461"/>
      <c r="F600" s="461"/>
      <c r="G600" s="461"/>
      <c r="H600" s="461"/>
      <c r="I600" s="461"/>
      <c r="J600" s="461"/>
      <c r="K600" s="462"/>
    </row>
    <row r="601" spans="1:11">
      <c r="A601" s="463"/>
      <c r="B601" s="464" t="s">
        <v>178</v>
      </c>
      <c r="C601" s="465"/>
      <c r="D601" s="466" t="s">
        <v>936</v>
      </c>
      <c r="E601" s="467"/>
      <c r="F601" s="468"/>
      <c r="G601" s="468"/>
      <c r="H601" s="469"/>
      <c r="I601" s="469"/>
      <c r="J601" s="470"/>
      <c r="K601" s="471"/>
    </row>
    <row r="602" spans="1:11">
      <c r="A602" s="463"/>
      <c r="B602" s="472"/>
      <c r="C602" s="472"/>
      <c r="D602" s="472"/>
      <c r="E602" s="472"/>
      <c r="F602" s="472"/>
      <c r="G602" s="472"/>
      <c r="H602" s="472"/>
      <c r="I602" s="472"/>
      <c r="J602" s="472"/>
      <c r="K602" s="471"/>
    </row>
    <row r="603" spans="1:11">
      <c r="A603" s="463"/>
      <c r="B603" s="473" t="s">
        <v>972</v>
      </c>
      <c r="C603" s="474" t="s">
        <v>937</v>
      </c>
      <c r="D603" s="1497" t="s">
        <v>250</v>
      </c>
      <c r="E603" s="1498"/>
      <c r="F603" s="1498"/>
      <c r="G603" s="1498"/>
      <c r="H603" s="1498"/>
      <c r="I603" s="1499"/>
      <c r="J603" s="475" t="s">
        <v>267</v>
      </c>
      <c r="K603" s="471"/>
    </row>
    <row r="604" spans="1:11" ht="30.6">
      <c r="A604" s="463"/>
      <c r="B604" s="476">
        <v>5502172</v>
      </c>
      <c r="C604" s="477"/>
      <c r="D604" s="681" t="s">
        <v>243</v>
      </c>
      <c r="E604" s="479"/>
      <c r="F604" s="479"/>
      <c r="G604" s="479"/>
      <c r="H604" s="479"/>
      <c r="I604" s="480"/>
      <c r="J604" s="481" t="str">
        <f>F623</f>
        <v>m3</v>
      </c>
      <c r="K604" s="471"/>
    </row>
    <row r="605" spans="1:11">
      <c r="A605" s="463"/>
      <c r="B605" s="482"/>
      <c r="C605" s="482"/>
      <c r="D605" s="482"/>
      <c r="E605" s="482"/>
      <c r="F605" s="482"/>
      <c r="G605" s="482"/>
      <c r="H605" s="482"/>
      <c r="I605" s="483"/>
      <c r="J605" s="484"/>
      <c r="K605" s="471"/>
    </row>
    <row r="606" spans="1:11">
      <c r="A606" s="463"/>
      <c r="B606" s="1484" t="s">
        <v>938</v>
      </c>
      <c r="C606" s="1486"/>
      <c r="D606" s="1502" t="s">
        <v>688</v>
      </c>
      <c r="E606" s="1504" t="s">
        <v>939</v>
      </c>
      <c r="F606" s="485" t="s">
        <v>940</v>
      </c>
      <c r="G606" s="486"/>
      <c r="H606" s="485" t="s">
        <v>941</v>
      </c>
      <c r="I606" s="486"/>
      <c r="J606" s="487" t="s">
        <v>942</v>
      </c>
      <c r="K606" s="471"/>
    </row>
    <row r="607" spans="1:11">
      <c r="A607" s="463"/>
      <c r="B607" s="1500"/>
      <c r="C607" s="1501"/>
      <c r="D607" s="1503"/>
      <c r="E607" s="1505"/>
      <c r="F607" s="488" t="s">
        <v>943</v>
      </c>
      <c r="G607" s="488" t="s">
        <v>944</v>
      </c>
      <c r="H607" s="488" t="s">
        <v>943</v>
      </c>
      <c r="I607" s="489" t="s">
        <v>944</v>
      </c>
      <c r="J607" s="490" t="s">
        <v>945</v>
      </c>
      <c r="K607" s="471"/>
    </row>
    <row r="608" spans="1:11">
      <c r="A608" s="463"/>
      <c r="B608" s="499" t="s">
        <v>971</v>
      </c>
      <c r="C608" s="492"/>
      <c r="D608" s="493"/>
      <c r="E608" s="494">
        <v>1</v>
      </c>
      <c r="F608" s="494">
        <v>1</v>
      </c>
      <c r="G608" s="495">
        <f>1-F608</f>
        <v>0</v>
      </c>
      <c r="H608" s="503">
        <f>VLOOKUP(B608,EQUIPAMENTOS!$A:$J,10,FALSE)</f>
        <v>175</v>
      </c>
      <c r="I608" s="497">
        <f>H608</f>
        <v>175</v>
      </c>
      <c r="J608" s="498">
        <f>H608*F608*E608+I608*G608*E608</f>
        <v>175</v>
      </c>
      <c r="K608" s="471"/>
    </row>
    <row r="609" spans="1:11">
      <c r="A609" s="463"/>
      <c r="B609" s="499" t="s">
        <v>614</v>
      </c>
      <c r="C609" s="500"/>
      <c r="D609" s="501"/>
      <c r="E609" s="502">
        <v>5</v>
      </c>
      <c r="F609" s="502">
        <v>1</v>
      </c>
      <c r="G609" s="502">
        <f>1-F609</f>
        <v>0</v>
      </c>
      <c r="H609" s="503" t="e">
        <f>VLOOKUP(B609,EQUIPAMENTOS!$A:$J,10,FALSE)</f>
        <v>#N/A</v>
      </c>
      <c r="I609" s="504" t="e">
        <f>H609</f>
        <v>#N/A</v>
      </c>
      <c r="J609" s="505" t="e">
        <f>H609*F609*E609+I609*G609*E609</f>
        <v>#N/A</v>
      </c>
      <c r="K609" s="471"/>
    </row>
    <row r="610" spans="1:11">
      <c r="A610" s="463"/>
      <c r="B610" s="499"/>
      <c r="C610" s="500"/>
      <c r="D610" s="501"/>
      <c r="E610" s="502"/>
      <c r="F610" s="502"/>
      <c r="G610" s="502"/>
      <c r="H610" s="503"/>
      <c r="I610" s="504"/>
      <c r="J610" s="505">
        <f>H610*F610*E610+I610*G610*E610</f>
        <v>0</v>
      </c>
      <c r="K610" s="471"/>
    </row>
    <row r="611" spans="1:11">
      <c r="A611" s="463"/>
      <c r="B611" s="499"/>
      <c r="C611" s="500"/>
      <c r="D611" s="501"/>
      <c r="E611" s="502"/>
      <c r="F611" s="502"/>
      <c r="G611" s="502"/>
      <c r="H611" s="503"/>
      <c r="I611" s="504"/>
      <c r="J611" s="505">
        <f>H611*F611*E611+I611*G611*E611</f>
        <v>0</v>
      </c>
      <c r="K611" s="471"/>
    </row>
    <row r="612" spans="1:11">
      <c r="A612" s="463"/>
      <c r="B612" s="506"/>
      <c r="C612" s="507"/>
      <c r="D612" s="508"/>
      <c r="E612" s="509"/>
      <c r="F612" s="509"/>
      <c r="G612" s="509"/>
      <c r="H612" s="510"/>
      <c r="I612" s="511"/>
      <c r="J612" s="505">
        <f>H612*F612*E612+I612*G612*E612</f>
        <v>0</v>
      </c>
      <c r="K612" s="471"/>
    </row>
    <row r="613" spans="1:11">
      <c r="A613" s="463"/>
      <c r="B613" s="512" t="s">
        <v>946</v>
      </c>
      <c r="C613" s="482"/>
      <c r="D613" s="482"/>
      <c r="E613" s="482"/>
      <c r="F613" s="482"/>
      <c r="G613" s="482"/>
      <c r="H613" s="482"/>
      <c r="I613" s="513" t="s">
        <v>175</v>
      </c>
      <c r="J613" s="514" t="e">
        <f>SUM(J608:J612)</f>
        <v>#N/A</v>
      </c>
      <c r="K613" s="471"/>
    </row>
    <row r="614" spans="1:11">
      <c r="A614" s="463"/>
      <c r="B614" s="515"/>
      <c r="C614" s="515"/>
      <c r="D614" s="515"/>
      <c r="E614" s="515"/>
      <c r="F614" s="515"/>
      <c r="G614" s="515"/>
      <c r="H614" s="515"/>
      <c r="I614" s="516"/>
      <c r="J614" s="517"/>
      <c r="K614" s="471"/>
    </row>
    <row r="615" spans="1:11" ht="20.399999999999999">
      <c r="A615" s="463"/>
      <c r="B615" s="1490" t="s">
        <v>947</v>
      </c>
      <c r="C615" s="1491"/>
      <c r="D615" s="1491"/>
      <c r="E615" s="1492"/>
      <c r="F615" s="725" t="s">
        <v>688</v>
      </c>
      <c r="G615" s="519"/>
      <c r="H615" s="520" t="s">
        <v>427</v>
      </c>
      <c r="I615" s="521" t="s">
        <v>948</v>
      </c>
      <c r="J615" s="522" t="s">
        <v>949</v>
      </c>
      <c r="K615" s="471"/>
    </row>
    <row r="616" spans="1:11">
      <c r="A616" s="463"/>
      <c r="B616" s="523" t="s">
        <v>974</v>
      </c>
      <c r="C616" s="524"/>
      <c r="D616" s="525"/>
      <c r="E616" s="526"/>
      <c r="F616" s="527"/>
      <c r="G616" s="528"/>
      <c r="H616" s="529">
        <f>E608</f>
        <v>1</v>
      </c>
      <c r="I616" s="534">
        <f>(VLOOKUP(B616,'MÃO DE OBRA'!$A:$E,5,FALSE)/220)</f>
        <v>35.988199999999999</v>
      </c>
      <c r="J616" s="505">
        <f>H616*I616</f>
        <v>35.988199999999999</v>
      </c>
      <c r="K616" s="471"/>
    </row>
    <row r="617" spans="1:11">
      <c r="A617" s="463"/>
      <c r="B617" s="530" t="s">
        <v>950</v>
      </c>
      <c r="C617" s="531"/>
      <c r="D617" s="472"/>
      <c r="E617" s="500"/>
      <c r="F617" s="501"/>
      <c r="G617" s="532"/>
      <c r="H617" s="533">
        <f>E609</f>
        <v>5</v>
      </c>
      <c r="I617" s="534">
        <f>(VLOOKUP(B617,'MÃO DE OBRA'!$A:$E,5,FALSE)/220)</f>
        <v>26.714454545454547</v>
      </c>
      <c r="J617" s="505">
        <f>H617*I617</f>
        <v>133.57227272727275</v>
      </c>
      <c r="K617" s="471"/>
    </row>
    <row r="618" spans="1:11">
      <c r="A618" s="463"/>
      <c r="B618" s="530" t="s">
        <v>472</v>
      </c>
      <c r="C618" s="531"/>
      <c r="D618" s="472"/>
      <c r="E618" s="500"/>
      <c r="F618" s="501"/>
      <c r="G618" s="532"/>
      <c r="H618" s="533">
        <v>1</v>
      </c>
      <c r="I618" s="534">
        <f>(VLOOKUP(B618,'MÃO DE OBRA'!$A:$E,5,FALSE)/220)</f>
        <v>18.377072727272729</v>
      </c>
      <c r="J618" s="505">
        <f>H618*I618</f>
        <v>18.377072727272729</v>
      </c>
      <c r="K618" s="471"/>
    </row>
    <row r="619" spans="1:11">
      <c r="A619" s="463"/>
      <c r="B619" s="530"/>
      <c r="C619" s="531"/>
      <c r="D619" s="472"/>
      <c r="E619" s="500"/>
      <c r="F619" s="501"/>
      <c r="G619" s="532"/>
      <c r="H619" s="533"/>
      <c r="I619" s="504"/>
      <c r="J619" s="505"/>
      <c r="K619" s="471"/>
    </row>
    <row r="620" spans="1:11">
      <c r="A620" s="463"/>
      <c r="B620" s="530"/>
      <c r="C620" s="531"/>
      <c r="D620" s="472"/>
      <c r="E620" s="500"/>
      <c r="F620" s="501"/>
      <c r="G620" s="532"/>
      <c r="H620" s="533"/>
      <c r="I620" s="504"/>
      <c r="J620" s="505">
        <f>H620*I620</f>
        <v>0</v>
      </c>
      <c r="K620" s="471"/>
    </row>
    <row r="621" spans="1:11">
      <c r="A621" s="463"/>
      <c r="B621" s="512" t="s">
        <v>946</v>
      </c>
      <c r="C621" s="515"/>
      <c r="D621" s="515"/>
      <c r="E621" s="515"/>
      <c r="F621" s="515"/>
      <c r="G621" s="515"/>
      <c r="H621" s="515"/>
      <c r="I621" s="535" t="s">
        <v>175</v>
      </c>
      <c r="J621" s="514">
        <f>SUM(J616:J620)</f>
        <v>187.93754545454547</v>
      </c>
      <c r="K621" s="471"/>
    </row>
    <row r="622" spans="1:11">
      <c r="A622" s="463"/>
      <c r="B622" s="536"/>
      <c r="C622" s="536"/>
      <c r="D622" s="536"/>
      <c r="E622" s="536"/>
      <c r="F622" s="536"/>
      <c r="G622" s="536"/>
      <c r="H622" s="536"/>
      <c r="I622" s="537"/>
      <c r="J622" s="536"/>
      <c r="K622" s="471"/>
    </row>
    <row r="623" spans="1:11">
      <c r="A623" s="463"/>
      <c r="B623" s="538" t="s">
        <v>952</v>
      </c>
      <c r="C623" s="539"/>
      <c r="D623" s="536"/>
      <c r="E623" s="540">
        <v>160</v>
      </c>
      <c r="F623" s="541" t="s">
        <v>931</v>
      </c>
      <c r="G623" s="519"/>
      <c r="H623" s="519"/>
      <c r="I623" s="542" t="s">
        <v>953</v>
      </c>
      <c r="J623" s="514" t="e">
        <f>J613+J621</f>
        <v>#N/A</v>
      </c>
      <c r="K623" s="471"/>
    </row>
    <row r="624" spans="1:11">
      <c r="A624" s="463"/>
      <c r="B624" s="543"/>
      <c r="C624" s="536"/>
      <c r="D624" s="536"/>
      <c r="E624" s="544"/>
      <c r="F624" s="545"/>
      <c r="G624" s="545"/>
      <c r="H624" s="545"/>
      <c r="I624" s="537"/>
      <c r="J624" s="536"/>
      <c r="K624" s="471"/>
    </row>
    <row r="625" spans="1:12" ht="20.399999999999999">
      <c r="A625" s="463"/>
      <c r="B625" s="1493" t="s">
        <v>362</v>
      </c>
      <c r="C625" s="1494"/>
      <c r="D625" s="1494"/>
      <c r="E625" s="1495"/>
      <c r="F625" s="546" t="s">
        <v>688</v>
      </c>
      <c r="G625" s="547" t="s">
        <v>371</v>
      </c>
      <c r="H625" s="520" t="s">
        <v>942</v>
      </c>
      <c r="I625" s="548" t="s">
        <v>361</v>
      </c>
      <c r="J625" s="549" t="s">
        <v>363</v>
      </c>
      <c r="K625" s="471"/>
    </row>
    <row r="626" spans="1:12">
      <c r="A626" s="463"/>
      <c r="B626" s="550" t="str">
        <f>B608</f>
        <v>Escavadeira Hidráulica sobre esteira 22T</v>
      </c>
      <c r="C626" s="551"/>
      <c r="D626" s="551"/>
      <c r="E626" s="552"/>
      <c r="F626" s="553" t="str">
        <f>VLOOKUP(B626,EQUIPAMENTOS!$A:$N,12,FALSE)</f>
        <v>Diesel S10</v>
      </c>
      <c r="G626" s="554" t="s">
        <v>415</v>
      </c>
      <c r="H626" s="560">
        <f>VLOOKUP(B626,EQUIPAMENTOS!$A:$N,13,FALSE)</f>
        <v>0</v>
      </c>
      <c r="I626" s="556">
        <f>VLOOKUP(B626,EQUIPAMENTOS!$A:$N,14,FALSE)</f>
        <v>22</v>
      </c>
      <c r="J626" s="498">
        <f>H626*I626*E608*F608</f>
        <v>0</v>
      </c>
      <c r="K626" s="471"/>
    </row>
    <row r="627" spans="1:12">
      <c r="A627" s="463"/>
      <c r="B627" s="550" t="str">
        <f>B609</f>
        <v>Caçamba basculante com capacidade de 14 m³</v>
      </c>
      <c r="C627" s="531"/>
      <c r="D627" s="531"/>
      <c r="E627" s="500"/>
      <c r="F627" s="553" t="e">
        <f>VLOOKUP(B627,EQUIPAMENTOS!$A:$N,12,FALSE)</f>
        <v>#N/A</v>
      </c>
      <c r="G627" s="554" t="s">
        <v>415</v>
      </c>
      <c r="H627" s="560" t="e">
        <f>VLOOKUP(B627,EQUIPAMENTOS!$A:$N,13,FALSE)</f>
        <v>#N/A</v>
      </c>
      <c r="I627" s="556" t="e">
        <f>VLOOKUP(B627,EQUIPAMENTOS!$A:$N,14,FALSE)</f>
        <v>#N/A</v>
      </c>
      <c r="J627" s="505" t="e">
        <f>H627*I627*E609*F609</f>
        <v>#N/A</v>
      </c>
      <c r="K627" s="471"/>
    </row>
    <row r="628" spans="1:12">
      <c r="A628" s="463"/>
      <c r="B628" s="530"/>
      <c r="C628" s="531"/>
      <c r="D628" s="531"/>
      <c r="E628" s="500"/>
      <c r="F628" s="558"/>
      <c r="G628" s="559"/>
      <c r="H628" s="560"/>
      <c r="I628" s="556"/>
      <c r="J628" s="505">
        <f>H628*I628*E609</f>
        <v>0</v>
      </c>
      <c r="K628" s="471"/>
    </row>
    <row r="629" spans="1:12">
      <c r="A629" s="463"/>
      <c r="B629" s="530"/>
      <c r="C629" s="531"/>
      <c r="D629" s="531"/>
      <c r="E629" s="500"/>
      <c r="F629" s="501"/>
      <c r="G629" s="559"/>
      <c r="H629" s="560"/>
      <c r="I629" s="556"/>
      <c r="J629" s="505">
        <f>H629*I629*E610</f>
        <v>0</v>
      </c>
      <c r="K629" s="471"/>
    </row>
    <row r="630" spans="1:12">
      <c r="A630" s="463"/>
      <c r="B630" s="530"/>
      <c r="C630" s="539"/>
      <c r="D630" s="539"/>
      <c r="E630" s="507"/>
      <c r="F630" s="501"/>
      <c r="G630" s="481"/>
      <c r="H630" s="560"/>
      <c r="I630" s="561"/>
      <c r="J630" s="562">
        <f>H630*I630*E611</f>
        <v>0</v>
      </c>
      <c r="K630" s="471"/>
    </row>
    <row r="631" spans="1:12">
      <c r="A631" s="463"/>
      <c r="B631" s="563" t="s">
        <v>946</v>
      </c>
      <c r="C631" s="539"/>
      <c r="D631" s="539"/>
      <c r="E631" s="539"/>
      <c r="F631" s="536"/>
      <c r="G631" s="539"/>
      <c r="H631" s="564"/>
      <c r="I631" s="565" t="s">
        <v>175</v>
      </c>
      <c r="J631" s="514" t="e">
        <f>SUM(J626:J630)</f>
        <v>#N/A</v>
      </c>
      <c r="K631" s="471"/>
      <c r="L631" s="6" t="e">
        <f>J631/E623</f>
        <v>#N/A</v>
      </c>
    </row>
    <row r="632" spans="1:12">
      <c r="A632" s="463"/>
      <c r="B632" s="566"/>
      <c r="C632" s="539"/>
      <c r="D632" s="539"/>
      <c r="E632" s="567"/>
      <c r="F632" s="568"/>
      <c r="G632" s="519"/>
      <c r="H632" s="519"/>
      <c r="I632" s="542"/>
      <c r="J632" s="567"/>
      <c r="K632" s="471"/>
    </row>
    <row r="633" spans="1:12" ht="20.399999999999999">
      <c r="A633" s="463"/>
      <c r="B633" s="1493" t="s">
        <v>955</v>
      </c>
      <c r="C633" s="1494"/>
      <c r="D633" s="1494"/>
      <c r="E633" s="1494"/>
      <c r="F633" s="1495"/>
      <c r="G633" s="569" t="s">
        <v>372</v>
      </c>
      <c r="H633" s="519" t="s">
        <v>956</v>
      </c>
      <c r="I633" s="570" t="s">
        <v>942</v>
      </c>
      <c r="J633" s="522" t="s">
        <v>363</v>
      </c>
      <c r="K633" s="471"/>
    </row>
    <row r="634" spans="1:12">
      <c r="A634" s="463"/>
      <c r="B634" s="571"/>
      <c r="C634" s="572"/>
      <c r="D634" s="573"/>
      <c r="E634" s="573"/>
      <c r="F634" s="574"/>
      <c r="G634" s="502"/>
      <c r="H634" s="502"/>
      <c r="I634" s="575"/>
      <c r="J634" s="505"/>
      <c r="K634" s="471"/>
    </row>
    <row r="635" spans="1:12">
      <c r="A635" s="463"/>
      <c r="B635" s="576"/>
      <c r="C635" s="577"/>
      <c r="D635" s="578"/>
      <c r="E635" s="578"/>
      <c r="F635" s="579"/>
      <c r="G635" s="502"/>
      <c r="H635" s="502"/>
      <c r="I635" s="575"/>
      <c r="J635" s="505"/>
      <c r="K635" s="471"/>
    </row>
    <row r="636" spans="1:12">
      <c r="A636" s="463"/>
      <c r="B636" s="1496" t="s">
        <v>175</v>
      </c>
      <c r="C636" s="1496"/>
      <c r="D636" s="1496"/>
      <c r="E636" s="1496"/>
      <c r="F636" s="1496"/>
      <c r="G636" s="1496"/>
      <c r="H636" s="1496"/>
      <c r="I636" s="1496"/>
      <c r="J636" s="514">
        <f>SUM(J634:J635)</f>
        <v>0</v>
      </c>
      <c r="K636" s="471"/>
    </row>
    <row r="637" spans="1:12">
      <c r="A637" s="463"/>
      <c r="B637" s="580"/>
      <c r="C637" s="524"/>
      <c r="D637" s="524"/>
      <c r="E637" s="581"/>
      <c r="F637" s="582"/>
      <c r="G637" s="583"/>
      <c r="H637" s="583"/>
      <c r="I637" s="584"/>
      <c r="J637" s="585"/>
      <c r="K637" s="471"/>
    </row>
    <row r="638" spans="1:12">
      <c r="A638" s="463"/>
      <c r="B638" s="586" t="s">
        <v>957</v>
      </c>
      <c r="C638" s="586"/>
      <c r="D638" s="563"/>
      <c r="E638" s="536"/>
      <c r="F638" s="536"/>
      <c r="G638" s="536"/>
      <c r="H638" s="587"/>
      <c r="I638" s="588"/>
      <c r="J638" s="514" t="e">
        <f>(J623+J631+J636)/E623</f>
        <v>#N/A</v>
      </c>
      <c r="K638" s="471"/>
    </row>
    <row r="639" spans="1:12">
      <c r="A639" s="463"/>
      <c r="B639" s="566"/>
      <c r="C639" s="539"/>
      <c r="D639" s="539"/>
      <c r="E639" s="567"/>
      <c r="F639" s="568"/>
      <c r="G639" s="519"/>
      <c r="H639" s="519"/>
      <c r="I639" s="542"/>
      <c r="J639" s="589"/>
      <c r="K639" s="471"/>
    </row>
    <row r="640" spans="1:12" ht="20.399999999999999">
      <c r="A640" s="463"/>
      <c r="B640" s="1493" t="s">
        <v>958</v>
      </c>
      <c r="C640" s="1494"/>
      <c r="D640" s="1494"/>
      <c r="E640" s="1494"/>
      <c r="F640" s="1495"/>
      <c r="G640" s="569" t="s">
        <v>372</v>
      </c>
      <c r="H640" s="519" t="s">
        <v>956</v>
      </c>
      <c r="I640" s="570" t="s">
        <v>942</v>
      </c>
      <c r="J640" s="522" t="s">
        <v>363</v>
      </c>
      <c r="K640" s="471"/>
    </row>
    <row r="641" spans="1:11">
      <c r="A641" s="463"/>
      <c r="B641" s="571"/>
      <c r="C641" s="572"/>
      <c r="D641" s="573"/>
      <c r="E641" s="573"/>
      <c r="F641" s="574"/>
      <c r="G641" s="502"/>
      <c r="H641" s="502"/>
      <c r="I641" s="575"/>
      <c r="J641" s="505">
        <f>G641*I641</f>
        <v>0</v>
      </c>
      <c r="K641" s="471"/>
    </row>
    <row r="642" spans="1:11">
      <c r="A642" s="463"/>
      <c r="B642" s="576"/>
      <c r="C642" s="577"/>
      <c r="D642" s="578"/>
      <c r="E642" s="578"/>
      <c r="F642" s="579"/>
      <c r="G642" s="502"/>
      <c r="H642" s="502"/>
      <c r="I642" s="575"/>
      <c r="J642" s="505">
        <f>G642*I642</f>
        <v>0</v>
      </c>
      <c r="K642" s="471"/>
    </row>
    <row r="643" spans="1:11">
      <c r="A643" s="463"/>
      <c r="B643" s="576"/>
      <c r="C643" s="577"/>
      <c r="D643" s="578"/>
      <c r="E643" s="578"/>
      <c r="F643" s="579"/>
      <c r="G643" s="502"/>
      <c r="H643" s="502"/>
      <c r="I643" s="575"/>
      <c r="J643" s="505">
        <f>G643*I643</f>
        <v>0</v>
      </c>
      <c r="K643" s="471"/>
    </row>
    <row r="644" spans="1:11">
      <c r="A644" s="463"/>
      <c r="B644" s="590"/>
      <c r="C644" s="591"/>
      <c r="D644" s="592"/>
      <c r="E644" s="592"/>
      <c r="F644" s="593"/>
      <c r="G644" s="502"/>
      <c r="H644" s="502"/>
      <c r="I644" s="575"/>
      <c r="J644" s="505">
        <f>G644*I644</f>
        <v>0</v>
      </c>
      <c r="K644" s="471"/>
    </row>
    <row r="645" spans="1:11">
      <c r="A645" s="463"/>
      <c r="B645" s="594"/>
      <c r="C645" s="536"/>
      <c r="D645" s="536"/>
      <c r="E645" s="595"/>
      <c r="F645" s="596"/>
      <c r="G645" s="545"/>
      <c r="H645" s="545"/>
      <c r="I645" s="537" t="s">
        <v>175</v>
      </c>
      <c r="J645" s="514">
        <f>SUM(J641:J644)</f>
        <v>0</v>
      </c>
      <c r="K645" s="471"/>
    </row>
    <row r="646" spans="1:11">
      <c r="A646" s="463"/>
      <c r="B646" s="597"/>
      <c r="C646" s="536"/>
      <c r="D646" s="536"/>
      <c r="E646" s="595"/>
      <c r="F646" s="596"/>
      <c r="G646" s="545"/>
      <c r="H646" s="545"/>
      <c r="I646" s="537"/>
      <c r="J646" s="595"/>
      <c r="K646" s="471"/>
    </row>
    <row r="647" spans="1:11" ht="20.399999999999999">
      <c r="A647" s="463"/>
      <c r="B647" s="598" t="s">
        <v>959</v>
      </c>
      <c r="C647" s="598"/>
      <c r="D647" s="598"/>
      <c r="E647" s="599"/>
      <c r="F647" s="600" t="s">
        <v>372</v>
      </c>
      <c r="G647" s="569" t="s">
        <v>960</v>
      </c>
      <c r="H647" s="519" t="s">
        <v>942</v>
      </c>
      <c r="I647" s="570" t="s">
        <v>361</v>
      </c>
      <c r="J647" s="522" t="s">
        <v>363</v>
      </c>
      <c r="K647" s="471"/>
    </row>
    <row r="648" spans="1:11">
      <c r="A648" s="463"/>
      <c r="B648" s="571"/>
      <c r="C648" s="572"/>
      <c r="D648" s="573"/>
      <c r="E648" s="574"/>
      <c r="F648" s="502"/>
      <c r="G648" s="502"/>
      <c r="H648" s="624"/>
      <c r="I648" s="575"/>
      <c r="J648" s="505"/>
      <c r="K648" s="471"/>
    </row>
    <row r="649" spans="1:11">
      <c r="A649" s="463"/>
      <c r="B649" s="576" t="s">
        <v>946</v>
      </c>
      <c r="C649" s="577"/>
      <c r="D649" s="578"/>
      <c r="E649" s="579" t="s">
        <v>946</v>
      </c>
      <c r="F649" s="502">
        <v>0</v>
      </c>
      <c r="G649" s="502">
        <v>0</v>
      </c>
      <c r="H649" s="502">
        <v>0</v>
      </c>
      <c r="I649" s="575">
        <v>0</v>
      </c>
      <c r="J649" s="505">
        <f>I649*H649*G649*F649</f>
        <v>0</v>
      </c>
      <c r="K649" s="471"/>
    </row>
    <row r="650" spans="1:11">
      <c r="A650" s="463"/>
      <c r="B650" s="590" t="s">
        <v>946</v>
      </c>
      <c r="C650" s="591"/>
      <c r="D650" s="592"/>
      <c r="E650" s="593" t="s">
        <v>946</v>
      </c>
      <c r="F650" s="509">
        <v>0</v>
      </c>
      <c r="G650" s="509">
        <v>0</v>
      </c>
      <c r="H650" s="509">
        <v>0</v>
      </c>
      <c r="I650" s="601">
        <v>0</v>
      </c>
      <c r="J650" s="505">
        <f>I650*H650*G650*F650</f>
        <v>0</v>
      </c>
      <c r="K650" s="471"/>
    </row>
    <row r="651" spans="1:11">
      <c r="A651" s="463"/>
      <c r="B651" s="594"/>
      <c r="C651" s="536"/>
      <c r="D651" s="536"/>
      <c r="E651" s="595"/>
      <c r="F651" s="596"/>
      <c r="G651" s="545"/>
      <c r="H651" s="545"/>
      <c r="I651" s="537" t="s">
        <v>175</v>
      </c>
      <c r="J651" s="514">
        <f>SUM(J648:J650)</f>
        <v>0</v>
      </c>
      <c r="K651" s="471"/>
    </row>
    <row r="652" spans="1:11">
      <c r="A652" s="463"/>
      <c r="B652" s="536"/>
      <c r="C652" s="536"/>
      <c r="D652" s="536"/>
      <c r="E652" s="536"/>
      <c r="F652" s="536"/>
      <c r="G652" s="536"/>
      <c r="H652" s="536"/>
      <c r="I652" s="537"/>
      <c r="J652" s="536"/>
      <c r="K652" s="471"/>
    </row>
    <row r="653" spans="1:11">
      <c r="A653" s="463"/>
      <c r="B653" s="1481" t="s">
        <v>961</v>
      </c>
      <c r="C653" s="1482"/>
      <c r="D653" s="1482"/>
      <c r="E653" s="1482"/>
      <c r="F653" s="1482"/>
      <c r="G653" s="1482"/>
      <c r="H653" s="1482"/>
      <c r="I653" s="1483"/>
      <c r="J653" s="586" t="e">
        <f>J651+J645+J638</f>
        <v>#N/A</v>
      </c>
      <c r="K653" s="471"/>
    </row>
    <row r="654" spans="1:11">
      <c r="A654" s="463"/>
      <c r="B654" s="536"/>
      <c r="C654" s="536"/>
      <c r="D654" s="536"/>
      <c r="E654" s="536"/>
      <c r="F654" s="536"/>
      <c r="G654" s="536"/>
      <c r="H654" s="536"/>
      <c r="I654" s="537"/>
      <c r="J654" s="536"/>
      <c r="K654" s="471"/>
    </row>
    <row r="655" spans="1:11">
      <c r="A655" s="463"/>
      <c r="B655" s="1481" t="s">
        <v>962</v>
      </c>
      <c r="C655" s="1482"/>
      <c r="D655" s="1482"/>
      <c r="E655" s="1482"/>
      <c r="F655" s="1482"/>
      <c r="G655" s="1482"/>
      <c r="H655" s="1482"/>
      <c r="I655" s="1483"/>
      <c r="J655" s="514" t="e">
        <f>J653*0</f>
        <v>#N/A</v>
      </c>
      <c r="K655" s="471"/>
    </row>
    <row r="656" spans="1:11">
      <c r="A656" s="463"/>
      <c r="B656" s="536"/>
      <c r="C656" s="536"/>
      <c r="D656" s="536"/>
      <c r="E656" s="536"/>
      <c r="F656" s="536"/>
      <c r="G656" s="536"/>
      <c r="H656" s="536"/>
      <c r="I656" s="537"/>
      <c r="J656" s="536"/>
      <c r="K656" s="471"/>
    </row>
    <row r="657" spans="1:11">
      <c r="A657" s="463"/>
      <c r="B657" s="1481" t="s">
        <v>963</v>
      </c>
      <c r="C657" s="1482"/>
      <c r="D657" s="1482"/>
      <c r="E657" s="1482"/>
      <c r="F657" s="1482"/>
      <c r="G657" s="1482"/>
      <c r="H657" s="1482"/>
      <c r="I657" s="1483"/>
      <c r="J657" s="586" t="e">
        <f>J653+J655</f>
        <v>#N/A</v>
      </c>
      <c r="K657" s="471"/>
    </row>
    <row r="658" spans="1:11">
      <c r="A658" s="463"/>
      <c r="B658" s="524"/>
      <c r="C658" s="524"/>
      <c r="D658" s="524"/>
      <c r="E658" s="524"/>
      <c r="F658" s="524"/>
      <c r="G658" s="524"/>
      <c r="H658" s="524"/>
      <c r="I658" s="584"/>
      <c r="J658" s="524"/>
      <c r="K658" s="471"/>
    </row>
    <row r="659" spans="1:11">
      <c r="A659" s="463"/>
      <c r="B659" s="602"/>
      <c r="C659" s="572"/>
      <c r="D659" s="572"/>
      <c r="E659" s="572"/>
      <c r="F659" s="572"/>
      <c r="G659" s="572"/>
      <c r="H659" s="572"/>
      <c r="I659" s="572"/>
      <c r="J659" s="603"/>
      <c r="K659" s="471"/>
    </row>
    <row r="660" spans="1:11">
      <c r="A660" s="463"/>
      <c r="B660" s="604"/>
      <c r="C660" s="605"/>
      <c r="D660" s="606"/>
      <c r="E660" s="606"/>
      <c r="F660" s="607" t="s">
        <v>946</v>
      </c>
      <c r="G660" s="608" t="s">
        <v>946</v>
      </c>
      <c r="H660" s="605"/>
      <c r="I660" s="605"/>
      <c r="J660" s="609"/>
      <c r="K660" s="471"/>
    </row>
    <row r="661" spans="1:11">
      <c r="A661" s="463"/>
      <c r="B661" s="472"/>
      <c r="C661" s="472"/>
      <c r="D661" s="472"/>
      <c r="E661" s="472"/>
      <c r="F661" s="472"/>
      <c r="G661" s="472"/>
      <c r="H661" s="472"/>
      <c r="I661" s="472"/>
      <c r="J661" s="472"/>
      <c r="K661" s="471"/>
    </row>
    <row r="662" spans="1:11">
      <c r="A662" s="463"/>
      <c r="B662" s="610"/>
      <c r="C662" s="611"/>
      <c r="D662" s="611"/>
      <c r="E662" s="611"/>
      <c r="F662" s="612"/>
      <c r="G662" s="613" t="s">
        <v>363</v>
      </c>
      <c r="H662" s="515"/>
      <c r="I662" s="515"/>
      <c r="J662" s="518"/>
      <c r="K662" s="471"/>
    </row>
    <row r="663" spans="1:11">
      <c r="A663" s="463"/>
      <c r="B663" s="614"/>
      <c r="C663" s="615"/>
      <c r="D663" s="615"/>
      <c r="E663" s="615"/>
      <c r="F663" s="616"/>
      <c r="G663" s="1484" t="s">
        <v>964</v>
      </c>
      <c r="H663" s="1485"/>
      <c r="I663" s="1485"/>
      <c r="J663" s="1486"/>
      <c r="K663" s="471"/>
    </row>
    <row r="664" spans="1:11">
      <c r="A664" s="463"/>
      <c r="B664" s="617"/>
      <c r="C664" s="618"/>
      <c r="D664" s="618"/>
      <c r="E664" s="618"/>
      <c r="F664" s="619"/>
      <c r="G664" s="620"/>
      <c r="H664" s="1487"/>
      <c r="I664" s="1488"/>
      <c r="J664" s="1489"/>
      <c r="K664" s="471"/>
    </row>
    <row r="665" spans="1:11" ht="15" thickBot="1">
      <c r="A665" s="621"/>
      <c r="B665" s="622"/>
      <c r="C665" s="622"/>
      <c r="D665" s="622"/>
      <c r="E665" s="622"/>
      <c r="F665" s="622"/>
      <c r="G665" s="622"/>
      <c r="H665" s="622"/>
      <c r="I665" s="622"/>
      <c r="J665" s="622"/>
      <c r="K665" s="623"/>
    </row>
  </sheetData>
  <mergeCells count="141">
    <mergeCell ref="B85:E85"/>
    <mergeCell ref="B144:C145"/>
    <mergeCell ref="D144:D145"/>
    <mergeCell ref="E144:E145"/>
    <mergeCell ref="B153:E153"/>
    <mergeCell ref="B163:E163"/>
    <mergeCell ref="D141:I141"/>
    <mergeCell ref="B95:E95"/>
    <mergeCell ref="B103:F103"/>
    <mergeCell ref="B106:I106"/>
    <mergeCell ref="B110:F110"/>
    <mergeCell ref="B125:I125"/>
    <mergeCell ref="B127:I127"/>
    <mergeCell ref="B129:I129"/>
    <mergeCell ref="G135:J135"/>
    <mergeCell ref="H136:J136"/>
    <mergeCell ref="D4:I4"/>
    <mergeCell ref="B7:C8"/>
    <mergeCell ref="D7:D8"/>
    <mergeCell ref="E7:E8"/>
    <mergeCell ref="B16:E16"/>
    <mergeCell ref="D73:I73"/>
    <mergeCell ref="B76:C77"/>
    <mergeCell ref="D76:D77"/>
    <mergeCell ref="E76:E77"/>
    <mergeCell ref="G67:J67"/>
    <mergeCell ref="H68:J68"/>
    <mergeCell ref="B35:F35"/>
    <mergeCell ref="B38:I38"/>
    <mergeCell ref="B42:F42"/>
    <mergeCell ref="B57:I57"/>
    <mergeCell ref="B59:I59"/>
    <mergeCell ref="B61:I61"/>
    <mergeCell ref="B27:E27"/>
    <mergeCell ref="B195:I195"/>
    <mergeCell ref="G201:J201"/>
    <mergeCell ref="H202:J202"/>
    <mergeCell ref="B171:F171"/>
    <mergeCell ref="B174:I174"/>
    <mergeCell ref="B178:F178"/>
    <mergeCell ref="B191:I191"/>
    <mergeCell ref="B193:I193"/>
    <mergeCell ref="B285:E285"/>
    <mergeCell ref="B257:I257"/>
    <mergeCell ref="D207:I207"/>
    <mergeCell ref="B210:C211"/>
    <mergeCell ref="D210:D211"/>
    <mergeCell ref="E210:E211"/>
    <mergeCell ref="B219:E219"/>
    <mergeCell ref="B276:C277"/>
    <mergeCell ref="D276:D277"/>
    <mergeCell ref="E276:E277"/>
    <mergeCell ref="B229:E229"/>
    <mergeCell ref="B237:F237"/>
    <mergeCell ref="B240:I240"/>
    <mergeCell ref="B244:F244"/>
    <mergeCell ref="B295:E295"/>
    <mergeCell ref="B259:I259"/>
    <mergeCell ref="B261:I261"/>
    <mergeCell ref="G267:J267"/>
    <mergeCell ref="H268:J268"/>
    <mergeCell ref="D273:I273"/>
    <mergeCell ref="B327:I327"/>
    <mergeCell ref="G333:J333"/>
    <mergeCell ref="H334:J334"/>
    <mergeCell ref="D339:I339"/>
    <mergeCell ref="B342:C343"/>
    <mergeCell ref="D342:D343"/>
    <mergeCell ref="E342:E343"/>
    <mergeCell ref="B303:F303"/>
    <mergeCell ref="B306:I306"/>
    <mergeCell ref="B310:F310"/>
    <mergeCell ref="B323:I323"/>
    <mergeCell ref="B325:I325"/>
    <mergeCell ref="D340:I340"/>
    <mergeCell ref="B389:I389"/>
    <mergeCell ref="B391:I391"/>
    <mergeCell ref="B393:I393"/>
    <mergeCell ref="G399:J399"/>
    <mergeCell ref="H400:J400"/>
    <mergeCell ref="B351:E351"/>
    <mergeCell ref="B361:E361"/>
    <mergeCell ref="B369:F369"/>
    <mergeCell ref="B372:I372"/>
    <mergeCell ref="B376:F376"/>
    <mergeCell ref="B427:E427"/>
    <mergeCell ref="B435:F435"/>
    <mergeCell ref="B438:I438"/>
    <mergeCell ref="B442:F442"/>
    <mergeCell ref="B455:I455"/>
    <mergeCell ref="D405:I405"/>
    <mergeCell ref="B408:C409"/>
    <mergeCell ref="D408:D409"/>
    <mergeCell ref="E408:E409"/>
    <mergeCell ref="B417:E417"/>
    <mergeCell ref="B474:C475"/>
    <mergeCell ref="D474:D475"/>
    <mergeCell ref="E474:E475"/>
    <mergeCell ref="B483:E483"/>
    <mergeCell ref="B493:E493"/>
    <mergeCell ref="B457:I457"/>
    <mergeCell ref="B459:I459"/>
    <mergeCell ref="G465:J465"/>
    <mergeCell ref="H466:J466"/>
    <mergeCell ref="D471:I471"/>
    <mergeCell ref="B574:F574"/>
    <mergeCell ref="B525:I525"/>
    <mergeCell ref="G531:J531"/>
    <mergeCell ref="H532:J532"/>
    <mergeCell ref="D537:I537"/>
    <mergeCell ref="B540:C541"/>
    <mergeCell ref="D540:D541"/>
    <mergeCell ref="E540:E541"/>
    <mergeCell ref="B501:F501"/>
    <mergeCell ref="B504:I504"/>
    <mergeCell ref="B508:F508"/>
    <mergeCell ref="B521:I521"/>
    <mergeCell ref="B523:I523"/>
    <mergeCell ref="B549:E549"/>
    <mergeCell ref="B559:E559"/>
    <mergeCell ref="B567:F567"/>
    <mergeCell ref="B570:I570"/>
    <mergeCell ref="B655:I655"/>
    <mergeCell ref="B657:I657"/>
    <mergeCell ref="G663:J663"/>
    <mergeCell ref="H664:J664"/>
    <mergeCell ref="B625:E625"/>
    <mergeCell ref="B633:F633"/>
    <mergeCell ref="B636:I636"/>
    <mergeCell ref="B640:F640"/>
    <mergeCell ref="B653:I653"/>
    <mergeCell ref="D603:I603"/>
    <mergeCell ref="B606:C607"/>
    <mergeCell ref="D606:D607"/>
    <mergeCell ref="E606:E607"/>
    <mergeCell ref="B615:E615"/>
    <mergeCell ref="B587:I587"/>
    <mergeCell ref="B589:I589"/>
    <mergeCell ref="B591:I591"/>
    <mergeCell ref="G597:J597"/>
    <mergeCell ref="H598:J598"/>
  </mergeCells>
  <phoneticPr fontId="45" type="noConversion"/>
  <pageMargins left="0.511811024" right="0.511811024" top="0.78740157499999996" bottom="0.78740157499999996" header="0.31496062000000002" footer="0.31496062000000002"/>
  <pageSetup paperSize="9" scale="65" orientation="portrait" r:id="rId1"/>
  <rowBreaks count="9" manualBreakCount="9">
    <brk id="69" max="10" man="1"/>
    <brk id="137" max="10" man="1"/>
    <brk id="203" max="10" man="1"/>
    <brk id="269" max="10" man="1"/>
    <brk id="335" max="10" man="1"/>
    <brk id="401" max="10" man="1"/>
    <brk id="467" max="10" man="1"/>
    <brk id="533" max="10" man="1"/>
    <brk id="599" max="10"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66BE-327D-441B-82E5-F3F78BDB2DA4}">
  <sheetPr codeName="Planilha37">
    <tabColor rgb="FFFFFF66"/>
  </sheetPr>
  <dimension ref="A1:L322"/>
  <sheetViews>
    <sheetView view="pageBreakPreview" topLeftCell="A13" zoomScaleNormal="100" zoomScaleSheetLayoutView="100" workbookViewId="0">
      <selection activeCell="B20" sqref="B20:B25"/>
    </sheetView>
  </sheetViews>
  <sheetFormatPr defaultRowHeight="14.4"/>
  <cols>
    <col min="1" max="1" width="2.109375" customWidth="1"/>
    <col min="3" max="3" width="20.88671875" customWidth="1"/>
    <col min="11" max="11" width="2.109375" customWidth="1"/>
    <col min="12" max="12" width="10.5546875" bestFit="1"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972</v>
      </c>
      <c r="C4" s="474" t="s">
        <v>937</v>
      </c>
      <c r="D4" s="1497" t="s">
        <v>250</v>
      </c>
      <c r="E4" s="1498"/>
      <c r="F4" s="1498"/>
      <c r="G4" s="1498"/>
      <c r="H4" s="1498"/>
      <c r="I4" s="1499"/>
      <c r="J4" s="475" t="s">
        <v>267</v>
      </c>
      <c r="K4" s="471"/>
    </row>
    <row r="5" spans="1:12">
      <c r="A5" s="463"/>
      <c r="B5" s="476">
        <v>5503041</v>
      </c>
      <c r="C5" s="477">
        <f ca="1">PLANEJAMENTO!F4</f>
        <v>46140</v>
      </c>
      <c r="D5" s="478" t="s">
        <v>215</v>
      </c>
      <c r="E5" s="479"/>
      <c r="F5" s="479"/>
      <c r="G5" s="479"/>
      <c r="H5" s="479"/>
      <c r="I5" s="480"/>
      <c r="J5" s="481" t="str">
        <f>F31</f>
        <v>m³</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9" t="s">
        <v>642</v>
      </c>
      <c r="C9" s="492"/>
      <c r="D9" s="493"/>
      <c r="E9" s="494">
        <v>1</v>
      </c>
      <c r="F9" s="494">
        <v>1</v>
      </c>
      <c r="G9" s="495">
        <f>1-F9</f>
        <v>0</v>
      </c>
      <c r="H9" s="503">
        <f>VLOOKUP(B9,EQUIPAMENTOS!$A:$J,10,FALSE)</f>
        <v>190</v>
      </c>
      <c r="I9" s="497">
        <f>H9</f>
        <v>190</v>
      </c>
      <c r="J9" s="498">
        <f t="shared" ref="J9:J15" si="0">H9*F9*E9+I9*G9*E9</f>
        <v>190</v>
      </c>
      <c r="K9" s="471"/>
    </row>
    <row r="10" spans="1:12">
      <c r="A10" s="463"/>
      <c r="B10" s="499" t="str">
        <f>EQUIPAMENTOS!A35</f>
        <v>Trator de esteiras 20T</v>
      </c>
      <c r="C10" s="500"/>
      <c r="D10" s="501"/>
      <c r="E10" s="502">
        <v>1</v>
      </c>
      <c r="F10" s="502">
        <v>1</v>
      </c>
      <c r="G10" s="502">
        <f>1-F10</f>
        <v>0</v>
      </c>
      <c r="H10" s="503">
        <f>VLOOKUP(B10,EQUIPAMENTOS!$A:$J,10,FALSE)</f>
        <v>214.36944444444444</v>
      </c>
      <c r="I10" s="504">
        <f>H10</f>
        <v>214.36944444444444</v>
      </c>
      <c r="J10" s="505">
        <f t="shared" si="0"/>
        <v>214.36944444444444</v>
      </c>
      <c r="K10" s="471"/>
      <c r="L10" s="6"/>
    </row>
    <row r="11" spans="1:12">
      <c r="A11" s="463"/>
      <c r="B11" s="499" t="str">
        <f>EQUIPAMENTOS!A28</f>
        <v>Rolo compactador pé de carneiro 10T</v>
      </c>
      <c r="C11" s="500"/>
      <c r="D11" s="501"/>
      <c r="E11" s="742">
        <v>1</v>
      </c>
      <c r="F11" s="502">
        <v>1</v>
      </c>
      <c r="G11" s="502">
        <f>1-F11</f>
        <v>0</v>
      </c>
      <c r="H11" s="503">
        <f>VLOOKUP(B11,EQUIPAMENTOS!$A:$J,10,FALSE)</f>
        <v>145</v>
      </c>
      <c r="I11" s="504">
        <f>H11</f>
        <v>145</v>
      </c>
      <c r="J11" s="505">
        <f t="shared" si="0"/>
        <v>145</v>
      </c>
      <c r="K11" s="471"/>
    </row>
    <row r="12" spans="1:12">
      <c r="A12" s="463"/>
      <c r="B12" s="499" t="str">
        <f>EQUIPAMENTOS!A12</f>
        <v xml:space="preserve">Caminhão Pipa 10.000 l </v>
      </c>
      <c r="C12" s="500"/>
      <c r="D12" s="501"/>
      <c r="E12" s="742">
        <v>1</v>
      </c>
      <c r="F12" s="502">
        <v>1</v>
      </c>
      <c r="G12" s="502">
        <f>1-F12</f>
        <v>0</v>
      </c>
      <c r="H12" s="503">
        <f>VLOOKUP(B12,EQUIPAMENTOS!$A:$J,10,FALSE)</f>
        <v>100</v>
      </c>
      <c r="I12" s="504">
        <f>H12</f>
        <v>100</v>
      </c>
      <c r="J12" s="505">
        <f t="shared" si="0"/>
        <v>100</v>
      </c>
      <c r="K12" s="471"/>
    </row>
    <row r="13" spans="1:12">
      <c r="A13" s="463"/>
      <c r="B13" s="499"/>
      <c r="C13" s="500"/>
      <c r="D13" s="501"/>
      <c r="E13" s="502"/>
      <c r="F13" s="502"/>
      <c r="G13" s="502"/>
      <c r="H13" s="503"/>
      <c r="I13" s="504"/>
      <c r="J13" s="505">
        <f t="shared" si="0"/>
        <v>0</v>
      </c>
      <c r="K13" s="471"/>
    </row>
    <row r="14" spans="1:12">
      <c r="A14" s="463"/>
      <c r="B14" s="499"/>
      <c r="C14" s="500"/>
      <c r="D14" s="501"/>
      <c r="E14" s="502"/>
      <c r="F14" s="502"/>
      <c r="G14" s="502"/>
      <c r="H14" s="503"/>
      <c r="I14" s="504"/>
      <c r="J14" s="505">
        <f t="shared" si="0"/>
        <v>0</v>
      </c>
      <c r="K14" s="471"/>
    </row>
    <row r="15" spans="1:12">
      <c r="A15" s="463"/>
      <c r="B15" s="506"/>
      <c r="C15" s="507"/>
      <c r="D15" s="508"/>
      <c r="E15" s="509"/>
      <c r="F15" s="509"/>
      <c r="G15" s="509"/>
      <c r="H15" s="510"/>
      <c r="I15" s="511"/>
      <c r="J15" s="505">
        <f t="shared" si="0"/>
        <v>0</v>
      </c>
      <c r="K15" s="471"/>
    </row>
    <row r="16" spans="1:12">
      <c r="A16" s="463"/>
      <c r="B16" s="512" t="s">
        <v>946</v>
      </c>
      <c r="C16" s="482"/>
      <c r="D16" s="482"/>
      <c r="E16" s="482"/>
      <c r="F16" s="482"/>
      <c r="G16" s="482"/>
      <c r="H16" s="482"/>
      <c r="I16" s="513" t="s">
        <v>175</v>
      </c>
      <c r="J16" s="514">
        <f>SUM(J9:J15)</f>
        <v>649.36944444444441</v>
      </c>
      <c r="K16" s="471"/>
      <c r="L16" s="6">
        <f>J16/E31</f>
        <v>5.4114120370370369</v>
      </c>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976</v>
      </c>
      <c r="C21" s="531"/>
      <c r="D21" s="472"/>
      <c r="E21" s="500"/>
      <c r="F21" s="501"/>
      <c r="G21" s="532"/>
      <c r="H21" s="533">
        <f>E10</f>
        <v>1</v>
      </c>
      <c r="I21" s="534">
        <f>(VLOOKUP(B21,'MÃO DE OBRA'!$A:$E,5,FALSE)/220)</f>
        <v>35.711036363636367</v>
      </c>
      <c r="J21" s="505">
        <f t="shared" si="1"/>
        <v>35.711036363636367</v>
      </c>
      <c r="K21" s="471"/>
    </row>
    <row r="22" spans="1:11">
      <c r="A22" s="463"/>
      <c r="B22" s="530" t="s">
        <v>969</v>
      </c>
      <c r="C22" s="531"/>
      <c r="D22" s="472"/>
      <c r="E22" s="500"/>
      <c r="F22" s="501"/>
      <c r="G22" s="532"/>
      <c r="H22" s="533">
        <f>E11</f>
        <v>1</v>
      </c>
      <c r="I22" s="534">
        <f>(VLOOKUP(B22,'MÃO DE OBRA'!$A:$E,5,FALSE)/220)</f>
        <v>21.588799999999999</v>
      </c>
      <c r="J22" s="505">
        <f t="shared" si="1"/>
        <v>21.588799999999999</v>
      </c>
      <c r="K22" s="471"/>
    </row>
    <row r="23" spans="1:11">
      <c r="A23" s="463"/>
      <c r="B23" s="530" t="s">
        <v>977</v>
      </c>
      <c r="C23" s="531"/>
      <c r="D23" s="472"/>
      <c r="E23" s="500"/>
      <c r="F23" s="501"/>
      <c r="G23" s="532"/>
      <c r="H23" s="533">
        <f>E12</f>
        <v>1</v>
      </c>
      <c r="I23" s="534">
        <f>(VLOOKUP(B23,'MÃO DE OBRA'!$A:$E,5,FALSE)/220)</f>
        <v>27.68359090909091</v>
      </c>
      <c r="J23" s="505">
        <f t="shared" si="1"/>
        <v>27.68359090909091</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OBRA'!$A:$E,5,FALSE)/220)*1.2</f>
        <v>30.947192727272729</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179.31457272727272</v>
      </c>
      <c r="K29" s="471"/>
    </row>
    <row r="30" spans="1:11">
      <c r="A30" s="463"/>
      <c r="B30" s="536"/>
      <c r="C30" s="536"/>
      <c r="D30" s="536"/>
      <c r="E30" s="536"/>
      <c r="F30" s="536"/>
      <c r="G30" s="536"/>
      <c r="H30" s="536"/>
      <c r="I30" s="537"/>
      <c r="J30" s="536"/>
      <c r="K30" s="471"/>
    </row>
    <row r="31" spans="1:11">
      <c r="A31" s="463"/>
      <c r="B31" s="538" t="s">
        <v>952</v>
      </c>
      <c r="C31" s="539"/>
      <c r="D31" s="536"/>
      <c r="E31" s="540">
        <v>120</v>
      </c>
      <c r="F31" s="541" t="s">
        <v>208</v>
      </c>
      <c r="G31" s="519"/>
      <c r="H31" s="519"/>
      <c r="I31" s="542" t="s">
        <v>953</v>
      </c>
      <c r="J31" s="514">
        <f>J16+J29</f>
        <v>828.68401717171719</v>
      </c>
      <c r="K31" s="471"/>
    </row>
    <row r="32" spans="1:11">
      <c r="A32" s="463"/>
      <c r="B32" s="543"/>
      <c r="C32" s="536"/>
      <c r="D32" s="536"/>
      <c r="E32" s="544"/>
      <c r="F32" s="545"/>
      <c r="G32" s="545"/>
      <c r="H32" s="545"/>
      <c r="I32" s="537"/>
      <c r="J32" s="536"/>
      <c r="K32" s="471"/>
    </row>
    <row r="33" spans="1:12" ht="20.399999999999999">
      <c r="A33" s="463"/>
      <c r="B33" s="1493" t="s">
        <v>362</v>
      </c>
      <c r="C33" s="1494"/>
      <c r="D33" s="1494"/>
      <c r="E33" s="1495"/>
      <c r="F33" s="546" t="s">
        <v>688</v>
      </c>
      <c r="G33" s="547" t="s">
        <v>371</v>
      </c>
      <c r="H33" s="520" t="s">
        <v>942</v>
      </c>
      <c r="I33" s="548" t="s">
        <v>361</v>
      </c>
      <c r="J33" s="549" t="s">
        <v>363</v>
      </c>
      <c r="K33" s="471"/>
    </row>
    <row r="34" spans="1:12">
      <c r="A34" s="463"/>
      <c r="B34" s="550" t="str">
        <f>B9</f>
        <v>Motoniveladora 140K</v>
      </c>
      <c r="C34" s="551"/>
      <c r="D34" s="551"/>
      <c r="E34" s="552"/>
      <c r="F34" s="553" t="str">
        <f>VLOOKUP(B34,EQUIPAMENTOS!$A:$N,12,FALSE)</f>
        <v>Diesel S10</v>
      </c>
      <c r="G34" s="554" t="s">
        <v>415</v>
      </c>
      <c r="H34" s="560">
        <f>VLOOKUP(B34,EQUIPAMENTOS!$A:$N,13,FALSE)</f>
        <v>0</v>
      </c>
      <c r="I34" s="556">
        <f>VLOOKUP(B34,EQUIPAMENTOS!$A:$N,14,FALSE)</f>
        <v>28</v>
      </c>
      <c r="J34" s="498">
        <f t="shared" ref="J34:J39" si="2">H34*I34*E9*F9</f>
        <v>0</v>
      </c>
      <c r="K34" s="471"/>
    </row>
    <row r="35" spans="1:12">
      <c r="A35" s="463"/>
      <c r="B35" s="550" t="str">
        <f>B10</f>
        <v>Trator de esteiras 20T</v>
      </c>
      <c r="C35" s="531"/>
      <c r="D35" s="531"/>
      <c r="E35" s="500"/>
      <c r="F35" s="553" t="str">
        <f>VLOOKUP(B35,EQUIPAMENTOS!$A:$N,12,FALSE)</f>
        <v>Diesel S10</v>
      </c>
      <c r="G35" s="554" t="s">
        <v>415</v>
      </c>
      <c r="H35" s="560">
        <f>VLOOKUP(B35,EQUIPAMENTOS!$A:$N,13,FALSE)</f>
        <v>0</v>
      </c>
      <c r="I35" s="556">
        <f>VLOOKUP(B35,EQUIPAMENTOS!$A:$N,14,FALSE)</f>
        <v>26</v>
      </c>
      <c r="J35" s="505">
        <f t="shared" si="2"/>
        <v>0</v>
      </c>
      <c r="K35" s="471"/>
    </row>
    <row r="36" spans="1:12">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 t="shared" si="2"/>
        <v>0</v>
      </c>
      <c r="K36" s="471"/>
    </row>
    <row r="37" spans="1:12">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 t="shared" si="2"/>
        <v>0</v>
      </c>
      <c r="K37" s="471"/>
    </row>
    <row r="38" spans="1:12">
      <c r="A38" s="463"/>
      <c r="B38" s="530"/>
      <c r="C38" s="531"/>
      <c r="D38" s="531"/>
      <c r="E38" s="500"/>
      <c r="F38" s="501"/>
      <c r="G38" s="559"/>
      <c r="H38" s="560"/>
      <c r="I38" s="556"/>
      <c r="J38" s="505">
        <f t="shared" si="2"/>
        <v>0</v>
      </c>
      <c r="K38" s="471"/>
    </row>
    <row r="39" spans="1:12">
      <c r="A39" s="463"/>
      <c r="B39" s="530"/>
      <c r="C39" s="539"/>
      <c r="D39" s="539"/>
      <c r="E39" s="507"/>
      <c r="F39" s="501"/>
      <c r="G39" s="481"/>
      <c r="H39" s="560"/>
      <c r="I39" s="561"/>
      <c r="J39" s="505">
        <f t="shared" si="2"/>
        <v>0</v>
      </c>
      <c r="K39" s="471"/>
    </row>
    <row r="40" spans="1:12">
      <c r="A40" s="463"/>
      <c r="B40" s="563" t="s">
        <v>946</v>
      </c>
      <c r="C40" s="539"/>
      <c r="D40" s="539"/>
      <c r="E40" s="539"/>
      <c r="F40" s="536"/>
      <c r="G40" s="539"/>
      <c r="H40" s="564"/>
      <c r="I40" s="565" t="s">
        <v>175</v>
      </c>
      <c r="J40" s="514">
        <f>SUM(J34:J39)</f>
        <v>0</v>
      </c>
      <c r="K40" s="471"/>
      <c r="L40" s="6">
        <f>J40/E31</f>
        <v>0</v>
      </c>
    </row>
    <row r="41" spans="1:12">
      <c r="A41" s="463"/>
      <c r="B41" s="566"/>
      <c r="C41" s="539"/>
      <c r="D41" s="539"/>
      <c r="E41" s="567"/>
      <c r="F41" s="568"/>
      <c r="G41" s="519"/>
      <c r="H41" s="519"/>
      <c r="I41" s="542"/>
      <c r="J41" s="567"/>
      <c r="K41" s="471"/>
    </row>
    <row r="42" spans="1:12" ht="20.399999999999999">
      <c r="A42" s="463"/>
      <c r="B42" s="1493" t="s">
        <v>955</v>
      </c>
      <c r="C42" s="1494"/>
      <c r="D42" s="1494"/>
      <c r="E42" s="1494"/>
      <c r="F42" s="1495"/>
      <c r="G42" s="569" t="s">
        <v>372</v>
      </c>
      <c r="H42" s="519" t="s">
        <v>956</v>
      </c>
      <c r="I42" s="570" t="s">
        <v>942</v>
      </c>
      <c r="J42" s="522" t="s">
        <v>363</v>
      </c>
      <c r="K42" s="471"/>
    </row>
    <row r="43" spans="1:12">
      <c r="A43" s="463"/>
      <c r="B43" s="571"/>
      <c r="C43" s="572"/>
      <c r="D43" s="573"/>
      <c r="E43" s="573"/>
      <c r="F43" s="574"/>
      <c r="G43" s="502"/>
      <c r="H43" s="502"/>
      <c r="I43" s="575"/>
      <c r="J43" s="505"/>
      <c r="K43" s="471"/>
    </row>
    <row r="44" spans="1:12">
      <c r="A44" s="463"/>
      <c r="B44" s="576"/>
      <c r="C44" s="577"/>
      <c r="D44" s="578"/>
      <c r="E44" s="578"/>
      <c r="F44" s="579"/>
      <c r="G44" s="502"/>
      <c r="H44" s="502"/>
      <c r="I44" s="575"/>
      <c r="J44" s="505"/>
      <c r="K44" s="471"/>
    </row>
    <row r="45" spans="1:12">
      <c r="A45" s="463"/>
      <c r="B45" s="1496" t="s">
        <v>175</v>
      </c>
      <c r="C45" s="1496"/>
      <c r="D45" s="1496"/>
      <c r="E45" s="1496"/>
      <c r="F45" s="1496"/>
      <c r="G45" s="1496"/>
      <c r="H45" s="1496"/>
      <c r="I45" s="1496"/>
      <c r="J45" s="514">
        <f>SUM(J43:J44)</f>
        <v>0</v>
      </c>
      <c r="K45" s="471"/>
    </row>
    <row r="46" spans="1:12">
      <c r="A46" s="463"/>
      <c r="B46" s="580"/>
      <c r="C46" s="524"/>
      <c r="D46" s="524"/>
      <c r="E46" s="581"/>
      <c r="F46" s="582"/>
      <c r="G46" s="583"/>
      <c r="H46" s="583"/>
      <c r="I46" s="584"/>
      <c r="J46" s="585"/>
      <c r="K46" s="471"/>
    </row>
    <row r="47" spans="1:12">
      <c r="A47" s="463"/>
      <c r="B47" s="586" t="s">
        <v>957</v>
      </c>
      <c r="C47" s="586"/>
      <c r="D47" s="563"/>
      <c r="E47" s="536"/>
      <c r="F47" s="536"/>
      <c r="G47" s="536"/>
      <c r="H47" s="587"/>
      <c r="I47" s="588"/>
      <c r="J47" s="514">
        <f>(J31+J40+J45)/E31</f>
        <v>6.9057001430976435</v>
      </c>
      <c r="K47" s="471"/>
    </row>
    <row r="48" spans="1:12">
      <c r="A48" s="463"/>
      <c r="B48" s="566"/>
      <c r="C48" s="539"/>
      <c r="D48" s="539"/>
      <c r="E48" s="567"/>
      <c r="F48" s="568"/>
      <c r="G48" s="519"/>
      <c r="H48" s="519"/>
      <c r="I48" s="542"/>
      <c r="J48" s="589"/>
      <c r="K48" s="471"/>
    </row>
    <row r="49" spans="1:11" ht="20.399999999999999">
      <c r="A49" s="463"/>
      <c r="B49" s="1493" t="s">
        <v>958</v>
      </c>
      <c r="C49" s="1494"/>
      <c r="D49" s="1494"/>
      <c r="E49" s="1494"/>
      <c r="F49" s="1495"/>
      <c r="G49" s="569" t="s">
        <v>372</v>
      </c>
      <c r="H49" s="519" t="s">
        <v>956</v>
      </c>
      <c r="I49" s="570" t="s">
        <v>942</v>
      </c>
      <c r="J49" s="522" t="s">
        <v>363</v>
      </c>
      <c r="K49" s="471"/>
    </row>
    <row r="50" spans="1:11">
      <c r="A50" s="463"/>
      <c r="B50" s="571"/>
      <c r="C50" s="572"/>
      <c r="D50" s="573"/>
      <c r="E50" s="573"/>
      <c r="F50" s="574"/>
      <c r="G50" s="502"/>
      <c r="H50" s="502"/>
      <c r="I50" s="575"/>
      <c r="J50" s="505">
        <f>G50*I50</f>
        <v>0</v>
      </c>
      <c r="K50" s="471"/>
    </row>
    <row r="51" spans="1:11">
      <c r="A51" s="463"/>
      <c r="B51" s="576"/>
      <c r="C51" s="577"/>
      <c r="D51" s="578"/>
      <c r="E51" s="578"/>
      <c r="F51" s="579"/>
      <c r="G51" s="502"/>
      <c r="H51" s="502"/>
      <c r="I51" s="575"/>
      <c r="J51" s="505">
        <f>G51*I51</f>
        <v>0</v>
      </c>
      <c r="K51" s="471"/>
    </row>
    <row r="52" spans="1:11">
      <c r="A52" s="463"/>
      <c r="B52" s="576"/>
      <c r="C52" s="577"/>
      <c r="D52" s="578"/>
      <c r="E52" s="578"/>
      <c r="F52" s="579"/>
      <c r="G52" s="502"/>
      <c r="H52" s="502"/>
      <c r="I52" s="575"/>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0</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SUM(J57:J58)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J59+J54+J47</f>
        <v>6.9057001430976435</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6.9057001430976435</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row r="74" spans="1:11">
      <c r="A74" s="460"/>
      <c r="B74" s="461"/>
      <c r="C74" s="461"/>
      <c r="D74" s="461"/>
      <c r="E74" s="461"/>
      <c r="F74" s="461"/>
      <c r="G74" s="461"/>
      <c r="H74" s="461"/>
      <c r="I74" s="461"/>
      <c r="J74" s="461"/>
      <c r="K74" s="462"/>
    </row>
    <row r="75" spans="1:11">
      <c r="A75" s="463"/>
      <c r="B75" s="464" t="s">
        <v>178</v>
      </c>
      <c r="C75" s="465"/>
      <c r="D75" s="466" t="s">
        <v>936</v>
      </c>
      <c r="E75" s="467"/>
      <c r="F75" s="468"/>
      <c r="G75" s="468"/>
      <c r="H75" s="469"/>
      <c r="I75" s="469"/>
      <c r="J75" s="470"/>
      <c r="K75" s="471"/>
    </row>
    <row r="76" spans="1:11">
      <c r="A76" s="463"/>
      <c r="B76" s="472"/>
      <c r="C76" s="472"/>
      <c r="D76" s="472"/>
      <c r="E76" s="472"/>
      <c r="F76" s="472"/>
      <c r="G76" s="472"/>
      <c r="H76" s="472"/>
      <c r="I76" s="472"/>
      <c r="J76" s="472"/>
      <c r="K76" s="471"/>
    </row>
    <row r="77" spans="1:11">
      <c r="A77" s="463"/>
      <c r="B77" s="473"/>
      <c r="C77" s="474" t="s">
        <v>937</v>
      </c>
      <c r="D77" s="1497" t="s">
        <v>250</v>
      </c>
      <c r="E77" s="1498"/>
      <c r="F77" s="1498"/>
      <c r="G77" s="1498"/>
      <c r="H77" s="1498"/>
      <c r="I77" s="1499"/>
      <c r="J77" s="475" t="s">
        <v>267</v>
      </c>
      <c r="K77" s="471"/>
    </row>
    <row r="78" spans="1:11">
      <c r="A78" s="463"/>
      <c r="B78" s="476"/>
      <c r="C78" s="477">
        <f ca="1">C5</f>
        <v>46140</v>
      </c>
      <c r="D78" s="478" t="s">
        <v>217</v>
      </c>
      <c r="E78" s="479"/>
      <c r="F78" s="479"/>
      <c r="G78" s="479"/>
      <c r="H78" s="479"/>
      <c r="I78" s="480"/>
      <c r="J78" s="481" t="str">
        <f>F99</f>
        <v>m2</v>
      </c>
      <c r="K78" s="471"/>
    </row>
    <row r="79" spans="1:11">
      <c r="A79" s="463"/>
      <c r="B79" s="482"/>
      <c r="C79" s="482"/>
      <c r="D79" s="482"/>
      <c r="E79" s="482"/>
      <c r="F79" s="482"/>
      <c r="G79" s="482"/>
      <c r="H79" s="482"/>
      <c r="I79" s="483"/>
      <c r="J79" s="484"/>
      <c r="K79" s="471"/>
    </row>
    <row r="80" spans="1:11">
      <c r="A80" s="463"/>
      <c r="B80" s="1484" t="s">
        <v>938</v>
      </c>
      <c r="C80" s="1486"/>
      <c r="D80" s="1502" t="s">
        <v>688</v>
      </c>
      <c r="E80" s="1504" t="s">
        <v>939</v>
      </c>
      <c r="F80" s="485" t="s">
        <v>940</v>
      </c>
      <c r="G80" s="486"/>
      <c r="H80" s="485" t="s">
        <v>941</v>
      </c>
      <c r="I80" s="486"/>
      <c r="J80" s="487" t="s">
        <v>942</v>
      </c>
      <c r="K80" s="471"/>
    </row>
    <row r="81" spans="1:11">
      <c r="A81" s="463"/>
      <c r="B81" s="1500"/>
      <c r="C81" s="1501"/>
      <c r="D81" s="1503"/>
      <c r="E81" s="1505"/>
      <c r="F81" s="488" t="s">
        <v>943</v>
      </c>
      <c r="G81" s="488" t="s">
        <v>944</v>
      </c>
      <c r="H81" s="488" t="s">
        <v>943</v>
      </c>
      <c r="I81" s="489" t="s">
        <v>944</v>
      </c>
      <c r="J81" s="490" t="s">
        <v>945</v>
      </c>
      <c r="K81" s="471"/>
    </row>
    <row r="82" spans="1:11">
      <c r="A82" s="463"/>
      <c r="B82" s="499" t="s">
        <v>642</v>
      </c>
      <c r="C82" s="492"/>
      <c r="D82" s="493"/>
      <c r="E82" s="494">
        <v>1</v>
      </c>
      <c r="F82" s="494">
        <v>1</v>
      </c>
      <c r="G82" s="495">
        <f>1-F82</f>
        <v>0</v>
      </c>
      <c r="H82" s="503">
        <f>VLOOKUP(B82,EQUIPAMENTOS!$A:$J,10,FALSE)</f>
        <v>190</v>
      </c>
      <c r="I82" s="497">
        <f>H82</f>
        <v>190</v>
      </c>
      <c r="J82" s="498">
        <f t="shared" ref="J82:J88" si="3">H82*F82*E82+I82*G82*E82</f>
        <v>190</v>
      </c>
      <c r="K82" s="471"/>
    </row>
    <row r="83" spans="1:11">
      <c r="A83" s="463"/>
      <c r="B83" s="499" t="s">
        <v>669</v>
      </c>
      <c r="C83" s="500"/>
      <c r="D83" s="501"/>
      <c r="E83" s="502">
        <v>1</v>
      </c>
      <c r="F83" s="502">
        <v>1</v>
      </c>
      <c r="G83" s="502">
        <f>1-F83</f>
        <v>0</v>
      </c>
      <c r="H83" s="503">
        <f>VLOOKUP(B83,EQUIPAMENTOS!$A:$J,10,FALSE)</f>
        <v>214.36944444444444</v>
      </c>
      <c r="I83" s="504">
        <f>H83</f>
        <v>214.36944444444444</v>
      </c>
      <c r="J83" s="505">
        <f t="shared" si="3"/>
        <v>214.36944444444444</v>
      </c>
      <c r="K83" s="471"/>
    </row>
    <row r="84" spans="1:11">
      <c r="A84" s="463"/>
      <c r="B84" s="499" t="s">
        <v>655</v>
      </c>
      <c r="C84" s="500"/>
      <c r="D84" s="501"/>
      <c r="E84" s="502">
        <v>2</v>
      </c>
      <c r="F84" s="502">
        <v>1</v>
      </c>
      <c r="G84" s="502">
        <f>1-F84</f>
        <v>0</v>
      </c>
      <c r="H84" s="503">
        <f>VLOOKUP(B84,EQUIPAMENTOS!$A:$J,10,FALSE)</f>
        <v>145</v>
      </c>
      <c r="I84" s="504">
        <f>H84</f>
        <v>145</v>
      </c>
      <c r="J84" s="505">
        <f>H84*F84*E84+I84*G84*E84</f>
        <v>290</v>
      </c>
      <c r="K84" s="471"/>
    </row>
    <row r="85" spans="1:11">
      <c r="A85" s="463"/>
      <c r="B85" s="499" t="str">
        <f>EQUIPAMENTOS!A12</f>
        <v xml:space="preserve">Caminhão Pipa 10.000 l </v>
      </c>
      <c r="C85" s="500"/>
      <c r="D85" s="501"/>
      <c r="E85" s="502">
        <v>2</v>
      </c>
      <c r="F85" s="502">
        <v>1</v>
      </c>
      <c r="G85" s="502">
        <f>1-F85</f>
        <v>0</v>
      </c>
      <c r="H85" s="503">
        <f>VLOOKUP(B85,EQUIPAMENTOS!$A:$J,10,FALSE)</f>
        <v>100</v>
      </c>
      <c r="I85" s="504">
        <f>H85</f>
        <v>100</v>
      </c>
      <c r="J85" s="505">
        <f>H85*F85*E85+I85*G85*E85</f>
        <v>200</v>
      </c>
      <c r="K85" s="471"/>
    </row>
    <row r="86" spans="1:11">
      <c r="A86" s="463"/>
      <c r="B86" s="499"/>
      <c r="C86" s="500"/>
      <c r="D86" s="501"/>
      <c r="E86" s="502"/>
      <c r="F86" s="502"/>
      <c r="G86" s="502"/>
      <c r="H86" s="503"/>
      <c r="I86" s="504"/>
      <c r="J86" s="505">
        <f t="shared" si="3"/>
        <v>0</v>
      </c>
      <c r="K86" s="471"/>
    </row>
    <row r="87" spans="1:11">
      <c r="A87" s="463"/>
      <c r="B87" s="499"/>
      <c r="C87" s="500"/>
      <c r="D87" s="501"/>
      <c r="E87" s="502"/>
      <c r="F87" s="502"/>
      <c r="G87" s="502"/>
      <c r="H87" s="503"/>
      <c r="I87" s="504"/>
      <c r="J87" s="505">
        <f t="shared" si="3"/>
        <v>0</v>
      </c>
      <c r="K87" s="471"/>
    </row>
    <row r="88" spans="1:11">
      <c r="A88" s="463"/>
      <c r="B88" s="506"/>
      <c r="C88" s="507"/>
      <c r="D88" s="508"/>
      <c r="E88" s="509"/>
      <c r="F88" s="509"/>
      <c r="G88" s="509"/>
      <c r="H88" s="510"/>
      <c r="I88" s="511"/>
      <c r="J88" s="505">
        <f t="shared" si="3"/>
        <v>0</v>
      </c>
      <c r="K88" s="471"/>
    </row>
    <row r="89" spans="1:11">
      <c r="A89" s="463"/>
      <c r="B89" s="512" t="s">
        <v>946</v>
      </c>
      <c r="C89" s="482"/>
      <c r="D89" s="482"/>
      <c r="E89" s="482"/>
      <c r="F89" s="482"/>
      <c r="G89" s="482"/>
      <c r="H89" s="482"/>
      <c r="I89" s="513" t="s">
        <v>175</v>
      </c>
      <c r="J89" s="514">
        <f>SUM(J82:J88)</f>
        <v>894.36944444444441</v>
      </c>
      <c r="K89" s="471"/>
    </row>
    <row r="90" spans="1:11">
      <c r="A90" s="463"/>
      <c r="B90" s="515"/>
      <c r="C90" s="515"/>
      <c r="D90" s="515"/>
      <c r="E90" s="515"/>
      <c r="F90" s="515"/>
      <c r="G90" s="515"/>
      <c r="H90" s="515"/>
      <c r="I90" s="516"/>
      <c r="J90" s="517"/>
      <c r="K90" s="471"/>
    </row>
    <row r="91" spans="1:11" ht="20.399999999999999">
      <c r="A91" s="463"/>
      <c r="B91" s="1490" t="s">
        <v>947</v>
      </c>
      <c r="C91" s="1491"/>
      <c r="D91" s="1491"/>
      <c r="E91" s="1492"/>
      <c r="F91" s="518" t="s">
        <v>688</v>
      </c>
      <c r="G91" s="519"/>
      <c r="H91" s="520" t="s">
        <v>427</v>
      </c>
      <c r="I91" s="521" t="s">
        <v>948</v>
      </c>
      <c r="J91" s="522" t="s">
        <v>949</v>
      </c>
      <c r="K91" s="471"/>
    </row>
    <row r="92" spans="1:11">
      <c r="A92" s="463"/>
      <c r="B92" s="523" t="s">
        <v>969</v>
      </c>
      <c r="C92" s="524"/>
      <c r="D92" s="525"/>
      <c r="E92" s="526"/>
      <c r="F92" s="527"/>
      <c r="G92" s="528"/>
      <c r="H92" s="529">
        <f>E84</f>
        <v>2</v>
      </c>
      <c r="I92" s="534">
        <f>(VLOOKUP(B92,'MÃO DE OBRA'!$A:$E,5,FALSE)/220)</f>
        <v>21.588799999999999</v>
      </c>
      <c r="J92" s="505">
        <f>H92*I92</f>
        <v>43.177599999999998</v>
      </c>
      <c r="K92" s="471"/>
    </row>
    <row r="93" spans="1:11">
      <c r="A93" s="463"/>
      <c r="B93" s="530" t="s">
        <v>472</v>
      </c>
      <c r="C93" s="531"/>
      <c r="D93" s="472"/>
      <c r="E93" s="500"/>
      <c r="F93" s="501"/>
      <c r="G93" s="532"/>
      <c r="H93" s="533">
        <v>2</v>
      </c>
      <c r="I93" s="534">
        <f>(VLOOKUP(B93,'MÃO DE OBRA'!$A:$E,5,FALSE)/220)</f>
        <v>18.377072727272729</v>
      </c>
      <c r="J93" s="505">
        <f>H93*I93</f>
        <v>36.754145454545458</v>
      </c>
      <c r="K93" s="471"/>
    </row>
    <row r="94" spans="1:11">
      <c r="A94" s="463"/>
      <c r="B94" s="530" t="s">
        <v>970</v>
      </c>
      <c r="C94" s="531"/>
      <c r="D94" s="472"/>
      <c r="E94" s="500"/>
      <c r="F94" s="501"/>
      <c r="G94" s="532"/>
      <c r="H94" s="533">
        <f>E82</f>
        <v>1</v>
      </c>
      <c r="I94" s="534">
        <f>(VLOOKUP(B94,'MÃO DE OBRA'!$A:$E,5,FALSE)/220)</f>
        <v>35.988199999999999</v>
      </c>
      <c r="J94" s="505">
        <f>H94*I94</f>
        <v>35.988199999999999</v>
      </c>
      <c r="K94" s="471"/>
    </row>
    <row r="95" spans="1:11">
      <c r="A95" s="463"/>
      <c r="B95" s="530" t="s">
        <v>976</v>
      </c>
      <c r="C95" s="531"/>
      <c r="D95" s="472"/>
      <c r="E95" s="500"/>
      <c r="F95" s="501"/>
      <c r="G95" s="532"/>
      <c r="H95" s="533">
        <f>E83</f>
        <v>1</v>
      </c>
      <c r="I95" s="534">
        <f>(VLOOKUP(B95,'MÃO DE OBRA'!$A:$E,5,FALSE)/220)</f>
        <v>35.711036363636367</v>
      </c>
      <c r="J95" s="505">
        <f>H95*I95</f>
        <v>35.711036363636367</v>
      </c>
      <c r="K95" s="471"/>
    </row>
    <row r="96" spans="1:11">
      <c r="A96" s="463"/>
      <c r="B96" s="530" t="s">
        <v>977</v>
      </c>
      <c r="C96" s="531"/>
      <c r="D96" s="472"/>
      <c r="E96" s="500"/>
      <c r="F96" s="501"/>
      <c r="G96" s="532"/>
      <c r="H96" s="533">
        <f>E85</f>
        <v>2</v>
      </c>
      <c r="I96" s="534">
        <f>(VLOOKUP(B96,'MÃO DE OBRA'!$A:$E,5,FALSE)/220)</f>
        <v>27.68359090909091</v>
      </c>
      <c r="J96" s="505">
        <f>H96*I96</f>
        <v>55.36718181818182</v>
      </c>
      <c r="K96" s="471"/>
    </row>
    <row r="97" spans="1:12">
      <c r="A97" s="463"/>
      <c r="B97" s="512" t="s">
        <v>946</v>
      </c>
      <c r="C97" s="515"/>
      <c r="D97" s="515"/>
      <c r="E97" s="515"/>
      <c r="F97" s="515"/>
      <c r="G97" s="515"/>
      <c r="H97" s="515"/>
      <c r="I97" s="535" t="s">
        <v>175</v>
      </c>
      <c r="J97" s="514">
        <f>SUM(J92:J96)</f>
        <v>206.99816363636364</v>
      </c>
      <c r="K97" s="471"/>
      <c r="L97" s="6"/>
    </row>
    <row r="98" spans="1:12">
      <c r="A98" s="463"/>
      <c r="B98" s="536"/>
      <c r="C98" s="536"/>
      <c r="D98" s="536"/>
      <c r="E98" s="536"/>
      <c r="F98" s="536"/>
      <c r="G98" s="536"/>
      <c r="H98" s="536"/>
      <c r="I98" s="537"/>
      <c r="J98" s="536"/>
      <c r="K98" s="471"/>
    </row>
    <row r="99" spans="1:12">
      <c r="A99" s="463"/>
      <c r="B99" s="538" t="s">
        <v>952</v>
      </c>
      <c r="C99" s="539"/>
      <c r="D99" s="536"/>
      <c r="E99" s="540">
        <f>PRODUÇÕES!D17</f>
        <v>160</v>
      </c>
      <c r="F99" s="541" t="s">
        <v>965</v>
      </c>
      <c r="G99" s="519"/>
      <c r="H99" s="519"/>
      <c r="I99" s="542" t="s">
        <v>953</v>
      </c>
      <c r="J99" s="514">
        <f>J89+J97</f>
        <v>1101.3676080808082</v>
      </c>
      <c r="K99" s="471"/>
    </row>
    <row r="100" spans="1:12">
      <c r="A100" s="463"/>
      <c r="B100" s="543"/>
      <c r="C100" s="536"/>
      <c r="D100" s="536"/>
      <c r="E100" s="544"/>
      <c r="F100" s="545"/>
      <c r="G100" s="545"/>
      <c r="H100" s="545"/>
      <c r="I100" s="537"/>
      <c r="J100" s="536"/>
      <c r="K100" s="471"/>
    </row>
    <row r="101" spans="1:12" ht="20.399999999999999">
      <c r="A101" s="463"/>
      <c r="B101" s="1493" t="s">
        <v>362</v>
      </c>
      <c r="C101" s="1494"/>
      <c r="D101" s="1494"/>
      <c r="E101" s="1495"/>
      <c r="F101" s="546" t="s">
        <v>688</v>
      </c>
      <c r="G101" s="547" t="s">
        <v>371</v>
      </c>
      <c r="H101" s="520" t="s">
        <v>942</v>
      </c>
      <c r="I101" s="548" t="s">
        <v>361</v>
      </c>
      <c r="J101" s="549" t="s">
        <v>363</v>
      </c>
      <c r="K101" s="471"/>
    </row>
    <row r="102" spans="1:12">
      <c r="A102" s="463"/>
      <c r="B102" s="550" t="str">
        <f>B82</f>
        <v>Motoniveladora 140K</v>
      </c>
      <c r="C102" s="551"/>
      <c r="D102" s="551"/>
      <c r="E102" s="552"/>
      <c r="F102" s="553" t="str">
        <f>VLOOKUP(B102,EQUIPAMENTOS!$A:$N,12,FALSE)</f>
        <v>Diesel S10</v>
      </c>
      <c r="G102" s="554" t="s">
        <v>415</v>
      </c>
      <c r="H102" s="560">
        <f>VLOOKUP(B102,EQUIPAMENTOS!$A:$N,13,FALSE)</f>
        <v>0</v>
      </c>
      <c r="I102" s="556">
        <f>VLOOKUP(B102,EQUIPAMENTOS!$A:$N,14,FALSE)</f>
        <v>28</v>
      </c>
      <c r="J102" s="498">
        <f>H102*I102*E82*F82</f>
        <v>0</v>
      </c>
      <c r="K102" s="471"/>
    </row>
    <row r="103" spans="1:12">
      <c r="A103" s="463"/>
      <c r="B103" s="530" t="str">
        <f>B83</f>
        <v>Trator de esteiras 20T</v>
      </c>
      <c r="C103" s="531"/>
      <c r="D103" s="531"/>
      <c r="E103" s="500"/>
      <c r="F103" s="553" t="str">
        <f>VLOOKUP(B103,EQUIPAMENTOS!$A:$N,12,FALSE)</f>
        <v>Diesel S10</v>
      </c>
      <c r="G103" s="554" t="s">
        <v>415</v>
      </c>
      <c r="H103" s="560">
        <f>VLOOKUP(B103,EQUIPAMENTOS!$A:$N,13,FALSE)</f>
        <v>0</v>
      </c>
      <c r="I103" s="556">
        <f>VLOOKUP(B103,EQUIPAMENTOS!$A:$N,14,FALSE)</f>
        <v>26</v>
      </c>
      <c r="J103" s="505">
        <f>H103*I103*E83*F83</f>
        <v>0</v>
      </c>
      <c r="K103" s="471"/>
    </row>
    <row r="104" spans="1:12">
      <c r="A104" s="463"/>
      <c r="B104" s="530" t="str">
        <f>B84</f>
        <v>Rolo compactador pé de carneiro 10T</v>
      </c>
      <c r="C104" s="531"/>
      <c r="D104" s="531"/>
      <c r="E104" s="500"/>
      <c r="F104" s="553" t="str">
        <f>VLOOKUP(B104,EQUIPAMENTOS!$A:$N,12,FALSE)</f>
        <v>Diesel S10</v>
      </c>
      <c r="G104" s="554" t="s">
        <v>415</v>
      </c>
      <c r="H104" s="560">
        <f>VLOOKUP(B104,EQUIPAMENTOS!$A:$N,13,FALSE)</f>
        <v>0</v>
      </c>
      <c r="I104" s="556">
        <f>VLOOKUP(B104,EQUIPAMENTOS!$A:$N,14,FALSE)</f>
        <v>16</v>
      </c>
      <c r="J104" s="505">
        <f>H104*I104*E84*F84</f>
        <v>0</v>
      </c>
      <c r="K104" s="471"/>
    </row>
    <row r="105" spans="1:12">
      <c r="A105" s="463"/>
      <c r="B105" s="530" t="str">
        <f>B85</f>
        <v xml:space="preserve">Caminhão Pipa 10.000 l </v>
      </c>
      <c r="C105" s="539"/>
      <c r="D105" s="539"/>
      <c r="E105" s="507"/>
      <c r="F105" s="553" t="str">
        <f>VLOOKUP(B105,EQUIPAMENTOS!$A:$N,12,FALSE)</f>
        <v>Diesel S10</v>
      </c>
      <c r="G105" s="736" t="s">
        <v>415</v>
      </c>
      <c r="H105" s="560">
        <f>VLOOKUP(B105,EQUIPAMENTOS!$A:$N,13,FALSE)</f>
        <v>0</v>
      </c>
      <c r="I105" s="556">
        <f>VLOOKUP(B105,EQUIPAMENTOS!$A:$N,14,FALSE)</f>
        <v>7</v>
      </c>
      <c r="J105" s="505">
        <f>H105*I105*E85*F85</f>
        <v>0</v>
      </c>
      <c r="K105" s="471"/>
    </row>
    <row r="106" spans="1:12">
      <c r="A106" s="463"/>
      <c r="B106" s="563" t="s">
        <v>946</v>
      </c>
      <c r="C106" s="539"/>
      <c r="D106" s="539"/>
      <c r="E106" s="539"/>
      <c r="F106" s="536"/>
      <c r="G106" s="539"/>
      <c r="H106" s="564"/>
      <c r="I106" s="565" t="s">
        <v>175</v>
      </c>
      <c r="J106" s="514">
        <f>SUM(J102:J105)</f>
        <v>0</v>
      </c>
      <c r="K106" s="471"/>
      <c r="L106" s="6">
        <f>J106/E99</f>
        <v>0</v>
      </c>
    </row>
    <row r="107" spans="1:12">
      <c r="A107" s="463"/>
      <c r="B107" s="566"/>
      <c r="C107" s="539"/>
      <c r="D107" s="539"/>
      <c r="E107" s="567"/>
      <c r="F107" s="568"/>
      <c r="G107" s="519"/>
      <c r="H107" s="519"/>
      <c r="I107" s="542"/>
      <c r="J107" s="567"/>
      <c r="K107" s="471"/>
    </row>
    <row r="108" spans="1:12" ht="20.399999999999999">
      <c r="A108" s="463"/>
      <c r="B108" s="1493" t="s">
        <v>955</v>
      </c>
      <c r="C108" s="1494"/>
      <c r="D108" s="1494"/>
      <c r="E108" s="1494"/>
      <c r="F108" s="1495"/>
      <c r="G108" s="569" t="s">
        <v>372</v>
      </c>
      <c r="H108" s="519" t="s">
        <v>956</v>
      </c>
      <c r="I108" s="570" t="s">
        <v>942</v>
      </c>
      <c r="J108" s="522" t="s">
        <v>363</v>
      </c>
      <c r="K108" s="471"/>
    </row>
    <row r="109" spans="1:12">
      <c r="A109" s="463"/>
      <c r="B109" s="571"/>
      <c r="C109" s="572"/>
      <c r="D109" s="573"/>
      <c r="E109" s="573"/>
      <c r="F109" s="574"/>
      <c r="G109" s="502"/>
      <c r="H109" s="502"/>
      <c r="I109" s="575"/>
      <c r="J109" s="505"/>
      <c r="K109" s="471"/>
    </row>
    <row r="110" spans="1:12">
      <c r="A110" s="463"/>
      <c r="B110" s="576"/>
      <c r="C110" s="577"/>
      <c r="D110" s="578"/>
      <c r="E110" s="578"/>
      <c r="F110" s="579"/>
      <c r="G110" s="502"/>
      <c r="H110" s="502"/>
      <c r="I110" s="575"/>
      <c r="J110" s="505"/>
      <c r="K110" s="471"/>
    </row>
    <row r="111" spans="1:12" ht="13.5" customHeight="1">
      <c r="A111" s="463"/>
      <c r="B111" s="1496" t="s">
        <v>175</v>
      </c>
      <c r="C111" s="1496"/>
      <c r="D111" s="1496"/>
      <c r="E111" s="1496"/>
      <c r="F111" s="1496"/>
      <c r="G111" s="1496"/>
      <c r="H111" s="1496"/>
      <c r="I111" s="1496"/>
      <c r="J111" s="514">
        <f>SUM(J109:J110)</f>
        <v>0</v>
      </c>
      <c r="K111" s="471"/>
    </row>
    <row r="112" spans="1:12">
      <c r="A112" s="463"/>
      <c r="B112" s="580"/>
      <c r="C112" s="524"/>
      <c r="D112" s="524"/>
      <c r="E112" s="581"/>
      <c r="F112" s="582"/>
      <c r="G112" s="583"/>
      <c r="H112" s="583"/>
      <c r="I112" s="584"/>
      <c r="J112" s="585"/>
      <c r="K112" s="471"/>
    </row>
    <row r="113" spans="1:11">
      <c r="A113" s="463"/>
      <c r="B113" s="586" t="s">
        <v>957</v>
      </c>
      <c r="C113" s="586"/>
      <c r="D113" s="563"/>
      <c r="E113" s="536"/>
      <c r="F113" s="536"/>
      <c r="G113" s="536"/>
      <c r="H113" s="587"/>
      <c r="I113" s="588"/>
      <c r="J113" s="514">
        <f>(J99+J106+J111)/E99</f>
        <v>6.8835475505050514</v>
      </c>
      <c r="K113" s="471"/>
    </row>
    <row r="114" spans="1:11">
      <c r="A114" s="463"/>
      <c r="B114" s="566"/>
      <c r="C114" s="539"/>
      <c r="D114" s="539"/>
      <c r="E114" s="567"/>
      <c r="F114" s="568"/>
      <c r="G114" s="519"/>
      <c r="H114" s="519"/>
      <c r="I114" s="542"/>
      <c r="J114" s="589"/>
      <c r="K114" s="471"/>
    </row>
    <row r="115" spans="1:11" ht="20.399999999999999">
      <c r="A115" s="463"/>
      <c r="B115" s="1493" t="s">
        <v>958</v>
      </c>
      <c r="C115" s="1494"/>
      <c r="D115" s="1494"/>
      <c r="E115" s="1494"/>
      <c r="F115" s="1495"/>
      <c r="G115" s="569" t="s">
        <v>372</v>
      </c>
      <c r="H115" s="519" t="s">
        <v>956</v>
      </c>
      <c r="I115" s="570" t="s">
        <v>942</v>
      </c>
      <c r="J115" s="522" t="s">
        <v>363</v>
      </c>
      <c r="K115" s="471"/>
    </row>
    <row r="116" spans="1:11">
      <c r="A116" s="463"/>
      <c r="B116" s="571"/>
      <c r="C116" s="572"/>
      <c r="D116" s="573"/>
      <c r="E116" s="573"/>
      <c r="F116" s="574"/>
      <c r="G116" s="502"/>
      <c r="H116" s="502"/>
      <c r="I116" s="575"/>
      <c r="J116" s="505">
        <f>G116*I116</f>
        <v>0</v>
      </c>
      <c r="K116" s="471"/>
    </row>
    <row r="117" spans="1:11">
      <c r="A117" s="463"/>
      <c r="B117" s="576"/>
      <c r="C117" s="577"/>
      <c r="D117" s="578"/>
      <c r="E117" s="578"/>
      <c r="F117" s="579"/>
      <c r="G117" s="502"/>
      <c r="H117" s="502"/>
      <c r="I117" s="575"/>
      <c r="J117" s="505">
        <f>G117*I117</f>
        <v>0</v>
      </c>
      <c r="K117" s="471"/>
    </row>
    <row r="118" spans="1:11">
      <c r="A118" s="463"/>
      <c r="B118" s="576"/>
      <c r="C118" s="577"/>
      <c r="D118" s="578"/>
      <c r="E118" s="578"/>
      <c r="F118" s="579"/>
      <c r="G118" s="502"/>
      <c r="H118" s="502"/>
      <c r="I118" s="575"/>
      <c r="J118" s="505">
        <f>G118*I118</f>
        <v>0</v>
      </c>
      <c r="K118" s="471"/>
    </row>
    <row r="119" spans="1:11">
      <c r="A119" s="463"/>
      <c r="B119" s="590"/>
      <c r="C119" s="591"/>
      <c r="D119" s="592"/>
      <c r="E119" s="592"/>
      <c r="F119" s="593"/>
      <c r="G119" s="502"/>
      <c r="H119" s="502"/>
      <c r="I119" s="575"/>
      <c r="J119" s="505">
        <f>G119*I119</f>
        <v>0</v>
      </c>
      <c r="K119" s="471"/>
    </row>
    <row r="120" spans="1:11">
      <c r="A120" s="463"/>
      <c r="B120" s="594"/>
      <c r="C120" s="536"/>
      <c r="D120" s="536"/>
      <c r="E120" s="595"/>
      <c r="F120" s="596"/>
      <c r="G120" s="545"/>
      <c r="H120" s="545"/>
      <c r="I120" s="537" t="s">
        <v>175</v>
      </c>
      <c r="J120" s="514">
        <f>SUM(J116:J119)</f>
        <v>0</v>
      </c>
      <c r="K120" s="471"/>
    </row>
    <row r="121" spans="1:11">
      <c r="A121" s="463"/>
      <c r="B121" s="597"/>
      <c r="C121" s="536"/>
      <c r="D121" s="536"/>
      <c r="E121" s="595"/>
      <c r="F121" s="596"/>
      <c r="G121" s="545"/>
      <c r="H121" s="545"/>
      <c r="I121" s="537"/>
      <c r="J121" s="595"/>
      <c r="K121" s="471"/>
    </row>
    <row r="122" spans="1:11" ht="20.399999999999999">
      <c r="A122" s="463"/>
      <c r="B122" s="598" t="s">
        <v>959</v>
      </c>
      <c r="C122" s="598"/>
      <c r="D122" s="598"/>
      <c r="E122" s="599"/>
      <c r="F122" s="600" t="s">
        <v>372</v>
      </c>
      <c r="G122" s="569" t="s">
        <v>960</v>
      </c>
      <c r="H122" s="519" t="s">
        <v>942</v>
      </c>
      <c r="I122" s="570" t="s">
        <v>361</v>
      </c>
      <c r="J122" s="522" t="s">
        <v>363</v>
      </c>
      <c r="K122" s="471"/>
    </row>
    <row r="123" spans="1:11">
      <c r="A123" s="463"/>
      <c r="B123" s="576" t="s">
        <v>946</v>
      </c>
      <c r="C123" s="577"/>
      <c r="D123" s="578"/>
      <c r="E123" s="579" t="s">
        <v>946</v>
      </c>
      <c r="F123" s="502">
        <v>0</v>
      </c>
      <c r="G123" s="502">
        <v>0</v>
      </c>
      <c r="H123" s="502">
        <v>0</v>
      </c>
      <c r="I123" s="575">
        <v>0</v>
      </c>
      <c r="J123" s="505">
        <f>I123*H123*G123*F123</f>
        <v>0</v>
      </c>
      <c r="K123" s="471"/>
    </row>
    <row r="124" spans="1:11">
      <c r="A124" s="463"/>
      <c r="B124" s="590" t="s">
        <v>946</v>
      </c>
      <c r="C124" s="591"/>
      <c r="D124" s="592"/>
      <c r="E124" s="593" t="s">
        <v>946</v>
      </c>
      <c r="F124" s="509">
        <v>0</v>
      </c>
      <c r="G124" s="509">
        <v>0</v>
      </c>
      <c r="H124" s="509">
        <v>0</v>
      </c>
      <c r="I124" s="601">
        <v>0</v>
      </c>
      <c r="J124" s="505">
        <f>I124*H124*G124*F124</f>
        <v>0</v>
      </c>
      <c r="K124" s="471"/>
    </row>
    <row r="125" spans="1:11">
      <c r="A125" s="463"/>
      <c r="B125" s="594"/>
      <c r="C125" s="536"/>
      <c r="D125" s="536"/>
      <c r="E125" s="595"/>
      <c r="F125" s="596"/>
      <c r="G125" s="545"/>
      <c r="H125" s="545"/>
      <c r="I125" s="537" t="s">
        <v>175</v>
      </c>
      <c r="J125" s="514">
        <f>SUM(J123:J124)</f>
        <v>0</v>
      </c>
      <c r="K125" s="471"/>
    </row>
    <row r="126" spans="1:11">
      <c r="A126" s="463"/>
      <c r="B126" s="536"/>
      <c r="C126" s="536"/>
      <c r="D126" s="536"/>
      <c r="E126" s="536"/>
      <c r="F126" s="536"/>
      <c r="G126" s="536"/>
      <c r="H126" s="536"/>
      <c r="I126" s="537"/>
      <c r="J126" s="536"/>
      <c r="K126" s="471"/>
    </row>
    <row r="127" spans="1:11">
      <c r="A127" s="463"/>
      <c r="B127" s="1481" t="s">
        <v>961</v>
      </c>
      <c r="C127" s="1482"/>
      <c r="D127" s="1482"/>
      <c r="E127" s="1482"/>
      <c r="F127" s="1482"/>
      <c r="G127" s="1482"/>
      <c r="H127" s="1482"/>
      <c r="I127" s="1483"/>
      <c r="J127" s="586">
        <f>J125+J120+J113</f>
        <v>6.8835475505050514</v>
      </c>
      <c r="K127" s="471"/>
    </row>
    <row r="128" spans="1:11">
      <c r="A128" s="463"/>
      <c r="B128" s="536"/>
      <c r="C128" s="536"/>
      <c r="D128" s="536"/>
      <c r="E128" s="536"/>
      <c r="F128" s="536"/>
      <c r="G128" s="536"/>
      <c r="H128" s="536"/>
      <c r="I128" s="537"/>
      <c r="J128" s="536"/>
      <c r="K128" s="471"/>
    </row>
    <row r="129" spans="1:11">
      <c r="A129" s="463"/>
      <c r="B129" s="1481" t="s">
        <v>962</v>
      </c>
      <c r="C129" s="1482"/>
      <c r="D129" s="1482"/>
      <c r="E129" s="1482"/>
      <c r="F129" s="1482"/>
      <c r="G129" s="1482"/>
      <c r="H129" s="1482"/>
      <c r="I129" s="1483"/>
      <c r="J129" s="514">
        <f>J127*0</f>
        <v>0</v>
      </c>
      <c r="K129" s="471"/>
    </row>
    <row r="130" spans="1:11">
      <c r="A130" s="463"/>
      <c r="B130" s="536"/>
      <c r="C130" s="536"/>
      <c r="D130" s="536"/>
      <c r="E130" s="536"/>
      <c r="F130" s="536"/>
      <c r="G130" s="536"/>
      <c r="H130" s="536"/>
      <c r="I130" s="537"/>
      <c r="J130" s="536"/>
      <c r="K130" s="471"/>
    </row>
    <row r="131" spans="1:11">
      <c r="A131" s="463"/>
      <c r="B131" s="1481" t="s">
        <v>963</v>
      </c>
      <c r="C131" s="1482"/>
      <c r="D131" s="1482"/>
      <c r="E131" s="1482"/>
      <c r="F131" s="1482"/>
      <c r="G131" s="1482"/>
      <c r="H131" s="1482"/>
      <c r="I131" s="1483"/>
      <c r="J131" s="586">
        <f>J127+J129</f>
        <v>6.8835475505050514</v>
      </c>
      <c r="K131" s="471"/>
    </row>
    <row r="132" spans="1:11">
      <c r="A132" s="463"/>
      <c r="B132" s="524"/>
      <c r="C132" s="524"/>
      <c r="D132" s="524"/>
      <c r="E132" s="524"/>
      <c r="F132" s="524"/>
      <c r="G132" s="524"/>
      <c r="H132" s="524"/>
      <c r="I132" s="584"/>
      <c r="J132" s="524"/>
      <c r="K132" s="471"/>
    </row>
    <row r="133" spans="1:11">
      <c r="A133" s="463"/>
      <c r="B133" s="602"/>
      <c r="C133" s="572"/>
      <c r="D133" s="572"/>
      <c r="E133" s="572"/>
      <c r="F133" s="572"/>
      <c r="G133" s="572"/>
      <c r="H133" s="572"/>
      <c r="I133" s="572"/>
      <c r="J133" s="603"/>
      <c r="K133" s="471"/>
    </row>
    <row r="134" spans="1:11">
      <c r="A134" s="463"/>
      <c r="B134" s="604"/>
      <c r="C134" s="605"/>
      <c r="D134" s="606"/>
      <c r="E134" s="606"/>
      <c r="F134" s="607" t="s">
        <v>946</v>
      </c>
      <c r="G134" s="608" t="s">
        <v>946</v>
      </c>
      <c r="H134" s="605"/>
      <c r="I134" s="605"/>
      <c r="J134" s="609"/>
      <c r="K134" s="471"/>
    </row>
    <row r="135" spans="1:11">
      <c r="A135" s="463"/>
      <c r="B135" s="472"/>
      <c r="C135" s="472"/>
      <c r="D135" s="472"/>
      <c r="E135" s="472"/>
      <c r="F135" s="472"/>
      <c r="G135" s="472"/>
      <c r="H135" s="472"/>
      <c r="I135" s="472"/>
      <c r="J135" s="472"/>
      <c r="K135" s="471"/>
    </row>
    <row r="136" spans="1:11">
      <c r="A136" s="463"/>
      <c r="B136" s="610">
        <f>PLANEJAMENTO!E99</f>
        <v>0</v>
      </c>
      <c r="C136" s="611"/>
      <c r="D136" s="611"/>
      <c r="E136" s="611"/>
      <c r="F136" s="612"/>
      <c r="G136" s="613" t="s">
        <v>363</v>
      </c>
      <c r="H136" s="515"/>
      <c r="I136" s="515"/>
      <c r="J136" s="518"/>
      <c r="K136" s="471"/>
    </row>
    <row r="137" spans="1:11">
      <c r="A137" s="463"/>
      <c r="B137" s="614">
        <f>PLANEJAMENTO!E100</f>
        <v>0</v>
      </c>
      <c r="C137" s="615"/>
      <c r="D137" s="615"/>
      <c r="E137" s="615"/>
      <c r="F137" s="616"/>
      <c r="G137" s="1484" t="s">
        <v>964</v>
      </c>
      <c r="H137" s="1485"/>
      <c r="I137" s="1485"/>
      <c r="J137" s="1486"/>
      <c r="K137" s="471"/>
    </row>
    <row r="138" spans="1:11">
      <c r="A138" s="463"/>
      <c r="B138" s="617"/>
      <c r="C138" s="618"/>
      <c r="D138" s="618"/>
      <c r="E138" s="618"/>
      <c r="F138" s="619"/>
      <c r="G138" s="620"/>
      <c r="H138" s="1487"/>
      <c r="I138" s="1488"/>
      <c r="J138" s="1489"/>
      <c r="K138" s="471"/>
    </row>
    <row r="139" spans="1:11" ht="15" thickBot="1">
      <c r="A139" s="621"/>
      <c r="B139" s="622"/>
      <c r="C139" s="622"/>
      <c r="D139" s="622"/>
      <c r="E139" s="622"/>
      <c r="F139" s="622"/>
      <c r="G139" s="622"/>
      <c r="H139" s="622"/>
      <c r="I139" s="622"/>
      <c r="J139" s="622"/>
      <c r="K139" s="623"/>
    </row>
    <row r="140" spans="1:11">
      <c r="A140" s="460"/>
      <c r="B140" s="461"/>
      <c r="C140" s="461"/>
      <c r="D140" s="461"/>
      <c r="E140" s="461"/>
      <c r="F140" s="461"/>
      <c r="G140" s="461"/>
      <c r="H140" s="461"/>
      <c r="I140" s="461"/>
      <c r="J140" s="461"/>
      <c r="K140" s="462"/>
    </row>
    <row r="141" spans="1:11">
      <c r="A141" s="463"/>
      <c r="B141" s="464" t="s">
        <v>178</v>
      </c>
      <c r="C141" s="465"/>
      <c r="D141" s="466" t="s">
        <v>936</v>
      </c>
      <c r="E141" s="467"/>
      <c r="F141" s="468"/>
      <c r="G141" s="468"/>
      <c r="H141" s="469"/>
      <c r="I141" s="469"/>
      <c r="J141" s="470"/>
      <c r="K141" s="471"/>
    </row>
    <row r="142" spans="1:11">
      <c r="A142" s="463"/>
      <c r="B142" s="472"/>
      <c r="C142" s="472"/>
      <c r="D142" s="472"/>
      <c r="E142" s="472"/>
      <c r="F142" s="472"/>
      <c r="G142" s="472"/>
      <c r="H142" s="472"/>
      <c r="I142" s="472"/>
      <c r="J142" s="472"/>
      <c r="K142" s="471"/>
    </row>
    <row r="143" spans="1:11">
      <c r="A143" s="463"/>
      <c r="B143" s="473" t="s">
        <v>972</v>
      </c>
      <c r="C143" s="474" t="s">
        <v>937</v>
      </c>
      <c r="D143" s="1497" t="s">
        <v>250</v>
      </c>
      <c r="E143" s="1498"/>
      <c r="F143" s="1498"/>
      <c r="G143" s="1498"/>
      <c r="H143" s="1498"/>
      <c r="I143" s="1499"/>
      <c r="J143" s="475" t="s">
        <v>267</v>
      </c>
      <c r="K143" s="471"/>
    </row>
    <row r="144" spans="1:11">
      <c r="A144" s="463"/>
      <c r="B144" s="476">
        <v>4815671</v>
      </c>
      <c r="C144" s="477"/>
      <c r="D144" s="478" t="s">
        <v>220</v>
      </c>
      <c r="E144" s="479"/>
      <c r="F144" s="479"/>
      <c r="G144" s="479"/>
      <c r="H144" s="479"/>
      <c r="I144" s="480"/>
      <c r="J144" s="481" t="str">
        <f>F160</f>
        <v>m3</v>
      </c>
      <c r="K144" s="471"/>
    </row>
    <row r="145" spans="1:11">
      <c r="A145" s="463"/>
      <c r="B145" s="482"/>
      <c r="C145" s="482"/>
      <c r="D145" s="482"/>
      <c r="E145" s="482"/>
      <c r="F145" s="482"/>
      <c r="G145" s="482"/>
      <c r="H145" s="482"/>
      <c r="I145" s="483"/>
      <c r="J145" s="484"/>
      <c r="K145" s="471"/>
    </row>
    <row r="146" spans="1:11">
      <c r="A146" s="463"/>
      <c r="B146" s="1484" t="s">
        <v>938</v>
      </c>
      <c r="C146" s="1486"/>
      <c r="D146" s="1502" t="s">
        <v>688</v>
      </c>
      <c r="E146" s="1504" t="s">
        <v>939</v>
      </c>
      <c r="F146" s="485" t="s">
        <v>940</v>
      </c>
      <c r="G146" s="486"/>
      <c r="H146" s="485" t="s">
        <v>941</v>
      </c>
      <c r="I146" s="486"/>
      <c r="J146" s="487" t="s">
        <v>942</v>
      </c>
      <c r="K146" s="471"/>
    </row>
    <row r="147" spans="1:11">
      <c r="A147" s="463"/>
      <c r="B147" s="1500"/>
      <c r="C147" s="1501"/>
      <c r="D147" s="1503"/>
      <c r="E147" s="1505"/>
      <c r="F147" s="488" t="s">
        <v>943</v>
      </c>
      <c r="G147" s="488" t="s">
        <v>944</v>
      </c>
      <c r="H147" s="488" t="s">
        <v>943</v>
      </c>
      <c r="I147" s="489" t="s">
        <v>944</v>
      </c>
      <c r="J147" s="490" t="s">
        <v>945</v>
      </c>
      <c r="K147" s="471"/>
    </row>
    <row r="148" spans="1:11">
      <c r="A148" s="463"/>
      <c r="B148" s="499" t="s">
        <v>659</v>
      </c>
      <c r="C148" s="492"/>
      <c r="D148" s="493"/>
      <c r="E148" s="494">
        <v>1</v>
      </c>
      <c r="F148" s="494">
        <v>1</v>
      </c>
      <c r="G148" s="495">
        <f>1-F148</f>
        <v>0</v>
      </c>
      <c r="H148" s="503">
        <f>VLOOKUP(B148,EQUIPAMENTOS!$A:$J,10,FALSE)</f>
        <v>10</v>
      </c>
      <c r="I148" s="497">
        <f>H148</f>
        <v>10</v>
      </c>
      <c r="J148" s="498">
        <f>H148*F148*E148+I148*G148*E148</f>
        <v>10</v>
      </c>
      <c r="K148" s="471"/>
    </row>
    <row r="149" spans="1:11">
      <c r="A149" s="463"/>
      <c r="B149" s="499"/>
      <c r="C149" s="500"/>
      <c r="D149" s="501"/>
      <c r="E149" s="502"/>
      <c r="F149" s="502"/>
      <c r="G149" s="502"/>
      <c r="H149" s="503"/>
      <c r="I149" s="504"/>
      <c r="J149" s="505">
        <f>H149*F149*E149+I149*G149*E149</f>
        <v>0</v>
      </c>
      <c r="K149" s="471"/>
    </row>
    <row r="150" spans="1:11">
      <c r="A150" s="463"/>
      <c r="B150" s="499"/>
      <c r="C150" s="500"/>
      <c r="D150" s="501"/>
      <c r="E150" s="502"/>
      <c r="F150" s="502"/>
      <c r="G150" s="502"/>
      <c r="H150" s="503"/>
      <c r="I150" s="504"/>
      <c r="J150" s="505">
        <f>H150*F150*E150+I150*G150*E150</f>
        <v>0</v>
      </c>
      <c r="K150" s="471"/>
    </row>
    <row r="151" spans="1:11">
      <c r="A151" s="463"/>
      <c r="B151" s="506"/>
      <c r="C151" s="507"/>
      <c r="D151" s="508"/>
      <c r="E151" s="509"/>
      <c r="F151" s="509"/>
      <c r="G151" s="509"/>
      <c r="H151" s="510"/>
      <c r="I151" s="511"/>
      <c r="J151" s="505">
        <f>H151*F151*E151+I151*G151*E151</f>
        <v>0</v>
      </c>
      <c r="K151" s="471"/>
    </row>
    <row r="152" spans="1:11">
      <c r="A152" s="463"/>
      <c r="B152" s="512" t="s">
        <v>946</v>
      </c>
      <c r="C152" s="482"/>
      <c r="D152" s="482"/>
      <c r="E152" s="482"/>
      <c r="F152" s="482"/>
      <c r="G152" s="482"/>
      <c r="H152" s="482"/>
      <c r="I152" s="513" t="s">
        <v>175</v>
      </c>
      <c r="J152" s="514">
        <f>SUM(J148:J151)</f>
        <v>10</v>
      </c>
      <c r="K152" s="471"/>
    </row>
    <row r="153" spans="1:11">
      <c r="A153" s="463"/>
      <c r="B153" s="515"/>
      <c r="C153" s="515"/>
      <c r="D153" s="515"/>
      <c r="E153" s="515"/>
      <c r="F153" s="515"/>
      <c r="G153" s="515"/>
      <c r="H153" s="515"/>
      <c r="I153" s="516"/>
      <c r="J153" s="517"/>
      <c r="K153" s="471"/>
    </row>
    <row r="154" spans="1:11" ht="20.399999999999999">
      <c r="A154" s="463"/>
      <c r="B154" s="1490" t="s">
        <v>947</v>
      </c>
      <c r="C154" s="1491"/>
      <c r="D154" s="1491"/>
      <c r="E154" s="1492"/>
      <c r="F154" s="725" t="s">
        <v>688</v>
      </c>
      <c r="G154" s="519"/>
      <c r="H154" s="520" t="s">
        <v>427</v>
      </c>
      <c r="I154" s="521" t="s">
        <v>948</v>
      </c>
      <c r="J154" s="522" t="s">
        <v>949</v>
      </c>
      <c r="K154" s="471"/>
    </row>
    <row r="155" spans="1:11">
      <c r="A155" s="463"/>
      <c r="B155" s="530" t="s">
        <v>472</v>
      </c>
      <c r="C155" s="531"/>
      <c r="D155" s="472"/>
      <c r="E155" s="500"/>
      <c r="F155" s="501"/>
      <c r="G155" s="532"/>
      <c r="H155" s="533">
        <v>2</v>
      </c>
      <c r="I155" s="534">
        <f>(VLOOKUP(B155,'MÃO DE OBRA'!$A:$E,5,FALSE)/220)</f>
        <v>18.377072727272729</v>
      </c>
      <c r="J155" s="505">
        <f>H155*I155</f>
        <v>36.754145454545458</v>
      </c>
      <c r="K155" s="471"/>
    </row>
    <row r="156" spans="1:11">
      <c r="A156" s="463"/>
      <c r="B156" s="530"/>
      <c r="C156" s="531"/>
      <c r="D156" s="472"/>
      <c r="E156" s="500"/>
      <c r="F156" s="501"/>
      <c r="G156" s="532"/>
      <c r="H156" s="533"/>
      <c r="I156" s="534"/>
      <c r="J156" s="505"/>
      <c r="K156" s="471"/>
    </row>
    <row r="157" spans="1:11">
      <c r="A157" s="463"/>
      <c r="B157" s="530"/>
      <c r="C157" s="531"/>
      <c r="D157" s="472"/>
      <c r="E157" s="500"/>
      <c r="F157" s="501"/>
      <c r="G157" s="532"/>
      <c r="H157" s="533"/>
      <c r="I157" s="534"/>
      <c r="J157" s="505"/>
      <c r="K157" s="471"/>
    </row>
    <row r="158" spans="1:11">
      <c r="A158" s="463"/>
      <c r="B158" s="512" t="s">
        <v>946</v>
      </c>
      <c r="C158" s="515"/>
      <c r="D158" s="515"/>
      <c r="E158" s="515"/>
      <c r="F158" s="515"/>
      <c r="G158" s="515"/>
      <c r="H158" s="515"/>
      <c r="I158" s="535" t="s">
        <v>175</v>
      </c>
      <c r="J158" s="514">
        <f>SUM(J155:J157)</f>
        <v>36.754145454545458</v>
      </c>
      <c r="K158" s="471"/>
    </row>
    <row r="159" spans="1:11">
      <c r="A159" s="463"/>
      <c r="B159" s="536"/>
      <c r="C159" s="536"/>
      <c r="D159" s="536"/>
      <c r="E159" s="536"/>
      <c r="F159" s="536"/>
      <c r="G159" s="536"/>
      <c r="H159" s="536"/>
      <c r="I159" s="537"/>
      <c r="J159" s="536"/>
      <c r="K159" s="471"/>
    </row>
    <row r="160" spans="1:11">
      <c r="A160" s="463"/>
      <c r="B160" s="538" t="s">
        <v>952</v>
      </c>
      <c r="C160" s="539"/>
      <c r="D160" s="536"/>
      <c r="E160" s="540">
        <v>3.11</v>
      </c>
      <c r="F160" s="541" t="s">
        <v>931</v>
      </c>
      <c r="G160" s="519"/>
      <c r="H160" s="519"/>
      <c r="I160" s="542" t="s">
        <v>953</v>
      </c>
      <c r="J160" s="514">
        <f>J152+J158</f>
        <v>46.754145454545458</v>
      </c>
      <c r="K160" s="471"/>
    </row>
    <row r="161" spans="1:12">
      <c r="A161" s="463"/>
      <c r="B161" s="543"/>
      <c r="C161" s="536"/>
      <c r="D161" s="536"/>
      <c r="E161" s="544"/>
      <c r="F161" s="545"/>
      <c r="G161" s="545"/>
      <c r="H161" s="545"/>
      <c r="I161" s="537"/>
      <c r="J161" s="536"/>
      <c r="K161" s="471"/>
    </row>
    <row r="162" spans="1:12" ht="20.399999999999999">
      <c r="A162" s="463"/>
      <c r="B162" s="1493" t="s">
        <v>362</v>
      </c>
      <c r="C162" s="1494"/>
      <c r="D162" s="1494"/>
      <c r="E162" s="1495"/>
      <c r="F162" s="546" t="s">
        <v>688</v>
      </c>
      <c r="G162" s="547" t="s">
        <v>371</v>
      </c>
      <c r="H162" s="520" t="s">
        <v>942</v>
      </c>
      <c r="I162" s="548" t="s">
        <v>361</v>
      </c>
      <c r="J162" s="549" t="s">
        <v>363</v>
      </c>
      <c r="K162" s="471"/>
    </row>
    <row r="163" spans="1:12">
      <c r="A163" s="463"/>
      <c r="B163" s="550" t="str">
        <f>B148</f>
        <v>Sapo compactador</v>
      </c>
      <c r="C163" s="551"/>
      <c r="D163" s="551"/>
      <c r="E163" s="552"/>
      <c r="F163" s="553" t="str">
        <f>VLOOKUP(B163,EQUIPAMENTOS!$A:$N,12,FALSE)</f>
        <v>Gasolina</v>
      </c>
      <c r="G163" s="554" t="s">
        <v>415</v>
      </c>
      <c r="H163" s="560">
        <f>VLOOKUP(B163,EQUIPAMENTOS!$A:$N,13,FALSE)</f>
        <v>6.59</v>
      </c>
      <c r="I163" s="556">
        <f>VLOOKUP(B163,EQUIPAMENTOS!$A:$N,14,FALSE)</f>
        <v>3</v>
      </c>
      <c r="J163" s="498">
        <f>H163*I163*E148*F148</f>
        <v>19.77</v>
      </c>
      <c r="K163" s="471"/>
    </row>
    <row r="164" spans="1:12">
      <c r="A164" s="463"/>
      <c r="B164" s="530"/>
      <c r="C164" s="531"/>
      <c r="D164" s="531"/>
      <c r="E164" s="500"/>
      <c r="F164" s="553"/>
      <c r="G164" s="554"/>
      <c r="H164" s="560"/>
      <c r="I164" s="556"/>
      <c r="J164" s="505"/>
      <c r="K164" s="471"/>
    </row>
    <row r="165" spans="1:12">
      <c r="A165" s="463"/>
      <c r="B165" s="530"/>
      <c r="C165" s="531"/>
      <c r="D165" s="531"/>
      <c r="E165" s="500"/>
      <c r="F165" s="553"/>
      <c r="G165" s="554"/>
      <c r="H165" s="560"/>
      <c r="I165" s="556"/>
      <c r="J165" s="505"/>
      <c r="K165" s="471"/>
    </row>
    <row r="166" spans="1:12">
      <c r="A166" s="463"/>
      <c r="B166" s="530"/>
      <c r="C166" s="539"/>
      <c r="D166" s="539"/>
      <c r="E166" s="507"/>
      <c r="F166" s="553"/>
      <c r="G166" s="736"/>
      <c r="H166" s="560"/>
      <c r="I166" s="556"/>
      <c r="J166" s="505"/>
      <c r="K166" s="471"/>
    </row>
    <row r="167" spans="1:12">
      <c r="A167" s="463"/>
      <c r="B167" s="563" t="s">
        <v>946</v>
      </c>
      <c r="C167" s="539"/>
      <c r="D167" s="539"/>
      <c r="E167" s="539"/>
      <c r="F167" s="536"/>
      <c r="G167" s="539"/>
      <c r="H167" s="564"/>
      <c r="I167" s="565" t="s">
        <v>175</v>
      </c>
      <c r="J167" s="514">
        <f>SUM(J163:J166)</f>
        <v>19.77</v>
      </c>
      <c r="K167" s="471"/>
      <c r="L167" s="6">
        <f>J167/E160</f>
        <v>6.356913183279743</v>
      </c>
    </row>
    <row r="168" spans="1:12">
      <c r="A168" s="463"/>
      <c r="B168" s="566"/>
      <c r="C168" s="539"/>
      <c r="D168" s="539"/>
      <c r="E168" s="567"/>
      <c r="F168" s="568"/>
      <c r="G168" s="519"/>
      <c r="H168" s="519"/>
      <c r="I168" s="542"/>
      <c r="J168" s="567"/>
      <c r="K168" s="471"/>
    </row>
    <row r="169" spans="1:12" ht="20.399999999999999">
      <c r="A169" s="463"/>
      <c r="B169" s="1493" t="s">
        <v>955</v>
      </c>
      <c r="C169" s="1494"/>
      <c r="D169" s="1494"/>
      <c r="E169" s="1494"/>
      <c r="F169" s="1495"/>
      <c r="G169" s="569" t="s">
        <v>372</v>
      </c>
      <c r="H169" s="519" t="s">
        <v>956</v>
      </c>
      <c r="I169" s="570" t="s">
        <v>942</v>
      </c>
      <c r="J169" s="522" t="s">
        <v>363</v>
      </c>
      <c r="K169" s="471"/>
    </row>
    <row r="170" spans="1:12">
      <c r="A170" s="463"/>
      <c r="B170" s="571"/>
      <c r="C170" s="572"/>
      <c r="D170" s="573"/>
      <c r="E170" s="573"/>
      <c r="F170" s="574"/>
      <c r="G170" s="502"/>
      <c r="H170" s="502"/>
      <c r="I170" s="575"/>
      <c r="J170" s="505"/>
      <c r="K170" s="471"/>
    </row>
    <row r="171" spans="1:12">
      <c r="A171" s="463"/>
      <c r="B171" s="576"/>
      <c r="C171" s="577"/>
      <c r="D171" s="578"/>
      <c r="E171" s="578"/>
      <c r="F171" s="579"/>
      <c r="G171" s="502"/>
      <c r="H171" s="502"/>
      <c r="I171" s="575"/>
      <c r="J171" s="505"/>
      <c r="K171" s="471"/>
    </row>
    <row r="172" spans="1:12">
      <c r="A172" s="463"/>
      <c r="B172" s="1496" t="s">
        <v>175</v>
      </c>
      <c r="C172" s="1496"/>
      <c r="D172" s="1496"/>
      <c r="E172" s="1496"/>
      <c r="F172" s="1496"/>
      <c r="G172" s="1496"/>
      <c r="H172" s="1496"/>
      <c r="I172" s="1496"/>
      <c r="J172" s="514">
        <f>SUM(J170:J171)</f>
        <v>0</v>
      </c>
      <c r="K172" s="471"/>
    </row>
    <row r="173" spans="1:12">
      <c r="A173" s="463"/>
      <c r="B173" s="580"/>
      <c r="C173" s="524"/>
      <c r="D173" s="524"/>
      <c r="E173" s="581"/>
      <c r="F173" s="582"/>
      <c r="G173" s="583"/>
      <c r="H173" s="583"/>
      <c r="I173" s="584"/>
      <c r="J173" s="585"/>
      <c r="K173" s="471"/>
    </row>
    <row r="174" spans="1:12">
      <c r="A174" s="463"/>
      <c r="B174" s="586" t="s">
        <v>957</v>
      </c>
      <c r="C174" s="586"/>
      <c r="D174" s="563"/>
      <c r="E174" s="536"/>
      <c r="F174" s="536"/>
      <c r="G174" s="536"/>
      <c r="H174" s="587"/>
      <c r="I174" s="588"/>
      <c r="J174" s="514">
        <f>(J160+J167+J172)/E160</f>
        <v>21.390400467699507</v>
      </c>
      <c r="K174" s="471"/>
    </row>
    <row r="175" spans="1:12">
      <c r="A175" s="463"/>
      <c r="B175" s="566"/>
      <c r="C175" s="539"/>
      <c r="D175" s="539"/>
      <c r="E175" s="567"/>
      <c r="F175" s="568"/>
      <c r="G175" s="519"/>
      <c r="H175" s="519"/>
      <c r="I175" s="542"/>
      <c r="J175" s="589"/>
      <c r="K175" s="471"/>
    </row>
    <row r="176" spans="1:12" ht="20.399999999999999">
      <c r="A176" s="463"/>
      <c r="B176" s="1493" t="s">
        <v>958</v>
      </c>
      <c r="C176" s="1494"/>
      <c r="D176" s="1494"/>
      <c r="E176" s="1494"/>
      <c r="F176" s="1495"/>
      <c r="G176" s="569" t="s">
        <v>372</v>
      </c>
      <c r="H176" s="519" t="s">
        <v>956</v>
      </c>
      <c r="I176" s="570" t="s">
        <v>942</v>
      </c>
      <c r="J176" s="522" t="s">
        <v>363</v>
      </c>
      <c r="K176" s="471"/>
    </row>
    <row r="177" spans="1:11">
      <c r="A177" s="463"/>
      <c r="B177" s="571"/>
      <c r="C177" s="572"/>
      <c r="D177" s="573"/>
      <c r="E177" s="573"/>
      <c r="F177" s="574"/>
      <c r="G177" s="502"/>
      <c r="H177" s="502"/>
      <c r="I177" s="575"/>
      <c r="J177" s="505">
        <f>G177*I177</f>
        <v>0</v>
      </c>
      <c r="K177" s="471"/>
    </row>
    <row r="178" spans="1:11">
      <c r="A178" s="463"/>
      <c r="B178" s="576"/>
      <c r="C178" s="577"/>
      <c r="D178" s="578"/>
      <c r="E178" s="578"/>
      <c r="F178" s="579"/>
      <c r="G178" s="502"/>
      <c r="H178" s="502"/>
      <c r="I178" s="575"/>
      <c r="J178" s="505">
        <f>G178*I178</f>
        <v>0</v>
      </c>
      <c r="K178" s="471"/>
    </row>
    <row r="179" spans="1:11">
      <c r="A179" s="463"/>
      <c r="B179" s="576"/>
      <c r="C179" s="577"/>
      <c r="D179" s="578"/>
      <c r="E179" s="578"/>
      <c r="F179" s="579"/>
      <c r="G179" s="502"/>
      <c r="H179" s="502"/>
      <c r="I179" s="575"/>
      <c r="J179" s="505">
        <f>G179*I179</f>
        <v>0</v>
      </c>
      <c r="K179" s="471"/>
    </row>
    <row r="180" spans="1:11">
      <c r="A180" s="463"/>
      <c r="B180" s="590"/>
      <c r="C180" s="591"/>
      <c r="D180" s="592"/>
      <c r="E180" s="592"/>
      <c r="F180" s="593"/>
      <c r="G180" s="502"/>
      <c r="H180" s="502"/>
      <c r="I180" s="575"/>
      <c r="J180" s="505">
        <f>G180*I180</f>
        <v>0</v>
      </c>
      <c r="K180" s="471"/>
    </row>
    <row r="181" spans="1:11">
      <c r="A181" s="463"/>
      <c r="B181" s="594"/>
      <c r="C181" s="536"/>
      <c r="D181" s="536"/>
      <c r="E181" s="595"/>
      <c r="F181" s="596"/>
      <c r="G181" s="545"/>
      <c r="H181" s="545"/>
      <c r="I181" s="537" t="s">
        <v>175</v>
      </c>
      <c r="J181" s="514">
        <f>SUM(J177:J180)</f>
        <v>0</v>
      </c>
      <c r="K181" s="471"/>
    </row>
    <row r="182" spans="1:11">
      <c r="A182" s="463"/>
      <c r="B182" s="597"/>
      <c r="C182" s="536"/>
      <c r="D182" s="536"/>
      <c r="E182" s="595"/>
      <c r="F182" s="596"/>
      <c r="G182" s="545"/>
      <c r="H182" s="545"/>
      <c r="I182" s="537"/>
      <c r="J182" s="595"/>
      <c r="K182" s="471"/>
    </row>
    <row r="183" spans="1:11" ht="20.399999999999999">
      <c r="A183" s="463"/>
      <c r="B183" s="598" t="s">
        <v>959</v>
      </c>
      <c r="C183" s="598"/>
      <c r="D183" s="598"/>
      <c r="E183" s="599"/>
      <c r="F183" s="600" t="s">
        <v>372</v>
      </c>
      <c r="G183" s="569" t="s">
        <v>960</v>
      </c>
      <c r="H183" s="519" t="s">
        <v>942</v>
      </c>
      <c r="I183" s="570" t="s">
        <v>361</v>
      </c>
      <c r="J183" s="522" t="s">
        <v>363</v>
      </c>
      <c r="K183" s="471"/>
    </row>
    <row r="184" spans="1:11">
      <c r="A184" s="463"/>
      <c r="B184" s="576" t="s">
        <v>946</v>
      </c>
      <c r="C184" s="577"/>
      <c r="D184" s="578"/>
      <c r="E184" s="579" t="s">
        <v>946</v>
      </c>
      <c r="F184" s="502">
        <v>0</v>
      </c>
      <c r="G184" s="502">
        <v>0</v>
      </c>
      <c r="H184" s="502">
        <v>0</v>
      </c>
      <c r="I184" s="575">
        <v>0</v>
      </c>
      <c r="J184" s="505">
        <f>I184*H184*G184*F184</f>
        <v>0</v>
      </c>
      <c r="K184" s="471"/>
    </row>
    <row r="185" spans="1:11">
      <c r="A185" s="463"/>
      <c r="B185" s="590" t="s">
        <v>946</v>
      </c>
      <c r="C185" s="591"/>
      <c r="D185" s="592"/>
      <c r="E185" s="593" t="s">
        <v>946</v>
      </c>
      <c r="F185" s="509">
        <v>0</v>
      </c>
      <c r="G185" s="509">
        <v>0</v>
      </c>
      <c r="H185" s="509">
        <v>0</v>
      </c>
      <c r="I185" s="601">
        <v>0</v>
      </c>
      <c r="J185" s="505">
        <f>I185*H185*G185*F185</f>
        <v>0</v>
      </c>
      <c r="K185" s="471"/>
    </row>
    <row r="186" spans="1:11">
      <c r="A186" s="463"/>
      <c r="B186" s="594"/>
      <c r="C186" s="536"/>
      <c r="D186" s="536"/>
      <c r="E186" s="595"/>
      <c r="F186" s="596"/>
      <c r="G186" s="545"/>
      <c r="H186" s="545"/>
      <c r="I186" s="537" t="s">
        <v>175</v>
      </c>
      <c r="J186" s="514">
        <f>SUM(J184:J185)</f>
        <v>0</v>
      </c>
      <c r="K186" s="471"/>
    </row>
    <row r="187" spans="1:11">
      <c r="A187" s="463"/>
      <c r="B187" s="536"/>
      <c r="C187" s="536"/>
      <c r="D187" s="536"/>
      <c r="E187" s="536"/>
      <c r="F187" s="536"/>
      <c r="G187" s="536"/>
      <c r="H187" s="536"/>
      <c r="I187" s="537"/>
      <c r="J187" s="536"/>
      <c r="K187" s="471"/>
    </row>
    <row r="188" spans="1:11">
      <c r="A188" s="463"/>
      <c r="B188" s="1481" t="s">
        <v>961</v>
      </c>
      <c r="C188" s="1482"/>
      <c r="D188" s="1482"/>
      <c r="E188" s="1482"/>
      <c r="F188" s="1482"/>
      <c r="G188" s="1482"/>
      <c r="H188" s="1482"/>
      <c r="I188" s="1483"/>
      <c r="J188" s="586">
        <f>J186+J181+J174</f>
        <v>21.390400467699507</v>
      </c>
      <c r="K188" s="471"/>
    </row>
    <row r="189" spans="1:11">
      <c r="A189" s="463"/>
      <c r="B189" s="536"/>
      <c r="C189" s="536"/>
      <c r="D189" s="536"/>
      <c r="E189" s="536"/>
      <c r="F189" s="536"/>
      <c r="G189" s="536"/>
      <c r="H189" s="536"/>
      <c r="I189" s="537"/>
      <c r="J189" s="536"/>
      <c r="K189" s="471"/>
    </row>
    <row r="190" spans="1:11">
      <c r="A190" s="463"/>
      <c r="B190" s="1481" t="s">
        <v>962</v>
      </c>
      <c r="C190" s="1482"/>
      <c r="D190" s="1482"/>
      <c r="E190" s="1482"/>
      <c r="F190" s="1482"/>
      <c r="G190" s="1482"/>
      <c r="H190" s="1482"/>
      <c r="I190" s="1483"/>
      <c r="J190" s="514">
        <f>J188*0</f>
        <v>0</v>
      </c>
      <c r="K190" s="471"/>
    </row>
    <row r="191" spans="1:11">
      <c r="A191" s="463"/>
      <c r="B191" s="536"/>
      <c r="C191" s="536"/>
      <c r="D191" s="536"/>
      <c r="E191" s="536"/>
      <c r="F191" s="536"/>
      <c r="G191" s="536"/>
      <c r="H191" s="536"/>
      <c r="I191" s="537"/>
      <c r="J191" s="536"/>
      <c r="K191" s="471"/>
    </row>
    <row r="192" spans="1:11">
      <c r="A192" s="463"/>
      <c r="B192" s="1481" t="s">
        <v>963</v>
      </c>
      <c r="C192" s="1482"/>
      <c r="D192" s="1482"/>
      <c r="E192" s="1482"/>
      <c r="F192" s="1482"/>
      <c r="G192" s="1482"/>
      <c r="H192" s="1482"/>
      <c r="I192" s="1483"/>
      <c r="J192" s="586">
        <f>J188+J190</f>
        <v>21.390400467699507</v>
      </c>
      <c r="K192" s="471"/>
    </row>
    <row r="193" spans="1:11">
      <c r="A193" s="463"/>
      <c r="B193" s="524"/>
      <c r="C193" s="524"/>
      <c r="D193" s="524"/>
      <c r="E193" s="524"/>
      <c r="F193" s="524"/>
      <c r="G193" s="524"/>
      <c r="H193" s="524"/>
      <c r="I193" s="584"/>
      <c r="J193" s="524"/>
      <c r="K193" s="471"/>
    </row>
    <row r="194" spans="1:11">
      <c r="A194" s="463"/>
      <c r="B194" s="602"/>
      <c r="C194" s="572"/>
      <c r="D194" s="572"/>
      <c r="E194" s="572"/>
      <c r="F194" s="572"/>
      <c r="G194" s="572"/>
      <c r="H194" s="572"/>
      <c r="I194" s="572"/>
      <c r="J194" s="603"/>
      <c r="K194" s="471"/>
    </row>
    <row r="195" spans="1:11">
      <c r="A195" s="463"/>
      <c r="B195" s="604"/>
      <c r="C195" s="605"/>
      <c r="D195" s="606"/>
      <c r="E195" s="606"/>
      <c r="F195" s="607" t="s">
        <v>946</v>
      </c>
      <c r="G195" s="608" t="s">
        <v>946</v>
      </c>
      <c r="H195" s="605"/>
      <c r="I195" s="605"/>
      <c r="J195" s="609"/>
      <c r="K195" s="471"/>
    </row>
    <row r="196" spans="1:11">
      <c r="A196" s="463"/>
      <c r="B196" s="472"/>
      <c r="C196" s="472"/>
      <c r="D196" s="472"/>
      <c r="E196" s="472"/>
      <c r="F196" s="472"/>
      <c r="G196" s="472"/>
      <c r="H196" s="472"/>
      <c r="I196" s="472"/>
      <c r="J196" s="472"/>
      <c r="K196" s="471"/>
    </row>
    <row r="197" spans="1:11">
      <c r="A197" s="463"/>
      <c r="B197" s="610">
        <f>PLANEJAMENTO!E165</f>
        <v>0</v>
      </c>
      <c r="C197" s="611"/>
      <c r="D197" s="611"/>
      <c r="E197" s="611"/>
      <c r="F197" s="612"/>
      <c r="G197" s="613" t="s">
        <v>363</v>
      </c>
      <c r="H197" s="515"/>
      <c r="I197" s="515"/>
      <c r="J197" s="518"/>
      <c r="K197" s="471"/>
    </row>
    <row r="198" spans="1:11">
      <c r="A198" s="463"/>
      <c r="B198" s="614">
        <f>PLANEJAMENTO!E166</f>
        <v>0</v>
      </c>
      <c r="C198" s="615"/>
      <c r="D198" s="615"/>
      <c r="E198" s="615"/>
      <c r="F198" s="616"/>
      <c r="G198" s="1484" t="s">
        <v>964</v>
      </c>
      <c r="H198" s="1485"/>
      <c r="I198" s="1485"/>
      <c r="J198" s="1486"/>
      <c r="K198" s="471"/>
    </row>
    <row r="199" spans="1:11">
      <c r="A199" s="463"/>
      <c r="B199" s="617"/>
      <c r="C199" s="618"/>
      <c r="D199" s="618"/>
      <c r="E199" s="618"/>
      <c r="F199" s="619"/>
      <c r="G199" s="620"/>
      <c r="H199" s="1487"/>
      <c r="I199" s="1488"/>
      <c r="J199" s="1489"/>
      <c r="K199" s="471"/>
    </row>
    <row r="200" spans="1:11" ht="15" thickBot="1">
      <c r="A200" s="621"/>
      <c r="B200" s="622"/>
      <c r="C200" s="622"/>
      <c r="D200" s="622"/>
      <c r="E200" s="622"/>
      <c r="F200" s="622"/>
      <c r="G200" s="622"/>
      <c r="H200" s="622"/>
      <c r="I200" s="622"/>
      <c r="J200" s="622"/>
      <c r="K200" s="623"/>
    </row>
    <row r="201" spans="1:11">
      <c r="A201" s="460"/>
      <c r="B201" s="461"/>
      <c r="C201" s="461"/>
      <c r="D201" s="461"/>
      <c r="E201" s="461"/>
      <c r="F201" s="461"/>
      <c r="G201" s="461"/>
      <c r="H201" s="461"/>
      <c r="I201" s="461"/>
      <c r="J201" s="461"/>
      <c r="K201" s="462"/>
    </row>
    <row r="202" spans="1:11">
      <c r="A202" s="463"/>
      <c r="B202" s="464" t="s">
        <v>178</v>
      </c>
      <c r="C202" s="465"/>
      <c r="D202" s="466" t="s">
        <v>936</v>
      </c>
      <c r="E202" s="467"/>
      <c r="F202" s="468"/>
      <c r="G202" s="468"/>
      <c r="H202" s="469"/>
      <c r="I202" s="469"/>
      <c r="J202" s="470"/>
      <c r="K202" s="471"/>
    </row>
    <row r="203" spans="1:11">
      <c r="A203" s="463"/>
      <c r="B203" s="472"/>
      <c r="C203" s="472"/>
      <c r="D203" s="472"/>
      <c r="E203" s="472"/>
      <c r="F203" s="472"/>
      <c r="G203" s="472"/>
      <c r="H203" s="472"/>
      <c r="I203" s="472"/>
      <c r="J203" s="472"/>
      <c r="K203" s="471"/>
    </row>
    <row r="204" spans="1:11">
      <c r="A204" s="463"/>
      <c r="B204" s="473" t="s">
        <v>972</v>
      </c>
      <c r="C204" s="474" t="s">
        <v>937</v>
      </c>
      <c r="D204" s="1497" t="s">
        <v>250</v>
      </c>
      <c r="E204" s="1498"/>
      <c r="F204" s="1498"/>
      <c r="G204" s="1498"/>
      <c r="H204" s="1498"/>
      <c r="I204" s="1499"/>
      <c r="J204" s="475" t="s">
        <v>267</v>
      </c>
      <c r="K204" s="471"/>
    </row>
    <row r="205" spans="1:11">
      <c r="A205" s="463"/>
      <c r="B205" s="476">
        <v>4805754</v>
      </c>
      <c r="C205" s="477"/>
      <c r="D205" s="478" t="s">
        <v>221</v>
      </c>
      <c r="E205" s="479"/>
      <c r="F205" s="479"/>
      <c r="G205" s="479"/>
      <c r="H205" s="479"/>
      <c r="I205" s="480"/>
      <c r="J205" s="481" t="str">
        <f>F221</f>
        <v>m3</v>
      </c>
      <c r="K205" s="471"/>
    </row>
    <row r="206" spans="1:11">
      <c r="A206" s="463"/>
      <c r="B206" s="482"/>
      <c r="C206" s="482"/>
      <c r="D206" s="482"/>
      <c r="E206" s="482"/>
      <c r="F206" s="482"/>
      <c r="G206" s="482"/>
      <c r="H206" s="482"/>
      <c r="I206" s="483"/>
      <c r="J206" s="484"/>
      <c r="K206" s="471"/>
    </row>
    <row r="207" spans="1:11">
      <c r="A207" s="463"/>
      <c r="B207" s="1484" t="s">
        <v>938</v>
      </c>
      <c r="C207" s="1486"/>
      <c r="D207" s="1502" t="s">
        <v>688</v>
      </c>
      <c r="E207" s="1504" t="s">
        <v>939</v>
      </c>
      <c r="F207" s="485" t="s">
        <v>940</v>
      </c>
      <c r="G207" s="486"/>
      <c r="H207" s="485" t="s">
        <v>941</v>
      </c>
      <c r="I207" s="486"/>
      <c r="J207" s="487" t="s">
        <v>942</v>
      </c>
      <c r="K207" s="471"/>
    </row>
    <row r="208" spans="1:11">
      <c r="A208" s="463"/>
      <c r="B208" s="1500"/>
      <c r="C208" s="1501"/>
      <c r="D208" s="1503"/>
      <c r="E208" s="1505"/>
      <c r="F208" s="488" t="s">
        <v>943</v>
      </c>
      <c r="G208" s="488" t="s">
        <v>944</v>
      </c>
      <c r="H208" s="488" t="s">
        <v>943</v>
      </c>
      <c r="I208" s="489" t="s">
        <v>944</v>
      </c>
      <c r="J208" s="490" t="s">
        <v>945</v>
      </c>
      <c r="K208" s="471"/>
    </row>
    <row r="209" spans="1:11">
      <c r="A209" s="463"/>
      <c r="B209" s="499" t="s">
        <v>659</v>
      </c>
      <c r="C209" s="492"/>
      <c r="D209" s="493"/>
      <c r="E209" s="494">
        <v>1</v>
      </c>
      <c r="F209" s="494">
        <v>1</v>
      </c>
      <c r="G209" s="495">
        <f>1-F209</f>
        <v>0</v>
      </c>
      <c r="H209" s="503">
        <f>VLOOKUP(B209,EQUIPAMENTOS!$A:$J,10,FALSE)</f>
        <v>10</v>
      </c>
      <c r="I209" s="497">
        <f>H209</f>
        <v>10</v>
      </c>
      <c r="J209" s="498">
        <f>H209*F209*E209+I209*G209*E209</f>
        <v>10</v>
      </c>
      <c r="K209" s="471"/>
    </row>
    <row r="210" spans="1:11">
      <c r="A210" s="463"/>
      <c r="B210" s="499"/>
      <c r="C210" s="500"/>
      <c r="D210" s="501"/>
      <c r="E210" s="502"/>
      <c r="F210" s="502"/>
      <c r="G210" s="502"/>
      <c r="H210" s="503"/>
      <c r="I210" s="504"/>
      <c r="J210" s="505">
        <f>H210*F210*E210+I210*G210*E210</f>
        <v>0</v>
      </c>
      <c r="K210" s="471"/>
    </row>
    <row r="211" spans="1:11">
      <c r="A211" s="463"/>
      <c r="B211" s="499"/>
      <c r="C211" s="500"/>
      <c r="D211" s="501"/>
      <c r="E211" s="502"/>
      <c r="F211" s="502"/>
      <c r="G211" s="502"/>
      <c r="H211" s="503"/>
      <c r="I211" s="504"/>
      <c r="J211" s="505">
        <f>H211*F211*E211+I211*G211*E211</f>
        <v>0</v>
      </c>
      <c r="K211" s="471"/>
    </row>
    <row r="212" spans="1:11">
      <c r="A212" s="463"/>
      <c r="B212" s="506"/>
      <c r="C212" s="507"/>
      <c r="D212" s="508"/>
      <c r="E212" s="509"/>
      <c r="F212" s="509"/>
      <c r="G212" s="509"/>
      <c r="H212" s="510"/>
      <c r="I212" s="511"/>
      <c r="J212" s="505">
        <f>H212*F212*E212+I212*G212*E212</f>
        <v>0</v>
      </c>
      <c r="K212" s="471"/>
    </row>
    <row r="213" spans="1:11">
      <c r="A213" s="463"/>
      <c r="B213" s="512" t="s">
        <v>946</v>
      </c>
      <c r="C213" s="482"/>
      <c r="D213" s="482"/>
      <c r="E213" s="482"/>
      <c r="F213" s="482"/>
      <c r="G213" s="482"/>
      <c r="H213" s="482"/>
      <c r="I213" s="513" t="s">
        <v>175</v>
      </c>
      <c r="J213" s="514">
        <f>SUM(J209:J212)</f>
        <v>10</v>
      </c>
      <c r="K213" s="471"/>
    </row>
    <row r="214" spans="1:11">
      <c r="A214" s="463"/>
      <c r="B214" s="515"/>
      <c r="C214" s="515"/>
      <c r="D214" s="515"/>
      <c r="E214" s="515"/>
      <c r="F214" s="515"/>
      <c r="G214" s="515"/>
      <c r="H214" s="515"/>
      <c r="I214" s="516"/>
      <c r="J214" s="517"/>
      <c r="K214" s="471"/>
    </row>
    <row r="215" spans="1:11" ht="20.399999999999999">
      <c r="A215" s="463"/>
      <c r="B215" s="1490" t="s">
        <v>947</v>
      </c>
      <c r="C215" s="1491"/>
      <c r="D215" s="1491"/>
      <c r="E215" s="1492"/>
      <c r="F215" s="725" t="s">
        <v>688</v>
      </c>
      <c r="G215" s="519"/>
      <c r="H215" s="520" t="s">
        <v>427</v>
      </c>
      <c r="I215" s="521" t="s">
        <v>948</v>
      </c>
      <c r="J215" s="522" t="s">
        <v>949</v>
      </c>
      <c r="K215" s="471"/>
    </row>
    <row r="216" spans="1:11">
      <c r="A216" s="463"/>
      <c r="B216" s="530" t="s">
        <v>472</v>
      </c>
      <c r="C216" s="531"/>
      <c r="D216" s="472"/>
      <c r="E216" s="500"/>
      <c r="F216" s="501"/>
      <c r="G216" s="532"/>
      <c r="H216" s="533">
        <v>1</v>
      </c>
      <c r="I216" s="534">
        <f>(VLOOKUP(B216,'MÃO DE OBRA'!$A:$E,5,FALSE)/220)</f>
        <v>18.377072727272729</v>
      </c>
      <c r="J216" s="505">
        <f>H216*I216</f>
        <v>18.377072727272729</v>
      </c>
      <c r="K216" s="471"/>
    </row>
    <row r="217" spans="1:11">
      <c r="A217" s="463"/>
      <c r="B217" s="530"/>
      <c r="C217" s="531"/>
      <c r="D217" s="472"/>
      <c r="E217" s="500"/>
      <c r="F217" s="501"/>
      <c r="G217" s="532"/>
      <c r="H217" s="533"/>
      <c r="I217" s="534"/>
      <c r="J217" s="505"/>
      <c r="K217" s="471"/>
    </row>
    <row r="218" spans="1:11">
      <c r="A218" s="463"/>
      <c r="B218" s="530"/>
      <c r="C218" s="531"/>
      <c r="D218" s="472"/>
      <c r="E218" s="500"/>
      <c r="F218" s="501"/>
      <c r="G218" s="532"/>
      <c r="H218" s="533"/>
      <c r="I218" s="534"/>
      <c r="J218" s="505"/>
      <c r="K218" s="471"/>
    </row>
    <row r="219" spans="1:11">
      <c r="A219" s="463"/>
      <c r="B219" s="512" t="s">
        <v>946</v>
      </c>
      <c r="C219" s="515"/>
      <c r="D219" s="515"/>
      <c r="E219" s="515"/>
      <c r="F219" s="515"/>
      <c r="G219" s="515"/>
      <c r="H219" s="515"/>
      <c r="I219" s="535" t="s">
        <v>175</v>
      </c>
      <c r="J219" s="514">
        <f>SUM(J216:J218)</f>
        <v>18.377072727272729</v>
      </c>
      <c r="K219" s="471"/>
    </row>
    <row r="220" spans="1:11">
      <c r="A220" s="463"/>
      <c r="B220" s="536"/>
      <c r="C220" s="536"/>
      <c r="D220" s="536"/>
      <c r="E220" s="536"/>
      <c r="F220" s="536"/>
      <c r="G220" s="536"/>
      <c r="H220" s="536"/>
      <c r="I220" s="537"/>
      <c r="J220" s="536"/>
      <c r="K220" s="471"/>
    </row>
    <row r="221" spans="1:11">
      <c r="A221" s="463"/>
      <c r="B221" s="538" t="s">
        <v>952</v>
      </c>
      <c r="C221" s="539"/>
      <c r="D221" s="536"/>
      <c r="E221" s="540">
        <v>4.66</v>
      </c>
      <c r="F221" s="541" t="s">
        <v>931</v>
      </c>
      <c r="G221" s="519"/>
      <c r="H221" s="519"/>
      <c r="I221" s="542" t="s">
        <v>953</v>
      </c>
      <c r="J221" s="514">
        <f>J213+J219</f>
        <v>28.377072727272729</v>
      </c>
      <c r="K221" s="471"/>
    </row>
    <row r="222" spans="1:11">
      <c r="A222" s="463"/>
      <c r="B222" s="543"/>
      <c r="C222" s="536"/>
      <c r="D222" s="536"/>
      <c r="E222" s="544"/>
      <c r="F222" s="545"/>
      <c r="G222" s="545"/>
      <c r="H222" s="545"/>
      <c r="I222" s="537"/>
      <c r="J222" s="536"/>
      <c r="K222" s="471"/>
    </row>
    <row r="223" spans="1:11" ht="20.399999999999999">
      <c r="A223" s="463"/>
      <c r="B223" s="1493" t="s">
        <v>362</v>
      </c>
      <c r="C223" s="1494"/>
      <c r="D223" s="1494"/>
      <c r="E223" s="1495"/>
      <c r="F223" s="546" t="s">
        <v>688</v>
      </c>
      <c r="G223" s="547" t="s">
        <v>371</v>
      </c>
      <c r="H223" s="520" t="s">
        <v>942</v>
      </c>
      <c r="I223" s="548" t="s">
        <v>361</v>
      </c>
      <c r="J223" s="549" t="s">
        <v>363</v>
      </c>
      <c r="K223" s="471"/>
    </row>
    <row r="224" spans="1:11">
      <c r="A224" s="463"/>
      <c r="B224" s="550" t="str">
        <f>B209</f>
        <v>Sapo compactador</v>
      </c>
      <c r="C224" s="551"/>
      <c r="D224" s="551"/>
      <c r="E224" s="552"/>
      <c r="F224" s="553" t="str">
        <f>VLOOKUP(B224,EQUIPAMENTOS!$A:$N,12,FALSE)</f>
        <v>Gasolina</v>
      </c>
      <c r="G224" s="554" t="s">
        <v>415</v>
      </c>
      <c r="H224" s="560">
        <f>VLOOKUP(B224,EQUIPAMENTOS!$A:$N,13,FALSE)</f>
        <v>6.59</v>
      </c>
      <c r="I224" s="556">
        <f>VLOOKUP(B224,EQUIPAMENTOS!$A:$N,14,FALSE)</f>
        <v>3</v>
      </c>
      <c r="J224" s="498">
        <f>H224*I224*E209*F209</f>
        <v>19.77</v>
      </c>
      <c r="K224" s="471"/>
    </row>
    <row r="225" spans="1:12">
      <c r="A225" s="463"/>
      <c r="B225" s="530"/>
      <c r="C225" s="531"/>
      <c r="D225" s="531"/>
      <c r="E225" s="500"/>
      <c r="F225" s="553"/>
      <c r="G225" s="554"/>
      <c r="H225" s="560"/>
      <c r="I225" s="556"/>
      <c r="J225" s="505"/>
      <c r="K225" s="471"/>
    </row>
    <row r="226" spans="1:12">
      <c r="A226" s="463"/>
      <c r="B226" s="530"/>
      <c r="C226" s="531"/>
      <c r="D226" s="531"/>
      <c r="E226" s="500"/>
      <c r="F226" s="553"/>
      <c r="G226" s="554"/>
      <c r="H226" s="560"/>
      <c r="I226" s="556"/>
      <c r="J226" s="505"/>
      <c r="K226" s="471"/>
    </row>
    <row r="227" spans="1:12">
      <c r="A227" s="463"/>
      <c r="B227" s="530"/>
      <c r="C227" s="539"/>
      <c r="D227" s="539"/>
      <c r="E227" s="507"/>
      <c r="F227" s="553"/>
      <c r="G227" s="736"/>
      <c r="H227" s="560"/>
      <c r="I227" s="556"/>
      <c r="J227" s="505"/>
      <c r="K227" s="471"/>
    </row>
    <row r="228" spans="1:12">
      <c r="A228" s="463"/>
      <c r="B228" s="563" t="s">
        <v>946</v>
      </c>
      <c r="C228" s="539"/>
      <c r="D228" s="539"/>
      <c r="E228" s="539"/>
      <c r="F228" s="536"/>
      <c r="G228" s="539"/>
      <c r="H228" s="564"/>
      <c r="I228" s="565" t="s">
        <v>175</v>
      </c>
      <c r="J228" s="514">
        <f>SUM(J224:J227)</f>
        <v>19.77</v>
      </c>
      <c r="K228" s="471"/>
      <c r="L228" s="6">
        <f>J228/E221</f>
        <v>4.2424892703862662</v>
      </c>
    </row>
    <row r="229" spans="1:12">
      <c r="A229" s="463"/>
      <c r="B229" s="566"/>
      <c r="C229" s="539"/>
      <c r="D229" s="539"/>
      <c r="E229" s="567"/>
      <c r="F229" s="568"/>
      <c r="G229" s="519"/>
      <c r="H229" s="519"/>
      <c r="I229" s="542"/>
      <c r="J229" s="567"/>
      <c r="K229" s="471"/>
    </row>
    <row r="230" spans="1:12" ht="20.399999999999999">
      <c r="A230" s="463"/>
      <c r="B230" s="1493" t="s">
        <v>955</v>
      </c>
      <c r="C230" s="1494"/>
      <c r="D230" s="1494"/>
      <c r="E230" s="1494"/>
      <c r="F230" s="1495"/>
      <c r="G230" s="569" t="s">
        <v>372</v>
      </c>
      <c r="H230" s="519" t="s">
        <v>956</v>
      </c>
      <c r="I230" s="570" t="s">
        <v>942</v>
      </c>
      <c r="J230" s="522" t="s">
        <v>363</v>
      </c>
      <c r="K230" s="471"/>
    </row>
    <row r="231" spans="1:12">
      <c r="A231" s="463"/>
      <c r="B231" s="571"/>
      <c r="C231" s="572"/>
      <c r="D231" s="573"/>
      <c r="E231" s="573"/>
      <c r="F231" s="574"/>
      <c r="G231" s="502"/>
      <c r="H231" s="502"/>
      <c r="I231" s="575"/>
      <c r="J231" s="505"/>
      <c r="K231" s="471"/>
    </row>
    <row r="232" spans="1:12">
      <c r="A232" s="463"/>
      <c r="B232" s="576"/>
      <c r="C232" s="577"/>
      <c r="D232" s="578"/>
      <c r="E232" s="578"/>
      <c r="F232" s="579"/>
      <c r="G232" s="502"/>
      <c r="H232" s="502"/>
      <c r="I232" s="575"/>
      <c r="J232" s="505"/>
      <c r="K232" s="471"/>
    </row>
    <row r="233" spans="1:12">
      <c r="A233" s="463"/>
      <c r="B233" s="1496" t="s">
        <v>175</v>
      </c>
      <c r="C233" s="1496"/>
      <c r="D233" s="1496"/>
      <c r="E233" s="1496"/>
      <c r="F233" s="1496"/>
      <c r="G233" s="1496"/>
      <c r="H233" s="1496"/>
      <c r="I233" s="1496"/>
      <c r="J233" s="514">
        <f>SUM(J231:J232)</f>
        <v>0</v>
      </c>
      <c r="K233" s="471"/>
    </row>
    <row r="234" spans="1:12">
      <c r="A234" s="463"/>
      <c r="B234" s="580"/>
      <c r="C234" s="524"/>
      <c r="D234" s="524"/>
      <c r="E234" s="581"/>
      <c r="F234" s="582"/>
      <c r="G234" s="583"/>
      <c r="H234" s="583"/>
      <c r="I234" s="584"/>
      <c r="J234" s="585"/>
      <c r="K234" s="471"/>
    </row>
    <row r="235" spans="1:12">
      <c r="A235" s="463"/>
      <c r="B235" s="586" t="s">
        <v>957</v>
      </c>
      <c r="C235" s="586"/>
      <c r="D235" s="563"/>
      <c r="E235" s="536"/>
      <c r="F235" s="536"/>
      <c r="G235" s="536"/>
      <c r="H235" s="587"/>
      <c r="I235" s="588"/>
      <c r="J235" s="514">
        <f>(J221+J228+J233)/E221</f>
        <v>10.331989855637925</v>
      </c>
      <c r="K235" s="471"/>
    </row>
    <row r="236" spans="1:12">
      <c r="A236" s="463"/>
      <c r="B236" s="566"/>
      <c r="C236" s="539"/>
      <c r="D236" s="539"/>
      <c r="E236" s="567"/>
      <c r="F236" s="568"/>
      <c r="G236" s="519"/>
      <c r="H236" s="519"/>
      <c r="I236" s="542"/>
      <c r="J236" s="589"/>
      <c r="K236" s="471"/>
    </row>
    <row r="237" spans="1:12" ht="20.399999999999999">
      <c r="A237" s="463"/>
      <c r="B237" s="1493" t="s">
        <v>958</v>
      </c>
      <c r="C237" s="1494"/>
      <c r="D237" s="1494"/>
      <c r="E237" s="1494"/>
      <c r="F237" s="1495"/>
      <c r="G237" s="569" t="s">
        <v>372</v>
      </c>
      <c r="H237" s="519" t="s">
        <v>956</v>
      </c>
      <c r="I237" s="570" t="s">
        <v>942</v>
      </c>
      <c r="J237" s="522" t="s">
        <v>363</v>
      </c>
      <c r="K237" s="471"/>
    </row>
    <row r="238" spans="1:12">
      <c r="A238" s="463"/>
      <c r="B238" s="571"/>
      <c r="C238" s="572"/>
      <c r="D238" s="573"/>
      <c r="E238" s="573"/>
      <c r="F238" s="574"/>
      <c r="G238" s="502"/>
      <c r="H238" s="502"/>
      <c r="I238" s="575"/>
      <c r="J238" s="505">
        <f>G238*I238</f>
        <v>0</v>
      </c>
      <c r="K238" s="471"/>
    </row>
    <row r="239" spans="1:12">
      <c r="A239" s="463"/>
      <c r="B239" s="576"/>
      <c r="C239" s="577"/>
      <c r="D239" s="578"/>
      <c r="E239" s="578"/>
      <c r="F239" s="579"/>
      <c r="G239" s="502"/>
      <c r="H239" s="502"/>
      <c r="I239" s="575"/>
      <c r="J239" s="505">
        <f>G239*I239</f>
        <v>0</v>
      </c>
      <c r="K239" s="471"/>
    </row>
    <row r="240" spans="1:12">
      <c r="A240" s="463"/>
      <c r="B240" s="576"/>
      <c r="C240" s="577"/>
      <c r="D240" s="578"/>
      <c r="E240" s="578"/>
      <c r="F240" s="579"/>
      <c r="G240" s="502"/>
      <c r="H240" s="502"/>
      <c r="I240" s="575"/>
      <c r="J240" s="505">
        <f>G240*I240</f>
        <v>0</v>
      </c>
      <c r="K240" s="471"/>
    </row>
    <row r="241" spans="1:11">
      <c r="A241" s="463"/>
      <c r="B241" s="590"/>
      <c r="C241" s="591"/>
      <c r="D241" s="592"/>
      <c r="E241" s="592"/>
      <c r="F241" s="593"/>
      <c r="G241" s="502"/>
      <c r="H241" s="502"/>
      <c r="I241" s="575"/>
      <c r="J241" s="505">
        <f>G241*I241</f>
        <v>0</v>
      </c>
      <c r="K241" s="471"/>
    </row>
    <row r="242" spans="1:11">
      <c r="A242" s="463"/>
      <c r="B242" s="594"/>
      <c r="C242" s="536"/>
      <c r="D242" s="536"/>
      <c r="E242" s="595"/>
      <c r="F242" s="596"/>
      <c r="G242" s="545"/>
      <c r="H242" s="545"/>
      <c r="I242" s="537" t="s">
        <v>175</v>
      </c>
      <c r="J242" s="514">
        <f>SUM(J238:J241)</f>
        <v>0</v>
      </c>
      <c r="K242" s="471"/>
    </row>
    <row r="243" spans="1:11">
      <c r="A243" s="463"/>
      <c r="B243" s="597"/>
      <c r="C243" s="536"/>
      <c r="D243" s="536"/>
      <c r="E243" s="595"/>
      <c r="F243" s="596"/>
      <c r="G243" s="545"/>
      <c r="H243" s="545"/>
      <c r="I243" s="537"/>
      <c r="J243" s="595"/>
      <c r="K243" s="471"/>
    </row>
    <row r="244" spans="1:11" ht="20.399999999999999">
      <c r="A244" s="463"/>
      <c r="B244" s="598" t="s">
        <v>959</v>
      </c>
      <c r="C244" s="598"/>
      <c r="D244" s="598"/>
      <c r="E244" s="599"/>
      <c r="F244" s="600" t="s">
        <v>372</v>
      </c>
      <c r="G244" s="569" t="s">
        <v>960</v>
      </c>
      <c r="H244" s="519" t="s">
        <v>942</v>
      </c>
      <c r="I244" s="570" t="s">
        <v>361</v>
      </c>
      <c r="J244" s="522" t="s">
        <v>363</v>
      </c>
      <c r="K244" s="471"/>
    </row>
    <row r="245" spans="1:11">
      <c r="A245" s="463"/>
      <c r="B245" s="576" t="s">
        <v>946</v>
      </c>
      <c r="C245" s="577"/>
      <c r="D245" s="578"/>
      <c r="E245" s="579" t="s">
        <v>946</v>
      </c>
      <c r="F245" s="502">
        <v>0</v>
      </c>
      <c r="G245" s="502">
        <v>0</v>
      </c>
      <c r="H245" s="502">
        <v>0</v>
      </c>
      <c r="I245" s="575">
        <v>0</v>
      </c>
      <c r="J245" s="505">
        <f>I245*H245*G245*F245</f>
        <v>0</v>
      </c>
      <c r="K245" s="471"/>
    </row>
    <row r="246" spans="1:11">
      <c r="A246" s="463"/>
      <c r="B246" s="590" t="s">
        <v>946</v>
      </c>
      <c r="C246" s="591"/>
      <c r="D246" s="592"/>
      <c r="E246" s="593" t="s">
        <v>946</v>
      </c>
      <c r="F246" s="509">
        <v>0</v>
      </c>
      <c r="G246" s="509">
        <v>0</v>
      </c>
      <c r="H246" s="509">
        <v>0</v>
      </c>
      <c r="I246" s="601">
        <v>0</v>
      </c>
      <c r="J246" s="505">
        <f>I246*H246*G246*F246</f>
        <v>0</v>
      </c>
      <c r="K246" s="471"/>
    </row>
    <row r="247" spans="1:11">
      <c r="A247" s="463"/>
      <c r="B247" s="594"/>
      <c r="C247" s="536"/>
      <c r="D247" s="536"/>
      <c r="E247" s="595"/>
      <c r="F247" s="596"/>
      <c r="G247" s="545"/>
      <c r="H247" s="545"/>
      <c r="I247" s="537" t="s">
        <v>175</v>
      </c>
      <c r="J247" s="514">
        <f>SUM(J245:J246)</f>
        <v>0</v>
      </c>
      <c r="K247" s="471"/>
    </row>
    <row r="248" spans="1:11">
      <c r="A248" s="463"/>
      <c r="B248" s="536"/>
      <c r="C248" s="536"/>
      <c r="D248" s="536"/>
      <c r="E248" s="536"/>
      <c r="F248" s="536"/>
      <c r="G248" s="536"/>
      <c r="H248" s="536"/>
      <c r="I248" s="537"/>
      <c r="J248" s="536"/>
      <c r="K248" s="471"/>
    </row>
    <row r="249" spans="1:11">
      <c r="A249" s="463"/>
      <c r="B249" s="1481" t="s">
        <v>961</v>
      </c>
      <c r="C249" s="1482"/>
      <c r="D249" s="1482"/>
      <c r="E249" s="1482"/>
      <c r="F249" s="1482"/>
      <c r="G249" s="1482"/>
      <c r="H249" s="1482"/>
      <c r="I249" s="1483"/>
      <c r="J249" s="586">
        <f>J247+J242+J235</f>
        <v>10.331989855637925</v>
      </c>
      <c r="K249" s="471"/>
    </row>
    <row r="250" spans="1:11">
      <c r="A250" s="463"/>
      <c r="B250" s="536"/>
      <c r="C250" s="536"/>
      <c r="D250" s="536"/>
      <c r="E250" s="536"/>
      <c r="F250" s="536"/>
      <c r="G250" s="536"/>
      <c r="H250" s="536"/>
      <c r="I250" s="537"/>
      <c r="J250" s="536"/>
      <c r="K250" s="471"/>
    </row>
    <row r="251" spans="1:11">
      <c r="A251" s="463"/>
      <c r="B251" s="1481" t="s">
        <v>962</v>
      </c>
      <c r="C251" s="1482"/>
      <c r="D251" s="1482"/>
      <c r="E251" s="1482"/>
      <c r="F251" s="1482"/>
      <c r="G251" s="1482"/>
      <c r="H251" s="1482"/>
      <c r="I251" s="1483"/>
      <c r="J251" s="514">
        <f>J249*0</f>
        <v>0</v>
      </c>
      <c r="K251" s="471"/>
    </row>
    <row r="252" spans="1:11">
      <c r="A252" s="463"/>
      <c r="B252" s="536"/>
      <c r="C252" s="536"/>
      <c r="D252" s="536"/>
      <c r="E252" s="536"/>
      <c r="F252" s="536"/>
      <c r="G252" s="536"/>
      <c r="H252" s="536"/>
      <c r="I252" s="537"/>
      <c r="J252" s="536"/>
      <c r="K252" s="471"/>
    </row>
    <row r="253" spans="1:11">
      <c r="A253" s="463"/>
      <c r="B253" s="1481" t="s">
        <v>963</v>
      </c>
      <c r="C253" s="1482"/>
      <c r="D253" s="1482"/>
      <c r="E253" s="1482"/>
      <c r="F253" s="1482"/>
      <c r="G253" s="1482"/>
      <c r="H253" s="1482"/>
      <c r="I253" s="1483"/>
      <c r="J253" s="586">
        <f>J249+J251</f>
        <v>10.331989855637925</v>
      </c>
      <c r="K253" s="471"/>
    </row>
    <row r="254" spans="1:11">
      <c r="A254" s="463"/>
      <c r="B254" s="524"/>
      <c r="C254" s="524"/>
      <c r="D254" s="524"/>
      <c r="E254" s="524"/>
      <c r="F254" s="524"/>
      <c r="G254" s="524"/>
      <c r="H254" s="524"/>
      <c r="I254" s="584"/>
      <c r="J254" s="524"/>
      <c r="K254" s="471"/>
    </row>
    <row r="255" spans="1:11">
      <c r="A255" s="463"/>
      <c r="B255" s="602"/>
      <c r="C255" s="572"/>
      <c r="D255" s="572"/>
      <c r="E255" s="572"/>
      <c r="F255" s="572"/>
      <c r="G255" s="572"/>
      <c r="H255" s="572"/>
      <c r="I255" s="572"/>
      <c r="J255" s="603"/>
      <c r="K255" s="471"/>
    </row>
    <row r="256" spans="1:11">
      <c r="A256" s="463"/>
      <c r="B256" s="604"/>
      <c r="C256" s="605"/>
      <c r="D256" s="606"/>
      <c r="E256" s="606"/>
      <c r="F256" s="607" t="s">
        <v>946</v>
      </c>
      <c r="G256" s="608" t="s">
        <v>946</v>
      </c>
      <c r="H256" s="605"/>
      <c r="I256" s="605"/>
      <c r="J256" s="609"/>
      <c r="K256" s="471"/>
    </row>
    <row r="257" spans="1:11">
      <c r="A257" s="463"/>
      <c r="B257" s="472"/>
      <c r="C257" s="472"/>
      <c r="D257" s="472"/>
      <c r="E257" s="472"/>
      <c r="F257" s="472"/>
      <c r="G257" s="472"/>
      <c r="H257" s="472"/>
      <c r="I257" s="472"/>
      <c r="J257" s="472"/>
      <c r="K257" s="471"/>
    </row>
    <row r="258" spans="1:11">
      <c r="A258" s="463"/>
      <c r="B258" s="610"/>
      <c r="C258" s="611"/>
      <c r="D258" s="611"/>
      <c r="E258" s="611"/>
      <c r="F258" s="612"/>
      <c r="G258" s="613" t="s">
        <v>363</v>
      </c>
      <c r="H258" s="515"/>
      <c r="I258" s="515"/>
      <c r="J258" s="518"/>
      <c r="K258" s="471"/>
    </row>
    <row r="259" spans="1:11">
      <c r="A259" s="463"/>
      <c r="B259" s="614"/>
      <c r="C259" s="615"/>
      <c r="D259" s="615"/>
      <c r="E259" s="615"/>
      <c r="F259" s="616"/>
      <c r="G259" s="1484" t="s">
        <v>964</v>
      </c>
      <c r="H259" s="1485"/>
      <c r="I259" s="1485"/>
      <c r="J259" s="1486"/>
      <c r="K259" s="471"/>
    </row>
    <row r="260" spans="1:11">
      <c r="A260" s="463"/>
      <c r="B260" s="617"/>
      <c r="C260" s="618"/>
      <c r="D260" s="618"/>
      <c r="E260" s="618"/>
      <c r="F260" s="619"/>
      <c r="G260" s="620"/>
      <c r="H260" s="1487"/>
      <c r="I260" s="1488"/>
      <c r="J260" s="1489"/>
      <c r="K260" s="471"/>
    </row>
    <row r="261" spans="1:11" ht="15" thickBot="1">
      <c r="A261" s="621"/>
      <c r="B261" s="622"/>
      <c r="C261" s="622"/>
      <c r="D261" s="622"/>
      <c r="E261" s="622"/>
      <c r="F261" s="622"/>
      <c r="G261" s="622"/>
      <c r="H261" s="622"/>
      <c r="I261" s="622"/>
      <c r="J261" s="622"/>
      <c r="K261" s="623"/>
    </row>
    <row r="262" spans="1:11">
      <c r="A262" s="460"/>
      <c r="B262" s="461"/>
      <c r="C262" s="461"/>
      <c r="D262" s="461"/>
      <c r="E262" s="461"/>
      <c r="F262" s="461"/>
      <c r="G262" s="461"/>
      <c r="H262" s="461"/>
      <c r="I262" s="461"/>
      <c r="J262" s="461"/>
      <c r="K262" s="462"/>
    </row>
    <row r="263" spans="1:11">
      <c r="A263" s="463"/>
      <c r="B263" s="464" t="s">
        <v>178</v>
      </c>
      <c r="C263" s="465"/>
      <c r="D263" s="466" t="s">
        <v>936</v>
      </c>
      <c r="E263" s="467"/>
      <c r="F263" s="468"/>
      <c r="G263" s="468"/>
      <c r="H263" s="469"/>
      <c r="I263" s="469"/>
      <c r="J263" s="470"/>
      <c r="K263" s="471"/>
    </row>
    <row r="264" spans="1:11">
      <c r="A264" s="463"/>
      <c r="B264" s="472"/>
      <c r="C264" s="472"/>
      <c r="D264" s="472"/>
      <c r="E264" s="472"/>
      <c r="F264" s="472"/>
      <c r="G264" s="472"/>
      <c r="H264" s="472"/>
      <c r="I264" s="472"/>
      <c r="J264" s="472"/>
      <c r="K264" s="471"/>
    </row>
    <row r="265" spans="1:11">
      <c r="A265" s="463"/>
      <c r="B265" s="473" t="s">
        <v>972</v>
      </c>
      <c r="C265" s="474" t="s">
        <v>937</v>
      </c>
      <c r="D265" s="1497" t="s">
        <v>250</v>
      </c>
      <c r="E265" s="1498"/>
      <c r="F265" s="1498"/>
      <c r="G265" s="1498"/>
      <c r="H265" s="1498"/>
      <c r="I265" s="1499"/>
      <c r="J265" s="475" t="s">
        <v>267</v>
      </c>
      <c r="K265" s="471"/>
    </row>
    <row r="266" spans="1:11">
      <c r="A266" s="463"/>
      <c r="B266" s="476">
        <v>4805755</v>
      </c>
      <c r="C266" s="477"/>
      <c r="D266" s="478" t="s">
        <v>978</v>
      </c>
      <c r="E266" s="479"/>
      <c r="F266" s="479"/>
      <c r="G266" s="479"/>
      <c r="H266" s="479"/>
      <c r="I266" s="480"/>
      <c r="J266" s="481" t="str">
        <f>F282</f>
        <v>m3</v>
      </c>
      <c r="K266" s="471"/>
    </row>
    <row r="267" spans="1:11">
      <c r="A267" s="463"/>
      <c r="B267" s="482"/>
      <c r="C267" s="482"/>
      <c r="D267" s="482"/>
      <c r="E267" s="482"/>
      <c r="F267" s="482"/>
      <c r="G267" s="482"/>
      <c r="H267" s="482"/>
      <c r="I267" s="483"/>
      <c r="J267" s="484"/>
      <c r="K267" s="471"/>
    </row>
    <row r="268" spans="1:11">
      <c r="A268" s="463"/>
      <c r="B268" s="1484" t="s">
        <v>938</v>
      </c>
      <c r="C268" s="1486"/>
      <c r="D268" s="1502" t="s">
        <v>688</v>
      </c>
      <c r="E268" s="1504" t="s">
        <v>939</v>
      </c>
      <c r="F268" s="485" t="s">
        <v>940</v>
      </c>
      <c r="G268" s="486"/>
      <c r="H268" s="485" t="s">
        <v>941</v>
      </c>
      <c r="I268" s="486"/>
      <c r="J268" s="487" t="s">
        <v>942</v>
      </c>
      <c r="K268" s="471"/>
    </row>
    <row r="269" spans="1:11">
      <c r="A269" s="463"/>
      <c r="B269" s="1500"/>
      <c r="C269" s="1501"/>
      <c r="D269" s="1503"/>
      <c r="E269" s="1505"/>
      <c r="F269" s="488" t="s">
        <v>943</v>
      </c>
      <c r="G269" s="488" t="s">
        <v>944</v>
      </c>
      <c r="H269" s="488" t="s">
        <v>943</v>
      </c>
      <c r="I269" s="489" t="s">
        <v>944</v>
      </c>
      <c r="J269" s="490" t="s">
        <v>945</v>
      </c>
      <c r="K269" s="471"/>
    </row>
    <row r="270" spans="1:11" hidden="1">
      <c r="A270" s="463"/>
      <c r="B270" s="499" t="s">
        <v>659</v>
      </c>
      <c r="C270" s="492"/>
      <c r="D270" s="493"/>
      <c r="E270" s="494"/>
      <c r="F270" s="494">
        <v>1</v>
      </c>
      <c r="G270" s="495">
        <f>1-F270</f>
        <v>0</v>
      </c>
      <c r="H270" s="503">
        <f>VLOOKUP(B270,EQUIPAMENTOS!$A:$J,10,FALSE)</f>
        <v>10</v>
      </c>
      <c r="I270" s="497">
        <f>H270</f>
        <v>10</v>
      </c>
      <c r="J270" s="498">
        <f>H270*F270*E270+I270*G270*E270</f>
        <v>0</v>
      </c>
      <c r="K270" s="471"/>
    </row>
    <row r="271" spans="1:11">
      <c r="A271" s="463"/>
      <c r="B271" s="499"/>
      <c r="C271" s="500"/>
      <c r="D271" s="501"/>
      <c r="E271" s="502"/>
      <c r="F271" s="502"/>
      <c r="G271" s="502"/>
      <c r="H271" s="503"/>
      <c r="I271" s="504"/>
      <c r="J271" s="505">
        <f>H271*F271*E271+I271*G271*E271</f>
        <v>0</v>
      </c>
      <c r="K271" s="471"/>
    </row>
    <row r="272" spans="1:11">
      <c r="A272" s="463"/>
      <c r="B272" s="499"/>
      <c r="C272" s="500"/>
      <c r="D272" s="501"/>
      <c r="E272" s="502"/>
      <c r="F272" s="502"/>
      <c r="G272" s="502"/>
      <c r="H272" s="503"/>
      <c r="I272" s="504"/>
      <c r="J272" s="505">
        <f>H272*F272*E272+I272*G272*E272</f>
        <v>0</v>
      </c>
      <c r="K272" s="471"/>
    </row>
    <row r="273" spans="1:11">
      <c r="A273" s="463"/>
      <c r="B273" s="506"/>
      <c r="C273" s="507"/>
      <c r="D273" s="508"/>
      <c r="E273" s="509"/>
      <c r="F273" s="509"/>
      <c r="G273" s="509"/>
      <c r="H273" s="510"/>
      <c r="I273" s="511"/>
      <c r="J273" s="505">
        <f>H273*F273*E273+I273*G273*E273</f>
        <v>0</v>
      </c>
      <c r="K273" s="471"/>
    </row>
    <row r="274" spans="1:11">
      <c r="A274" s="463"/>
      <c r="B274" s="512" t="s">
        <v>946</v>
      </c>
      <c r="C274" s="482"/>
      <c r="D274" s="482"/>
      <c r="E274" s="482"/>
      <c r="F274" s="482"/>
      <c r="G274" s="482"/>
      <c r="H274" s="482"/>
      <c r="I274" s="513" t="s">
        <v>175</v>
      </c>
      <c r="J274" s="514">
        <f>SUM(J270:J273)</f>
        <v>0</v>
      </c>
      <c r="K274" s="471"/>
    </row>
    <row r="275" spans="1:11">
      <c r="A275" s="463"/>
      <c r="B275" s="515"/>
      <c r="C275" s="515"/>
      <c r="D275" s="515"/>
      <c r="E275" s="515"/>
      <c r="F275" s="515"/>
      <c r="G275" s="515"/>
      <c r="H275" s="515"/>
      <c r="I275" s="516"/>
      <c r="J275" s="517"/>
      <c r="K275" s="471"/>
    </row>
    <row r="276" spans="1:11" ht="20.399999999999999">
      <c r="A276" s="463"/>
      <c r="B276" s="1490" t="s">
        <v>947</v>
      </c>
      <c r="C276" s="1491"/>
      <c r="D276" s="1491"/>
      <c r="E276" s="1492"/>
      <c r="F276" s="725" t="s">
        <v>688</v>
      </c>
      <c r="G276" s="519"/>
      <c r="H276" s="520" t="s">
        <v>427</v>
      </c>
      <c r="I276" s="521" t="s">
        <v>948</v>
      </c>
      <c r="J276" s="522" t="s">
        <v>949</v>
      </c>
      <c r="K276" s="471"/>
    </row>
    <row r="277" spans="1:11">
      <c r="A277" s="463"/>
      <c r="B277" s="530" t="s">
        <v>472</v>
      </c>
      <c r="C277" s="531"/>
      <c r="D277" s="472"/>
      <c r="E277" s="500"/>
      <c r="F277" s="501"/>
      <c r="G277" s="532"/>
      <c r="H277" s="533">
        <v>1</v>
      </c>
      <c r="I277" s="534">
        <f>(VLOOKUP(B277,'MÃO DE OBRA'!$A:$E,5,FALSE)/220)</f>
        <v>18.377072727272729</v>
      </c>
      <c r="J277" s="505">
        <f>H277*I277</f>
        <v>18.377072727272729</v>
      </c>
      <c r="K277" s="471"/>
    </row>
    <row r="278" spans="1:11">
      <c r="A278" s="463"/>
      <c r="B278" s="530"/>
      <c r="C278" s="531"/>
      <c r="D278" s="472"/>
      <c r="E278" s="500"/>
      <c r="F278" s="501"/>
      <c r="G278" s="532"/>
      <c r="H278" s="533"/>
      <c r="I278" s="534"/>
      <c r="J278" s="505"/>
      <c r="K278" s="471"/>
    </row>
    <row r="279" spans="1:11">
      <c r="A279" s="463"/>
      <c r="B279" s="530"/>
      <c r="C279" s="531"/>
      <c r="D279" s="472"/>
      <c r="E279" s="500"/>
      <c r="F279" s="501"/>
      <c r="G279" s="532"/>
      <c r="H279" s="533"/>
      <c r="I279" s="534"/>
      <c r="J279" s="505"/>
      <c r="K279" s="471"/>
    </row>
    <row r="280" spans="1:11">
      <c r="A280" s="463"/>
      <c r="B280" s="512" t="s">
        <v>946</v>
      </c>
      <c r="C280" s="515"/>
      <c r="D280" s="515"/>
      <c r="E280" s="515"/>
      <c r="F280" s="515"/>
      <c r="G280" s="515"/>
      <c r="H280" s="515"/>
      <c r="I280" s="535" t="s">
        <v>175</v>
      </c>
      <c r="J280" s="514">
        <f>SUM(J277:J279)</f>
        <v>18.377072727272729</v>
      </c>
      <c r="K280" s="471"/>
    </row>
    <row r="281" spans="1:11">
      <c r="A281" s="463"/>
      <c r="B281" s="536"/>
      <c r="C281" s="536"/>
      <c r="D281" s="536"/>
      <c r="E281" s="536"/>
      <c r="F281" s="536"/>
      <c r="G281" s="536"/>
      <c r="H281" s="536"/>
      <c r="I281" s="537"/>
      <c r="J281" s="536"/>
      <c r="K281" s="471"/>
    </row>
    <row r="282" spans="1:11">
      <c r="A282" s="463"/>
      <c r="B282" s="538" t="s">
        <v>952</v>
      </c>
      <c r="C282" s="539"/>
      <c r="D282" s="536"/>
      <c r="E282" s="540">
        <v>0.66600000000000004</v>
      </c>
      <c r="F282" s="541" t="s">
        <v>931</v>
      </c>
      <c r="G282" s="519"/>
      <c r="H282" s="519"/>
      <c r="I282" s="542" t="s">
        <v>953</v>
      </c>
      <c r="J282" s="514">
        <f>J274+J280</f>
        <v>18.377072727272729</v>
      </c>
      <c r="K282" s="471"/>
    </row>
    <row r="283" spans="1:11">
      <c r="A283" s="463"/>
      <c r="B283" s="543"/>
      <c r="C283" s="536"/>
      <c r="D283" s="536"/>
      <c r="E283" s="544"/>
      <c r="F283" s="545"/>
      <c r="G283" s="545"/>
      <c r="H283" s="545"/>
      <c r="I283" s="537"/>
      <c r="J283" s="536"/>
      <c r="K283" s="471"/>
    </row>
    <row r="284" spans="1:11" ht="20.399999999999999">
      <c r="A284" s="463"/>
      <c r="B284" s="1493" t="s">
        <v>362</v>
      </c>
      <c r="C284" s="1494"/>
      <c r="D284" s="1494"/>
      <c r="E284" s="1495"/>
      <c r="F284" s="546" t="s">
        <v>688</v>
      </c>
      <c r="G284" s="547" t="s">
        <v>371</v>
      </c>
      <c r="H284" s="520" t="s">
        <v>942</v>
      </c>
      <c r="I284" s="548" t="s">
        <v>361</v>
      </c>
      <c r="J284" s="549" t="s">
        <v>363</v>
      </c>
      <c r="K284" s="471"/>
    </row>
    <row r="285" spans="1:11" hidden="1">
      <c r="A285" s="463"/>
      <c r="B285" s="550" t="str">
        <f>B270</f>
        <v>Sapo compactador</v>
      </c>
      <c r="C285" s="551"/>
      <c r="D285" s="551"/>
      <c r="E285" s="552"/>
      <c r="F285" s="553" t="str">
        <f>VLOOKUP(B285,EQUIPAMENTOS!$A:$N,12,FALSE)</f>
        <v>Gasolina</v>
      </c>
      <c r="G285" s="554" t="s">
        <v>415</v>
      </c>
      <c r="H285" s="560">
        <f>VLOOKUP(B285,EQUIPAMENTOS!$A:$N,13,FALSE)</f>
        <v>6.59</v>
      </c>
      <c r="I285" s="556">
        <f>VLOOKUP(B285,EQUIPAMENTOS!$A:$N,14,FALSE)</f>
        <v>3</v>
      </c>
      <c r="J285" s="498">
        <f>H285*I285*E270*F270</f>
        <v>0</v>
      </c>
      <c r="K285" s="471"/>
    </row>
    <row r="286" spans="1:11">
      <c r="A286" s="463"/>
      <c r="B286" s="530"/>
      <c r="C286" s="531"/>
      <c r="D286" s="531"/>
      <c r="E286" s="500"/>
      <c r="F286" s="553"/>
      <c r="G286" s="554"/>
      <c r="H286" s="560"/>
      <c r="I286" s="556"/>
      <c r="J286" s="505"/>
      <c r="K286" s="471"/>
    </row>
    <row r="287" spans="1:11">
      <c r="A287" s="463"/>
      <c r="B287" s="530"/>
      <c r="C287" s="531"/>
      <c r="D287" s="531"/>
      <c r="E287" s="500"/>
      <c r="F287" s="553"/>
      <c r="G287" s="554"/>
      <c r="H287" s="560"/>
      <c r="I287" s="556"/>
      <c r="J287" s="505"/>
      <c r="K287" s="471"/>
    </row>
    <row r="288" spans="1:11">
      <c r="A288" s="463"/>
      <c r="B288" s="530"/>
      <c r="C288" s="539"/>
      <c r="D288" s="539"/>
      <c r="E288" s="507"/>
      <c r="F288" s="553"/>
      <c r="G288" s="736"/>
      <c r="H288" s="560"/>
      <c r="I288" s="556"/>
      <c r="J288" s="505"/>
      <c r="K288" s="471"/>
    </row>
    <row r="289" spans="1:11">
      <c r="A289" s="463"/>
      <c r="B289" s="563" t="s">
        <v>946</v>
      </c>
      <c r="C289" s="539"/>
      <c r="D289" s="539"/>
      <c r="E289" s="539"/>
      <c r="F289" s="536"/>
      <c r="G289" s="539"/>
      <c r="H289" s="564"/>
      <c r="I289" s="565" t="s">
        <v>175</v>
      </c>
      <c r="J289" s="514">
        <f>SUM(J285:J288)</f>
        <v>0</v>
      </c>
      <c r="K289" s="471"/>
    </row>
    <row r="290" spans="1:11">
      <c r="A290" s="463"/>
      <c r="B290" s="566"/>
      <c r="C290" s="539"/>
      <c r="D290" s="539"/>
      <c r="E290" s="567"/>
      <c r="F290" s="568"/>
      <c r="G290" s="519"/>
      <c r="H290" s="519"/>
      <c r="I290" s="542"/>
      <c r="J290" s="567"/>
      <c r="K290" s="471"/>
    </row>
    <row r="291" spans="1:11" ht="20.399999999999999">
      <c r="A291" s="463"/>
      <c r="B291" s="1493" t="s">
        <v>955</v>
      </c>
      <c r="C291" s="1494"/>
      <c r="D291" s="1494"/>
      <c r="E291" s="1494"/>
      <c r="F291" s="1495"/>
      <c r="G291" s="569" t="s">
        <v>372</v>
      </c>
      <c r="H291" s="519" t="s">
        <v>956</v>
      </c>
      <c r="I291" s="570" t="s">
        <v>942</v>
      </c>
      <c r="J291" s="522" t="s">
        <v>363</v>
      </c>
      <c r="K291" s="471"/>
    </row>
    <row r="292" spans="1:11">
      <c r="A292" s="463"/>
      <c r="B292" s="571"/>
      <c r="C292" s="572"/>
      <c r="D292" s="573"/>
      <c r="E292" s="573"/>
      <c r="F292" s="574"/>
      <c r="G292" s="502"/>
      <c r="H292" s="502"/>
      <c r="I292" s="575"/>
      <c r="J292" s="505"/>
      <c r="K292" s="471"/>
    </row>
    <row r="293" spans="1:11">
      <c r="A293" s="463"/>
      <c r="B293" s="576"/>
      <c r="C293" s="577"/>
      <c r="D293" s="578"/>
      <c r="E293" s="578"/>
      <c r="F293" s="579"/>
      <c r="G293" s="502"/>
      <c r="H293" s="502"/>
      <c r="I293" s="575"/>
      <c r="J293" s="505"/>
      <c r="K293" s="471"/>
    </row>
    <row r="294" spans="1:11">
      <c r="A294" s="463"/>
      <c r="B294" s="1496" t="s">
        <v>175</v>
      </c>
      <c r="C294" s="1496"/>
      <c r="D294" s="1496"/>
      <c r="E294" s="1496"/>
      <c r="F294" s="1496"/>
      <c r="G294" s="1496"/>
      <c r="H294" s="1496"/>
      <c r="I294" s="1496"/>
      <c r="J294" s="514">
        <f>SUM(J292:J293)</f>
        <v>0</v>
      </c>
      <c r="K294" s="471"/>
    </row>
    <row r="295" spans="1:11">
      <c r="A295" s="463"/>
      <c r="B295" s="580"/>
      <c r="C295" s="524"/>
      <c r="D295" s="524"/>
      <c r="E295" s="581"/>
      <c r="F295" s="582"/>
      <c r="G295" s="583"/>
      <c r="H295" s="583"/>
      <c r="I295" s="584"/>
      <c r="J295" s="585"/>
      <c r="K295" s="471"/>
    </row>
    <row r="296" spans="1:11">
      <c r="A296" s="463"/>
      <c r="B296" s="586" t="s">
        <v>957</v>
      </c>
      <c r="C296" s="586"/>
      <c r="D296" s="563"/>
      <c r="E296" s="536"/>
      <c r="F296" s="536"/>
      <c r="G296" s="536"/>
      <c r="H296" s="587"/>
      <c r="I296" s="588"/>
      <c r="J296" s="514">
        <f>(J282+J289+J294)/E282</f>
        <v>27.593202293202296</v>
      </c>
      <c r="K296" s="471"/>
    </row>
    <row r="297" spans="1:11">
      <c r="A297" s="463"/>
      <c r="B297" s="566"/>
      <c r="C297" s="539"/>
      <c r="D297" s="539"/>
      <c r="E297" s="567"/>
      <c r="F297" s="568"/>
      <c r="G297" s="519"/>
      <c r="H297" s="519"/>
      <c r="I297" s="542"/>
      <c r="J297" s="589"/>
      <c r="K297" s="471"/>
    </row>
    <row r="298" spans="1:11" ht="20.399999999999999">
      <c r="A298" s="463"/>
      <c r="B298" s="1493" t="s">
        <v>958</v>
      </c>
      <c r="C298" s="1494"/>
      <c r="D298" s="1494"/>
      <c r="E298" s="1494"/>
      <c r="F298" s="1495"/>
      <c r="G298" s="569" t="s">
        <v>372</v>
      </c>
      <c r="H298" s="519" t="s">
        <v>956</v>
      </c>
      <c r="I298" s="570" t="s">
        <v>942</v>
      </c>
      <c r="J298" s="522" t="s">
        <v>363</v>
      </c>
      <c r="K298" s="471"/>
    </row>
    <row r="299" spans="1:11">
      <c r="A299" s="463"/>
      <c r="B299" s="571"/>
      <c r="C299" s="572"/>
      <c r="D299" s="573"/>
      <c r="E299" s="573"/>
      <c r="F299" s="574"/>
      <c r="G299" s="502"/>
      <c r="H299" s="502"/>
      <c r="I299" s="575"/>
      <c r="J299" s="505">
        <f>G299*I299</f>
        <v>0</v>
      </c>
      <c r="K299" s="471"/>
    </row>
    <row r="300" spans="1:11">
      <c r="A300" s="463"/>
      <c r="B300" s="576"/>
      <c r="C300" s="577"/>
      <c r="D300" s="578"/>
      <c r="E300" s="578"/>
      <c r="F300" s="579"/>
      <c r="G300" s="502"/>
      <c r="H300" s="502"/>
      <c r="I300" s="575"/>
      <c r="J300" s="505">
        <f>G300*I300</f>
        <v>0</v>
      </c>
      <c r="K300" s="471"/>
    </row>
    <row r="301" spans="1:11">
      <c r="A301" s="463"/>
      <c r="B301" s="576"/>
      <c r="C301" s="577"/>
      <c r="D301" s="578"/>
      <c r="E301" s="578"/>
      <c r="F301" s="579"/>
      <c r="G301" s="502"/>
      <c r="H301" s="502"/>
      <c r="I301" s="575"/>
      <c r="J301" s="505">
        <f>G301*I301</f>
        <v>0</v>
      </c>
      <c r="K301" s="471"/>
    </row>
    <row r="302" spans="1:11">
      <c r="A302" s="463"/>
      <c r="B302" s="590"/>
      <c r="C302" s="591"/>
      <c r="D302" s="592"/>
      <c r="E302" s="592"/>
      <c r="F302" s="593"/>
      <c r="G302" s="502"/>
      <c r="H302" s="502"/>
      <c r="I302" s="575"/>
      <c r="J302" s="505">
        <f>G302*I302</f>
        <v>0</v>
      </c>
      <c r="K302" s="471"/>
    </row>
    <row r="303" spans="1:11">
      <c r="A303" s="463"/>
      <c r="B303" s="594"/>
      <c r="C303" s="536"/>
      <c r="D303" s="536"/>
      <c r="E303" s="595"/>
      <c r="F303" s="596"/>
      <c r="G303" s="545"/>
      <c r="H303" s="545"/>
      <c r="I303" s="537" t="s">
        <v>175</v>
      </c>
      <c r="J303" s="514">
        <f>SUM(J299:J302)</f>
        <v>0</v>
      </c>
      <c r="K303" s="471"/>
    </row>
    <row r="304" spans="1:11">
      <c r="A304" s="463"/>
      <c r="B304" s="597"/>
      <c r="C304" s="536"/>
      <c r="D304" s="536"/>
      <c r="E304" s="595"/>
      <c r="F304" s="596"/>
      <c r="G304" s="545"/>
      <c r="H304" s="545"/>
      <c r="I304" s="537"/>
      <c r="J304" s="595"/>
      <c r="K304" s="471"/>
    </row>
    <row r="305" spans="1:11" ht="20.399999999999999">
      <c r="A305" s="463"/>
      <c r="B305" s="598" t="s">
        <v>959</v>
      </c>
      <c r="C305" s="598"/>
      <c r="D305" s="598"/>
      <c r="E305" s="599"/>
      <c r="F305" s="600" t="s">
        <v>372</v>
      </c>
      <c r="G305" s="569" t="s">
        <v>960</v>
      </c>
      <c r="H305" s="519" t="s">
        <v>942</v>
      </c>
      <c r="I305" s="570" t="s">
        <v>361</v>
      </c>
      <c r="J305" s="522" t="s">
        <v>363</v>
      </c>
      <c r="K305" s="471"/>
    </row>
    <row r="306" spans="1:11">
      <c r="A306" s="463"/>
      <c r="B306" s="576" t="s">
        <v>946</v>
      </c>
      <c r="C306" s="577"/>
      <c r="D306" s="578"/>
      <c r="E306" s="579" t="s">
        <v>946</v>
      </c>
      <c r="F306" s="502">
        <v>0</v>
      </c>
      <c r="G306" s="502">
        <v>0</v>
      </c>
      <c r="H306" s="502">
        <v>0</v>
      </c>
      <c r="I306" s="575">
        <v>0</v>
      </c>
      <c r="J306" s="505">
        <f>I306*H306*G306*F306</f>
        <v>0</v>
      </c>
      <c r="K306" s="471"/>
    </row>
    <row r="307" spans="1:11">
      <c r="A307" s="463"/>
      <c r="B307" s="590" t="s">
        <v>946</v>
      </c>
      <c r="C307" s="591"/>
      <c r="D307" s="592"/>
      <c r="E307" s="593" t="s">
        <v>946</v>
      </c>
      <c r="F307" s="509">
        <v>0</v>
      </c>
      <c r="G307" s="509">
        <v>0</v>
      </c>
      <c r="H307" s="509">
        <v>0</v>
      </c>
      <c r="I307" s="601">
        <v>0</v>
      </c>
      <c r="J307" s="505">
        <f>I307*H307*G307*F307</f>
        <v>0</v>
      </c>
      <c r="K307" s="471"/>
    </row>
    <row r="308" spans="1:11">
      <c r="A308" s="463"/>
      <c r="B308" s="594"/>
      <c r="C308" s="536"/>
      <c r="D308" s="536"/>
      <c r="E308" s="595"/>
      <c r="F308" s="596"/>
      <c r="G308" s="545"/>
      <c r="H308" s="545"/>
      <c r="I308" s="537" t="s">
        <v>175</v>
      </c>
      <c r="J308" s="514">
        <f>SUM(J306:J307)</f>
        <v>0</v>
      </c>
      <c r="K308" s="471"/>
    </row>
    <row r="309" spans="1:11">
      <c r="A309" s="463"/>
      <c r="B309" s="536"/>
      <c r="C309" s="536"/>
      <c r="D309" s="536"/>
      <c r="E309" s="536"/>
      <c r="F309" s="536"/>
      <c r="G309" s="536"/>
      <c r="H309" s="536"/>
      <c r="I309" s="537"/>
      <c r="J309" s="536"/>
      <c r="K309" s="471"/>
    </row>
    <row r="310" spans="1:11">
      <c r="A310" s="463"/>
      <c r="B310" s="1481" t="s">
        <v>961</v>
      </c>
      <c r="C310" s="1482"/>
      <c r="D310" s="1482"/>
      <c r="E310" s="1482"/>
      <c r="F310" s="1482"/>
      <c r="G310" s="1482"/>
      <c r="H310" s="1482"/>
      <c r="I310" s="1483"/>
      <c r="J310" s="586">
        <f>J308+J303+J296</f>
        <v>27.593202293202296</v>
      </c>
      <c r="K310" s="471"/>
    </row>
    <row r="311" spans="1:11">
      <c r="A311" s="463"/>
      <c r="B311" s="536"/>
      <c r="C311" s="536"/>
      <c r="D311" s="536"/>
      <c r="E311" s="536"/>
      <c r="F311" s="536"/>
      <c r="G311" s="536"/>
      <c r="H311" s="536"/>
      <c r="I311" s="537"/>
      <c r="J311" s="536"/>
      <c r="K311" s="471"/>
    </row>
    <row r="312" spans="1:11">
      <c r="A312" s="463"/>
      <c r="B312" s="1481" t="s">
        <v>962</v>
      </c>
      <c r="C312" s="1482"/>
      <c r="D312" s="1482"/>
      <c r="E312" s="1482"/>
      <c r="F312" s="1482"/>
      <c r="G312" s="1482"/>
      <c r="H312" s="1482"/>
      <c r="I312" s="1483"/>
      <c r="J312" s="514">
        <f>J310*0</f>
        <v>0</v>
      </c>
      <c r="K312" s="471"/>
    </row>
    <row r="313" spans="1:11">
      <c r="A313" s="463"/>
      <c r="B313" s="536"/>
      <c r="C313" s="536"/>
      <c r="D313" s="536"/>
      <c r="E313" s="536"/>
      <c r="F313" s="536"/>
      <c r="G313" s="536"/>
      <c r="H313" s="536"/>
      <c r="I313" s="537"/>
      <c r="J313" s="536"/>
      <c r="K313" s="471"/>
    </row>
    <row r="314" spans="1:11">
      <c r="A314" s="463"/>
      <c r="B314" s="1481" t="s">
        <v>963</v>
      </c>
      <c r="C314" s="1482"/>
      <c r="D314" s="1482"/>
      <c r="E314" s="1482"/>
      <c r="F314" s="1482"/>
      <c r="G314" s="1482"/>
      <c r="H314" s="1482"/>
      <c r="I314" s="1483"/>
      <c r="J314" s="586">
        <f>J310+J312</f>
        <v>27.593202293202296</v>
      </c>
      <c r="K314" s="471"/>
    </row>
    <row r="315" spans="1:11">
      <c r="A315" s="463"/>
      <c r="B315" s="524"/>
      <c r="C315" s="524"/>
      <c r="D315" s="524"/>
      <c r="E315" s="524"/>
      <c r="F315" s="524"/>
      <c r="G315" s="524"/>
      <c r="H315" s="524"/>
      <c r="I315" s="584"/>
      <c r="J315" s="524"/>
      <c r="K315" s="471"/>
    </row>
    <row r="316" spans="1:11">
      <c r="A316" s="463"/>
      <c r="B316" s="602"/>
      <c r="C316" s="572"/>
      <c r="D316" s="572"/>
      <c r="E316" s="572"/>
      <c r="F316" s="572"/>
      <c r="G316" s="572"/>
      <c r="H316" s="572"/>
      <c r="I316" s="572"/>
      <c r="J316" s="603"/>
      <c r="K316" s="471"/>
    </row>
    <row r="317" spans="1:11">
      <c r="A317" s="463"/>
      <c r="B317" s="604"/>
      <c r="C317" s="605"/>
      <c r="D317" s="606"/>
      <c r="E317" s="606"/>
      <c r="F317" s="607" t="s">
        <v>946</v>
      </c>
      <c r="G317" s="608" t="s">
        <v>946</v>
      </c>
      <c r="H317" s="605"/>
      <c r="I317" s="605"/>
      <c r="J317" s="609"/>
      <c r="K317" s="471"/>
    </row>
    <row r="318" spans="1:11">
      <c r="A318" s="463"/>
      <c r="B318" s="472"/>
      <c r="C318" s="472"/>
      <c r="D318" s="472"/>
      <c r="E318" s="472"/>
      <c r="F318" s="472"/>
      <c r="G318" s="472"/>
      <c r="H318" s="472"/>
      <c r="I318" s="472"/>
      <c r="J318" s="472"/>
      <c r="K318" s="471"/>
    </row>
    <row r="319" spans="1:11">
      <c r="A319" s="463"/>
      <c r="B319" s="610"/>
      <c r="C319" s="611"/>
      <c r="D319" s="611"/>
      <c r="E319" s="611"/>
      <c r="F319" s="612"/>
      <c r="G319" s="613" t="s">
        <v>363</v>
      </c>
      <c r="H319" s="515"/>
      <c r="I319" s="515"/>
      <c r="J319" s="518"/>
      <c r="K319" s="471"/>
    </row>
    <row r="320" spans="1:11">
      <c r="A320" s="463"/>
      <c r="B320" s="614"/>
      <c r="C320" s="615"/>
      <c r="D320" s="615"/>
      <c r="E320" s="615"/>
      <c r="F320" s="616"/>
      <c r="G320" s="1484" t="s">
        <v>964</v>
      </c>
      <c r="H320" s="1485"/>
      <c r="I320" s="1485"/>
      <c r="J320" s="1486"/>
      <c r="K320" s="471"/>
    </row>
    <row r="321" spans="1:11">
      <c r="A321" s="463"/>
      <c r="B321" s="617"/>
      <c r="C321" s="618"/>
      <c r="D321" s="618"/>
      <c r="E321" s="618"/>
      <c r="F321" s="619"/>
      <c r="G321" s="620"/>
      <c r="H321" s="1487"/>
      <c r="I321" s="1488"/>
      <c r="J321" s="1489"/>
      <c r="K321" s="471"/>
    </row>
    <row r="322" spans="1:11" ht="15" thickBot="1">
      <c r="A322" s="621"/>
      <c r="B322" s="622"/>
      <c r="C322" s="622"/>
      <c r="D322" s="622"/>
      <c r="E322" s="622"/>
      <c r="F322" s="622"/>
      <c r="G322" s="622"/>
      <c r="H322" s="622"/>
      <c r="I322" s="622"/>
      <c r="J322" s="622"/>
      <c r="K322" s="623"/>
    </row>
  </sheetData>
  <mergeCells count="70">
    <mergeCell ref="B312:I312"/>
    <mergeCell ref="B314:I314"/>
    <mergeCell ref="G320:J320"/>
    <mergeCell ref="H321:J321"/>
    <mergeCell ref="B284:E284"/>
    <mergeCell ref="B291:F291"/>
    <mergeCell ref="B294:I294"/>
    <mergeCell ref="B298:F298"/>
    <mergeCell ref="B310:I310"/>
    <mergeCell ref="D265:I265"/>
    <mergeCell ref="B268:C269"/>
    <mergeCell ref="D268:D269"/>
    <mergeCell ref="E268:E269"/>
    <mergeCell ref="B276:E276"/>
    <mergeCell ref="B129:I129"/>
    <mergeCell ref="B131:I131"/>
    <mergeCell ref="G137:J137"/>
    <mergeCell ref="H138:J138"/>
    <mergeCell ref="B101:E101"/>
    <mergeCell ref="B108:F108"/>
    <mergeCell ref="B111:I111"/>
    <mergeCell ref="B115:F115"/>
    <mergeCell ref="B127:I127"/>
    <mergeCell ref="D77:I77"/>
    <mergeCell ref="B80:C81"/>
    <mergeCell ref="D80:D81"/>
    <mergeCell ref="E80:E81"/>
    <mergeCell ref="B91:E91"/>
    <mergeCell ref="B33:E33"/>
    <mergeCell ref="D4:I4"/>
    <mergeCell ref="B7:C8"/>
    <mergeCell ref="D7:D8"/>
    <mergeCell ref="E7:E8"/>
    <mergeCell ref="B18:E18"/>
    <mergeCell ref="G71:J71"/>
    <mergeCell ref="H72:J72"/>
    <mergeCell ref="B42:F42"/>
    <mergeCell ref="B45:I45"/>
    <mergeCell ref="B49:F49"/>
    <mergeCell ref="B61:I61"/>
    <mergeCell ref="B63:I63"/>
    <mergeCell ref="B65:I65"/>
    <mergeCell ref="D143:I143"/>
    <mergeCell ref="B146:C147"/>
    <mergeCell ref="D146:D147"/>
    <mergeCell ref="E146:E147"/>
    <mergeCell ref="B154:E154"/>
    <mergeCell ref="B162:E162"/>
    <mergeCell ref="B169:F169"/>
    <mergeCell ref="B172:I172"/>
    <mergeCell ref="B176:F176"/>
    <mergeCell ref="B188:I188"/>
    <mergeCell ref="B190:I190"/>
    <mergeCell ref="B192:I192"/>
    <mergeCell ref="G198:J198"/>
    <mergeCell ref="H199:J199"/>
    <mergeCell ref="D204:I204"/>
    <mergeCell ref="B207:C208"/>
    <mergeCell ref="D207:D208"/>
    <mergeCell ref="E207:E208"/>
    <mergeCell ref="B215:E215"/>
    <mergeCell ref="B223:E223"/>
    <mergeCell ref="B253:I253"/>
    <mergeCell ref="G259:J259"/>
    <mergeCell ref="H260:J260"/>
    <mergeCell ref="B230:F230"/>
    <mergeCell ref="B233:I233"/>
    <mergeCell ref="B237:F237"/>
    <mergeCell ref="B249:I249"/>
    <mergeCell ref="B251:I251"/>
  </mergeCells>
  <phoneticPr fontId="45" type="noConversion"/>
  <pageMargins left="0.511811024" right="0.511811024" top="0.78740157499999996" bottom="0.78740157499999996" header="0.31496062000000002" footer="0.31496062000000002"/>
  <pageSetup paperSize="9" scale="65" orientation="portrait" r:id="rId1"/>
  <rowBreaks count="4" manualBreakCount="4">
    <brk id="73" max="10" man="1"/>
    <brk id="139" max="10" man="1"/>
    <brk id="200" max="10" man="1"/>
    <brk id="261" max="10"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5471-01EA-466C-9655-18E8A8A5392F}">
  <sheetPr codeName="Planilha38">
    <tabColor rgb="FFFFFF66"/>
  </sheetPr>
  <dimension ref="A1:L70"/>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497" t="s">
        <v>250</v>
      </c>
      <c r="E4" s="1498"/>
      <c r="F4" s="1498"/>
      <c r="G4" s="1498"/>
      <c r="H4" s="1498"/>
      <c r="I4" s="1499"/>
      <c r="J4" s="475" t="s">
        <v>267</v>
      </c>
      <c r="K4" s="471"/>
    </row>
    <row r="5" spans="1:11">
      <c r="A5" s="463"/>
      <c r="B5" s="476">
        <v>4413984</v>
      </c>
      <c r="C5" s="477">
        <f ca="1">PLANEJAMENTO!F4</f>
        <v>46140</v>
      </c>
      <c r="D5" s="478" t="s">
        <v>218</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c r="A10" s="463"/>
      <c r="B10" s="499" t="s">
        <v>669</v>
      </c>
      <c r="C10" s="500"/>
      <c r="D10" s="501"/>
      <c r="E10" s="502">
        <v>1</v>
      </c>
      <c r="F10" s="502">
        <v>1</v>
      </c>
      <c r="G10" s="502">
        <f>1-F10</f>
        <v>0</v>
      </c>
      <c r="H10" s="503">
        <f>VLOOKUP(B10,EQUIPAMENTOS!$A:$J,10,FALSE)</f>
        <v>214.36944444444444</v>
      </c>
      <c r="I10" s="504">
        <f>H10</f>
        <v>214.36944444444444</v>
      </c>
      <c r="J10" s="505">
        <f t="shared" si="0"/>
        <v>214.36944444444444</v>
      </c>
      <c r="K10" s="471"/>
    </row>
    <row r="11" spans="1:11">
      <c r="A11" s="463"/>
      <c r="B11" s="499" t="s">
        <v>655</v>
      </c>
      <c r="C11" s="500"/>
      <c r="D11" s="501"/>
      <c r="E11" s="502">
        <v>1</v>
      </c>
      <c r="F11" s="502">
        <v>1</v>
      </c>
      <c r="G11" s="502">
        <f>1-F11</f>
        <v>0</v>
      </c>
      <c r="H11" s="503">
        <f>VLOOKUP(B11,EQUIPAMENTOS!$A:$J,10,FALSE)</f>
        <v>145</v>
      </c>
      <c r="I11" s="504">
        <f>H11</f>
        <v>145</v>
      </c>
      <c r="J11" s="505">
        <f t="shared" si="0"/>
        <v>145</v>
      </c>
      <c r="K11" s="471"/>
    </row>
    <row r="12" spans="1:11">
      <c r="A12" s="463"/>
      <c r="B12" s="499" t="s">
        <v>629</v>
      </c>
      <c r="C12" s="500"/>
      <c r="D12" s="501"/>
      <c r="E12" s="502">
        <v>2</v>
      </c>
      <c r="F12" s="502">
        <v>1</v>
      </c>
      <c r="G12" s="502">
        <f>1-F12</f>
        <v>0</v>
      </c>
      <c r="H12" s="503" t="e">
        <f>VLOOKUP(B12,EQUIPAMENTOS!$A:$J,10,FALSE)</f>
        <v>#N/A</v>
      </c>
      <c r="I12" s="504" t="e">
        <f>H12</f>
        <v>#N/A</v>
      </c>
      <c r="J12" s="505" t="e">
        <f t="shared" si="0"/>
        <v>#N/A</v>
      </c>
      <c r="K12" s="471"/>
    </row>
    <row r="13" spans="1:11">
      <c r="A13" s="463"/>
      <c r="B13" s="499"/>
      <c r="C13" s="500"/>
      <c r="D13" s="501"/>
      <c r="E13" s="502"/>
      <c r="F13" s="502"/>
      <c r="G13" s="502"/>
      <c r="H13" s="753"/>
      <c r="I13" s="504"/>
      <c r="J13" s="505">
        <f t="shared" si="0"/>
        <v>0</v>
      </c>
      <c r="K13" s="471"/>
    </row>
    <row r="14" spans="1:11">
      <c r="A14" s="463"/>
      <c r="B14" s="499"/>
      <c r="C14" s="500"/>
      <c r="D14" s="501"/>
      <c r="E14" s="502"/>
      <c r="F14" s="502"/>
      <c r="G14" s="502"/>
      <c r="H14" s="753"/>
      <c r="I14" s="504"/>
      <c r="J14" s="505">
        <f t="shared" si="0"/>
        <v>0</v>
      </c>
      <c r="K14" s="471"/>
    </row>
    <row r="15" spans="1:11">
      <c r="A15" s="463"/>
      <c r="B15" s="506"/>
      <c r="C15" s="507"/>
      <c r="D15" s="508"/>
      <c r="E15" s="509"/>
      <c r="F15" s="509"/>
      <c r="G15" s="509"/>
      <c r="H15" s="561"/>
      <c r="I15" s="511"/>
      <c r="J15" s="505">
        <f t="shared" si="0"/>
        <v>0</v>
      </c>
      <c r="K15" s="471"/>
    </row>
    <row r="16" spans="1:11">
      <c r="A16" s="463"/>
      <c r="B16" s="512" t="s">
        <v>946</v>
      </c>
      <c r="C16" s="482"/>
      <c r="D16" s="482"/>
      <c r="E16" s="482"/>
      <c r="F16" s="482"/>
      <c r="G16" s="482"/>
      <c r="H16" s="482"/>
      <c r="I16" s="513" t="s">
        <v>175</v>
      </c>
      <c r="J16" s="514" t="e">
        <f>SUM(J9:J15)</f>
        <v>#N/A</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5" si="1">H20*I20</f>
        <v>35.988199999999999</v>
      </c>
      <c r="K20" s="471"/>
    </row>
    <row r="21" spans="1:11">
      <c r="A21" s="463"/>
      <c r="B21" s="530" t="s">
        <v>472</v>
      </c>
      <c r="C21" s="531"/>
      <c r="D21" s="472"/>
      <c r="E21" s="500"/>
      <c r="F21" s="501"/>
      <c r="G21" s="532"/>
      <c r="H21" s="533">
        <v>1</v>
      </c>
      <c r="I21" s="534">
        <f>VLOOKUP(B21,'MÃO DE OBRA'!$A:$E,5,FALSE)/220</f>
        <v>18.377072727272729</v>
      </c>
      <c r="J21" s="505">
        <f t="shared" si="1"/>
        <v>18.377072727272729</v>
      </c>
      <c r="K21" s="471"/>
    </row>
    <row r="22" spans="1:11">
      <c r="A22" s="463"/>
      <c r="B22" s="530" t="s">
        <v>976</v>
      </c>
      <c r="C22" s="531"/>
      <c r="D22" s="472"/>
      <c r="E22" s="500"/>
      <c r="F22" s="501"/>
      <c r="G22" s="532"/>
      <c r="H22" s="533">
        <f>E10</f>
        <v>1</v>
      </c>
      <c r="I22" s="534">
        <f>VLOOKUP(B22,'MÃO DE OBRA'!$A:$E,5,FALSE)/220</f>
        <v>35.711036363636367</v>
      </c>
      <c r="J22" s="505">
        <f t="shared" si="1"/>
        <v>35.711036363636367</v>
      </c>
      <c r="K22" s="471"/>
    </row>
    <row r="23" spans="1:11">
      <c r="A23" s="463"/>
      <c r="B23" s="530" t="s">
        <v>969</v>
      </c>
      <c r="C23" s="531"/>
      <c r="D23" s="472"/>
      <c r="E23" s="500"/>
      <c r="F23" s="501"/>
      <c r="G23" s="532"/>
      <c r="H23" s="533">
        <f>E11</f>
        <v>1</v>
      </c>
      <c r="I23" s="534">
        <f>VLOOKUP(B23,'MÃO DE OBRA'!$A:$E,5,FALSE)/220</f>
        <v>21.588799999999999</v>
      </c>
      <c r="J23" s="505">
        <f t="shared" si="1"/>
        <v>21.588799999999999</v>
      </c>
      <c r="K23" s="471"/>
    </row>
    <row r="24" spans="1:11">
      <c r="A24" s="463"/>
      <c r="B24" s="530" t="s">
        <v>977</v>
      </c>
      <c r="C24" s="531"/>
      <c r="D24" s="472"/>
      <c r="E24" s="500"/>
      <c r="F24" s="501"/>
      <c r="G24" s="532"/>
      <c r="H24" s="533">
        <f>E12</f>
        <v>2</v>
      </c>
      <c r="I24" s="534">
        <f>VLOOKUP(B24,'MÃO DE OBRA'!$A:$E,5,FALSE)/220</f>
        <v>27.68359090909091</v>
      </c>
      <c r="J24" s="505">
        <f t="shared" si="1"/>
        <v>55.36718181818182</v>
      </c>
      <c r="K24" s="471"/>
    </row>
    <row r="25" spans="1:11">
      <c r="A25" s="463"/>
      <c r="B25" s="530"/>
      <c r="C25" s="531"/>
      <c r="D25" s="472"/>
      <c r="E25" s="500"/>
      <c r="F25" s="501"/>
      <c r="G25" s="532"/>
      <c r="H25" s="533"/>
      <c r="I25" s="504"/>
      <c r="J25" s="505">
        <f t="shared" si="1"/>
        <v>0</v>
      </c>
      <c r="K25" s="471"/>
    </row>
    <row r="26" spans="1:11">
      <c r="A26" s="463"/>
      <c r="B26" s="512" t="s">
        <v>946</v>
      </c>
      <c r="C26" s="515"/>
      <c r="D26" s="515"/>
      <c r="E26" s="515"/>
      <c r="F26" s="515"/>
      <c r="G26" s="515"/>
      <c r="H26" s="515"/>
      <c r="I26" s="535" t="s">
        <v>175</v>
      </c>
      <c r="J26" s="514">
        <f>SUM(J19:J25)</f>
        <v>167.0322909090909</v>
      </c>
      <c r="K26" s="471"/>
    </row>
    <row r="27" spans="1:11">
      <c r="A27" s="463"/>
      <c r="B27" s="536"/>
      <c r="C27" s="536"/>
      <c r="D27" s="536"/>
      <c r="E27" s="536"/>
      <c r="F27" s="536"/>
      <c r="G27" s="536"/>
      <c r="H27" s="536"/>
      <c r="I27" s="537"/>
      <c r="J27" s="536"/>
      <c r="K27" s="471"/>
    </row>
    <row r="28" spans="1:11">
      <c r="A28" s="463"/>
      <c r="B28" s="538" t="s">
        <v>952</v>
      </c>
      <c r="C28" s="539"/>
      <c r="D28" s="536"/>
      <c r="E28" s="540">
        <v>336</v>
      </c>
      <c r="F28" s="541" t="s">
        <v>208</v>
      </c>
      <c r="G28" s="519"/>
      <c r="H28" s="519"/>
      <c r="I28" s="542" t="s">
        <v>953</v>
      </c>
      <c r="J28" s="514" t="e">
        <f>J16+J26</f>
        <v>#N/A</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643" t="s">
        <v>363</v>
      </c>
      <c r="K30" s="471"/>
    </row>
    <row r="31" spans="1:11">
      <c r="A31" s="463"/>
      <c r="B31" s="550" t="str">
        <f>B9</f>
        <v>Motoniveladora 140K</v>
      </c>
      <c r="C31" s="551"/>
      <c r="D31" s="551"/>
      <c r="E31" s="552"/>
      <c r="F31" s="553" t="str">
        <f>VLOOKUP(B31,EQUIPAMENTOS!$A:$N,12,FALSE)</f>
        <v>Diesel S10</v>
      </c>
      <c r="G31" s="554" t="s">
        <v>415</v>
      </c>
      <c r="H31" s="560">
        <f>VLOOKUP(B31,EQUIPAMENTOS!$A:$N,13,FALSE)</f>
        <v>0</v>
      </c>
      <c r="I31" s="641">
        <f>VLOOKUP(B31,EQUIPAMENTOS!$A:$N,14,FALSE)</f>
        <v>28</v>
      </c>
      <c r="J31" s="498">
        <f t="shared" ref="J31:J36" si="2">H31*I31*E9*F9</f>
        <v>0</v>
      </c>
      <c r="K31" s="471"/>
    </row>
    <row r="32" spans="1:11">
      <c r="A32" s="463"/>
      <c r="B32" s="550" t="str">
        <f>B10</f>
        <v>Trator de esteiras 20T</v>
      </c>
      <c r="C32" s="531"/>
      <c r="D32" s="531"/>
      <c r="E32" s="500"/>
      <c r="F32" s="553" t="str">
        <f>VLOOKUP(B32,EQUIPAMENTOS!$A:$N,12,FALSE)</f>
        <v>Diesel S10</v>
      </c>
      <c r="G32" s="554" t="s">
        <v>415</v>
      </c>
      <c r="H32" s="560">
        <f>VLOOKUP(B32,EQUIPAMENTOS!$A:$N,13,FALSE)</f>
        <v>0</v>
      </c>
      <c r="I32" s="641">
        <f>VLOOKUP(B32,EQUIPAMENTOS!$A:$N,14,FALSE)</f>
        <v>26</v>
      </c>
      <c r="J32" s="505">
        <f t="shared" si="2"/>
        <v>0</v>
      </c>
      <c r="K32" s="471"/>
    </row>
    <row r="33" spans="1:12">
      <c r="A33" s="463"/>
      <c r="B33" s="550" t="str">
        <f>B11</f>
        <v>Rolo compactador pé de carneiro 10T</v>
      </c>
      <c r="C33" s="531"/>
      <c r="D33" s="531"/>
      <c r="E33" s="500"/>
      <c r="F33" s="553" t="str">
        <f>VLOOKUP(B33,EQUIPAMENTOS!$A:$N,12,FALSE)</f>
        <v>Diesel S10</v>
      </c>
      <c r="G33" s="554" t="s">
        <v>415</v>
      </c>
      <c r="H33" s="560">
        <f>VLOOKUP(B33,EQUIPAMENTOS!$A:$N,13,FALSE)</f>
        <v>0</v>
      </c>
      <c r="I33" s="641">
        <f>VLOOKUP(B33,EQUIPAMENTOS!$A:$N,14,FALSE)</f>
        <v>16</v>
      </c>
      <c r="J33" s="505">
        <f t="shared" si="2"/>
        <v>0</v>
      </c>
      <c r="K33" s="471"/>
    </row>
    <row r="34" spans="1:12">
      <c r="A34" s="463"/>
      <c r="B34" s="550" t="str">
        <f>B12</f>
        <v>Caminhão Pipa 20.000 l, traçado, rabo de pavão e barra</v>
      </c>
      <c r="C34" s="531"/>
      <c r="D34" s="531"/>
      <c r="E34" s="500"/>
      <c r="F34" s="553" t="e">
        <f>VLOOKUP(B34,EQUIPAMENTOS!$A:$N,12,FALSE)</f>
        <v>#N/A</v>
      </c>
      <c r="G34" s="554" t="s">
        <v>415</v>
      </c>
      <c r="H34" s="560" t="e">
        <f>VLOOKUP(B34,EQUIPAMENTOS!$A:$N,13,FALSE)</f>
        <v>#N/A</v>
      </c>
      <c r="I34" s="641" t="e">
        <f>VLOOKUP(B34,EQUIPAMENTOS!$A:$N,14,FALSE)</f>
        <v>#N/A</v>
      </c>
      <c r="J34" s="505" t="e">
        <f t="shared" si="2"/>
        <v>#N/A</v>
      </c>
      <c r="K34" s="471"/>
    </row>
    <row r="35" spans="1:12">
      <c r="A35" s="463"/>
      <c r="B35" s="550"/>
      <c r="C35" s="531"/>
      <c r="D35" s="531"/>
      <c r="E35" s="500"/>
      <c r="F35" s="501"/>
      <c r="G35" s="559"/>
      <c r="H35" s="560"/>
      <c r="I35" s="641"/>
      <c r="J35" s="505">
        <f t="shared" si="2"/>
        <v>0</v>
      </c>
      <c r="K35" s="471"/>
    </row>
    <row r="36" spans="1:12">
      <c r="A36" s="463"/>
      <c r="B36" s="550"/>
      <c r="C36" s="539"/>
      <c r="D36" s="539"/>
      <c r="E36" s="507"/>
      <c r="F36" s="501"/>
      <c r="G36" s="481"/>
      <c r="H36" s="560"/>
      <c r="I36" s="642"/>
      <c r="J36" s="505">
        <f t="shared" si="2"/>
        <v>0</v>
      </c>
      <c r="K36" s="471"/>
    </row>
    <row r="37" spans="1:12">
      <c r="A37" s="463"/>
      <c r="B37" s="563" t="s">
        <v>946</v>
      </c>
      <c r="C37" s="539"/>
      <c r="D37" s="539"/>
      <c r="E37" s="539"/>
      <c r="F37" s="536"/>
      <c r="G37" s="539"/>
      <c r="H37" s="564"/>
      <c r="I37" s="565" t="s">
        <v>175</v>
      </c>
      <c r="J37" s="514" t="e">
        <f>SUM(J31:J36)</f>
        <v>#N/A</v>
      </c>
      <c r="K37" s="471"/>
      <c r="L37" s="6" t="e">
        <f>J37/E28</f>
        <v>#N/A</v>
      </c>
    </row>
    <row r="38" spans="1:12">
      <c r="A38" s="463"/>
      <c r="B38" s="566"/>
      <c r="C38" s="539"/>
      <c r="D38" s="539"/>
      <c r="E38" s="567"/>
      <c r="F38" s="568"/>
      <c r="G38" s="519"/>
      <c r="H38" s="519"/>
      <c r="I38" s="542"/>
      <c r="J38" s="567"/>
      <c r="K38" s="471"/>
    </row>
    <row r="39" spans="1:12" ht="20.399999999999999">
      <c r="A39" s="463"/>
      <c r="B39" s="1493" t="s">
        <v>955</v>
      </c>
      <c r="C39" s="1494"/>
      <c r="D39" s="1494"/>
      <c r="E39" s="1494"/>
      <c r="F39" s="1495"/>
      <c r="G39" s="569" t="s">
        <v>372</v>
      </c>
      <c r="H39" s="519" t="s">
        <v>956</v>
      </c>
      <c r="I39" s="570" t="s">
        <v>942</v>
      </c>
      <c r="J39" s="522" t="s">
        <v>363</v>
      </c>
      <c r="K39" s="471"/>
    </row>
    <row r="40" spans="1:12">
      <c r="A40" s="463"/>
      <c r="B40" s="571"/>
      <c r="C40" s="572"/>
      <c r="D40" s="573"/>
      <c r="E40" s="573"/>
      <c r="F40" s="574"/>
      <c r="G40" s="502"/>
      <c r="H40" s="502"/>
      <c r="I40" s="575"/>
      <c r="J40" s="505"/>
      <c r="K40" s="471"/>
    </row>
    <row r="41" spans="1:12">
      <c r="A41" s="463"/>
      <c r="B41" s="576"/>
      <c r="C41" s="577"/>
      <c r="D41" s="578"/>
      <c r="E41" s="578"/>
      <c r="F41" s="579"/>
      <c r="G41" s="502"/>
      <c r="H41" s="502"/>
      <c r="I41" s="575"/>
      <c r="J41" s="505"/>
      <c r="K41" s="471"/>
    </row>
    <row r="42" spans="1:12">
      <c r="A42" s="463"/>
      <c r="B42" s="1496" t="s">
        <v>175</v>
      </c>
      <c r="C42" s="1496"/>
      <c r="D42" s="1496"/>
      <c r="E42" s="1496"/>
      <c r="F42" s="1496"/>
      <c r="G42" s="1496"/>
      <c r="H42" s="1496"/>
      <c r="I42" s="1496"/>
      <c r="J42" s="514">
        <f>SUM(J40:J41)</f>
        <v>0</v>
      </c>
      <c r="K42" s="471"/>
    </row>
    <row r="43" spans="1:12">
      <c r="A43" s="463"/>
      <c r="B43" s="580"/>
      <c r="C43" s="524"/>
      <c r="D43" s="524"/>
      <c r="E43" s="581"/>
      <c r="F43" s="582"/>
      <c r="G43" s="583"/>
      <c r="H43" s="583"/>
      <c r="I43" s="584"/>
      <c r="J43" s="585"/>
      <c r="K43" s="471"/>
    </row>
    <row r="44" spans="1:12">
      <c r="A44" s="463"/>
      <c r="B44" s="586" t="s">
        <v>957</v>
      </c>
      <c r="C44" s="586"/>
      <c r="D44" s="563"/>
      <c r="E44" s="536"/>
      <c r="F44" s="536"/>
      <c r="G44" s="536"/>
      <c r="H44" s="587"/>
      <c r="I44" s="588"/>
      <c r="J44" s="514" t="e">
        <f>(J28+J37+J42)/E28</f>
        <v>#N/A</v>
      </c>
      <c r="K44" s="471"/>
    </row>
    <row r="45" spans="1:12">
      <c r="A45" s="463"/>
      <c r="B45" s="566"/>
      <c r="C45" s="539"/>
      <c r="D45" s="539"/>
      <c r="E45" s="567"/>
      <c r="F45" s="568"/>
      <c r="G45" s="519"/>
      <c r="H45" s="519"/>
      <c r="I45" s="542"/>
      <c r="J45" s="589"/>
      <c r="K45" s="471"/>
    </row>
    <row r="46" spans="1:12" ht="20.399999999999999">
      <c r="A46" s="463"/>
      <c r="B46" s="1493" t="s">
        <v>958</v>
      </c>
      <c r="C46" s="1494"/>
      <c r="D46" s="1494"/>
      <c r="E46" s="1494"/>
      <c r="F46" s="1495"/>
      <c r="G46" s="569" t="s">
        <v>372</v>
      </c>
      <c r="H46" s="519" t="s">
        <v>956</v>
      </c>
      <c r="I46" s="570" t="s">
        <v>942</v>
      </c>
      <c r="J46" s="522" t="s">
        <v>363</v>
      </c>
      <c r="K46" s="471"/>
    </row>
    <row r="47" spans="1:12">
      <c r="A47" s="463"/>
      <c r="B47" s="571"/>
      <c r="C47" s="572"/>
      <c r="D47" s="573"/>
      <c r="E47" s="573"/>
      <c r="F47" s="574"/>
      <c r="G47" s="502"/>
      <c r="H47" s="502"/>
      <c r="I47" s="575"/>
      <c r="J47" s="505">
        <f>G47*I47</f>
        <v>0</v>
      </c>
      <c r="K47" s="471"/>
    </row>
    <row r="48" spans="1:12">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t="s">
        <v>946</v>
      </c>
      <c r="C54" s="577"/>
      <c r="D54" s="578"/>
      <c r="E54" s="579" t="s">
        <v>946</v>
      </c>
      <c r="F54" s="502">
        <v>0</v>
      </c>
      <c r="G54" s="502">
        <v>0</v>
      </c>
      <c r="H54" s="502">
        <v>0</v>
      </c>
      <c r="I54" s="575">
        <v>0</v>
      </c>
      <c r="J54" s="505">
        <f>I54*H54*G54*F54</f>
        <v>0</v>
      </c>
      <c r="K54" s="471"/>
    </row>
    <row r="55" spans="1:11">
      <c r="A55" s="463"/>
      <c r="B55" s="590" t="s">
        <v>946</v>
      </c>
      <c r="C55" s="591"/>
      <c r="D55" s="592"/>
      <c r="E55" s="593" t="s">
        <v>946</v>
      </c>
      <c r="F55" s="509">
        <v>0</v>
      </c>
      <c r="G55" s="509">
        <v>0</v>
      </c>
      <c r="H55" s="509">
        <v>0</v>
      </c>
      <c r="I55" s="601">
        <v>0</v>
      </c>
      <c r="J55" s="505">
        <f>I55*H55*G55*F55</f>
        <v>0</v>
      </c>
      <c r="K55" s="471"/>
    </row>
    <row r="56" spans="1:11">
      <c r="A56" s="463"/>
      <c r="B56" s="594"/>
      <c r="C56" s="536"/>
      <c r="D56" s="536"/>
      <c r="E56" s="595"/>
      <c r="F56" s="596"/>
      <c r="G56" s="545"/>
      <c r="H56" s="545"/>
      <c r="I56" s="537" t="s">
        <v>175</v>
      </c>
      <c r="J56" s="514">
        <f>SUM(J54:J55)</f>
        <v>0</v>
      </c>
      <c r="K56" s="471"/>
    </row>
    <row r="57" spans="1:11">
      <c r="A57" s="463"/>
      <c r="B57" s="536"/>
      <c r="C57" s="536"/>
      <c r="D57" s="536"/>
      <c r="E57" s="536"/>
      <c r="F57" s="536"/>
      <c r="G57" s="536"/>
      <c r="H57" s="536"/>
      <c r="I57" s="537"/>
      <c r="J57" s="536"/>
      <c r="K57" s="471"/>
    </row>
    <row r="58" spans="1:11">
      <c r="A58" s="463"/>
      <c r="B58" s="1481" t="s">
        <v>961</v>
      </c>
      <c r="C58" s="1482"/>
      <c r="D58" s="1482"/>
      <c r="E58" s="1482"/>
      <c r="F58" s="1482"/>
      <c r="G58" s="1482"/>
      <c r="H58" s="1482"/>
      <c r="I58" s="1483"/>
      <c r="J58" s="586" t="e">
        <f>J56+J51+J44</f>
        <v>#N/A</v>
      </c>
      <c r="K58" s="471"/>
    </row>
    <row r="59" spans="1:11">
      <c r="A59" s="463"/>
      <c r="B59" s="536"/>
      <c r="C59" s="536"/>
      <c r="D59" s="536"/>
      <c r="E59" s="536"/>
      <c r="F59" s="536"/>
      <c r="G59" s="536"/>
      <c r="H59" s="536"/>
      <c r="I59" s="537"/>
      <c r="J59" s="536"/>
      <c r="K59" s="471"/>
    </row>
    <row r="60" spans="1:11">
      <c r="A60" s="463"/>
      <c r="B60" s="1481" t="s">
        <v>962</v>
      </c>
      <c r="C60" s="1482"/>
      <c r="D60" s="1482"/>
      <c r="E60" s="1482"/>
      <c r="F60" s="1482"/>
      <c r="G60" s="1482"/>
      <c r="H60" s="1482"/>
      <c r="I60" s="1483"/>
      <c r="J60" s="514" t="e">
        <f>J58*0</f>
        <v>#N/A</v>
      </c>
      <c r="K60" s="471"/>
    </row>
    <row r="61" spans="1:11">
      <c r="A61" s="463"/>
      <c r="B61" s="536"/>
      <c r="C61" s="536"/>
      <c r="D61" s="536"/>
      <c r="E61" s="536"/>
      <c r="F61" s="536"/>
      <c r="G61" s="536"/>
      <c r="H61" s="536"/>
      <c r="I61" s="537"/>
      <c r="J61" s="536"/>
      <c r="K61" s="471"/>
    </row>
    <row r="62" spans="1:11">
      <c r="A62" s="463"/>
      <c r="B62" s="1481" t="s">
        <v>963</v>
      </c>
      <c r="C62" s="1482"/>
      <c r="D62" s="1482"/>
      <c r="E62" s="1482"/>
      <c r="F62" s="1482"/>
      <c r="G62" s="1482"/>
      <c r="H62" s="1482"/>
      <c r="I62" s="1483"/>
      <c r="J62" s="586" t="e">
        <f>J58+J60</f>
        <v>#N/A</v>
      </c>
      <c r="K62" s="471"/>
    </row>
    <row r="63" spans="1:11">
      <c r="A63" s="463"/>
      <c r="B63" s="524"/>
      <c r="C63" s="524"/>
      <c r="D63" s="524"/>
      <c r="E63" s="524"/>
      <c r="F63" s="524"/>
      <c r="G63" s="524"/>
      <c r="H63" s="524"/>
      <c r="I63" s="584"/>
      <c r="J63" s="524"/>
      <c r="K63" s="471"/>
    </row>
    <row r="64" spans="1:11">
      <c r="A64" s="463"/>
      <c r="B64" s="602"/>
      <c r="C64" s="572"/>
      <c r="D64" s="572"/>
      <c r="E64" s="572"/>
      <c r="F64" s="572"/>
      <c r="G64" s="572"/>
      <c r="H64" s="572"/>
      <c r="I64" s="572"/>
      <c r="J64" s="603"/>
      <c r="K64" s="471"/>
    </row>
    <row r="65" spans="1:11">
      <c r="A65" s="463"/>
      <c r="B65" s="604"/>
      <c r="C65" s="605"/>
      <c r="D65" s="606"/>
      <c r="E65" s="606"/>
      <c r="F65" s="607" t="s">
        <v>946</v>
      </c>
      <c r="G65" s="608" t="s">
        <v>946</v>
      </c>
      <c r="H65" s="605"/>
      <c r="I65" s="605"/>
      <c r="J65" s="609"/>
      <c r="K65" s="471"/>
    </row>
    <row r="66" spans="1:11">
      <c r="A66" s="463"/>
      <c r="B66" s="472"/>
      <c r="C66" s="472"/>
      <c r="D66" s="472"/>
      <c r="E66" s="472"/>
      <c r="F66" s="472"/>
      <c r="G66" s="472"/>
      <c r="H66" s="472"/>
      <c r="I66" s="472"/>
      <c r="J66" s="472"/>
      <c r="K66" s="471"/>
    </row>
    <row r="67" spans="1:11">
      <c r="A67" s="463"/>
      <c r="B67" s="610" t="str">
        <f>PLANEJAMENTO!F2</f>
        <v>OPERAÇÃO DE SUPRESSÃO E SUMP</v>
      </c>
      <c r="C67" s="611"/>
      <c r="D67" s="611"/>
      <c r="E67" s="611"/>
      <c r="F67" s="612"/>
      <c r="G67" s="613" t="s">
        <v>363</v>
      </c>
      <c r="H67" s="515"/>
      <c r="I67" s="515"/>
      <c r="J67" s="518"/>
      <c r="K67" s="471"/>
    </row>
    <row r="68" spans="1:11">
      <c r="A68" s="463"/>
      <c r="B68" s="614" t="str">
        <f>PLANEJAMENTO!F3</f>
        <v>MARA ROSA</v>
      </c>
      <c r="C68" s="615"/>
      <c r="D68" s="615"/>
      <c r="E68" s="615"/>
      <c r="F68" s="616"/>
      <c r="G68" s="1484" t="s">
        <v>964</v>
      </c>
      <c r="H68" s="1485"/>
      <c r="I68" s="1485"/>
      <c r="J68" s="1486"/>
      <c r="K68" s="471"/>
    </row>
    <row r="69" spans="1:11">
      <c r="A69" s="463"/>
      <c r="B69" s="617"/>
      <c r="C69" s="618"/>
      <c r="D69" s="618"/>
      <c r="E69" s="618"/>
      <c r="F69" s="619"/>
      <c r="G69" s="620"/>
      <c r="H69" s="1487"/>
      <c r="I69" s="1488"/>
      <c r="J69" s="1489"/>
      <c r="K69" s="471"/>
    </row>
    <row r="70" spans="1:11" ht="15" thickBot="1">
      <c r="A70" s="621"/>
      <c r="B70" s="622"/>
      <c r="C70" s="622"/>
      <c r="D70" s="622"/>
      <c r="E70" s="622"/>
      <c r="F70" s="622"/>
      <c r="G70" s="622"/>
      <c r="H70" s="622"/>
      <c r="I70" s="622"/>
      <c r="J70" s="622"/>
      <c r="K70" s="623"/>
    </row>
  </sheetData>
  <mergeCells count="14">
    <mergeCell ref="B30:E30"/>
    <mergeCell ref="D4:I4"/>
    <mergeCell ref="B7:C8"/>
    <mergeCell ref="D7:D8"/>
    <mergeCell ref="E7:E8"/>
    <mergeCell ref="B18:E18"/>
    <mergeCell ref="G68:J68"/>
    <mergeCell ref="H69:J69"/>
    <mergeCell ref="B39:F39"/>
    <mergeCell ref="B42:I42"/>
    <mergeCell ref="B46:F46"/>
    <mergeCell ref="B58:I58"/>
    <mergeCell ref="B60:I60"/>
    <mergeCell ref="B62:I62"/>
  </mergeCells>
  <pageMargins left="0.511811024" right="0.511811024" top="0.78740157499999996" bottom="0.78740157499999996" header="0.31496062000000002" footer="0.31496062000000002"/>
  <pageSetup paperSize="9" scale="65"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3DDFE-A7AF-4A39-AE16-27BDA15C4E38}">
  <sheetPr codeName="Planilha39">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979</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971</v>
      </c>
      <c r="C9" s="492"/>
      <c r="D9" s="493"/>
      <c r="E9" s="494">
        <v>1</v>
      </c>
      <c r="F9" s="494">
        <v>1</v>
      </c>
      <c r="G9" s="495">
        <f>1-F9</f>
        <v>0</v>
      </c>
      <c r="H9" s="496">
        <f>VLOOKUP(B9,EQUIPAMENTOS!$A:$J,10,FALSE)</f>
        <v>175</v>
      </c>
      <c r="I9" s="497">
        <f>H9</f>
        <v>175</v>
      </c>
      <c r="J9" s="498">
        <f t="shared" ref="J9:J15" si="0">H9*F9*E9+I9*G9*E9</f>
        <v>175</v>
      </c>
      <c r="K9" s="471"/>
    </row>
    <row r="10" spans="1:11" hidden="1">
      <c r="A10" s="463"/>
      <c r="B10" s="499"/>
      <c r="C10" s="500"/>
      <c r="D10" s="501"/>
      <c r="E10" s="502"/>
      <c r="F10" s="502">
        <v>1</v>
      </c>
      <c r="G10" s="502">
        <f>1-F10</f>
        <v>0</v>
      </c>
      <c r="H10" s="503"/>
      <c r="I10" s="504">
        <f>H10</f>
        <v>0</v>
      </c>
      <c r="J10" s="505">
        <f t="shared" si="0"/>
        <v>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175</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1.79941</v>
      </c>
      <c r="K19" s="471"/>
    </row>
    <row r="20" spans="1:11">
      <c r="A20" s="463"/>
      <c r="B20" s="530" t="s">
        <v>556</v>
      </c>
      <c r="C20" s="531"/>
      <c r="D20" s="472"/>
      <c r="E20" s="500"/>
      <c r="F20" s="501"/>
      <c r="G20" s="532"/>
      <c r="H20" s="533">
        <v>1</v>
      </c>
      <c r="I20" s="534">
        <f>VLOOKUP(B20,'MÃO DE OBRA'!$A:$E,5,FALSE)/220</f>
        <v>35.988199999999999</v>
      </c>
      <c r="J20" s="505">
        <f>H20*I20</f>
        <v>35.988199999999999</v>
      </c>
      <c r="K20" s="471"/>
    </row>
    <row r="21" spans="1:11" hidden="1">
      <c r="A21" s="463"/>
      <c r="B21" s="530" t="s">
        <v>534</v>
      </c>
      <c r="C21" s="531"/>
      <c r="D21" s="472"/>
      <c r="E21" s="500"/>
      <c r="F21" s="501"/>
      <c r="G21" s="532"/>
      <c r="H21" s="533"/>
      <c r="I21" s="534">
        <f>VLOOKUP(B21,'MÃO DE OBRA'!$A:$E,5,FALSE)/220</f>
        <v>21.588799999999999</v>
      </c>
      <c r="J21" s="505">
        <f>H21*I21</f>
        <v>0</v>
      </c>
      <c r="K21" s="471"/>
    </row>
    <row r="22" spans="1:11">
      <c r="A22" s="463"/>
      <c r="B22" s="530" t="s">
        <v>472</v>
      </c>
      <c r="C22" s="531"/>
      <c r="D22" s="472"/>
      <c r="E22" s="500"/>
      <c r="F22" s="501"/>
      <c r="G22" s="532"/>
      <c r="H22" s="533"/>
      <c r="I22" s="534">
        <f>VLOOKUP(B22,'MÃO DE OBRA'!$A:$E,5,FALSE)/220</f>
        <v>18.377072727272729</v>
      </c>
      <c r="J22" s="505">
        <f>H22*I22</f>
        <v>0</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8.75</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46.537610000000001</v>
      </c>
      <c r="K26" s="471"/>
    </row>
    <row r="27" spans="1:11">
      <c r="A27" s="463"/>
      <c r="B27" s="536"/>
      <c r="C27" s="536"/>
      <c r="D27" s="536"/>
      <c r="E27" s="536"/>
      <c r="F27" s="536"/>
      <c r="G27" s="536"/>
      <c r="H27" s="536"/>
      <c r="I27" s="537"/>
      <c r="J27" s="536"/>
      <c r="K27" s="471"/>
    </row>
    <row r="28" spans="1:11">
      <c r="A28" s="463"/>
      <c r="B28" s="538" t="s">
        <v>952</v>
      </c>
      <c r="C28" s="539"/>
      <c r="D28" s="536"/>
      <c r="E28" s="540">
        <v>45</v>
      </c>
      <c r="F28" s="541" t="s">
        <v>208</v>
      </c>
      <c r="G28" s="519"/>
      <c r="H28" s="519"/>
      <c r="I28" s="542" t="s">
        <v>953</v>
      </c>
      <c r="J28" s="514">
        <f>J16+J26</f>
        <v>221.53761</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Escavadeira Hidráulica sobre esteira 22T</v>
      </c>
      <c r="C31" s="551"/>
      <c r="D31" s="551"/>
      <c r="E31" s="552"/>
      <c r="F31" s="553" t="str">
        <f>VLOOKUP(B31,EQUIPAMENTOS!$A:$N,12,FALSE)</f>
        <v>Diesel S10</v>
      </c>
      <c r="G31" s="554" t="s">
        <v>415</v>
      </c>
      <c r="H31" s="560">
        <f>VLOOKUP(B31,EQUIPAMENTOS!$A:$N,13,FALSE)</f>
        <v>0</v>
      </c>
      <c r="I31" s="556">
        <f>VLOOKUP(B31,EQUIPAMENTOS!$A:$N,14,FALSE)</f>
        <v>22</v>
      </c>
      <c r="J31" s="498">
        <f>H31*I31*E9*F9</f>
        <v>0</v>
      </c>
      <c r="K31" s="471"/>
    </row>
    <row r="32" spans="1:11">
      <c r="A32" s="463"/>
      <c r="B32" s="550"/>
      <c r="C32" s="531"/>
      <c r="D32" s="531"/>
      <c r="E32" s="500"/>
      <c r="F32" s="553"/>
      <c r="G32" s="554" t="s">
        <v>415</v>
      </c>
      <c r="H32" s="555"/>
      <c r="I32" s="556"/>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4.9230580000000002</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t="s">
        <v>946</v>
      </c>
      <c r="F55" s="502">
        <v>0</v>
      </c>
      <c r="G55" s="502">
        <v>0</v>
      </c>
      <c r="H55" s="502">
        <v>0</v>
      </c>
      <c r="I55" s="575">
        <v>0</v>
      </c>
      <c r="J55" s="505">
        <f>I55*H55*G55*F55</f>
        <v>0</v>
      </c>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4.9230580000000002</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4.9230580000000002</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46A3-8454-4CCB-8982-3336AB8F3A59}">
  <sheetPr codeName="Planilha40">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982</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954</v>
      </c>
      <c r="C9" s="492"/>
      <c r="D9" s="493"/>
      <c r="E9" s="494">
        <v>1</v>
      </c>
      <c r="F9" s="494">
        <v>1</v>
      </c>
      <c r="G9" s="495">
        <f>1-F9</f>
        <v>0</v>
      </c>
      <c r="H9" s="496">
        <f>VLOOKUP(B9,EQUIPAMENTOS!$A:$J,10,FALSE)</f>
        <v>192.58333333333334</v>
      </c>
      <c r="I9" s="497">
        <f>H9</f>
        <v>192.58333333333334</v>
      </c>
      <c r="J9" s="498">
        <f t="shared" ref="J9:J15" si="0">H9*F9*E9+I9*G9*E9</f>
        <v>192.58333333333334</v>
      </c>
      <c r="K9" s="471"/>
    </row>
    <row r="10" spans="1:11">
      <c r="A10" s="463"/>
      <c r="B10" s="499" t="s">
        <v>983</v>
      </c>
      <c r="C10" s="500"/>
      <c r="D10" s="501"/>
      <c r="E10" s="502">
        <v>2</v>
      </c>
      <c r="F10" s="502">
        <v>1</v>
      </c>
      <c r="G10" s="502">
        <f>1-F10</f>
        <v>0</v>
      </c>
      <c r="H10" s="503">
        <f>VLOOKUP(B10,EQUIPAMENTOS!$A:$J,10,FALSE)</f>
        <v>125</v>
      </c>
      <c r="I10" s="504">
        <f>H10</f>
        <v>125</v>
      </c>
      <c r="J10" s="505">
        <f t="shared" si="0"/>
        <v>250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442.58333333333337</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4.903830000000001</v>
      </c>
      <c r="K19" s="471"/>
    </row>
    <row r="20" spans="1:11">
      <c r="A20" s="463"/>
      <c r="B20" s="530" t="s">
        <v>951</v>
      </c>
      <c r="C20" s="531"/>
      <c r="D20" s="472"/>
      <c r="E20" s="500"/>
      <c r="F20" s="501"/>
      <c r="G20" s="532"/>
      <c r="H20" s="533">
        <v>1</v>
      </c>
      <c r="I20" s="534">
        <f>VLOOKUP(B20,'MÃO DE OBRA'!$A:$E,5,FALSE)/220</f>
        <v>26.270618181818183</v>
      </c>
      <c r="J20" s="505">
        <f>H20*I20</f>
        <v>26.270618181818183</v>
      </c>
      <c r="K20" s="471"/>
    </row>
    <row r="21" spans="1:11">
      <c r="A21" s="463"/>
      <c r="B21" s="530" t="s">
        <v>950</v>
      </c>
      <c r="C21" s="531"/>
      <c r="D21" s="472"/>
      <c r="E21" s="500"/>
      <c r="F21" s="501"/>
      <c r="G21" s="532"/>
      <c r="H21" s="533">
        <f>E10</f>
        <v>2</v>
      </c>
      <c r="I21" s="534">
        <f>VLOOKUP(B21,'MÃO DE OBRA'!$A:$E,5,FALSE)/220</f>
        <v>26.714454545454547</v>
      </c>
      <c r="J21" s="505">
        <f>H21*I21</f>
        <v>53.428909090909094</v>
      </c>
      <c r="K21" s="471"/>
    </row>
    <row r="22" spans="1:11">
      <c r="A22" s="463"/>
      <c r="B22" s="530" t="s">
        <v>472</v>
      </c>
      <c r="C22" s="531"/>
      <c r="D22" s="472"/>
      <c r="E22" s="500"/>
      <c r="F22" s="501"/>
      <c r="G22" s="532"/>
      <c r="H22" s="533">
        <v>1</v>
      </c>
      <c r="I22" s="534">
        <f>VLOOKUP(B22,'MÃO DE OBRA'!$A:$E,5,FALSE)/220</f>
        <v>18.377072727272729</v>
      </c>
      <c r="J22" s="505">
        <f>H22*I22</f>
        <v>18.377072727272729</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22.12916666666667</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125.10959666666668</v>
      </c>
      <c r="K26" s="471"/>
    </row>
    <row r="27" spans="1:11">
      <c r="A27" s="463"/>
      <c r="B27" s="536"/>
      <c r="C27" s="536"/>
      <c r="D27" s="536"/>
      <c r="E27" s="536"/>
      <c r="F27" s="536"/>
      <c r="G27" s="536"/>
      <c r="H27" s="536"/>
      <c r="I27" s="537"/>
      <c r="J27" s="536"/>
      <c r="K27" s="471"/>
    </row>
    <row r="28" spans="1:11">
      <c r="A28" s="463"/>
      <c r="B28" s="538" t="s">
        <v>952</v>
      </c>
      <c r="C28" s="539"/>
      <c r="D28" s="536"/>
      <c r="E28" s="540">
        <v>100</v>
      </c>
      <c r="F28" s="541" t="s">
        <v>208</v>
      </c>
      <c r="G28" s="519"/>
      <c r="H28" s="519"/>
      <c r="I28" s="542" t="s">
        <v>953</v>
      </c>
      <c r="J28" s="514">
        <f>J16+J26</f>
        <v>567.69293000000005</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Pá Carregadeira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t="str">
        <f>B10</f>
        <v>Caminhão Basculante 14 m³</v>
      </c>
      <c r="C32" s="531"/>
      <c r="D32" s="531"/>
      <c r="E32" s="500"/>
      <c r="F32" s="553" t="str">
        <f>VLOOKUP(B32,EQUIPAMENTOS!$A:$N,12,FALSE)</f>
        <v>Diesel S10</v>
      </c>
      <c r="G32" s="554" t="s">
        <v>415</v>
      </c>
      <c r="H32" s="560">
        <f>VLOOKUP(B32,EQUIPAMENTOS!$A:$N,13,FALSE)</f>
        <v>0</v>
      </c>
      <c r="I32" s="556">
        <f>VLOOKUP(B32,EQUIPAMENTOS!$A:$N,14,FALSE)</f>
        <v>2.5</v>
      </c>
      <c r="J32" s="505">
        <f>H32*I32*E10*F10</f>
        <v>0</v>
      </c>
      <c r="K32" s="471"/>
    </row>
    <row r="33" spans="1:11">
      <c r="A33" s="463"/>
      <c r="B33" s="530"/>
      <c r="C33" s="531"/>
      <c r="D33" s="531"/>
      <c r="E33" s="500"/>
      <c r="F33" s="553"/>
      <c r="G33" s="559"/>
      <c r="H33" s="560"/>
      <c r="I33" s="556"/>
      <c r="J33" s="505">
        <f>H33*I33*E11</f>
        <v>0</v>
      </c>
      <c r="K33" s="471"/>
    </row>
    <row r="34" spans="1:11">
      <c r="A34" s="463"/>
      <c r="B34" s="530"/>
      <c r="C34" s="531"/>
      <c r="D34" s="531"/>
      <c r="E34" s="500"/>
      <c r="F34" s="553"/>
      <c r="G34" s="559"/>
      <c r="H34" s="560"/>
      <c r="I34" s="556"/>
      <c r="J34" s="505">
        <f>H34*I34*E12</f>
        <v>0</v>
      </c>
      <c r="K34" s="471"/>
    </row>
    <row r="35" spans="1:11">
      <c r="A35" s="463"/>
      <c r="B35" s="530"/>
      <c r="C35" s="531"/>
      <c r="D35" s="531"/>
      <c r="E35" s="500"/>
      <c r="F35" s="553"/>
      <c r="G35" s="559"/>
      <c r="H35" s="560"/>
      <c r="I35" s="556"/>
      <c r="J35" s="505">
        <f>H35*I35*E13</f>
        <v>0</v>
      </c>
      <c r="K35" s="471"/>
    </row>
    <row r="36" spans="1:11">
      <c r="A36" s="463"/>
      <c r="B36" s="530"/>
      <c r="C36" s="539"/>
      <c r="D36" s="539"/>
      <c r="E36" s="507"/>
      <c r="F36" s="553"/>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5.6769293000000003</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c r="F55" s="502"/>
      <c r="G55" s="502"/>
      <c r="H55" s="502"/>
      <c r="I55" s="575"/>
      <c r="J55" s="505"/>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5.6769293000000003</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5.6769293000000003</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6CC5-F515-40FC-A670-9BEBE5EE2380}">
  <sheetPr codeName="Planilha25">
    <tabColor theme="1"/>
  </sheetPr>
  <dimension ref="B3:AI42"/>
  <sheetViews>
    <sheetView showGridLines="0" topLeftCell="C1" workbookViewId="0">
      <selection activeCell="C6" sqref="A6:XFD6"/>
    </sheetView>
  </sheetViews>
  <sheetFormatPr defaultColWidth="8.88671875" defaultRowHeight="14.4"/>
  <cols>
    <col min="1" max="1" width="0.33203125" customWidth="1"/>
    <col min="3" max="3" width="43.88671875" bestFit="1" customWidth="1"/>
    <col min="4" max="4" width="10.88671875" customWidth="1"/>
    <col min="5" max="5" width="12.88671875" customWidth="1"/>
    <col min="6" max="9" width="1.6640625" customWidth="1"/>
    <col min="10" max="10" width="28.88671875" bestFit="1" customWidth="1"/>
    <col min="11" max="11" width="10.88671875" bestFit="1" customWidth="1"/>
    <col min="12" max="12" width="8.44140625" bestFit="1" customWidth="1"/>
    <col min="13" max="13" width="14.6640625" bestFit="1" customWidth="1"/>
    <col min="14" max="14" width="6.5546875" bestFit="1" customWidth="1"/>
    <col min="15" max="15" width="7.6640625" customWidth="1"/>
    <col min="16" max="16" width="7.5546875" bestFit="1" customWidth="1"/>
    <col min="17" max="17" width="7" customWidth="1"/>
    <col min="18" max="18" width="8.33203125" customWidth="1"/>
    <col min="19" max="20" width="6.33203125" customWidth="1"/>
    <col min="21" max="21" width="9.5546875" bestFit="1" customWidth="1"/>
    <col min="22" max="22" width="7.88671875" bestFit="1" customWidth="1"/>
    <col min="23" max="23" width="7.44140625" customWidth="1"/>
    <col min="24" max="26" width="8.109375" hidden="1" customWidth="1"/>
    <col min="27" max="27" width="7.33203125" customWidth="1"/>
    <col min="28" max="29" width="11.5546875" bestFit="1" customWidth="1"/>
    <col min="30" max="30" width="4.44140625" customWidth="1"/>
    <col min="31" max="31" width="4.88671875" bestFit="1" customWidth="1"/>
    <col min="32" max="32" width="9.5546875" bestFit="1" customWidth="1"/>
    <col min="33" max="33" width="6.5546875" bestFit="1" customWidth="1"/>
    <col min="34" max="34" width="2.6640625" bestFit="1" customWidth="1"/>
    <col min="35" max="35" width="4.88671875" bestFit="1" customWidth="1"/>
    <col min="37" max="37" width="10.5546875" bestFit="1" customWidth="1"/>
  </cols>
  <sheetData>
    <row r="3" spans="2:35">
      <c r="B3" s="820" t="s">
        <v>269</v>
      </c>
      <c r="C3" s="820" t="s">
        <v>462</v>
      </c>
      <c r="D3" s="820" t="s">
        <v>12</v>
      </c>
      <c r="E3" s="820" t="s">
        <v>860</v>
      </c>
      <c r="V3" s="1"/>
      <c r="W3" s="1"/>
      <c r="X3" s="1"/>
      <c r="Y3" s="1"/>
      <c r="Z3" s="1"/>
      <c r="AA3" s="1"/>
    </row>
    <row r="4" spans="2:35">
      <c r="B4" s="47">
        <v>1</v>
      </c>
      <c r="C4" s="41" t="s">
        <v>861</v>
      </c>
      <c r="D4" s="49"/>
      <c r="E4" s="49"/>
      <c r="J4" s="240" t="s">
        <v>862</v>
      </c>
      <c r="K4" s="240" t="s">
        <v>863</v>
      </c>
      <c r="L4" s="299" t="s">
        <v>864</v>
      </c>
      <c r="M4" s="192" t="s">
        <v>1414</v>
      </c>
      <c r="O4" s="6"/>
      <c r="P4" s="676" t="s">
        <v>866</v>
      </c>
      <c r="Q4" s="721" t="s">
        <v>1153</v>
      </c>
      <c r="R4" s="721" t="s">
        <v>1224</v>
      </c>
      <c r="S4" s="721" t="s">
        <v>904</v>
      </c>
      <c r="T4" s="721" t="s">
        <v>973</v>
      </c>
      <c r="U4" s="721" t="s">
        <v>1225</v>
      </c>
      <c r="V4" s="721" t="s">
        <v>1226</v>
      </c>
      <c r="W4" s="721" t="s">
        <v>1227</v>
      </c>
      <c r="X4" s="676"/>
      <c r="Y4" s="676"/>
      <c r="Z4" s="676"/>
      <c r="AA4" s="676"/>
      <c r="AB4" s="676" t="s">
        <v>175</v>
      </c>
    </row>
    <row r="5" spans="2:35">
      <c r="B5" s="47">
        <v>2</v>
      </c>
      <c r="C5" s="42" t="s">
        <v>867</v>
      </c>
      <c r="D5" s="50"/>
      <c r="E5" s="50"/>
      <c r="J5" s="82"/>
      <c r="K5" s="83"/>
      <c r="L5" s="183"/>
      <c r="M5" s="672"/>
      <c r="N5" s="300"/>
      <c r="O5" s="300"/>
      <c r="P5" s="675"/>
      <c r="Q5" s="675"/>
      <c r="R5" s="675"/>
      <c r="S5" s="675"/>
      <c r="T5" s="675"/>
      <c r="U5" s="675"/>
      <c r="V5" s="675"/>
      <c r="W5" s="675"/>
      <c r="X5" s="675"/>
      <c r="Y5" s="675"/>
      <c r="Z5" s="675"/>
      <c r="AA5" s="675"/>
      <c r="AB5" s="674"/>
      <c r="AC5" s="161"/>
      <c r="AD5" s="859"/>
      <c r="AE5" s="859"/>
      <c r="AF5" s="859"/>
      <c r="AG5" s="859"/>
      <c r="AH5" s="859"/>
      <c r="AI5" s="859"/>
    </row>
    <row r="6" spans="2:35">
      <c r="B6" s="47">
        <v>3</v>
      </c>
      <c r="C6" s="42" t="s">
        <v>869</v>
      </c>
      <c r="D6" s="53">
        <v>0.31</v>
      </c>
      <c r="E6" s="50"/>
      <c r="J6" s="82" t="s">
        <v>1202</v>
      </c>
      <c r="K6" s="83">
        <f>30*2</f>
        <v>60</v>
      </c>
      <c r="L6" s="183">
        <v>60</v>
      </c>
      <c r="M6" s="672">
        <f>K6</f>
        <v>60</v>
      </c>
      <c r="N6" s="300"/>
      <c r="O6" s="300"/>
      <c r="P6" s="673">
        <f>C_FIXO!C14+C_FIXO!C15</f>
        <v>38</v>
      </c>
      <c r="Q6" s="673"/>
      <c r="R6" s="673" t="s">
        <v>868</v>
      </c>
      <c r="S6" s="673"/>
      <c r="T6" s="673" t="s">
        <v>868</v>
      </c>
      <c r="U6" s="673"/>
      <c r="V6" s="673" t="s">
        <v>868</v>
      </c>
      <c r="W6" s="673"/>
      <c r="X6" s="673"/>
      <c r="Y6" s="673"/>
      <c r="Z6" s="673"/>
      <c r="AA6" s="673"/>
      <c r="AB6" s="674">
        <f>COUNTIF(Q6:AA6,"X")*M6*P6</f>
        <v>6840</v>
      </c>
      <c r="AC6" s="6"/>
    </row>
    <row r="7" spans="2:35">
      <c r="B7" s="47">
        <v>4</v>
      </c>
      <c r="C7" s="42" t="s">
        <v>870</v>
      </c>
      <c r="D7" s="53">
        <v>0.3</v>
      </c>
      <c r="E7" s="50"/>
      <c r="J7" s="82" t="s">
        <v>871</v>
      </c>
      <c r="K7" s="83">
        <v>50</v>
      </c>
      <c r="L7" s="183">
        <v>360</v>
      </c>
      <c r="M7" s="672">
        <f t="shared" ref="M7:M18" si="0">K7</f>
        <v>50</v>
      </c>
      <c r="N7" s="300"/>
      <c r="O7" s="300"/>
      <c r="P7" s="673">
        <f>C_FIXO!C14</f>
        <v>20</v>
      </c>
      <c r="Q7" s="673"/>
      <c r="R7" s="673" t="s">
        <v>868</v>
      </c>
      <c r="S7" s="673"/>
      <c r="T7" s="673"/>
      <c r="U7" s="673" t="s">
        <v>868</v>
      </c>
      <c r="V7" s="673"/>
      <c r="W7" s="673"/>
      <c r="X7" s="673"/>
      <c r="Y7" s="673"/>
      <c r="Z7" s="673"/>
      <c r="AA7" s="673"/>
      <c r="AB7" s="674">
        <f>COUNTIF(Q7:AA7,"X")*M7*P7</f>
        <v>2000</v>
      </c>
      <c r="AC7" s="6"/>
    </row>
    <row r="8" spans="2:35">
      <c r="B8" s="47">
        <v>5</v>
      </c>
      <c r="C8" s="42" t="s">
        <v>872</v>
      </c>
      <c r="D8" s="54">
        <v>0.06</v>
      </c>
      <c r="E8" s="50"/>
      <c r="J8" s="82" t="s">
        <v>1347</v>
      </c>
      <c r="K8" s="83"/>
      <c r="L8" s="183">
        <f>3*365</f>
        <v>1095</v>
      </c>
      <c r="M8" s="672">
        <f>K8</f>
        <v>0</v>
      </c>
      <c r="N8" s="300"/>
      <c r="O8" s="300"/>
      <c r="P8" s="673"/>
      <c r="Q8" s="673"/>
      <c r="R8" s="673"/>
      <c r="S8" s="673"/>
      <c r="T8" s="673"/>
      <c r="U8" s="673"/>
      <c r="V8" s="673"/>
      <c r="W8" s="673"/>
      <c r="X8" s="673"/>
      <c r="Y8" s="673"/>
      <c r="Z8" s="673"/>
      <c r="AA8" s="673"/>
      <c r="AB8" s="674"/>
      <c r="AC8" s="6"/>
    </row>
    <row r="9" spans="2:35">
      <c r="B9" s="47">
        <v>6</v>
      </c>
      <c r="C9" s="42" t="s">
        <v>873</v>
      </c>
      <c r="D9" s="50"/>
      <c r="E9" s="52">
        <v>10</v>
      </c>
      <c r="F9" s="6"/>
      <c r="J9" s="82" t="s">
        <v>1343</v>
      </c>
      <c r="K9" s="83">
        <v>120</v>
      </c>
      <c r="L9" s="183">
        <v>180</v>
      </c>
      <c r="M9" s="672">
        <f>K9</f>
        <v>120</v>
      </c>
      <c r="N9" s="300"/>
      <c r="O9" s="300"/>
      <c r="P9" s="673">
        <f>P10</f>
        <v>38</v>
      </c>
      <c r="Q9" s="673"/>
      <c r="R9" s="673" t="s">
        <v>868</v>
      </c>
      <c r="S9" s="673"/>
      <c r="T9" s="673"/>
      <c r="U9" s="673" t="s">
        <v>868</v>
      </c>
      <c r="V9" s="673"/>
      <c r="W9" s="673"/>
      <c r="X9" s="673"/>
      <c r="Y9" s="673"/>
      <c r="Z9" s="673"/>
      <c r="AA9" s="673"/>
      <c r="AB9" s="674">
        <f t="shared" ref="AB9:AB15" si="1">COUNTIF(Q9:AA9,"X")*M9*P9</f>
        <v>9120</v>
      </c>
      <c r="AC9" s="6"/>
    </row>
    <row r="10" spans="2:35">
      <c r="B10" s="47">
        <v>7</v>
      </c>
      <c r="C10" s="42" t="s">
        <v>874</v>
      </c>
      <c r="D10" s="50"/>
      <c r="E10" s="52"/>
      <c r="J10" s="82" t="s">
        <v>875</v>
      </c>
      <c r="K10" s="83">
        <f>(160*2)</f>
        <v>320</v>
      </c>
      <c r="L10" s="183">
        <v>180</v>
      </c>
      <c r="M10" s="672">
        <f t="shared" si="0"/>
        <v>320</v>
      </c>
      <c r="N10" s="300"/>
      <c r="O10" s="300"/>
      <c r="P10" s="673">
        <f>C_FIXO!C15+C_FIXO!C14</f>
        <v>38</v>
      </c>
      <c r="Q10" s="673"/>
      <c r="R10" s="673" t="s">
        <v>868</v>
      </c>
      <c r="S10" s="673"/>
      <c r="T10" s="673"/>
      <c r="U10" s="673" t="s">
        <v>868</v>
      </c>
      <c r="V10" s="673"/>
      <c r="W10" s="673"/>
      <c r="X10" s="673"/>
      <c r="Y10" s="673"/>
      <c r="Z10" s="673"/>
      <c r="AA10" s="673"/>
      <c r="AB10" s="674">
        <f t="shared" si="1"/>
        <v>24320</v>
      </c>
      <c r="AC10" s="6"/>
    </row>
    <row r="11" spans="2:35">
      <c r="B11" s="47">
        <v>8</v>
      </c>
      <c r="C11" s="42" t="s">
        <v>1216</v>
      </c>
      <c r="D11" s="50"/>
      <c r="E11" s="52"/>
      <c r="J11" s="82" t="s">
        <v>1346</v>
      </c>
      <c r="K11" s="83">
        <v>100</v>
      </c>
      <c r="L11" s="183">
        <v>180</v>
      </c>
      <c r="M11" s="672">
        <f t="shared" si="0"/>
        <v>100</v>
      </c>
      <c r="N11" s="300"/>
      <c r="O11" s="300"/>
      <c r="P11" s="673">
        <f>C_FIXO!C14</f>
        <v>20</v>
      </c>
      <c r="Q11" s="673"/>
      <c r="R11" s="673" t="s">
        <v>868</v>
      </c>
      <c r="S11" s="673"/>
      <c r="T11" s="673"/>
      <c r="U11" s="673"/>
      <c r="V11" s="673"/>
      <c r="W11" s="673"/>
      <c r="X11" s="673"/>
      <c r="Y11" s="673"/>
      <c r="Z11" s="673"/>
      <c r="AA11" s="673"/>
      <c r="AB11" s="674">
        <f t="shared" si="1"/>
        <v>2000</v>
      </c>
      <c r="AC11" s="6"/>
    </row>
    <row r="12" spans="2:35">
      <c r="B12" s="47">
        <v>9</v>
      </c>
      <c r="C12" s="42" t="s">
        <v>876</v>
      </c>
      <c r="D12" s="50"/>
      <c r="E12" s="52">
        <f>(E9+E10+E11)*30</f>
        <v>300</v>
      </c>
      <c r="J12" s="82" t="s">
        <v>878</v>
      </c>
      <c r="K12" s="83">
        <v>70</v>
      </c>
      <c r="L12" s="183">
        <v>360</v>
      </c>
      <c r="M12" s="672">
        <f t="shared" si="0"/>
        <v>70</v>
      </c>
      <c r="N12" s="300"/>
      <c r="O12" s="300"/>
      <c r="P12" s="673">
        <f>P10</f>
        <v>38</v>
      </c>
      <c r="Q12" s="673"/>
      <c r="R12" s="673" t="s">
        <v>868</v>
      </c>
      <c r="S12" s="673"/>
      <c r="T12" s="673"/>
      <c r="U12" s="673"/>
      <c r="V12" s="673"/>
      <c r="W12" s="673"/>
      <c r="X12" s="673"/>
      <c r="Y12" s="673"/>
      <c r="Z12" s="673"/>
      <c r="AA12" s="673"/>
      <c r="AB12" s="674">
        <f t="shared" si="1"/>
        <v>2660</v>
      </c>
      <c r="AC12" s="6"/>
    </row>
    <row r="13" spans="2:35" ht="24.6">
      <c r="B13" s="47">
        <v>10</v>
      </c>
      <c r="C13" s="42" t="s">
        <v>877</v>
      </c>
      <c r="D13" s="50"/>
      <c r="E13" s="52"/>
      <c r="J13" s="985" t="s">
        <v>1406</v>
      </c>
      <c r="K13" s="83">
        <v>350</v>
      </c>
      <c r="L13" s="183">
        <f>360*5</f>
        <v>1800</v>
      </c>
      <c r="M13" s="672">
        <f>K13/2</f>
        <v>175</v>
      </c>
      <c r="N13" s="300"/>
      <c r="O13" s="300"/>
      <c r="P13" s="673"/>
      <c r="Q13" s="673"/>
      <c r="R13" s="673" t="s">
        <v>868</v>
      </c>
      <c r="S13" s="673"/>
      <c r="T13" s="673"/>
      <c r="U13" s="673"/>
      <c r="V13" s="673"/>
      <c r="W13" s="673"/>
      <c r="X13" s="673"/>
      <c r="Y13" s="673"/>
      <c r="Z13" s="673"/>
      <c r="AA13" s="673"/>
      <c r="AB13" s="674">
        <f t="shared" si="1"/>
        <v>0</v>
      </c>
      <c r="AC13" s="6"/>
    </row>
    <row r="14" spans="2:35">
      <c r="B14" s="1724">
        <v>11</v>
      </c>
      <c r="C14" s="42" t="s">
        <v>879</v>
      </c>
      <c r="D14" s="50"/>
      <c r="E14" s="52"/>
      <c r="F14" s="6"/>
      <c r="J14" s="82" t="s">
        <v>1203</v>
      </c>
      <c r="K14" s="83">
        <v>40</v>
      </c>
      <c r="L14" s="183">
        <v>180</v>
      </c>
      <c r="M14" s="672">
        <f t="shared" si="0"/>
        <v>40</v>
      </c>
      <c r="N14" s="300"/>
      <c r="O14" s="300"/>
      <c r="P14" s="673">
        <f>P12</f>
        <v>38</v>
      </c>
      <c r="Q14" s="673"/>
      <c r="R14" s="673" t="s">
        <v>868</v>
      </c>
      <c r="S14" s="673"/>
      <c r="T14" s="673"/>
      <c r="U14" s="673" t="s">
        <v>868</v>
      </c>
      <c r="V14" s="673"/>
      <c r="W14" s="673"/>
      <c r="X14" s="673"/>
      <c r="Y14" s="673"/>
      <c r="Z14" s="673"/>
      <c r="AA14" s="673"/>
      <c r="AB14" s="674">
        <f t="shared" si="1"/>
        <v>3040</v>
      </c>
      <c r="AC14" s="6"/>
    </row>
    <row r="15" spans="2:35">
      <c r="B15" s="1725"/>
      <c r="C15" s="43" t="s">
        <v>880</v>
      </c>
      <c r="D15" s="55">
        <v>4000</v>
      </c>
      <c r="E15" s="50"/>
      <c r="J15" s="82" t="s">
        <v>881</v>
      </c>
      <c r="K15" s="83">
        <v>48</v>
      </c>
      <c r="L15" s="183">
        <v>120</v>
      </c>
      <c r="M15" s="672">
        <f t="shared" si="0"/>
        <v>48</v>
      </c>
      <c r="N15" s="300"/>
      <c r="O15" s="300"/>
      <c r="P15" s="673">
        <f>C_FIXO!C14</f>
        <v>20</v>
      </c>
      <c r="Q15" s="673"/>
      <c r="R15" s="673" t="s">
        <v>868</v>
      </c>
      <c r="S15" s="673"/>
      <c r="T15" s="673"/>
      <c r="U15" s="673" t="s">
        <v>868</v>
      </c>
      <c r="V15" s="673"/>
      <c r="W15" s="673"/>
      <c r="X15" s="673"/>
      <c r="Y15" s="673"/>
      <c r="Z15" s="673"/>
      <c r="AA15" s="673"/>
      <c r="AB15" s="674">
        <f t="shared" si="1"/>
        <v>1920</v>
      </c>
      <c r="AC15" s="6"/>
    </row>
    <row r="16" spans="2:35">
      <c r="B16" s="1725"/>
      <c r="C16" s="44" t="s">
        <v>882</v>
      </c>
      <c r="D16" s="821">
        <v>900</v>
      </c>
      <c r="E16" s="50"/>
      <c r="J16" s="82" t="s">
        <v>1342</v>
      </c>
      <c r="K16" s="83"/>
      <c r="L16" s="183">
        <v>120</v>
      </c>
      <c r="M16" s="672">
        <f t="shared" si="0"/>
        <v>0</v>
      </c>
      <c r="N16" s="300"/>
      <c r="O16" s="300"/>
      <c r="P16" s="673"/>
      <c r="Q16" s="673"/>
      <c r="R16" s="673"/>
      <c r="S16" s="673"/>
      <c r="T16" s="673"/>
      <c r="U16" s="673"/>
      <c r="V16" s="673"/>
      <c r="W16" s="673"/>
      <c r="X16" s="673"/>
      <c r="Y16" s="673"/>
      <c r="Z16" s="673"/>
      <c r="AA16" s="673"/>
      <c r="AB16" s="674"/>
      <c r="AC16" s="6"/>
    </row>
    <row r="17" spans="2:29">
      <c r="B17" s="1726"/>
      <c r="C17" s="45" t="s">
        <v>883</v>
      </c>
      <c r="D17" s="56">
        <v>10</v>
      </c>
      <c r="E17" s="50"/>
      <c r="J17" s="82" t="s">
        <v>1344</v>
      </c>
      <c r="K17" s="83">
        <v>110</v>
      </c>
      <c r="L17" s="183">
        <v>360</v>
      </c>
      <c r="M17" s="672">
        <f t="shared" si="0"/>
        <v>110</v>
      </c>
      <c r="N17" s="300"/>
      <c r="O17" s="300"/>
      <c r="P17" s="673">
        <f>P15</f>
        <v>20</v>
      </c>
      <c r="Q17" s="673"/>
      <c r="R17" s="673" t="s">
        <v>868</v>
      </c>
      <c r="S17" s="673"/>
      <c r="T17" s="673"/>
      <c r="U17" s="673"/>
      <c r="V17" s="673"/>
      <c r="W17" s="673"/>
      <c r="X17" s="673"/>
      <c r="Y17" s="673"/>
      <c r="Z17" s="673"/>
      <c r="AA17" s="673"/>
      <c r="AB17" s="674">
        <f>COUNTIF(Q17:AA17,"X")*M17*P17</f>
        <v>2200</v>
      </c>
      <c r="AC17" s="6"/>
    </row>
    <row r="18" spans="2:29">
      <c r="B18" s="47">
        <v>12</v>
      </c>
      <c r="C18" s="42" t="s">
        <v>884</v>
      </c>
      <c r="D18" s="138">
        <v>0.25</v>
      </c>
      <c r="E18" s="50"/>
      <c r="J18" s="82" t="s">
        <v>1345</v>
      </c>
      <c r="K18" s="83"/>
      <c r="L18" s="183">
        <v>180</v>
      </c>
      <c r="M18" s="672">
        <f t="shared" si="0"/>
        <v>0</v>
      </c>
      <c r="N18" s="300"/>
      <c r="O18" s="300"/>
      <c r="P18" s="673"/>
      <c r="Q18" s="673"/>
      <c r="R18" s="673"/>
      <c r="S18" s="673"/>
      <c r="T18" s="673"/>
      <c r="U18" s="673"/>
      <c r="V18" s="673"/>
      <c r="W18" s="673"/>
      <c r="X18" s="673"/>
      <c r="Y18" s="673"/>
      <c r="Z18" s="673"/>
      <c r="AA18" s="673"/>
      <c r="AB18" s="674"/>
      <c r="AC18" s="6"/>
    </row>
    <row r="19" spans="2:29">
      <c r="B19" s="47">
        <v>13</v>
      </c>
      <c r="C19" s="42" t="s">
        <v>885</v>
      </c>
      <c r="D19" s="138">
        <f>((6*1)*4)/220</f>
        <v>0.10909090909090909</v>
      </c>
      <c r="E19" s="50"/>
      <c r="J19" s="82"/>
      <c r="K19" s="83"/>
      <c r="L19" s="183"/>
      <c r="M19" s="672">
        <f>SUM(M5:M18)</f>
        <v>1093</v>
      </c>
      <c r="N19" s="672"/>
      <c r="O19" s="672"/>
      <c r="P19" s="673"/>
      <c r="Q19" s="673"/>
      <c r="R19" s="673"/>
      <c r="S19" s="673"/>
      <c r="T19" s="673"/>
      <c r="U19" s="673"/>
      <c r="V19" s="673"/>
      <c r="W19" s="673"/>
      <c r="X19" s="673"/>
      <c r="Y19" s="673"/>
      <c r="Z19" s="673"/>
      <c r="AA19" s="673"/>
      <c r="AB19" s="674">
        <f>COUNTIF(Q19:AA19,"X")*M19*P19</f>
        <v>0</v>
      </c>
    </row>
    <row r="20" spans="2:29">
      <c r="B20" s="47">
        <v>14</v>
      </c>
      <c r="C20" s="42" t="s">
        <v>887</v>
      </c>
      <c r="D20" s="50"/>
      <c r="E20" s="52"/>
      <c r="J20" s="82"/>
      <c r="K20" s="84"/>
      <c r="L20" s="183"/>
      <c r="M20" s="84"/>
      <c r="N20" s="300"/>
      <c r="P20" s="84"/>
      <c r="Q20" s="84"/>
      <c r="R20" s="84"/>
      <c r="S20" s="84"/>
      <c r="T20" s="84"/>
      <c r="U20" s="84"/>
      <c r="V20" s="84"/>
      <c r="W20" s="84"/>
      <c r="X20" s="84"/>
      <c r="Y20" s="84"/>
      <c r="Z20" s="84"/>
      <c r="AA20" s="84"/>
      <c r="AB20" s="674">
        <f>SUM(AB5:AB19)</f>
        <v>54100</v>
      </c>
      <c r="AC20" s="15"/>
    </row>
    <row r="21" spans="2:29" ht="14.25" customHeight="1" thickBot="1">
      <c r="B21" s="47">
        <v>15</v>
      </c>
      <c r="C21" s="42" t="s">
        <v>889</v>
      </c>
      <c r="D21" s="47" t="s">
        <v>380</v>
      </c>
      <c r="E21" s="52">
        <f>7.99*0</f>
        <v>0</v>
      </c>
      <c r="F21" s="1728"/>
      <c r="G21" s="1729"/>
      <c r="H21" s="1729"/>
      <c r="J21" s="240" t="s">
        <v>886</v>
      </c>
      <c r="K21" s="240" t="s">
        <v>863</v>
      </c>
      <c r="L21" s="299" t="s">
        <v>864</v>
      </c>
      <c r="M21" s="192" t="s">
        <v>865</v>
      </c>
      <c r="AB21" s="15"/>
    </row>
    <row r="22" spans="2:29">
      <c r="B22" s="47">
        <v>16</v>
      </c>
      <c r="C22" s="42" t="s">
        <v>890</v>
      </c>
      <c r="D22" s="47" t="s">
        <v>891</v>
      </c>
      <c r="E22" s="52"/>
      <c r="J22" s="1730" t="s">
        <v>892</v>
      </c>
      <c r="K22" s="1731"/>
      <c r="L22" s="1731"/>
      <c r="M22" s="1732"/>
      <c r="AB22" s="15"/>
    </row>
    <row r="23" spans="2:29">
      <c r="B23" s="47">
        <v>17</v>
      </c>
      <c r="C23" s="42" t="s">
        <v>893</v>
      </c>
      <c r="D23" s="47" t="s">
        <v>376</v>
      </c>
      <c r="E23" s="52">
        <v>6.59</v>
      </c>
      <c r="J23" s="967" t="s">
        <v>1365</v>
      </c>
      <c r="K23" s="968">
        <v>315</v>
      </c>
      <c r="L23" s="183">
        <v>360</v>
      </c>
      <c r="M23" s="969">
        <f t="shared" ref="M23:M31" si="2">K23</f>
        <v>315</v>
      </c>
      <c r="P23" s="673">
        <f>C_FIXO!C14+C_FIXO!C15</f>
        <v>38</v>
      </c>
      <c r="Q23" s="673" t="s">
        <v>1338</v>
      </c>
      <c r="R23" s="673"/>
      <c r="S23" s="673"/>
      <c r="T23" s="673"/>
      <c r="U23" s="673"/>
      <c r="V23" s="673"/>
      <c r="W23" s="673"/>
      <c r="X23" s="673"/>
      <c r="Y23" s="673"/>
      <c r="Z23" s="673"/>
      <c r="AA23" s="673"/>
      <c r="AB23" s="674">
        <f t="shared" ref="AB23:AB32" si="3">COUNTIF(Q23:AA23,"X")*M23*P23</f>
        <v>11970</v>
      </c>
      <c r="AC23" s="1733"/>
    </row>
    <row r="24" spans="2:29">
      <c r="B24" s="47">
        <v>19</v>
      </c>
      <c r="C24" s="42" t="s">
        <v>895</v>
      </c>
      <c r="D24" s="50"/>
      <c r="E24" s="52">
        <v>500</v>
      </c>
      <c r="J24" s="967" t="s">
        <v>1358</v>
      </c>
      <c r="K24" s="968">
        <v>300</v>
      </c>
      <c r="L24" s="183">
        <v>360</v>
      </c>
      <c r="M24" s="969">
        <f t="shared" si="2"/>
        <v>300</v>
      </c>
      <c r="P24" s="673">
        <f>C_FIXO!C14</f>
        <v>20</v>
      </c>
      <c r="Q24" s="673" t="s">
        <v>868</v>
      </c>
      <c r="R24" s="673"/>
      <c r="S24" s="673"/>
      <c r="T24" s="673"/>
      <c r="U24" s="673"/>
      <c r="V24" s="673"/>
      <c r="W24" s="673"/>
      <c r="X24" s="673"/>
      <c r="Y24" s="673"/>
      <c r="Z24" s="673"/>
      <c r="AA24" s="673"/>
      <c r="AB24" s="674">
        <f t="shared" si="3"/>
        <v>6000</v>
      </c>
      <c r="AC24" s="1733"/>
    </row>
    <row r="25" spans="2:29">
      <c r="B25" s="47">
        <v>20</v>
      </c>
      <c r="C25" s="42" t="s">
        <v>896</v>
      </c>
      <c r="D25" s="50"/>
      <c r="E25" s="52">
        <v>185</v>
      </c>
      <c r="J25" s="967" t="s">
        <v>1332</v>
      </c>
      <c r="K25" s="968">
        <v>450</v>
      </c>
      <c r="L25" s="183">
        <v>360</v>
      </c>
      <c r="M25" s="969">
        <f t="shared" si="2"/>
        <v>450</v>
      </c>
      <c r="P25" s="673"/>
      <c r="Q25" s="673"/>
      <c r="R25" s="673"/>
      <c r="S25" s="673"/>
      <c r="T25" s="673"/>
      <c r="U25" s="673"/>
      <c r="V25" s="673"/>
      <c r="W25" s="673"/>
      <c r="X25" s="673"/>
      <c r="Y25" s="673"/>
      <c r="Z25" s="673"/>
      <c r="AA25" s="673"/>
      <c r="AB25" s="674">
        <f t="shared" si="3"/>
        <v>0</v>
      </c>
      <c r="AC25" s="1733"/>
    </row>
    <row r="26" spans="2:29">
      <c r="B26" s="48">
        <v>21</v>
      </c>
      <c r="C26" s="46" t="s">
        <v>1199</v>
      </c>
      <c r="D26" s="51"/>
      <c r="E26" s="752">
        <v>35</v>
      </c>
      <c r="J26" s="967" t="s">
        <v>1359</v>
      </c>
      <c r="K26" s="968">
        <v>400</v>
      </c>
      <c r="L26" s="183">
        <v>360</v>
      </c>
      <c r="M26" s="969">
        <f t="shared" si="2"/>
        <v>400</v>
      </c>
      <c r="P26" s="673"/>
      <c r="Q26" s="673"/>
      <c r="R26" s="673"/>
      <c r="S26" s="673"/>
      <c r="T26" s="673"/>
      <c r="U26" s="673"/>
      <c r="V26" s="673"/>
      <c r="W26" s="673"/>
      <c r="X26" s="673"/>
      <c r="Y26" s="673"/>
      <c r="Z26" s="673"/>
      <c r="AA26" s="673"/>
      <c r="AB26" s="674">
        <f t="shared" si="3"/>
        <v>0</v>
      </c>
      <c r="AC26" s="1733"/>
    </row>
    <row r="27" spans="2:29">
      <c r="J27" s="967" t="s">
        <v>1360</v>
      </c>
      <c r="K27" s="968">
        <v>175</v>
      </c>
      <c r="L27" s="183">
        <v>360</v>
      </c>
      <c r="M27" s="969">
        <f t="shared" si="2"/>
        <v>175</v>
      </c>
      <c r="P27" s="673">
        <f>P24</f>
        <v>20</v>
      </c>
      <c r="Q27" s="673" t="s">
        <v>868</v>
      </c>
      <c r="R27" s="673"/>
      <c r="S27" s="673"/>
      <c r="T27" s="673"/>
      <c r="U27" s="673"/>
      <c r="V27" s="673"/>
      <c r="W27" s="673"/>
      <c r="X27" s="673"/>
      <c r="Y27" s="673"/>
      <c r="Z27" s="673"/>
      <c r="AA27" s="673"/>
      <c r="AB27" s="674">
        <f t="shared" si="3"/>
        <v>3500</v>
      </c>
      <c r="AC27" s="1733"/>
    </row>
    <row r="28" spans="2:29">
      <c r="C28" s="1727" t="s">
        <v>1135</v>
      </c>
      <c r="D28" s="1727"/>
      <c r="E28" s="865">
        <f>EQUIPE!H17</f>
        <v>3813.8</v>
      </c>
      <c r="J28" s="967" t="s">
        <v>1361</v>
      </c>
      <c r="K28" s="968">
        <v>315</v>
      </c>
      <c r="L28" s="183">
        <v>360</v>
      </c>
      <c r="M28" s="969">
        <f t="shared" si="2"/>
        <v>315</v>
      </c>
      <c r="P28" s="673">
        <f>P27</f>
        <v>20</v>
      </c>
      <c r="Q28" s="673" t="s">
        <v>868</v>
      </c>
      <c r="R28" s="673"/>
      <c r="S28" s="673"/>
      <c r="T28" s="673"/>
      <c r="U28" s="673"/>
      <c r="V28" s="673"/>
      <c r="W28" s="673"/>
      <c r="X28" s="673"/>
      <c r="Y28" s="673"/>
      <c r="Z28" s="673"/>
      <c r="AA28" s="673"/>
      <c r="AB28" s="674">
        <f t="shared" si="3"/>
        <v>6300</v>
      </c>
      <c r="AC28" s="1733"/>
    </row>
    <row r="29" spans="2:29">
      <c r="C29" s="863" t="s">
        <v>1134</v>
      </c>
      <c r="D29" s="864">
        <v>0.25</v>
      </c>
      <c r="E29" s="862">
        <f>D29*E28</f>
        <v>953.45</v>
      </c>
      <c r="J29" s="967" t="s">
        <v>1363</v>
      </c>
      <c r="K29" s="968">
        <v>300</v>
      </c>
      <c r="L29" s="183">
        <v>360</v>
      </c>
      <c r="M29" s="969">
        <f t="shared" si="2"/>
        <v>300</v>
      </c>
      <c r="P29" s="673">
        <f>P28</f>
        <v>20</v>
      </c>
      <c r="Q29" s="673" t="s">
        <v>868</v>
      </c>
      <c r="R29" s="673"/>
      <c r="S29" s="673"/>
      <c r="T29" s="673"/>
      <c r="U29" s="673"/>
      <c r="V29" s="673"/>
      <c r="W29" s="673"/>
      <c r="X29" s="673"/>
      <c r="Y29" s="673"/>
      <c r="Z29" s="673"/>
      <c r="AA29" s="673"/>
      <c r="AB29" s="674">
        <f t="shared" si="3"/>
        <v>6000</v>
      </c>
      <c r="AC29" s="1733"/>
    </row>
    <row r="30" spans="2:29">
      <c r="C30" s="863" t="s">
        <v>869</v>
      </c>
      <c r="D30" s="864">
        <v>0.31</v>
      </c>
      <c r="E30" s="862">
        <f>D30*(E28+E29)</f>
        <v>1477.8475000000001</v>
      </c>
      <c r="J30" s="967" t="s">
        <v>1362</v>
      </c>
      <c r="K30" s="968">
        <v>150</v>
      </c>
      <c r="L30" s="183">
        <v>360</v>
      </c>
      <c r="M30" s="969">
        <f t="shared" si="2"/>
        <v>150</v>
      </c>
      <c r="P30" s="673">
        <f>P23</f>
        <v>38</v>
      </c>
      <c r="Q30" s="673" t="s">
        <v>1338</v>
      </c>
      <c r="R30" s="673"/>
      <c r="S30" s="673"/>
      <c r="T30" s="673"/>
      <c r="U30" s="673"/>
      <c r="V30" s="673"/>
      <c r="W30" s="673"/>
      <c r="X30" s="673"/>
      <c r="Y30" s="673"/>
      <c r="Z30" s="673"/>
      <c r="AA30" s="673"/>
      <c r="AB30" s="674">
        <f t="shared" si="3"/>
        <v>5700</v>
      </c>
      <c r="AC30" s="1733"/>
    </row>
    <row r="31" spans="2:29" ht="15" thickBot="1">
      <c r="C31" s="863" t="s">
        <v>870</v>
      </c>
      <c r="D31" s="864">
        <v>0.3</v>
      </c>
      <c r="E31" s="862">
        <f>D31*(E28+E29)</f>
        <v>1430.175</v>
      </c>
      <c r="J31" s="970" t="s">
        <v>1364</v>
      </c>
      <c r="K31" s="971">
        <v>350</v>
      </c>
      <c r="L31" s="972">
        <v>360</v>
      </c>
      <c r="M31" s="973">
        <f t="shared" si="2"/>
        <v>350</v>
      </c>
      <c r="P31" s="673"/>
      <c r="Q31" s="673"/>
      <c r="R31" s="673"/>
      <c r="S31" s="673"/>
      <c r="T31" s="673"/>
      <c r="U31" s="673"/>
      <c r="V31" s="673"/>
      <c r="W31" s="673"/>
      <c r="X31" s="673"/>
      <c r="Y31" s="673"/>
      <c r="Z31" s="673"/>
      <c r="AA31" s="673"/>
      <c r="AB31" s="674">
        <f t="shared" si="3"/>
        <v>0</v>
      </c>
      <c r="AC31" s="1733"/>
    </row>
    <row r="32" spans="2:29">
      <c r="E32" s="6">
        <f>SUM(E29:E31)</f>
        <v>3861.4724999999999</v>
      </c>
      <c r="J32" s="82"/>
      <c r="K32" s="83"/>
      <c r="L32" s="183"/>
      <c r="M32" s="683"/>
      <c r="P32" s="673"/>
      <c r="Q32" s="673"/>
      <c r="R32" s="673"/>
      <c r="S32" s="673"/>
      <c r="T32" s="673"/>
      <c r="U32" s="673"/>
      <c r="V32" s="673"/>
      <c r="W32" s="673"/>
      <c r="X32" s="673"/>
      <c r="Y32" s="673"/>
      <c r="Z32" s="673"/>
      <c r="AA32" s="673"/>
      <c r="AB32" s="674">
        <f t="shared" si="3"/>
        <v>0</v>
      </c>
      <c r="AC32" s="6"/>
    </row>
    <row r="33" spans="5:29">
      <c r="E33" s="148">
        <f>E32/E28</f>
        <v>1.0125</v>
      </c>
      <c r="J33" s="965" t="s">
        <v>894</v>
      </c>
      <c r="K33" s="966">
        <f>SUM(K34:K43)</f>
        <v>681.2</v>
      </c>
      <c r="L33" s="183">
        <v>360</v>
      </c>
      <c r="M33" s="683">
        <f>K33</f>
        <v>681.2</v>
      </c>
      <c r="N33" s="300"/>
      <c r="O33" s="300"/>
      <c r="P33" s="673">
        <f>P29</f>
        <v>20</v>
      </c>
      <c r="Q33" s="673" t="s">
        <v>1338</v>
      </c>
      <c r="R33" s="673"/>
      <c r="S33" s="673"/>
      <c r="T33" s="673"/>
      <c r="U33" s="673"/>
      <c r="V33" s="673" t="s">
        <v>1338</v>
      </c>
      <c r="W33" s="673"/>
      <c r="X33" s="673"/>
      <c r="Y33" s="673"/>
      <c r="Z33" s="673"/>
      <c r="AA33" s="673"/>
      <c r="AB33" s="674">
        <f>COUNTIF(Q33:AA33,"X")*M33*P33</f>
        <v>27248</v>
      </c>
      <c r="AC33" s="6"/>
    </row>
    <row r="34" spans="5:29">
      <c r="J34" s="82" t="s">
        <v>888</v>
      </c>
      <c r="K34" s="83">
        <v>400</v>
      </c>
      <c r="L34" s="183">
        <v>360</v>
      </c>
      <c r="M34" s="683">
        <f>K34</f>
        <v>400</v>
      </c>
      <c r="P34" s="673">
        <f>P30-P33</f>
        <v>18</v>
      </c>
      <c r="Q34" s="673" t="s">
        <v>868</v>
      </c>
      <c r="R34" s="673"/>
      <c r="S34" s="673"/>
      <c r="T34" s="673"/>
      <c r="U34" s="673"/>
      <c r="V34" s="673" t="s">
        <v>868</v>
      </c>
      <c r="W34" s="673"/>
      <c r="X34" s="673"/>
      <c r="Y34" s="673"/>
      <c r="Z34" s="673"/>
      <c r="AA34" s="673"/>
      <c r="AB34" s="674">
        <f>COUNTIF(Q34:AA34,"X")*M34*P34</f>
        <v>14400</v>
      </c>
      <c r="AC34" s="6"/>
    </row>
    <row r="35" spans="5:29">
      <c r="J35" s="82" t="s">
        <v>1350</v>
      </c>
      <c r="K35" s="83">
        <v>46</v>
      </c>
      <c r="L35" s="183">
        <v>360</v>
      </c>
      <c r="AB35" s="6">
        <f>SUM(AB22:AB34)</f>
        <v>81118</v>
      </c>
    </row>
    <row r="36" spans="5:29">
      <c r="J36" s="82" t="s">
        <v>1351</v>
      </c>
      <c r="K36" s="83">
        <v>35</v>
      </c>
      <c r="L36" s="183">
        <v>360</v>
      </c>
    </row>
    <row r="37" spans="5:29">
      <c r="J37" s="82" t="s">
        <v>1352</v>
      </c>
      <c r="K37" s="83">
        <v>19.5</v>
      </c>
      <c r="L37" s="183">
        <v>360</v>
      </c>
      <c r="N37" s="84"/>
      <c r="O37" s="84"/>
    </row>
    <row r="38" spans="5:29">
      <c r="J38" s="82" t="s">
        <v>1353</v>
      </c>
      <c r="K38" s="83">
        <v>19.5</v>
      </c>
      <c r="L38" s="183">
        <v>360</v>
      </c>
      <c r="M38" s="84"/>
      <c r="N38" s="372"/>
      <c r="O38" s="372"/>
    </row>
    <row r="39" spans="5:29">
      <c r="J39" s="82" t="s">
        <v>1354</v>
      </c>
      <c r="K39" s="83">
        <v>15.6</v>
      </c>
      <c r="L39" s="183">
        <v>360</v>
      </c>
      <c r="M39" s="372"/>
      <c r="P39" s="84"/>
    </row>
    <row r="40" spans="5:29">
      <c r="J40" s="82" t="s">
        <v>1355</v>
      </c>
      <c r="K40" s="83">
        <v>15.6</v>
      </c>
      <c r="L40" s="183">
        <v>360</v>
      </c>
    </row>
    <row r="41" spans="5:29">
      <c r="J41" s="82" t="s">
        <v>1356</v>
      </c>
      <c r="K41" s="83">
        <v>65</v>
      </c>
      <c r="L41" s="183">
        <v>360</v>
      </c>
      <c r="P41" s="372"/>
    </row>
    <row r="42" spans="5:29">
      <c r="J42" s="82" t="s">
        <v>1357</v>
      </c>
      <c r="K42" s="83">
        <v>65</v>
      </c>
      <c r="L42" s="183">
        <v>360</v>
      </c>
    </row>
  </sheetData>
  <mergeCells count="5">
    <mergeCell ref="B14:B17"/>
    <mergeCell ref="C28:D28"/>
    <mergeCell ref="F21:H21"/>
    <mergeCell ref="J22:M22"/>
    <mergeCell ref="AC23:AC31"/>
  </mergeCells>
  <phoneticPr fontId="45" type="noConversion"/>
  <conditionalFormatting sqref="D29:D31 D4:E25">
    <cfRule type="cellIs" dxfId="1" priority="4" operator="equal">
      <formula>0</formula>
    </cfRule>
  </conditionalFormatting>
  <conditionalFormatting sqref="D26:E26">
    <cfRule type="cellIs" dxfId="0" priority="1" operator="equal">
      <formula>0</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16739" r:id="rId4" name="Label1">
          <controlPr defaultSize="0" autoLine="0" r:id="rId5">
            <anchor moveWithCells="1">
              <from>
                <xdr:col>9</xdr:col>
                <xdr:colOff>121920</xdr:colOff>
                <xdr:row>0</xdr:row>
                <xdr:rowOff>121920</xdr:rowOff>
              </from>
              <to>
                <xdr:col>12</xdr:col>
                <xdr:colOff>487680</xdr:colOff>
                <xdr:row>1</xdr:row>
                <xdr:rowOff>76200</xdr:rowOff>
              </to>
            </anchor>
          </controlPr>
        </control>
      </mc:Choice>
      <mc:Fallback>
        <control shapeId="116739" r:id="rId4" name="Label1"/>
      </mc:Fallback>
    </mc:AlternateContent>
    <mc:AlternateContent xmlns:mc="http://schemas.openxmlformats.org/markup-compatibility/2006">
      <mc:Choice Requires="x14">
        <control shapeId="116738" r:id="rId6" name="ComboBox25">
          <controlPr defaultSize="0" autoLine="0" r:id="rId7">
            <anchor moveWithCells="1">
              <from>
                <xdr:col>9</xdr:col>
                <xdr:colOff>76200</xdr:colOff>
                <xdr:row>1</xdr:row>
                <xdr:rowOff>83820</xdr:rowOff>
              </from>
              <to>
                <xdr:col>12</xdr:col>
                <xdr:colOff>609600</xdr:colOff>
                <xdr:row>2</xdr:row>
                <xdr:rowOff>144780</xdr:rowOff>
              </to>
            </anchor>
          </controlPr>
        </control>
      </mc:Choice>
      <mc:Fallback>
        <control shapeId="116738" r:id="rId6" name="ComboBox25"/>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B31F6-B8FB-457C-B409-10BAC03F1510}">
  <sheetPr codeName="Planilha41">
    <tabColor rgb="FFFFFF66"/>
  </sheetPr>
  <dimension ref="A1:W590"/>
  <sheetViews>
    <sheetView view="pageBreakPreview" topLeftCell="A127" zoomScaleNormal="100" zoomScaleSheetLayoutView="100" workbookViewId="0">
      <selection activeCell="I120" sqref="I120"/>
    </sheetView>
  </sheetViews>
  <sheetFormatPr defaultRowHeight="14.4"/>
  <cols>
    <col min="1" max="1" width="2.109375" customWidth="1"/>
    <col min="3" max="3" width="20.88671875" customWidth="1"/>
    <col min="7" max="7" width="12.109375" customWidth="1"/>
    <col min="8" max="9" width="9.109375" customWidth="1"/>
    <col min="11" max="11" width="2.109375"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c r="C4" s="474" t="s">
        <v>937</v>
      </c>
      <c r="D4" s="1497" t="s">
        <v>250</v>
      </c>
      <c r="E4" s="1498"/>
      <c r="F4" s="1498"/>
      <c r="G4" s="1498"/>
      <c r="H4" s="1498"/>
      <c r="I4" s="1499"/>
      <c r="J4" s="475" t="s">
        <v>267</v>
      </c>
      <c r="K4" s="471"/>
    </row>
    <row r="5" spans="1:12" ht="24" customHeight="1">
      <c r="A5" s="463"/>
      <c r="B5" s="476"/>
      <c r="C5" s="477">
        <f ca="1">PLANEJAMENTO!F4</f>
        <v>46140</v>
      </c>
      <c r="D5" s="1721" t="s">
        <v>1218</v>
      </c>
      <c r="E5" s="1722"/>
      <c r="F5" s="1722"/>
      <c r="G5" s="1722"/>
      <c r="H5" s="1722"/>
      <c r="I5" s="1723"/>
      <c r="J5" s="481" t="str">
        <f>F27</f>
        <v>M</v>
      </c>
      <c r="K5" s="471"/>
    </row>
    <row r="6" spans="1:12">
      <c r="A6" s="463"/>
      <c r="B6" s="482"/>
      <c r="C6" s="482"/>
      <c r="D6" s="482"/>
      <c r="E6" s="482"/>
      <c r="F6" s="482"/>
      <c r="G6" s="482"/>
      <c r="H6" s="482"/>
      <c r="I6" s="483"/>
      <c r="J6" s="484"/>
      <c r="K6" s="471"/>
    </row>
    <row r="7" spans="1:12">
      <c r="A7" s="463"/>
      <c r="B7" s="1484" t="s">
        <v>938</v>
      </c>
      <c r="C7" s="1486"/>
      <c r="D7" s="1502" t="s">
        <v>688</v>
      </c>
      <c r="E7" s="1504" t="s">
        <v>939</v>
      </c>
      <c r="F7" s="485" t="s">
        <v>940</v>
      </c>
      <c r="G7" s="486"/>
      <c r="H7" s="485" t="s">
        <v>941</v>
      </c>
      <c r="I7" s="486"/>
      <c r="J7" s="487" t="s">
        <v>942</v>
      </c>
      <c r="K7" s="471"/>
    </row>
    <row r="8" spans="1:12">
      <c r="A8" s="463"/>
      <c r="B8" s="1500"/>
      <c r="C8" s="1501"/>
      <c r="D8" s="1503"/>
      <c r="E8" s="1505"/>
      <c r="F8" s="488" t="s">
        <v>943</v>
      </c>
      <c r="G8" s="488" t="s">
        <v>944</v>
      </c>
      <c r="H8" s="488" t="s">
        <v>943</v>
      </c>
      <c r="I8" s="489" t="s">
        <v>944</v>
      </c>
      <c r="J8" s="490" t="s">
        <v>945</v>
      </c>
      <c r="K8" s="471"/>
    </row>
    <row r="9" spans="1:12">
      <c r="A9" s="463"/>
      <c r="B9" s="499" t="s">
        <v>655</v>
      </c>
      <c r="C9" s="492"/>
      <c r="D9" s="493"/>
      <c r="E9" s="494">
        <v>1</v>
      </c>
      <c r="F9" s="494">
        <v>0.5</v>
      </c>
      <c r="G9" s="495">
        <f>1-F9</f>
        <v>0.5</v>
      </c>
      <c r="H9" s="503">
        <f>VLOOKUP(B9,EQUIPAMENTOS!$A:$J,10,FALSE)</f>
        <v>145</v>
      </c>
      <c r="I9" s="497">
        <f>H9</f>
        <v>145</v>
      </c>
      <c r="J9" s="498">
        <f t="shared" ref="J9:J14" si="0">H9*F9*E9+I9*G9*E9</f>
        <v>145</v>
      </c>
      <c r="K9" s="471"/>
    </row>
    <row r="10" spans="1:12">
      <c r="A10" s="463"/>
      <c r="B10" s="499" t="s">
        <v>631</v>
      </c>
      <c r="C10" s="500"/>
      <c r="D10" s="501"/>
      <c r="E10" s="502">
        <v>1</v>
      </c>
      <c r="F10" s="502">
        <v>1</v>
      </c>
      <c r="G10" s="502">
        <f>1-F10</f>
        <v>0</v>
      </c>
      <c r="H10" s="503">
        <f>VLOOKUP(B10,EQUIPAMENTOS!$A:$J,10,FALSE)</f>
        <v>175</v>
      </c>
      <c r="I10" s="504">
        <f>H10</f>
        <v>175</v>
      </c>
      <c r="J10" s="505">
        <f t="shared" si="0"/>
        <v>175</v>
      </c>
      <c r="K10" s="471"/>
    </row>
    <row r="11" spans="1:12">
      <c r="A11" s="463"/>
      <c r="B11" s="499" t="s">
        <v>659</v>
      </c>
      <c r="C11" s="500"/>
      <c r="D11" s="501"/>
      <c r="E11" s="502"/>
      <c r="F11" s="502">
        <v>1</v>
      </c>
      <c r="G11" s="502">
        <f>1-F11</f>
        <v>0</v>
      </c>
      <c r="H11" s="503">
        <f>VLOOKUP(B11,EQUIPAMENTOS!$A:$J,10,FALSE)</f>
        <v>10</v>
      </c>
      <c r="I11" s="504">
        <f>H11</f>
        <v>10</v>
      </c>
      <c r="J11" s="505">
        <f t="shared" si="0"/>
        <v>0</v>
      </c>
      <c r="K11" s="471"/>
    </row>
    <row r="12" spans="1:12">
      <c r="A12" s="463"/>
      <c r="B12" s="499"/>
      <c r="C12" s="500"/>
      <c r="D12" s="501"/>
      <c r="E12" s="502"/>
      <c r="F12" s="502"/>
      <c r="G12" s="502"/>
      <c r="H12" s="503"/>
      <c r="I12" s="504"/>
      <c r="J12" s="505">
        <f t="shared" si="0"/>
        <v>0</v>
      </c>
      <c r="K12" s="471"/>
    </row>
    <row r="13" spans="1:12">
      <c r="A13" s="463"/>
      <c r="B13" s="499"/>
      <c r="C13" s="500"/>
      <c r="D13" s="501"/>
      <c r="E13" s="502"/>
      <c r="F13" s="502"/>
      <c r="G13" s="502"/>
      <c r="H13" s="503"/>
      <c r="I13" s="504"/>
      <c r="J13" s="505">
        <f t="shared" si="0"/>
        <v>0</v>
      </c>
      <c r="K13" s="471"/>
    </row>
    <row r="14" spans="1:12">
      <c r="A14" s="463"/>
      <c r="B14" s="506"/>
      <c r="C14" s="507"/>
      <c r="D14" s="508"/>
      <c r="E14" s="509"/>
      <c r="F14" s="509"/>
      <c r="G14" s="509"/>
      <c r="H14" s="510"/>
      <c r="I14" s="511"/>
      <c r="J14" s="505">
        <f t="shared" si="0"/>
        <v>0</v>
      </c>
      <c r="K14" s="471"/>
    </row>
    <row r="15" spans="1:12">
      <c r="A15" s="463"/>
      <c r="B15" s="512" t="s">
        <v>946</v>
      </c>
      <c r="C15" s="482"/>
      <c r="D15" s="482"/>
      <c r="E15" s="482"/>
      <c r="F15" s="482"/>
      <c r="G15" s="482"/>
      <c r="H15" s="482"/>
      <c r="I15" s="513" t="s">
        <v>175</v>
      </c>
      <c r="J15" s="514">
        <f>SUM(J9:J14)</f>
        <v>320</v>
      </c>
      <c r="K15" s="471"/>
      <c r="L15" s="6"/>
    </row>
    <row r="16" spans="1:12">
      <c r="A16" s="463"/>
      <c r="B16" s="515"/>
      <c r="C16" s="515"/>
      <c r="D16" s="515"/>
      <c r="E16" s="515"/>
      <c r="F16" s="515"/>
      <c r="G16" s="515"/>
      <c r="H16" s="515"/>
      <c r="I16" s="516"/>
      <c r="J16" s="517"/>
      <c r="K16" s="471"/>
    </row>
    <row r="17" spans="1:12" ht="20.399999999999999">
      <c r="A17" s="463"/>
      <c r="B17" s="1490" t="s">
        <v>947</v>
      </c>
      <c r="C17" s="1491"/>
      <c r="D17" s="1491"/>
      <c r="E17" s="1492"/>
      <c r="F17" s="725" t="s">
        <v>688</v>
      </c>
      <c r="G17" s="519"/>
      <c r="H17" s="520" t="s">
        <v>427</v>
      </c>
      <c r="I17" s="521" t="s">
        <v>948</v>
      </c>
      <c r="J17" s="522" t="s">
        <v>949</v>
      </c>
      <c r="K17" s="471"/>
    </row>
    <row r="18" spans="1:12">
      <c r="A18" s="463"/>
      <c r="B18" s="530" t="s">
        <v>969</v>
      </c>
      <c r="C18" s="531"/>
      <c r="D18" s="472"/>
      <c r="E18" s="500"/>
      <c r="F18" s="501"/>
      <c r="G18" s="532"/>
      <c r="H18" s="533">
        <f>E9</f>
        <v>1</v>
      </c>
      <c r="I18" s="534">
        <f>(VLOOKUP(B18,'MÃO DE OBRA'!$A:$E,5,FALSE)/220)</f>
        <v>21.588799999999999</v>
      </c>
      <c r="J18" s="505">
        <f>H18*I18</f>
        <v>21.588799999999999</v>
      </c>
      <c r="K18" s="471"/>
    </row>
    <row r="19" spans="1:12">
      <c r="A19" s="463"/>
      <c r="B19" s="530" t="s">
        <v>974</v>
      </c>
      <c r="C19" s="531"/>
      <c r="D19" s="472"/>
      <c r="E19" s="500"/>
      <c r="F19" s="501"/>
      <c r="G19" s="532"/>
      <c r="H19" s="533">
        <f>E10</f>
        <v>1</v>
      </c>
      <c r="I19" s="534">
        <f>(VLOOKUP(B19,'MÃO DE OBRA'!$A:$E,5,FALSE)/220)</f>
        <v>35.988199999999999</v>
      </c>
      <c r="J19" s="505">
        <f>H19*I19</f>
        <v>35.988199999999999</v>
      </c>
      <c r="K19" s="471"/>
    </row>
    <row r="20" spans="1:12">
      <c r="A20" s="463"/>
      <c r="B20" s="530" t="s">
        <v>988</v>
      </c>
      <c r="C20" s="531"/>
      <c r="D20" s="472"/>
      <c r="E20" s="500"/>
      <c r="F20" s="501"/>
      <c r="G20" s="532"/>
      <c r="H20" s="533">
        <v>2</v>
      </c>
      <c r="I20" s="534">
        <f>(VLOOKUP(B20,'MÃO DE OBRA'!$A:$E,5,FALSE)/220)</f>
        <v>21.588799999999999</v>
      </c>
      <c r="J20" s="505">
        <f>H20*I20</f>
        <v>43.177599999999998</v>
      </c>
      <c r="K20" s="471"/>
    </row>
    <row r="21" spans="1:12">
      <c r="A21" s="463"/>
      <c r="B21" s="530" t="s">
        <v>472</v>
      </c>
      <c r="C21" s="531"/>
      <c r="D21" s="472"/>
      <c r="E21" s="500"/>
      <c r="F21" s="501"/>
      <c r="G21" s="532"/>
      <c r="H21" s="533">
        <v>6</v>
      </c>
      <c r="I21" s="534">
        <f>(VLOOKUP(B21,'MÃO DE OBRA'!$A:$E,5,FALSE)/220)</f>
        <v>18.377072727272729</v>
      </c>
      <c r="J21" s="505">
        <f>H21*I21</f>
        <v>110.26243636363637</v>
      </c>
      <c r="K21" s="471"/>
    </row>
    <row r="22" spans="1:12">
      <c r="A22" s="463"/>
      <c r="B22" s="530" t="s">
        <v>550</v>
      </c>
      <c r="C22" s="531"/>
      <c r="D22" s="472"/>
      <c r="E22" s="500"/>
      <c r="F22" s="501"/>
      <c r="G22" s="532"/>
      <c r="H22" s="533">
        <v>1</v>
      </c>
      <c r="I22" s="534">
        <f>VLOOKUP(B22,'MÃO DE OBRA'!$A:$E,5,FALSE)/220</f>
        <v>19.055000000000003</v>
      </c>
      <c r="J22" s="505">
        <f>H22*I22</f>
        <v>19.055000000000003</v>
      </c>
      <c r="K22" s="471"/>
    </row>
    <row r="23" spans="1:12">
      <c r="A23" s="463"/>
      <c r="B23" s="530"/>
      <c r="C23" s="531"/>
      <c r="D23" s="472"/>
      <c r="E23" s="500"/>
      <c r="F23" s="501"/>
      <c r="G23" s="532"/>
      <c r="H23" s="533"/>
      <c r="I23" s="504"/>
      <c r="J23" s="505"/>
      <c r="K23" s="471"/>
    </row>
    <row r="24" spans="1:12">
      <c r="A24" s="463"/>
      <c r="B24" s="530"/>
      <c r="C24" s="531"/>
      <c r="D24" s="472"/>
      <c r="E24" s="500"/>
      <c r="F24" s="501"/>
      <c r="G24" s="532"/>
      <c r="H24" s="533"/>
      <c r="I24" s="504"/>
      <c r="J24" s="505">
        <f>H24*I24</f>
        <v>0</v>
      </c>
      <c r="K24" s="471"/>
    </row>
    <row r="25" spans="1:12">
      <c r="A25" s="463"/>
      <c r="B25" s="512" t="s">
        <v>946</v>
      </c>
      <c r="C25" s="515"/>
      <c r="D25" s="515"/>
      <c r="E25" s="515"/>
      <c r="F25" s="515"/>
      <c r="G25" s="515"/>
      <c r="H25" s="515"/>
      <c r="I25" s="535" t="s">
        <v>175</v>
      </c>
      <c r="J25" s="514">
        <f>SUM(J18:J24)</f>
        <v>230.07203636363636</v>
      </c>
      <c r="K25" s="471"/>
      <c r="L25" s="6" t="e">
        <f>J25/E27</f>
        <v>#REF!</v>
      </c>
    </row>
    <row r="26" spans="1:12">
      <c r="A26" s="463"/>
      <c r="B26" s="536"/>
      <c r="C26" s="536"/>
      <c r="D26" s="536"/>
      <c r="E26" s="536"/>
      <c r="F26" s="536"/>
      <c r="G26" s="536"/>
      <c r="H26" s="536"/>
      <c r="I26" s="537"/>
      <c r="J26" s="536"/>
      <c r="K26" s="471"/>
    </row>
    <row r="27" spans="1:12">
      <c r="A27" s="463"/>
      <c r="B27" s="538" t="s">
        <v>952</v>
      </c>
      <c r="C27" s="539"/>
      <c r="D27" s="536"/>
      <c r="E27" s="540" t="e">
        <f>CRONOGRAMA!#REF!</f>
        <v>#REF!</v>
      </c>
      <c r="F27" s="541" t="s">
        <v>984</v>
      </c>
      <c r="G27" s="519"/>
      <c r="H27" s="519"/>
      <c r="I27" s="542" t="s">
        <v>953</v>
      </c>
      <c r="J27" s="514">
        <f>J15+J25</f>
        <v>550.07203636363636</v>
      </c>
      <c r="K27" s="471"/>
    </row>
    <row r="28" spans="1:12">
      <c r="A28" s="463"/>
      <c r="B28" s="543"/>
      <c r="C28" s="536"/>
      <c r="D28" s="536"/>
      <c r="E28" s="544"/>
      <c r="F28" s="545"/>
      <c r="G28" s="545"/>
      <c r="H28" s="545"/>
      <c r="I28" s="537"/>
      <c r="J28" s="536"/>
      <c r="K28" s="471"/>
    </row>
    <row r="29" spans="1:12" ht="20.399999999999999">
      <c r="A29" s="463"/>
      <c r="B29" s="1493" t="s">
        <v>362</v>
      </c>
      <c r="C29" s="1494"/>
      <c r="D29" s="1494"/>
      <c r="E29" s="1495"/>
      <c r="F29" s="546" t="s">
        <v>688</v>
      </c>
      <c r="G29" s="547" t="s">
        <v>371</v>
      </c>
      <c r="H29" s="520" t="s">
        <v>942</v>
      </c>
      <c r="I29" s="548" t="s">
        <v>361</v>
      </c>
      <c r="J29" s="549" t="s">
        <v>363</v>
      </c>
      <c r="K29" s="471"/>
    </row>
    <row r="30" spans="1:12">
      <c r="A30" s="463"/>
      <c r="B30" s="550" t="str">
        <f>B9</f>
        <v>Rolo compactador pé de carneiro 10T</v>
      </c>
      <c r="C30" s="551"/>
      <c r="D30" s="551"/>
      <c r="E30" s="552"/>
      <c r="F30" s="553" t="str">
        <f>VLOOKUP(B30,EQUIPAMENTOS!$A:$N,12,FALSE)</f>
        <v>Diesel S10</v>
      </c>
      <c r="G30" s="554" t="s">
        <v>415</v>
      </c>
      <c r="H30" s="560">
        <f>VLOOKUP(B30,EQUIPAMENTOS!$A:$N,13,FALSE)</f>
        <v>0</v>
      </c>
      <c r="I30" s="556">
        <f>VLOOKUP(B30,EQUIPAMENTOS!$A:$N,14,FALSE)</f>
        <v>16</v>
      </c>
      <c r="J30" s="505">
        <f>H30*I30*E9*F9</f>
        <v>0</v>
      </c>
      <c r="K30" s="471"/>
    </row>
    <row r="31" spans="1:12">
      <c r="A31" s="463"/>
      <c r="B31" s="550" t="str">
        <f>B10</f>
        <v>Escavadeira hidráulica sobre esteira 22T</v>
      </c>
      <c r="C31" s="531"/>
      <c r="D31" s="531"/>
      <c r="E31" s="500"/>
      <c r="F31" s="553" t="str">
        <f>VLOOKUP(B31,EQUIPAMENTOS!$A:$N,12,FALSE)</f>
        <v>Diesel S10</v>
      </c>
      <c r="G31" s="554" t="s">
        <v>415</v>
      </c>
      <c r="H31" s="560">
        <f>VLOOKUP(B31,EQUIPAMENTOS!$A:$N,13,FALSE)</f>
        <v>0</v>
      </c>
      <c r="I31" s="556">
        <f>VLOOKUP(B31,EQUIPAMENTOS!$A:$N,14,FALSE)</f>
        <v>22</v>
      </c>
      <c r="J31" s="505">
        <f>H31*I31*E10*F10</f>
        <v>0</v>
      </c>
      <c r="K31" s="471"/>
    </row>
    <row r="32" spans="1:12">
      <c r="A32" s="463"/>
      <c r="B32" s="550" t="str">
        <f>B11</f>
        <v>Sapo compactador</v>
      </c>
      <c r="C32" s="531"/>
      <c r="D32" s="531"/>
      <c r="E32" s="500"/>
      <c r="F32" s="553" t="str">
        <f>VLOOKUP(B32,EQUIPAMENTOS!$A:$N,12,FALSE)</f>
        <v>Gasolina</v>
      </c>
      <c r="G32" s="554" t="s">
        <v>415</v>
      </c>
      <c r="H32" s="560">
        <f>VLOOKUP(B32,EQUIPAMENTOS!$A:$N,13,FALSE)</f>
        <v>6.59</v>
      </c>
      <c r="I32" s="556">
        <f>VLOOKUP(B32,EQUIPAMENTOS!$A:$N,14,FALSE)</f>
        <v>3</v>
      </c>
      <c r="J32" s="505">
        <f>H32*I32*E11*F11</f>
        <v>0</v>
      </c>
      <c r="K32" s="471"/>
    </row>
    <row r="33" spans="1:12">
      <c r="A33" s="463"/>
      <c r="B33" s="550"/>
      <c r="C33" s="531"/>
      <c r="D33" s="531"/>
      <c r="E33" s="500"/>
      <c r="F33" s="553"/>
      <c r="G33" s="554"/>
      <c r="H33" s="560"/>
      <c r="I33" s="556"/>
      <c r="J33" s="505"/>
      <c r="K33" s="471"/>
    </row>
    <row r="34" spans="1:12">
      <c r="A34" s="463"/>
      <c r="B34" s="530"/>
      <c r="C34" s="531"/>
      <c r="D34" s="531"/>
      <c r="E34" s="500"/>
      <c r="F34" s="501"/>
      <c r="G34" s="559"/>
      <c r="H34" s="560"/>
      <c r="I34" s="556"/>
      <c r="J34" s="505">
        <f>H34*I34*E12*F12</f>
        <v>0</v>
      </c>
      <c r="K34" s="471"/>
    </row>
    <row r="35" spans="1:12">
      <c r="A35" s="463"/>
      <c r="B35" s="530"/>
      <c r="C35" s="539"/>
      <c r="D35" s="539"/>
      <c r="E35" s="507"/>
      <c r="F35" s="501"/>
      <c r="G35" s="481"/>
      <c r="H35" s="560"/>
      <c r="I35" s="561"/>
      <c r="J35" s="505">
        <f>H35*I35*E13*F13</f>
        <v>0</v>
      </c>
      <c r="K35" s="471"/>
    </row>
    <row r="36" spans="1:12">
      <c r="A36" s="463"/>
      <c r="B36" s="563" t="s">
        <v>946</v>
      </c>
      <c r="C36" s="539"/>
      <c r="D36" s="539"/>
      <c r="E36" s="539"/>
      <c r="F36" s="536"/>
      <c r="G36" s="539"/>
      <c r="H36" s="564"/>
      <c r="I36" s="565" t="s">
        <v>175</v>
      </c>
      <c r="J36" s="514">
        <f>SUM(J30:J35)</f>
        <v>0</v>
      </c>
      <c r="K36" s="471"/>
      <c r="L36" s="6" t="e">
        <f>J36/E27</f>
        <v>#REF!</v>
      </c>
    </row>
    <row r="37" spans="1:12">
      <c r="A37" s="463"/>
      <c r="B37" s="566"/>
      <c r="C37" s="539"/>
      <c r="D37" s="539"/>
      <c r="E37" s="567"/>
      <c r="F37" s="568"/>
      <c r="G37" s="519"/>
      <c r="H37" s="519"/>
      <c r="I37" s="542"/>
      <c r="J37" s="567"/>
      <c r="K37" s="471"/>
    </row>
    <row r="38" spans="1:12" ht="20.399999999999999">
      <c r="A38" s="463"/>
      <c r="B38" s="1493" t="s">
        <v>955</v>
      </c>
      <c r="C38" s="1494"/>
      <c r="D38" s="1494"/>
      <c r="E38" s="1494"/>
      <c r="F38" s="1495"/>
      <c r="G38" s="569" t="s">
        <v>372</v>
      </c>
      <c r="H38" s="519" t="s">
        <v>956</v>
      </c>
      <c r="I38" s="570" t="s">
        <v>942</v>
      </c>
      <c r="J38" s="522" t="s">
        <v>363</v>
      </c>
      <c r="K38" s="471"/>
    </row>
    <row r="39" spans="1:12">
      <c r="A39" s="463"/>
      <c r="B39" s="571"/>
      <c r="C39" s="572"/>
      <c r="D39" s="573"/>
      <c r="E39" s="573"/>
      <c r="F39" s="574"/>
      <c r="G39" s="502"/>
      <c r="H39" s="502"/>
      <c r="I39" s="575"/>
      <c r="J39" s="505"/>
      <c r="K39" s="471"/>
    </row>
    <row r="40" spans="1:12">
      <c r="A40" s="463"/>
      <c r="B40" s="576"/>
      <c r="C40" s="577"/>
      <c r="D40" s="578"/>
      <c r="E40" s="578"/>
      <c r="F40" s="579"/>
      <c r="G40" s="502"/>
      <c r="H40" s="502"/>
      <c r="I40" s="575"/>
      <c r="J40" s="505"/>
      <c r="K40" s="471"/>
    </row>
    <row r="41" spans="1:12">
      <c r="A41" s="463"/>
      <c r="B41" s="1496" t="s">
        <v>175</v>
      </c>
      <c r="C41" s="1496"/>
      <c r="D41" s="1496"/>
      <c r="E41" s="1496"/>
      <c r="F41" s="1496"/>
      <c r="G41" s="1496"/>
      <c r="H41" s="1496"/>
      <c r="I41" s="1496"/>
      <c r="J41" s="514">
        <f>SUM(J39:J40)</f>
        <v>0</v>
      </c>
      <c r="K41" s="471"/>
    </row>
    <row r="42" spans="1:12">
      <c r="A42" s="463"/>
      <c r="B42" s="580"/>
      <c r="C42" s="524"/>
      <c r="D42" s="524"/>
      <c r="E42" s="581"/>
      <c r="F42" s="582"/>
      <c r="G42" s="583"/>
      <c r="H42" s="583"/>
      <c r="I42" s="584"/>
      <c r="J42" s="585"/>
      <c r="K42" s="471"/>
    </row>
    <row r="43" spans="1:12">
      <c r="A43" s="463"/>
      <c r="B43" s="586" t="s">
        <v>957</v>
      </c>
      <c r="C43" s="586"/>
      <c r="D43" s="563"/>
      <c r="E43" s="536"/>
      <c r="F43" s="536"/>
      <c r="G43" s="536"/>
      <c r="H43" s="587"/>
      <c r="I43" s="588"/>
      <c r="J43" s="514" t="e">
        <f>(J27+J36+J41)/E27</f>
        <v>#REF!</v>
      </c>
      <c r="K43" s="471"/>
    </row>
    <row r="44" spans="1:12">
      <c r="A44" s="463"/>
      <c r="B44" s="566"/>
      <c r="C44" s="539"/>
      <c r="D44" s="539"/>
      <c r="E44" s="567"/>
      <c r="F44" s="568"/>
      <c r="G44" s="519"/>
      <c r="H44" s="519"/>
      <c r="I44" s="542"/>
      <c r="J44" s="589"/>
      <c r="K44" s="471"/>
    </row>
    <row r="45" spans="1:12" ht="20.399999999999999">
      <c r="A45" s="463"/>
      <c r="B45" s="1493" t="s">
        <v>958</v>
      </c>
      <c r="C45" s="1494"/>
      <c r="D45" s="1494"/>
      <c r="E45" s="1494"/>
      <c r="F45" s="1495"/>
      <c r="G45" s="569" t="s">
        <v>372</v>
      </c>
      <c r="H45" s="519" t="s">
        <v>956</v>
      </c>
      <c r="I45" s="570" t="s">
        <v>942</v>
      </c>
      <c r="J45" s="522" t="s">
        <v>363</v>
      </c>
      <c r="K45" s="471"/>
    </row>
    <row r="46" spans="1:12">
      <c r="A46" s="463"/>
      <c r="B46" s="571" t="s">
        <v>1264</v>
      </c>
      <c r="C46" s="572"/>
      <c r="D46" s="573"/>
      <c r="E46" s="573"/>
      <c r="F46" s="574"/>
      <c r="G46" s="502">
        <v>2.3E-3</v>
      </c>
      <c r="H46" s="502" t="s">
        <v>973</v>
      </c>
      <c r="I46" s="575">
        <v>165</v>
      </c>
      <c r="J46" s="505">
        <f t="shared" ref="J46:J51" si="1">G46*I46</f>
        <v>0.3795</v>
      </c>
      <c r="K46" s="471"/>
    </row>
    <row r="47" spans="1:12">
      <c r="A47" s="463"/>
      <c r="B47" s="576" t="s">
        <v>1265</v>
      </c>
      <c r="C47" s="577"/>
      <c r="D47" s="578"/>
      <c r="E47" s="578"/>
      <c r="F47" s="579"/>
      <c r="G47" s="502">
        <v>0.91</v>
      </c>
      <c r="H47" s="502" t="s">
        <v>985</v>
      </c>
      <c r="I47" s="575">
        <f>35/50</f>
        <v>0.7</v>
      </c>
      <c r="J47" s="505">
        <f t="shared" si="1"/>
        <v>0.63700000000000001</v>
      </c>
      <c r="K47" s="471"/>
    </row>
    <row r="48" spans="1:12">
      <c r="A48" s="463"/>
      <c r="B48" s="576" t="s">
        <v>1266</v>
      </c>
      <c r="C48" s="577"/>
      <c r="D48" s="578"/>
      <c r="E48" s="578"/>
      <c r="F48" s="579"/>
      <c r="G48" s="502">
        <v>1.05</v>
      </c>
      <c r="H48" s="502" t="s">
        <v>984</v>
      </c>
      <c r="I48" s="737">
        <f>MATERIAIS!D5</f>
        <v>161.4</v>
      </c>
      <c r="J48" s="505">
        <f t="shared" si="1"/>
        <v>169.47000000000003</v>
      </c>
      <c r="K48" s="471"/>
    </row>
    <row r="49" spans="1:11">
      <c r="A49" s="463"/>
      <c r="B49" s="576"/>
      <c r="C49" s="577"/>
      <c r="D49" s="578"/>
      <c r="E49" s="578"/>
      <c r="F49" s="579"/>
      <c r="G49" s="502"/>
      <c r="H49" s="502"/>
      <c r="I49" s="575"/>
      <c r="J49" s="505">
        <f t="shared" si="1"/>
        <v>0</v>
      </c>
      <c r="K49" s="471"/>
    </row>
    <row r="50" spans="1:11">
      <c r="A50" s="463"/>
      <c r="B50" s="576"/>
      <c r="C50" s="577"/>
      <c r="D50" s="578"/>
      <c r="E50" s="578"/>
      <c r="F50" s="579"/>
      <c r="G50" s="502"/>
      <c r="H50" s="502"/>
      <c r="I50" s="575"/>
      <c r="J50" s="505">
        <f t="shared" si="1"/>
        <v>0</v>
      </c>
      <c r="K50" s="471"/>
    </row>
    <row r="51" spans="1:11">
      <c r="A51" s="463"/>
      <c r="B51" s="590"/>
      <c r="C51" s="591"/>
      <c r="D51" s="592"/>
      <c r="E51" s="592"/>
      <c r="F51" s="593"/>
      <c r="G51" s="502"/>
      <c r="H51" s="502"/>
      <c r="I51" s="575"/>
      <c r="J51" s="505">
        <f t="shared" si="1"/>
        <v>0</v>
      </c>
      <c r="K51" s="471"/>
    </row>
    <row r="52" spans="1:11">
      <c r="A52" s="463"/>
      <c r="B52" s="594"/>
      <c r="C52" s="536"/>
      <c r="D52" s="536"/>
      <c r="E52" s="595"/>
      <c r="F52" s="596"/>
      <c r="G52" s="545"/>
      <c r="H52" s="545"/>
      <c r="I52" s="537" t="s">
        <v>175</v>
      </c>
      <c r="J52" s="514">
        <f>SUM(J46:J51)</f>
        <v>170.48650000000004</v>
      </c>
      <c r="K52" s="471"/>
    </row>
    <row r="53" spans="1:11">
      <c r="A53" s="463"/>
      <c r="B53" s="597"/>
      <c r="C53" s="536"/>
      <c r="D53" s="536"/>
      <c r="E53" s="595"/>
      <c r="F53" s="596"/>
      <c r="G53" s="545"/>
      <c r="H53" s="545"/>
      <c r="I53" s="537"/>
      <c r="J53" s="595"/>
      <c r="K53" s="471"/>
    </row>
    <row r="54" spans="1:11" ht="20.399999999999999">
      <c r="A54" s="463"/>
      <c r="B54" s="1493" t="s">
        <v>959</v>
      </c>
      <c r="C54" s="1494"/>
      <c r="D54" s="1494"/>
      <c r="E54" s="1494"/>
      <c r="F54" s="1495"/>
      <c r="G54" s="600" t="s">
        <v>372</v>
      </c>
      <c r="H54" s="1493" t="s">
        <v>942</v>
      </c>
      <c r="I54" s="1495"/>
      <c r="J54" s="522" t="s">
        <v>363</v>
      </c>
      <c r="K54" s="471"/>
    </row>
    <row r="55" spans="1:11">
      <c r="A55" s="463"/>
      <c r="B55" s="1734"/>
      <c r="C55" s="1735"/>
      <c r="D55" s="1735"/>
      <c r="E55" s="1735"/>
      <c r="F55" s="1736"/>
      <c r="G55" s="502"/>
      <c r="H55" s="1737"/>
      <c r="I55" s="1738"/>
      <c r="J55" s="505"/>
      <c r="K55" s="471"/>
    </row>
    <row r="56" spans="1:11">
      <c r="A56" s="463"/>
      <c r="B56" s="1739"/>
      <c r="C56" s="1740"/>
      <c r="D56" s="1740"/>
      <c r="E56" s="1740"/>
      <c r="F56" s="1741"/>
      <c r="G56" s="509"/>
      <c r="H56" s="1742"/>
      <c r="I56" s="1743"/>
      <c r="J56" s="505"/>
      <c r="K56" s="471"/>
    </row>
    <row r="57" spans="1:11">
      <c r="A57" s="463"/>
      <c r="B57" s="594"/>
      <c r="C57" s="536"/>
      <c r="D57" s="536"/>
      <c r="E57" s="595"/>
      <c r="F57" s="596"/>
      <c r="G57" s="545"/>
      <c r="H57" s="545"/>
      <c r="I57" s="537" t="s">
        <v>175</v>
      </c>
      <c r="J57" s="514">
        <f>SUM(J55:J56)</f>
        <v>0</v>
      </c>
      <c r="K57" s="471"/>
    </row>
    <row r="58" spans="1:11">
      <c r="A58" s="463"/>
      <c r="B58" s="536"/>
      <c r="C58" s="536"/>
      <c r="D58" s="536"/>
      <c r="E58" s="536"/>
      <c r="F58" s="536"/>
      <c r="G58" s="536"/>
      <c r="H58" s="536"/>
      <c r="I58" s="537"/>
      <c r="J58" s="536"/>
      <c r="K58" s="471"/>
    </row>
    <row r="59" spans="1:11">
      <c r="A59" s="463"/>
      <c r="B59" s="1481" t="s">
        <v>961</v>
      </c>
      <c r="C59" s="1482"/>
      <c r="D59" s="1482"/>
      <c r="E59" s="1482"/>
      <c r="F59" s="1482"/>
      <c r="G59" s="1482"/>
      <c r="H59" s="1482"/>
      <c r="I59" s="1483"/>
      <c r="J59" s="586" t="e">
        <f>J57+J52+J43</f>
        <v>#REF!</v>
      </c>
      <c r="K59" s="471"/>
    </row>
    <row r="60" spans="1:11">
      <c r="A60" s="463"/>
      <c r="B60" s="536"/>
      <c r="C60" s="536"/>
      <c r="D60" s="536"/>
      <c r="E60" s="536"/>
      <c r="F60" s="536"/>
      <c r="G60" s="536"/>
      <c r="H60" s="536"/>
      <c r="I60" s="537"/>
      <c r="J60" s="536"/>
      <c r="K60" s="471"/>
    </row>
    <row r="61" spans="1:11">
      <c r="A61" s="463"/>
      <c r="B61" s="1481" t="s">
        <v>962</v>
      </c>
      <c r="C61" s="1482"/>
      <c r="D61" s="1482"/>
      <c r="E61" s="1482"/>
      <c r="F61" s="1482"/>
      <c r="G61" s="1482"/>
      <c r="H61" s="1482"/>
      <c r="I61" s="1483"/>
      <c r="J61" s="514" t="e">
        <f>J59*0</f>
        <v>#REF!</v>
      </c>
      <c r="K61" s="471"/>
    </row>
    <row r="62" spans="1:11">
      <c r="A62" s="463"/>
      <c r="B62" s="536"/>
      <c r="C62" s="536"/>
      <c r="D62" s="536"/>
      <c r="E62" s="536"/>
      <c r="F62" s="536"/>
      <c r="G62" s="536"/>
      <c r="H62" s="536"/>
      <c r="I62" s="537"/>
      <c r="J62" s="536"/>
      <c r="K62" s="471"/>
    </row>
    <row r="63" spans="1:11">
      <c r="A63" s="463"/>
      <c r="B63" s="1481" t="s">
        <v>963</v>
      </c>
      <c r="C63" s="1482"/>
      <c r="D63" s="1482"/>
      <c r="E63" s="1482"/>
      <c r="F63" s="1482"/>
      <c r="G63" s="1482"/>
      <c r="H63" s="1482"/>
      <c r="I63" s="1483"/>
      <c r="J63" s="586" t="e">
        <f>J59+J61</f>
        <v>#REF!</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484" t="s">
        <v>964</v>
      </c>
      <c r="H69" s="1485"/>
      <c r="I69" s="1485"/>
      <c r="J69" s="1486"/>
      <c r="K69" s="471"/>
    </row>
    <row r="70" spans="1:11">
      <c r="A70" s="463"/>
      <c r="B70" s="617"/>
      <c r="C70" s="618"/>
      <c r="D70" s="618"/>
      <c r="E70" s="618"/>
      <c r="F70" s="619"/>
      <c r="G70" s="620"/>
      <c r="H70" s="1487"/>
      <c r="I70" s="1488"/>
      <c r="J70" s="1489"/>
      <c r="K70" s="471"/>
    </row>
    <row r="71" spans="1:11" ht="15" thickBot="1">
      <c r="A71" s="621"/>
      <c r="B71" s="622"/>
      <c r="C71" s="622"/>
      <c r="D71" s="622"/>
      <c r="E71" s="622"/>
      <c r="F71" s="622"/>
      <c r="G71" s="622"/>
      <c r="H71" s="622"/>
      <c r="I71" s="622"/>
      <c r="J71" s="622"/>
      <c r="K71" s="623"/>
    </row>
    <row r="72" spans="1:11">
      <c r="A72" s="460"/>
      <c r="B72" s="461"/>
      <c r="C72" s="461"/>
      <c r="D72" s="461"/>
      <c r="E72" s="461"/>
      <c r="F72" s="461"/>
      <c r="G72" s="461"/>
      <c r="H72" s="461"/>
      <c r="I72" s="461"/>
      <c r="J72" s="461"/>
      <c r="K72" s="462"/>
    </row>
    <row r="73" spans="1:11">
      <c r="A73" s="463"/>
      <c r="B73" s="464" t="s">
        <v>178</v>
      </c>
      <c r="C73" s="465"/>
      <c r="D73" s="466" t="s">
        <v>936</v>
      </c>
      <c r="E73" s="467"/>
      <c r="F73" s="468"/>
      <c r="G73" s="468"/>
      <c r="H73" s="469"/>
      <c r="I73" s="469"/>
      <c r="J73" s="470"/>
      <c r="K73" s="471"/>
    </row>
    <row r="74" spans="1:11">
      <c r="A74" s="463"/>
      <c r="B74" s="472"/>
      <c r="C74" s="472"/>
      <c r="D74" s="472"/>
      <c r="E74" s="472"/>
      <c r="F74" s="472"/>
      <c r="G74" s="472"/>
      <c r="H74" s="472"/>
      <c r="I74" s="472"/>
      <c r="J74" s="472"/>
      <c r="K74" s="471"/>
    </row>
    <row r="75" spans="1:11">
      <c r="A75" s="463"/>
      <c r="B75" s="473"/>
      <c r="C75" s="474" t="s">
        <v>937</v>
      </c>
      <c r="D75" s="1497" t="s">
        <v>250</v>
      </c>
      <c r="E75" s="1498"/>
      <c r="F75" s="1498"/>
      <c r="G75" s="1498"/>
      <c r="H75" s="1498"/>
      <c r="I75" s="1499"/>
      <c r="J75" s="475" t="s">
        <v>267</v>
      </c>
      <c r="K75" s="471"/>
    </row>
    <row r="76" spans="1:11" ht="22.5" customHeight="1">
      <c r="A76" s="463"/>
      <c r="B76" s="476"/>
      <c r="C76" s="477">
        <f ca="1">PLANEJAMENTO!$F$4</f>
        <v>46140</v>
      </c>
      <c r="D76" s="1721" t="s">
        <v>1219</v>
      </c>
      <c r="E76" s="1722"/>
      <c r="F76" s="1722"/>
      <c r="G76" s="1722"/>
      <c r="H76" s="1722"/>
      <c r="I76" s="1723"/>
      <c r="J76" s="481" t="str">
        <f>F99</f>
        <v>m</v>
      </c>
      <c r="K76" s="471"/>
    </row>
    <row r="77" spans="1:11" ht="13.5" customHeight="1">
      <c r="A77" s="463"/>
      <c r="B77" s="482"/>
      <c r="C77" s="482"/>
      <c r="D77" s="482"/>
      <c r="E77" s="482"/>
      <c r="F77" s="482"/>
      <c r="G77" s="482"/>
      <c r="H77" s="482"/>
      <c r="I77" s="483"/>
      <c r="J77" s="484"/>
      <c r="K77" s="471"/>
    </row>
    <row r="78" spans="1:11">
      <c r="A78" s="463"/>
      <c r="B78" s="1484" t="s">
        <v>938</v>
      </c>
      <c r="C78" s="1486"/>
      <c r="D78" s="1502" t="s">
        <v>688</v>
      </c>
      <c r="E78" s="1504" t="s">
        <v>939</v>
      </c>
      <c r="F78" s="485" t="s">
        <v>940</v>
      </c>
      <c r="G78" s="486"/>
      <c r="H78" s="485" t="s">
        <v>941</v>
      </c>
      <c r="I78" s="486"/>
      <c r="J78" s="487" t="s">
        <v>942</v>
      </c>
      <c r="K78" s="471"/>
    </row>
    <row r="79" spans="1:11">
      <c r="A79" s="463"/>
      <c r="B79" s="1500"/>
      <c r="C79" s="1501"/>
      <c r="D79" s="1503"/>
      <c r="E79" s="1505"/>
      <c r="F79" s="488" t="s">
        <v>943</v>
      </c>
      <c r="G79" s="488" t="s">
        <v>944</v>
      </c>
      <c r="H79" s="488" t="s">
        <v>943</v>
      </c>
      <c r="I79" s="489" t="s">
        <v>944</v>
      </c>
      <c r="J79" s="490" t="s">
        <v>945</v>
      </c>
      <c r="K79" s="471"/>
    </row>
    <row r="80" spans="1:11">
      <c r="A80" s="463"/>
      <c r="B80" s="499" t="s">
        <v>659</v>
      </c>
      <c r="C80" s="492"/>
      <c r="D80" s="493"/>
      <c r="E80" s="494"/>
      <c r="F80" s="494">
        <v>1</v>
      </c>
      <c r="G80" s="495">
        <f>1-F80</f>
        <v>0</v>
      </c>
      <c r="H80" s="503">
        <f>VLOOKUP(B80,EQUIPAMENTOS!$A:$J,10,FALSE)</f>
        <v>10</v>
      </c>
      <c r="I80" s="497">
        <f>H80</f>
        <v>10</v>
      </c>
      <c r="J80" s="498">
        <f>H80*F80*E80+I80*G80*E80</f>
        <v>0</v>
      </c>
      <c r="K80" s="471"/>
    </row>
    <row r="81" spans="1:12">
      <c r="A81" s="463"/>
      <c r="B81" s="499" t="s">
        <v>631</v>
      </c>
      <c r="C81" s="500"/>
      <c r="D81" s="501"/>
      <c r="E81" s="502">
        <v>1</v>
      </c>
      <c r="F81" s="502">
        <v>1</v>
      </c>
      <c r="G81" s="502">
        <f>1-F81</f>
        <v>0</v>
      </c>
      <c r="H81" s="503">
        <f>VLOOKUP(B81,EQUIPAMENTOS!$A:$J,10,FALSE)</f>
        <v>175</v>
      </c>
      <c r="I81" s="504">
        <f>H81</f>
        <v>175</v>
      </c>
      <c r="J81" s="505">
        <f>H81*F81*E81+I81*G81*E81</f>
        <v>175</v>
      </c>
      <c r="K81" s="471"/>
    </row>
    <row r="82" spans="1:12">
      <c r="A82" s="463"/>
      <c r="B82" s="499" t="s">
        <v>986</v>
      </c>
      <c r="C82" s="500"/>
      <c r="D82" s="501"/>
      <c r="E82" s="502">
        <v>1</v>
      </c>
      <c r="F82" s="502">
        <v>0.5</v>
      </c>
      <c r="G82" s="502">
        <f>1-F82</f>
        <v>0.5</v>
      </c>
      <c r="H82" s="503">
        <f>VLOOKUP(B82,EQUIPAMENTOS!$A:$J,10,FALSE)</f>
        <v>145</v>
      </c>
      <c r="I82" s="504">
        <f>H82</f>
        <v>145</v>
      </c>
      <c r="J82" s="505">
        <f>H82*F82*E82+I82*G82*E82</f>
        <v>145</v>
      </c>
      <c r="K82" s="471"/>
    </row>
    <row r="83" spans="1:12">
      <c r="A83" s="463"/>
      <c r="B83" s="499"/>
      <c r="C83" s="500"/>
      <c r="D83" s="501"/>
      <c r="E83" s="502"/>
      <c r="F83" s="502"/>
      <c r="G83" s="502"/>
      <c r="H83" s="503"/>
      <c r="I83" s="504"/>
      <c r="J83" s="505"/>
      <c r="K83" s="471"/>
    </row>
    <row r="84" spans="1:12">
      <c r="A84" s="463"/>
      <c r="B84" s="499"/>
      <c r="C84" s="500"/>
      <c r="D84" s="501"/>
      <c r="E84" s="502"/>
      <c r="F84" s="502"/>
      <c r="G84" s="502"/>
      <c r="H84" s="503"/>
      <c r="I84" s="504"/>
      <c r="J84" s="505">
        <f>H84*F84*E84+I84*G84*E84</f>
        <v>0</v>
      </c>
      <c r="K84" s="471"/>
    </row>
    <row r="85" spans="1:12">
      <c r="A85" s="463"/>
      <c r="B85" s="499"/>
      <c r="C85" s="500"/>
      <c r="D85" s="501"/>
      <c r="E85" s="502"/>
      <c r="F85" s="502"/>
      <c r="G85" s="502"/>
      <c r="H85" s="503"/>
      <c r="I85" s="504"/>
      <c r="J85" s="505">
        <f>H85*F85*E85+I85*G85*E85</f>
        <v>0</v>
      </c>
      <c r="K85" s="471"/>
    </row>
    <row r="86" spans="1:12">
      <c r="A86" s="463"/>
      <c r="B86" s="506"/>
      <c r="C86" s="507"/>
      <c r="D86" s="508"/>
      <c r="E86" s="509"/>
      <c r="F86" s="509"/>
      <c r="G86" s="509"/>
      <c r="H86" s="510"/>
      <c r="I86" s="511"/>
      <c r="J86" s="505">
        <f>H86*F86*E86+I86*G86*E86</f>
        <v>0</v>
      </c>
      <c r="K86" s="471"/>
    </row>
    <row r="87" spans="1:12">
      <c r="A87" s="463"/>
      <c r="B87" s="512" t="s">
        <v>946</v>
      </c>
      <c r="C87" s="482"/>
      <c r="D87" s="482"/>
      <c r="E87" s="482"/>
      <c r="F87" s="482"/>
      <c r="G87" s="482"/>
      <c r="H87" s="482"/>
      <c r="I87" s="513" t="s">
        <v>175</v>
      </c>
      <c r="J87" s="514">
        <f>SUM(J80:J86)</f>
        <v>320</v>
      </c>
      <c r="K87" s="471"/>
      <c r="L87" s="6" t="e">
        <f>J87/E99</f>
        <v>#REF!</v>
      </c>
    </row>
    <row r="88" spans="1:12">
      <c r="A88" s="463"/>
      <c r="B88" s="515"/>
      <c r="C88" s="515"/>
      <c r="D88" s="515"/>
      <c r="E88" s="515"/>
      <c r="F88" s="515"/>
      <c r="G88" s="515"/>
      <c r="H88" s="515"/>
      <c r="I88" s="516"/>
      <c r="J88" s="517"/>
      <c r="K88" s="471"/>
    </row>
    <row r="89" spans="1:12" ht="20.399999999999999">
      <c r="A89" s="463"/>
      <c r="B89" s="1490" t="s">
        <v>947</v>
      </c>
      <c r="C89" s="1491"/>
      <c r="D89" s="1491"/>
      <c r="E89" s="1492"/>
      <c r="F89" s="725" t="s">
        <v>688</v>
      </c>
      <c r="G89" s="519"/>
      <c r="H89" s="520" t="s">
        <v>427</v>
      </c>
      <c r="I89" s="521" t="s">
        <v>948</v>
      </c>
      <c r="J89" s="522" t="s">
        <v>949</v>
      </c>
      <c r="K89" s="471"/>
    </row>
    <row r="90" spans="1:12">
      <c r="A90" s="463"/>
      <c r="B90" s="530" t="s">
        <v>969</v>
      </c>
      <c r="C90" s="531"/>
      <c r="D90" s="472"/>
      <c r="E90" s="500"/>
      <c r="F90" s="501"/>
      <c r="G90" s="532"/>
      <c r="H90" s="533">
        <f>E82</f>
        <v>1</v>
      </c>
      <c r="I90" s="534">
        <f>(VLOOKUP(B90,'MÃO DE OBRA'!$A:$E,5,FALSE)/220)</f>
        <v>21.588799999999999</v>
      </c>
      <c r="J90" s="505">
        <f>H90*I90</f>
        <v>21.588799999999999</v>
      </c>
      <c r="K90" s="471"/>
    </row>
    <row r="91" spans="1:12">
      <c r="A91" s="463"/>
      <c r="B91" s="530" t="s">
        <v>974</v>
      </c>
      <c r="C91" s="531"/>
      <c r="D91" s="472"/>
      <c r="E91" s="500"/>
      <c r="F91" s="501"/>
      <c r="G91" s="532"/>
      <c r="H91" s="533">
        <f>E81</f>
        <v>1</v>
      </c>
      <c r="I91" s="534">
        <f>(VLOOKUP(B91,'MÃO DE OBRA'!$A:$E,5,FALSE)/220)</f>
        <v>35.988199999999999</v>
      </c>
      <c r="J91" s="505">
        <f>H91*I91</f>
        <v>35.988199999999999</v>
      </c>
      <c r="K91" s="471"/>
    </row>
    <row r="92" spans="1:12">
      <c r="A92" s="463"/>
      <c r="B92" s="530" t="s">
        <v>988</v>
      </c>
      <c r="C92" s="531"/>
      <c r="D92" s="472"/>
      <c r="E92" s="500"/>
      <c r="F92" s="501"/>
      <c r="G92" s="532"/>
      <c r="H92" s="533">
        <v>2</v>
      </c>
      <c r="I92" s="534">
        <f>(VLOOKUP(B92,'MÃO DE OBRA'!$A:$E,5,FALSE)/220)</f>
        <v>21.588799999999999</v>
      </c>
      <c r="J92" s="505">
        <f>H92*I92</f>
        <v>43.177599999999998</v>
      </c>
      <c r="K92" s="471"/>
    </row>
    <row r="93" spans="1:12">
      <c r="A93" s="463"/>
      <c r="B93" s="530" t="s">
        <v>472</v>
      </c>
      <c r="C93" s="531"/>
      <c r="D93" s="472"/>
      <c r="E93" s="500"/>
      <c r="F93" s="501"/>
      <c r="G93" s="532"/>
      <c r="H93" s="533">
        <v>6</v>
      </c>
      <c r="I93" s="534">
        <f>(VLOOKUP(B93,'MÃO DE OBRA'!$A:$E,5,FALSE)/220)</f>
        <v>18.377072727272729</v>
      </c>
      <c r="J93" s="505">
        <f>H93*I93</f>
        <v>110.26243636363637</v>
      </c>
      <c r="K93" s="471"/>
    </row>
    <row r="94" spans="1:12">
      <c r="A94" s="463"/>
      <c r="B94" s="530" t="s">
        <v>550</v>
      </c>
      <c r="C94" s="531"/>
      <c r="D94" s="472"/>
      <c r="E94" s="500"/>
      <c r="F94" s="501"/>
      <c r="G94" s="532"/>
      <c r="H94" s="533">
        <v>1</v>
      </c>
      <c r="I94" s="534">
        <f>(VLOOKUP(B94,'MÃO DE OBRA'!$A:$E,5,FALSE)/220)</f>
        <v>19.055000000000003</v>
      </c>
      <c r="J94" s="505">
        <f>H94*I94</f>
        <v>19.055000000000003</v>
      </c>
      <c r="K94" s="471"/>
    </row>
    <row r="95" spans="1:12">
      <c r="A95" s="463"/>
      <c r="B95" s="530"/>
      <c r="C95" s="531"/>
      <c r="D95" s="472"/>
      <c r="E95" s="500"/>
      <c r="F95" s="501"/>
      <c r="G95" s="532"/>
      <c r="H95" s="533"/>
      <c r="I95" s="504"/>
      <c r="J95" s="505"/>
      <c r="K95" s="471"/>
    </row>
    <row r="96" spans="1:12">
      <c r="A96" s="463"/>
      <c r="B96" s="530"/>
      <c r="C96" s="531"/>
      <c r="D96" s="472"/>
      <c r="E96" s="500"/>
      <c r="F96" s="501"/>
      <c r="G96" s="532"/>
      <c r="H96" s="533"/>
      <c r="I96" s="504"/>
      <c r="J96" s="505">
        <f>H96*I96</f>
        <v>0</v>
      </c>
      <c r="K96" s="471"/>
    </row>
    <row r="97" spans="1:12">
      <c r="A97" s="463"/>
      <c r="B97" s="512" t="s">
        <v>946</v>
      </c>
      <c r="C97" s="515"/>
      <c r="D97" s="515"/>
      <c r="E97" s="515"/>
      <c r="F97" s="515"/>
      <c r="G97" s="515"/>
      <c r="H97" s="515"/>
      <c r="I97" s="535" t="s">
        <v>175</v>
      </c>
      <c r="J97" s="514">
        <f>SUM(J90:J96)</f>
        <v>230.07203636363636</v>
      </c>
      <c r="K97" s="471"/>
      <c r="L97" s="6" t="e">
        <f>J97/E99</f>
        <v>#REF!</v>
      </c>
    </row>
    <row r="98" spans="1:12">
      <c r="A98" s="463"/>
      <c r="B98" s="536"/>
      <c r="C98" s="536"/>
      <c r="D98" s="536"/>
      <c r="E98" s="536"/>
      <c r="F98" s="536"/>
      <c r="G98" s="536"/>
      <c r="H98" s="536"/>
      <c r="I98" s="537"/>
      <c r="J98" s="536"/>
      <c r="K98" s="471"/>
    </row>
    <row r="99" spans="1:12">
      <c r="A99" s="463"/>
      <c r="B99" s="538" t="s">
        <v>952</v>
      </c>
      <c r="C99" s="539"/>
      <c r="D99" s="536"/>
      <c r="E99" s="540" t="e">
        <f>CRONOGRAMA!#REF!</f>
        <v>#REF!</v>
      </c>
      <c r="F99" s="541" t="s">
        <v>225</v>
      </c>
      <c r="G99" s="519"/>
      <c r="H99" s="519"/>
      <c r="I99" s="542" t="s">
        <v>953</v>
      </c>
      <c r="J99" s="514">
        <f>J87+J97</f>
        <v>550.07203636363636</v>
      </c>
      <c r="K99" s="471"/>
    </row>
    <row r="100" spans="1:12">
      <c r="A100" s="463"/>
      <c r="B100" s="543"/>
      <c r="C100" s="536"/>
      <c r="D100" s="536"/>
      <c r="E100" s="544"/>
      <c r="F100" s="545"/>
      <c r="G100" s="545"/>
      <c r="H100" s="545"/>
      <c r="I100" s="537"/>
      <c r="J100" s="536"/>
      <c r="K100" s="471"/>
    </row>
    <row r="101" spans="1:12" ht="20.399999999999999">
      <c r="A101" s="463"/>
      <c r="B101" s="1493" t="s">
        <v>362</v>
      </c>
      <c r="C101" s="1494"/>
      <c r="D101" s="1494"/>
      <c r="E101" s="1495"/>
      <c r="F101" s="546" t="s">
        <v>688</v>
      </c>
      <c r="G101" s="547" t="s">
        <v>371</v>
      </c>
      <c r="H101" s="520" t="s">
        <v>942</v>
      </c>
      <c r="I101" s="548" t="s">
        <v>361</v>
      </c>
      <c r="J101" s="549" t="s">
        <v>363</v>
      </c>
      <c r="K101" s="471"/>
    </row>
    <row r="102" spans="1:12">
      <c r="A102" s="463"/>
      <c r="B102" s="550" t="str">
        <f>B80</f>
        <v>Sapo compactador</v>
      </c>
      <c r="C102" s="551"/>
      <c r="D102" s="551"/>
      <c r="E102" s="552"/>
      <c r="F102" s="553" t="str">
        <f>VLOOKUP(B102,EQUIPAMENTOS!$A:$N,12,FALSE)</f>
        <v>Gasolina</v>
      </c>
      <c r="G102" s="554" t="s">
        <v>415</v>
      </c>
      <c r="H102" s="560">
        <f>VLOOKUP(B102,EQUIPAMENTOS!$A:$N,13,FALSE)</f>
        <v>6.59</v>
      </c>
      <c r="I102" s="556">
        <f>VLOOKUP(B102,EQUIPAMENTOS!$A:$N,14,FALSE)</f>
        <v>3</v>
      </c>
      <c r="J102" s="498">
        <f>H102*I102*E80*F80</f>
        <v>0</v>
      </c>
      <c r="K102" s="471"/>
    </row>
    <row r="103" spans="1:12">
      <c r="A103" s="463"/>
      <c r="B103" s="550" t="str">
        <f>B81</f>
        <v>Escavadeira hidráulica sobre esteira 22T</v>
      </c>
      <c r="C103" s="531"/>
      <c r="D103" s="531"/>
      <c r="E103" s="500"/>
      <c r="F103" s="553" t="str">
        <f>VLOOKUP(B103,EQUIPAMENTOS!$A:$N,12,FALSE)</f>
        <v>Diesel S10</v>
      </c>
      <c r="G103" s="554" t="s">
        <v>415</v>
      </c>
      <c r="H103" s="560">
        <f>VLOOKUP(B103,EQUIPAMENTOS!$A:$N,13,FALSE)</f>
        <v>0</v>
      </c>
      <c r="I103" s="556">
        <f>VLOOKUP(B103,EQUIPAMENTOS!$A:$N,14,FALSE)</f>
        <v>22</v>
      </c>
      <c r="J103" s="505">
        <f>H103*I103*E81*F81</f>
        <v>0</v>
      </c>
      <c r="K103" s="471"/>
    </row>
    <row r="104" spans="1:12">
      <c r="A104" s="463"/>
      <c r="B104" s="550" t="str">
        <f>B82</f>
        <v>Rolo compactador pé de carneiro 10t</v>
      </c>
      <c r="C104" s="531"/>
      <c r="D104" s="531"/>
      <c r="E104" s="500"/>
      <c r="F104" s="553" t="str">
        <f>VLOOKUP(B104,EQUIPAMENTOS!$A:$N,12,FALSE)</f>
        <v>Diesel S10</v>
      </c>
      <c r="G104" s="554" t="s">
        <v>415</v>
      </c>
      <c r="H104" s="560">
        <f>VLOOKUP(B104,EQUIPAMENTOS!$A:$N,13,FALSE)</f>
        <v>0</v>
      </c>
      <c r="I104" s="556">
        <f>VLOOKUP(B104,EQUIPAMENTOS!$A:$N,14,FALSE)</f>
        <v>16</v>
      </c>
      <c r="J104" s="505">
        <f>H104*I104*E82*F82</f>
        <v>0</v>
      </c>
      <c r="K104" s="471"/>
    </row>
    <row r="105" spans="1:12">
      <c r="A105" s="463"/>
      <c r="B105" s="550"/>
      <c r="C105" s="531"/>
      <c r="D105" s="531"/>
      <c r="E105" s="500"/>
      <c r="F105" s="553"/>
      <c r="G105" s="554"/>
      <c r="H105" s="560"/>
      <c r="I105" s="556"/>
      <c r="J105" s="505"/>
      <c r="K105" s="471"/>
    </row>
    <row r="106" spans="1:12">
      <c r="A106" s="463"/>
      <c r="B106" s="530"/>
      <c r="C106" s="531"/>
      <c r="D106" s="531"/>
      <c r="E106" s="500"/>
      <c r="F106" s="501"/>
      <c r="G106" s="559"/>
      <c r="H106" s="560"/>
      <c r="I106" s="556"/>
      <c r="J106" s="505">
        <f>H106*I106*E84*F84</f>
        <v>0</v>
      </c>
      <c r="K106" s="471"/>
    </row>
    <row r="107" spans="1:12">
      <c r="A107" s="463"/>
      <c r="B107" s="530"/>
      <c r="C107" s="539"/>
      <c r="D107" s="539"/>
      <c r="E107" s="507"/>
      <c r="F107" s="501"/>
      <c r="G107" s="481"/>
      <c r="H107" s="560"/>
      <c r="I107" s="561"/>
      <c r="J107" s="505">
        <f>H107*I107*E85*F85</f>
        <v>0</v>
      </c>
      <c r="K107" s="471"/>
    </row>
    <row r="108" spans="1:12">
      <c r="A108" s="463"/>
      <c r="B108" s="563" t="s">
        <v>946</v>
      </c>
      <c r="C108" s="539"/>
      <c r="D108" s="539"/>
      <c r="E108" s="539"/>
      <c r="F108" s="536"/>
      <c r="G108" s="539"/>
      <c r="H108" s="564"/>
      <c r="I108" s="565" t="s">
        <v>175</v>
      </c>
      <c r="J108" s="514">
        <f>SUM(J102:J107)</f>
        <v>0</v>
      </c>
      <c r="K108" s="471"/>
      <c r="L108" s="6" t="e">
        <f>J108/E99</f>
        <v>#REF!</v>
      </c>
    </row>
    <row r="109" spans="1:12">
      <c r="A109" s="463"/>
      <c r="B109" s="566"/>
      <c r="C109" s="539"/>
      <c r="D109" s="539"/>
      <c r="E109" s="567"/>
      <c r="F109" s="568"/>
      <c r="G109" s="519"/>
      <c r="H109" s="519"/>
      <c r="I109" s="542"/>
      <c r="J109" s="567"/>
      <c r="K109" s="471"/>
    </row>
    <row r="110" spans="1:12" ht="20.399999999999999">
      <c r="A110" s="463"/>
      <c r="B110" s="1493" t="s">
        <v>955</v>
      </c>
      <c r="C110" s="1494"/>
      <c r="D110" s="1494"/>
      <c r="E110" s="1494"/>
      <c r="F110" s="1495"/>
      <c r="G110" s="569" t="s">
        <v>372</v>
      </c>
      <c r="H110" s="519" t="s">
        <v>956</v>
      </c>
      <c r="I110" s="570" t="s">
        <v>942</v>
      </c>
      <c r="J110" s="522" t="s">
        <v>363</v>
      </c>
      <c r="K110" s="471"/>
    </row>
    <row r="111" spans="1:12">
      <c r="A111" s="463"/>
      <c r="B111" s="571"/>
      <c r="C111" s="572"/>
      <c r="D111" s="573"/>
      <c r="E111" s="573"/>
      <c r="F111" s="574"/>
      <c r="G111" s="502"/>
      <c r="H111" s="502"/>
      <c r="I111" s="575"/>
      <c r="J111" s="505"/>
      <c r="K111" s="471"/>
    </row>
    <row r="112" spans="1:12">
      <c r="A112" s="463"/>
      <c r="B112" s="576"/>
      <c r="C112" s="577"/>
      <c r="D112" s="578"/>
      <c r="E112" s="578"/>
      <c r="F112" s="579"/>
      <c r="G112" s="502"/>
      <c r="H112" s="502"/>
      <c r="I112" s="575"/>
      <c r="J112" s="505"/>
      <c r="K112" s="471"/>
    </row>
    <row r="113" spans="1:11">
      <c r="A113" s="463"/>
      <c r="B113" s="1496" t="s">
        <v>175</v>
      </c>
      <c r="C113" s="1496"/>
      <c r="D113" s="1496"/>
      <c r="E113" s="1496"/>
      <c r="F113" s="1496"/>
      <c r="G113" s="1496"/>
      <c r="H113" s="1496"/>
      <c r="I113" s="1496"/>
      <c r="J113" s="514">
        <f>SUM(J111:J112)</f>
        <v>0</v>
      </c>
      <c r="K113" s="471"/>
    </row>
    <row r="114" spans="1:11">
      <c r="A114" s="463"/>
      <c r="B114" s="580"/>
      <c r="C114" s="524"/>
      <c r="D114" s="524"/>
      <c r="E114" s="581"/>
      <c r="F114" s="582"/>
      <c r="G114" s="583"/>
      <c r="H114" s="583"/>
      <c r="I114" s="584"/>
      <c r="J114" s="585"/>
      <c r="K114" s="471"/>
    </row>
    <row r="115" spans="1:11">
      <c r="A115" s="463"/>
      <c r="B115" s="586" t="s">
        <v>957</v>
      </c>
      <c r="C115" s="586"/>
      <c r="D115" s="563"/>
      <c r="E115" s="536"/>
      <c r="F115" s="536"/>
      <c r="G115" s="536"/>
      <c r="H115" s="587"/>
      <c r="I115" s="588"/>
      <c r="J115" s="514" t="e">
        <f>(J99+J108+J113)/E99</f>
        <v>#REF!</v>
      </c>
      <c r="K115" s="471"/>
    </row>
    <row r="116" spans="1:11">
      <c r="A116" s="463"/>
      <c r="B116" s="566"/>
      <c r="C116" s="539"/>
      <c r="D116" s="539"/>
      <c r="E116" s="567"/>
      <c r="F116" s="568"/>
      <c r="G116" s="519"/>
      <c r="H116" s="519"/>
      <c r="I116" s="542"/>
      <c r="J116" s="589"/>
      <c r="K116" s="471"/>
    </row>
    <row r="117" spans="1:11" ht="20.399999999999999">
      <c r="A117" s="463"/>
      <c r="B117" s="1493" t="s">
        <v>958</v>
      </c>
      <c r="C117" s="1494"/>
      <c r="D117" s="1494"/>
      <c r="E117" s="1494"/>
      <c r="F117" s="1495"/>
      <c r="G117" s="569" t="s">
        <v>372</v>
      </c>
      <c r="H117" s="519" t="s">
        <v>956</v>
      </c>
      <c r="I117" s="570" t="s">
        <v>942</v>
      </c>
      <c r="J117" s="522" t="s">
        <v>363</v>
      </c>
      <c r="K117" s="471"/>
    </row>
    <row r="118" spans="1:11">
      <c r="A118" s="463"/>
      <c r="B118" s="571" t="s">
        <v>1264</v>
      </c>
      <c r="C118" s="572"/>
      <c r="D118" s="573"/>
      <c r="E118" s="573"/>
      <c r="F118" s="574"/>
      <c r="G118" s="502">
        <v>4.1999999999999997E-3</v>
      </c>
      <c r="H118" s="502" t="s">
        <v>973</v>
      </c>
      <c r="I118" s="575">
        <v>165</v>
      </c>
      <c r="J118" s="505">
        <f t="shared" ref="J118:J123" si="2">G118*I118</f>
        <v>0.69299999999999995</v>
      </c>
      <c r="K118" s="471"/>
    </row>
    <row r="119" spans="1:11">
      <c r="A119" s="463"/>
      <c r="B119" s="576" t="s">
        <v>1265</v>
      </c>
      <c r="C119" s="577"/>
      <c r="D119" s="578"/>
      <c r="E119" s="578"/>
      <c r="F119" s="579"/>
      <c r="G119" s="502">
        <v>1.85</v>
      </c>
      <c r="H119" s="502" t="s">
        <v>985</v>
      </c>
      <c r="I119" s="575">
        <f>35/50</f>
        <v>0.7</v>
      </c>
      <c r="J119" s="505">
        <f t="shared" si="2"/>
        <v>1.2949999999999999</v>
      </c>
      <c r="K119" s="471"/>
    </row>
    <row r="120" spans="1:11">
      <c r="A120" s="463"/>
      <c r="B120" s="576" t="s">
        <v>1267</v>
      </c>
      <c r="C120" s="577"/>
      <c r="D120" s="578"/>
      <c r="E120" s="578"/>
      <c r="F120" s="579"/>
      <c r="G120" s="502">
        <v>1.05</v>
      </c>
      <c r="H120" s="502" t="s">
        <v>984</v>
      </c>
      <c r="I120" s="737">
        <f>MATERIAIS!D7</f>
        <v>299.5</v>
      </c>
      <c r="J120" s="505">
        <f t="shared" si="2"/>
        <v>314.47500000000002</v>
      </c>
      <c r="K120" s="471"/>
    </row>
    <row r="121" spans="1:11">
      <c r="A121" s="463"/>
      <c r="B121" s="576"/>
      <c r="C121" s="577"/>
      <c r="D121" s="578"/>
      <c r="E121" s="578"/>
      <c r="F121" s="579"/>
      <c r="G121" s="502"/>
      <c r="H121" s="502"/>
      <c r="I121" s="575"/>
      <c r="J121" s="505">
        <f t="shared" si="2"/>
        <v>0</v>
      </c>
      <c r="K121" s="471"/>
    </row>
    <row r="122" spans="1:11">
      <c r="A122" s="463"/>
      <c r="B122" s="576"/>
      <c r="C122" s="577"/>
      <c r="D122" s="578"/>
      <c r="E122" s="578"/>
      <c r="F122" s="579"/>
      <c r="G122" s="502"/>
      <c r="H122" s="502"/>
      <c r="I122" s="575"/>
      <c r="J122" s="505">
        <f t="shared" si="2"/>
        <v>0</v>
      </c>
      <c r="K122" s="471"/>
    </row>
    <row r="123" spans="1:11">
      <c r="A123" s="463"/>
      <c r="B123" s="576"/>
      <c r="C123" s="577"/>
      <c r="D123" s="578"/>
      <c r="E123" s="578"/>
      <c r="F123" s="579"/>
      <c r="G123" s="502"/>
      <c r="H123" s="502"/>
      <c r="I123" s="575"/>
      <c r="J123" s="505">
        <f t="shared" si="2"/>
        <v>0</v>
      </c>
      <c r="K123" s="471"/>
    </row>
    <row r="124" spans="1:11">
      <c r="A124" s="463"/>
      <c r="B124" s="594"/>
      <c r="C124" s="536"/>
      <c r="D124" s="536"/>
      <c r="E124" s="595"/>
      <c r="F124" s="596"/>
      <c r="G124" s="545"/>
      <c r="H124" s="545"/>
      <c r="I124" s="537" t="s">
        <v>175</v>
      </c>
      <c r="J124" s="514">
        <f>SUM(J118:J123)</f>
        <v>316.46300000000002</v>
      </c>
      <c r="K124" s="471"/>
    </row>
    <row r="125" spans="1:11">
      <c r="A125" s="463"/>
      <c r="B125" s="597"/>
      <c r="C125" s="536"/>
      <c r="D125" s="536"/>
      <c r="E125" s="595"/>
      <c r="F125" s="596"/>
      <c r="G125" s="545"/>
      <c r="H125" s="545"/>
      <c r="I125" s="537"/>
      <c r="J125" s="595"/>
      <c r="K125" s="471"/>
    </row>
    <row r="126" spans="1:11" ht="20.399999999999999">
      <c r="A126" s="463"/>
      <c r="B126" s="1493" t="s">
        <v>959</v>
      </c>
      <c r="C126" s="1494"/>
      <c r="D126" s="1494"/>
      <c r="E126" s="1494"/>
      <c r="F126" s="1495"/>
      <c r="G126" s="600" t="s">
        <v>372</v>
      </c>
      <c r="H126" s="519" t="s">
        <v>942</v>
      </c>
      <c r="I126" s="570"/>
      <c r="J126" s="522" t="s">
        <v>363</v>
      </c>
      <c r="K126" s="471"/>
    </row>
    <row r="127" spans="1:11">
      <c r="A127" s="463"/>
      <c r="B127" s="1734"/>
      <c r="C127" s="1735"/>
      <c r="D127" s="1735"/>
      <c r="E127" s="1735"/>
      <c r="F127" s="1736"/>
      <c r="G127" s="502"/>
      <c r="H127" s="1737"/>
      <c r="I127" s="1738"/>
      <c r="J127" s="505"/>
      <c r="K127" s="471"/>
    </row>
    <row r="128" spans="1:11">
      <c r="A128" s="463"/>
      <c r="B128" s="1739"/>
      <c r="C128" s="1740"/>
      <c r="D128" s="1740"/>
      <c r="E128" s="1740"/>
      <c r="F128" s="1741"/>
      <c r="G128" s="509"/>
      <c r="H128" s="1742"/>
      <c r="I128" s="1743"/>
      <c r="J128" s="505"/>
      <c r="K128" s="471"/>
    </row>
    <row r="129" spans="1:11">
      <c r="A129" s="463"/>
      <c r="B129" s="594"/>
      <c r="C129" s="536"/>
      <c r="D129" s="536"/>
      <c r="E129" s="595"/>
      <c r="F129" s="596"/>
      <c r="G129" s="545"/>
      <c r="H129" s="545"/>
      <c r="I129" s="537" t="s">
        <v>175</v>
      </c>
      <c r="J129" s="514">
        <f>SUM(J127:J128)</f>
        <v>0</v>
      </c>
      <c r="K129" s="471"/>
    </row>
    <row r="130" spans="1:11">
      <c r="A130" s="463"/>
      <c r="B130" s="536"/>
      <c r="C130" s="536"/>
      <c r="D130" s="536"/>
      <c r="E130" s="536"/>
      <c r="F130" s="536"/>
      <c r="G130" s="536"/>
      <c r="H130" s="536"/>
      <c r="I130" s="537"/>
      <c r="J130" s="536"/>
      <c r="K130" s="471"/>
    </row>
    <row r="131" spans="1:11">
      <c r="A131" s="463"/>
      <c r="B131" s="1481" t="s">
        <v>961</v>
      </c>
      <c r="C131" s="1482"/>
      <c r="D131" s="1482"/>
      <c r="E131" s="1482"/>
      <c r="F131" s="1482"/>
      <c r="G131" s="1482"/>
      <c r="H131" s="1482"/>
      <c r="I131" s="1483"/>
      <c r="J131" s="586" t="e">
        <f>J129+J124+J115</f>
        <v>#REF!</v>
      </c>
      <c r="K131" s="471"/>
    </row>
    <row r="132" spans="1:11">
      <c r="A132" s="463"/>
      <c r="B132" s="536"/>
      <c r="C132" s="536"/>
      <c r="D132" s="536"/>
      <c r="E132" s="536"/>
      <c r="F132" s="536"/>
      <c r="G132" s="536"/>
      <c r="H132" s="536"/>
      <c r="I132" s="537"/>
      <c r="J132" s="536"/>
      <c r="K132" s="471"/>
    </row>
    <row r="133" spans="1:11">
      <c r="A133" s="463"/>
      <c r="B133" s="1481" t="s">
        <v>962</v>
      </c>
      <c r="C133" s="1482"/>
      <c r="D133" s="1482"/>
      <c r="E133" s="1482"/>
      <c r="F133" s="1482"/>
      <c r="G133" s="1482"/>
      <c r="H133" s="1482"/>
      <c r="I133" s="1483"/>
      <c r="J133" s="514" t="e">
        <f>J131*0</f>
        <v>#REF!</v>
      </c>
      <c r="K133" s="471"/>
    </row>
    <row r="134" spans="1:11">
      <c r="A134" s="463"/>
      <c r="B134" s="536"/>
      <c r="C134" s="536"/>
      <c r="D134" s="536"/>
      <c r="E134" s="536"/>
      <c r="F134" s="536"/>
      <c r="G134" s="536"/>
      <c r="H134" s="536"/>
      <c r="I134" s="537"/>
      <c r="J134" s="536"/>
      <c r="K134" s="471"/>
    </row>
    <row r="135" spans="1:11">
      <c r="A135" s="463"/>
      <c r="B135" s="1481" t="s">
        <v>963</v>
      </c>
      <c r="C135" s="1482"/>
      <c r="D135" s="1482"/>
      <c r="E135" s="1482"/>
      <c r="F135" s="1482"/>
      <c r="G135" s="1482"/>
      <c r="H135" s="1482"/>
      <c r="I135" s="1483"/>
      <c r="J135" s="586" t="e">
        <f>J131+J133</f>
        <v>#REF!</v>
      </c>
      <c r="K135" s="471"/>
    </row>
    <row r="136" spans="1:11">
      <c r="A136" s="463"/>
      <c r="B136" s="524"/>
      <c r="C136" s="524"/>
      <c r="D136" s="524"/>
      <c r="E136" s="524"/>
      <c r="F136" s="524"/>
      <c r="G136" s="524"/>
      <c r="H136" s="524"/>
      <c r="I136" s="584"/>
      <c r="J136" s="524"/>
      <c r="K136" s="471"/>
    </row>
    <row r="137" spans="1:11">
      <c r="A137" s="463"/>
      <c r="B137" s="602"/>
      <c r="C137" s="572"/>
      <c r="D137" s="572"/>
      <c r="E137" s="572"/>
      <c r="F137" s="572"/>
      <c r="G137" s="572"/>
      <c r="H137" s="572"/>
      <c r="I137" s="572"/>
      <c r="J137" s="603"/>
      <c r="K137" s="471"/>
    </row>
    <row r="138" spans="1:11">
      <c r="A138" s="463"/>
      <c r="B138" s="604"/>
      <c r="C138" s="605"/>
      <c r="D138" s="606"/>
      <c r="E138" s="606"/>
      <c r="F138" s="607" t="s">
        <v>946</v>
      </c>
      <c r="G138" s="608" t="s">
        <v>946</v>
      </c>
      <c r="H138" s="605"/>
      <c r="I138" s="605"/>
      <c r="J138" s="609"/>
      <c r="K138" s="471"/>
    </row>
    <row r="139" spans="1:11">
      <c r="A139" s="463"/>
      <c r="B139" s="472"/>
      <c r="C139" s="472"/>
      <c r="D139" s="472"/>
      <c r="E139" s="472"/>
      <c r="F139" s="472"/>
      <c r="G139" s="472"/>
      <c r="H139" s="472"/>
      <c r="I139" s="472"/>
      <c r="J139" s="472"/>
      <c r="K139" s="471"/>
    </row>
    <row r="140" spans="1:11">
      <c r="A140" s="463"/>
      <c r="B140" s="610" t="str">
        <f>PLANEJAMENTO!$F$2</f>
        <v>OPERAÇÃO DE SUPRESSÃO E SUMP</v>
      </c>
      <c r="C140" s="611"/>
      <c r="D140" s="611"/>
      <c r="E140" s="611"/>
      <c r="F140" s="612"/>
      <c r="G140" s="613" t="s">
        <v>363</v>
      </c>
      <c r="H140" s="515"/>
      <c r="I140" s="515"/>
      <c r="J140" s="518"/>
      <c r="K140" s="471"/>
    </row>
    <row r="141" spans="1:11">
      <c r="A141" s="463"/>
      <c r="B141" s="614" t="str">
        <f>PLANEJAMENTO!F3</f>
        <v>MARA ROSA</v>
      </c>
      <c r="C141" s="615"/>
      <c r="D141" s="615"/>
      <c r="E141" s="615"/>
      <c r="F141" s="616"/>
      <c r="G141" s="1484" t="s">
        <v>964</v>
      </c>
      <c r="H141" s="1485"/>
      <c r="I141" s="1485"/>
      <c r="J141" s="1486"/>
      <c r="K141" s="471"/>
    </row>
    <row r="142" spans="1:11">
      <c r="A142" s="463"/>
      <c r="B142" s="617"/>
      <c r="C142" s="618"/>
      <c r="D142" s="618"/>
      <c r="E142" s="618"/>
      <c r="F142" s="619"/>
      <c r="G142" s="620"/>
      <c r="H142" s="1487"/>
      <c r="I142" s="1488"/>
      <c r="J142" s="1489"/>
      <c r="K142" s="471"/>
    </row>
    <row r="143" spans="1:11" ht="15" thickBot="1">
      <c r="A143" s="621"/>
      <c r="B143" s="622"/>
      <c r="C143" s="622"/>
      <c r="D143" s="622"/>
      <c r="E143" s="622"/>
      <c r="F143" s="622"/>
      <c r="G143" s="622"/>
      <c r="H143" s="622"/>
      <c r="I143" s="622"/>
      <c r="J143" s="622"/>
      <c r="K143" s="623"/>
    </row>
    <row r="144" spans="1:11">
      <c r="A144" s="460"/>
      <c r="B144" s="461"/>
      <c r="C144" s="461"/>
      <c r="D144" s="461"/>
      <c r="E144" s="461"/>
      <c r="F144" s="461"/>
      <c r="G144" s="461"/>
      <c r="H144" s="461"/>
      <c r="I144" s="461"/>
      <c r="J144" s="461"/>
      <c r="K144" s="462"/>
    </row>
    <row r="145" spans="1:11">
      <c r="A145" s="463"/>
      <c r="B145" s="464" t="s">
        <v>178</v>
      </c>
      <c r="C145" s="465"/>
      <c r="D145" s="466" t="s">
        <v>936</v>
      </c>
      <c r="E145" s="467"/>
      <c r="F145" s="468"/>
      <c r="G145" s="468"/>
      <c r="H145" s="469"/>
      <c r="I145" s="469"/>
      <c r="J145" s="470"/>
      <c r="K145" s="471"/>
    </row>
    <row r="146" spans="1:11">
      <c r="A146" s="463"/>
      <c r="B146" s="472"/>
      <c r="C146" s="472"/>
      <c r="D146" s="472"/>
      <c r="E146" s="472"/>
      <c r="F146" s="472"/>
      <c r="G146" s="472"/>
      <c r="H146" s="472"/>
      <c r="I146" s="472"/>
      <c r="J146" s="472"/>
      <c r="K146" s="471"/>
    </row>
    <row r="147" spans="1:11">
      <c r="A147" s="463"/>
      <c r="B147" s="473"/>
      <c r="C147" s="474" t="s">
        <v>937</v>
      </c>
      <c r="D147" s="1497" t="s">
        <v>250</v>
      </c>
      <c r="E147" s="1498"/>
      <c r="F147" s="1498"/>
      <c r="G147" s="1498"/>
      <c r="H147" s="1498"/>
      <c r="I147" s="1499"/>
      <c r="J147" s="475" t="s">
        <v>267</v>
      </c>
      <c r="K147" s="471"/>
    </row>
    <row r="148" spans="1:11">
      <c r="A148" s="463"/>
      <c r="B148" s="476"/>
      <c r="C148" s="477">
        <f ca="1">PLANEJAMENTO!$F$4</f>
        <v>46140</v>
      </c>
      <c r="D148" s="1721" t="s">
        <v>1220</v>
      </c>
      <c r="E148" s="1722"/>
      <c r="F148" s="1722"/>
      <c r="G148" s="1722"/>
      <c r="H148" s="1722"/>
      <c r="I148" s="1723"/>
      <c r="J148" s="481" t="str">
        <f>F170</f>
        <v>m</v>
      </c>
      <c r="K148" s="471"/>
    </row>
    <row r="149" spans="1:11">
      <c r="A149" s="463"/>
      <c r="B149" s="482"/>
      <c r="C149" s="482"/>
      <c r="D149" s="482"/>
      <c r="E149" s="482"/>
      <c r="F149" s="482"/>
      <c r="G149" s="482"/>
      <c r="H149" s="482"/>
      <c r="I149" s="483"/>
      <c r="J149" s="484"/>
      <c r="K149" s="471"/>
    </row>
    <row r="150" spans="1:11">
      <c r="A150" s="463"/>
      <c r="B150" s="1484" t="s">
        <v>938</v>
      </c>
      <c r="C150" s="1486"/>
      <c r="D150" s="1502" t="s">
        <v>688</v>
      </c>
      <c r="E150" s="1504" t="s">
        <v>939</v>
      </c>
      <c r="F150" s="485" t="s">
        <v>940</v>
      </c>
      <c r="G150" s="486"/>
      <c r="H150" s="485" t="s">
        <v>941</v>
      </c>
      <c r="I150" s="486"/>
      <c r="J150" s="487" t="s">
        <v>942</v>
      </c>
      <c r="K150" s="471"/>
    </row>
    <row r="151" spans="1:11">
      <c r="A151" s="463"/>
      <c r="B151" s="1500"/>
      <c r="C151" s="1501"/>
      <c r="D151" s="1503"/>
      <c r="E151" s="1505"/>
      <c r="F151" s="488" t="s">
        <v>943</v>
      </c>
      <c r="G151" s="488" t="s">
        <v>944</v>
      </c>
      <c r="H151" s="488" t="s">
        <v>943</v>
      </c>
      <c r="I151" s="489" t="s">
        <v>944</v>
      </c>
      <c r="J151" s="490" t="s">
        <v>945</v>
      </c>
      <c r="K151" s="471"/>
    </row>
    <row r="152" spans="1:11">
      <c r="A152" s="463"/>
      <c r="B152" s="499" t="s">
        <v>659</v>
      </c>
      <c r="C152" s="492"/>
      <c r="D152" s="493"/>
      <c r="E152" s="494"/>
      <c r="F152" s="494">
        <v>1</v>
      </c>
      <c r="G152" s="495">
        <f>1-F152</f>
        <v>0</v>
      </c>
      <c r="H152" s="503">
        <f>VLOOKUP(B152,EQUIPAMENTOS!$A:$J,10,FALSE)</f>
        <v>10</v>
      </c>
      <c r="I152" s="497">
        <f>H152</f>
        <v>10</v>
      </c>
      <c r="J152" s="498">
        <f>H152*F152*E152+I152*G152*E152</f>
        <v>0</v>
      </c>
      <c r="K152" s="471"/>
    </row>
    <row r="153" spans="1:11">
      <c r="A153" s="463"/>
      <c r="B153" s="499" t="s">
        <v>631</v>
      </c>
      <c r="C153" s="500"/>
      <c r="D153" s="501"/>
      <c r="E153" s="502">
        <v>1</v>
      </c>
      <c r="F153" s="502">
        <v>1</v>
      </c>
      <c r="G153" s="502">
        <f>1-F153</f>
        <v>0</v>
      </c>
      <c r="H153" s="503">
        <f>VLOOKUP(B153,EQUIPAMENTOS!$A:$J,10,FALSE)</f>
        <v>175</v>
      </c>
      <c r="I153" s="504">
        <f>H153</f>
        <v>175</v>
      </c>
      <c r="J153" s="505">
        <f>H153*F153*E153+I153*G153*E153</f>
        <v>175</v>
      </c>
      <c r="K153" s="471"/>
    </row>
    <row r="154" spans="1:11">
      <c r="A154" s="463"/>
      <c r="B154" s="499" t="s">
        <v>986</v>
      </c>
      <c r="C154" s="500"/>
      <c r="D154" s="501"/>
      <c r="E154" s="502">
        <v>1</v>
      </c>
      <c r="F154" s="502">
        <v>0.5</v>
      </c>
      <c r="G154" s="502">
        <f>1-F154</f>
        <v>0.5</v>
      </c>
      <c r="H154" s="503">
        <f>VLOOKUP(B154,EQUIPAMENTOS!$A:$J,10,FALSE)</f>
        <v>145</v>
      </c>
      <c r="I154" s="504">
        <f>H154</f>
        <v>145</v>
      </c>
      <c r="J154" s="505">
        <f>H154*F154*E154+I154*G154*E154</f>
        <v>145</v>
      </c>
      <c r="K154" s="471"/>
    </row>
    <row r="155" spans="1:11">
      <c r="A155" s="463"/>
      <c r="B155" s="499"/>
      <c r="C155" s="500"/>
      <c r="D155" s="501"/>
      <c r="E155" s="502"/>
      <c r="F155" s="502"/>
      <c r="G155" s="502"/>
      <c r="H155" s="503"/>
      <c r="I155" s="504"/>
      <c r="J155" s="505"/>
      <c r="K155" s="471"/>
    </row>
    <row r="156" spans="1:11">
      <c r="A156" s="463"/>
      <c r="B156" s="499"/>
      <c r="C156" s="500"/>
      <c r="D156" s="501"/>
      <c r="E156" s="502"/>
      <c r="F156" s="502"/>
      <c r="G156" s="502"/>
      <c r="H156" s="503"/>
      <c r="I156" s="504"/>
      <c r="J156" s="505">
        <f>H156*F156*E156+I156*G156*E156</f>
        <v>0</v>
      </c>
      <c r="K156" s="471"/>
    </row>
    <row r="157" spans="1:11">
      <c r="A157" s="463"/>
      <c r="B157" s="499"/>
      <c r="C157" s="500"/>
      <c r="D157" s="501"/>
      <c r="E157" s="502"/>
      <c r="F157" s="502"/>
      <c r="G157" s="502"/>
      <c r="H157" s="503"/>
      <c r="I157" s="504"/>
      <c r="J157" s="505">
        <f>H157*F157*E157+I157*G157*E157</f>
        <v>0</v>
      </c>
      <c r="K157" s="471"/>
    </row>
    <row r="158" spans="1:11">
      <c r="A158" s="463"/>
      <c r="B158" s="506"/>
      <c r="C158" s="507"/>
      <c r="D158" s="508"/>
      <c r="E158" s="509"/>
      <c r="F158" s="509"/>
      <c r="G158" s="509"/>
      <c r="H158" s="510"/>
      <c r="I158" s="511"/>
      <c r="J158" s="505">
        <f>H158*F158*E158+I158*G158*E158</f>
        <v>0</v>
      </c>
      <c r="K158" s="471"/>
    </row>
    <row r="159" spans="1:11">
      <c r="A159" s="463"/>
      <c r="B159" s="512" t="s">
        <v>946</v>
      </c>
      <c r="C159" s="482"/>
      <c r="D159" s="482"/>
      <c r="E159" s="482"/>
      <c r="F159" s="482"/>
      <c r="G159" s="482"/>
      <c r="H159" s="482"/>
      <c r="I159" s="513" t="s">
        <v>175</v>
      </c>
      <c r="J159" s="514">
        <f>SUM(J152:J158)</f>
        <v>320</v>
      </c>
      <c r="K159" s="471"/>
    </row>
    <row r="160" spans="1:11">
      <c r="A160" s="463"/>
      <c r="B160" s="515"/>
      <c r="C160" s="515"/>
      <c r="D160" s="515"/>
      <c r="E160" s="515"/>
      <c r="F160" s="515"/>
      <c r="G160" s="515"/>
      <c r="H160" s="515"/>
      <c r="I160" s="516"/>
      <c r="J160" s="517"/>
      <c r="K160" s="471"/>
    </row>
    <row r="161" spans="1:11" ht="20.399999999999999">
      <c r="A161" s="463"/>
      <c r="B161" s="1490" t="s">
        <v>947</v>
      </c>
      <c r="C161" s="1491"/>
      <c r="D161" s="1491"/>
      <c r="E161" s="1492"/>
      <c r="F161" s="725" t="s">
        <v>688</v>
      </c>
      <c r="G161" s="519"/>
      <c r="H161" s="520" t="s">
        <v>427</v>
      </c>
      <c r="I161" s="521" t="s">
        <v>948</v>
      </c>
      <c r="J161" s="522" t="s">
        <v>949</v>
      </c>
      <c r="K161" s="471"/>
    </row>
    <row r="162" spans="1:11">
      <c r="A162" s="463"/>
      <c r="B162" s="530" t="s">
        <v>969</v>
      </c>
      <c r="C162" s="531"/>
      <c r="D162" s="472"/>
      <c r="E162" s="500"/>
      <c r="F162" s="501"/>
      <c r="G162" s="532"/>
      <c r="H162" s="533">
        <f>E154</f>
        <v>1</v>
      </c>
      <c r="I162" s="534">
        <f>(VLOOKUP(B162,'MÃO DE OBRA'!$A:$E,5,FALSE)/220)</f>
        <v>21.588799999999999</v>
      </c>
      <c r="J162" s="505">
        <f t="shared" ref="J162:J167" si="3">H162*I162</f>
        <v>21.588799999999999</v>
      </c>
      <c r="K162" s="471"/>
    </row>
    <row r="163" spans="1:11">
      <c r="A163" s="463"/>
      <c r="B163" s="530" t="s">
        <v>974</v>
      </c>
      <c r="C163" s="531"/>
      <c r="D163" s="472"/>
      <c r="E163" s="500"/>
      <c r="F163" s="501"/>
      <c r="G163" s="532"/>
      <c r="H163" s="533">
        <f>E153</f>
        <v>1</v>
      </c>
      <c r="I163" s="534">
        <f>(VLOOKUP(B163,'MÃO DE OBRA'!$A:$E,5,FALSE)/220)</f>
        <v>35.988199999999999</v>
      </c>
      <c r="J163" s="505">
        <f t="shared" si="3"/>
        <v>35.988199999999999</v>
      </c>
      <c r="K163" s="471"/>
    </row>
    <row r="164" spans="1:11">
      <c r="A164" s="463"/>
      <c r="B164" s="530" t="s">
        <v>988</v>
      </c>
      <c r="C164" s="531"/>
      <c r="D164" s="472"/>
      <c r="E164" s="500"/>
      <c r="F164" s="501"/>
      <c r="G164" s="532"/>
      <c r="H164" s="533">
        <v>2</v>
      </c>
      <c r="I164" s="534">
        <f>(VLOOKUP(B164,'MÃO DE OBRA'!$A:$E,5,FALSE)/220)</f>
        <v>21.588799999999999</v>
      </c>
      <c r="J164" s="505">
        <f t="shared" si="3"/>
        <v>43.177599999999998</v>
      </c>
      <c r="K164" s="471"/>
    </row>
    <row r="165" spans="1:11">
      <c r="A165" s="463"/>
      <c r="B165" s="530" t="s">
        <v>472</v>
      </c>
      <c r="C165" s="531"/>
      <c r="D165" s="472"/>
      <c r="E165" s="500"/>
      <c r="F165" s="501"/>
      <c r="G165" s="532"/>
      <c r="H165" s="533">
        <v>6</v>
      </c>
      <c r="I165" s="534">
        <f>(VLOOKUP(B165,'MÃO DE OBRA'!$A:$E,5,FALSE)/220)</f>
        <v>18.377072727272729</v>
      </c>
      <c r="J165" s="505">
        <f t="shared" si="3"/>
        <v>110.26243636363637</v>
      </c>
      <c r="K165" s="471"/>
    </row>
    <row r="166" spans="1:11">
      <c r="A166" s="463"/>
      <c r="B166" s="530" t="s">
        <v>550</v>
      </c>
      <c r="C166" s="531"/>
      <c r="D166" s="472"/>
      <c r="E166" s="500"/>
      <c r="F166" s="501"/>
      <c r="G166" s="532"/>
      <c r="H166" s="533">
        <v>1</v>
      </c>
      <c r="I166" s="534">
        <f>(VLOOKUP(B166,'MÃO DE OBRA'!$A:$E,5,FALSE)/220)</f>
        <v>19.055000000000003</v>
      </c>
      <c r="J166" s="505">
        <f t="shared" si="3"/>
        <v>19.055000000000003</v>
      </c>
      <c r="K166" s="471"/>
    </row>
    <row r="167" spans="1:11">
      <c r="A167" s="463"/>
      <c r="B167" s="530"/>
      <c r="C167" s="531"/>
      <c r="D167" s="472"/>
      <c r="E167" s="500"/>
      <c r="F167" s="501"/>
      <c r="G167" s="532"/>
      <c r="H167" s="533"/>
      <c r="I167" s="504"/>
      <c r="J167" s="505">
        <f t="shared" si="3"/>
        <v>0</v>
      </c>
      <c r="K167" s="471"/>
    </row>
    <row r="168" spans="1:11">
      <c r="A168" s="463"/>
      <c r="B168" s="512" t="s">
        <v>946</v>
      </c>
      <c r="C168" s="515"/>
      <c r="D168" s="515"/>
      <c r="E168" s="515"/>
      <c r="F168" s="515"/>
      <c r="G168" s="515"/>
      <c r="H168" s="515"/>
      <c r="I168" s="535" t="s">
        <v>175</v>
      </c>
      <c r="J168" s="514">
        <f>SUM(J162:J167)</f>
        <v>230.07203636363636</v>
      </c>
      <c r="K168" s="471"/>
    </row>
    <row r="169" spans="1:11">
      <c r="A169" s="463"/>
      <c r="B169" s="536"/>
      <c r="C169" s="536"/>
      <c r="D169" s="536"/>
      <c r="E169" s="536"/>
      <c r="F169" s="536"/>
      <c r="G169" s="536"/>
      <c r="H169" s="536"/>
      <c r="I169" s="537"/>
      <c r="J169" s="536"/>
      <c r="K169" s="471"/>
    </row>
    <row r="170" spans="1:11">
      <c r="A170" s="463"/>
      <c r="B170" s="538" t="s">
        <v>952</v>
      </c>
      <c r="C170" s="539"/>
      <c r="D170" s="536"/>
      <c r="E170" s="540" t="e">
        <f>CRONOGRAMA!#REF!</f>
        <v>#REF!</v>
      </c>
      <c r="F170" s="541" t="s">
        <v>225</v>
      </c>
      <c r="G170" s="519"/>
      <c r="H170" s="519"/>
      <c r="I170" s="542" t="s">
        <v>953</v>
      </c>
      <c r="J170" s="514">
        <f>J159+J168</f>
        <v>550.07203636363636</v>
      </c>
      <c r="K170" s="471"/>
    </row>
    <row r="171" spans="1:11">
      <c r="A171" s="463"/>
      <c r="B171" s="543"/>
      <c r="C171" s="536"/>
      <c r="D171" s="536"/>
      <c r="E171" s="544"/>
      <c r="F171" s="545"/>
      <c r="G171" s="545"/>
      <c r="H171" s="545"/>
      <c r="I171" s="537"/>
      <c r="J171" s="536"/>
      <c r="K171" s="471"/>
    </row>
    <row r="172" spans="1:11" ht="20.399999999999999">
      <c r="A172" s="463"/>
      <c r="B172" s="1493" t="s">
        <v>362</v>
      </c>
      <c r="C172" s="1494"/>
      <c r="D172" s="1494"/>
      <c r="E172" s="1495"/>
      <c r="F172" s="546" t="s">
        <v>688</v>
      </c>
      <c r="G172" s="547" t="s">
        <v>371</v>
      </c>
      <c r="H172" s="520" t="s">
        <v>942</v>
      </c>
      <c r="I172" s="548" t="s">
        <v>361</v>
      </c>
      <c r="J172" s="549" t="s">
        <v>363</v>
      </c>
      <c r="K172" s="471"/>
    </row>
    <row r="173" spans="1:11">
      <c r="A173" s="463"/>
      <c r="B173" s="550" t="str">
        <f>B152</f>
        <v>Sapo compactador</v>
      </c>
      <c r="C173" s="551"/>
      <c r="D173" s="551"/>
      <c r="E173" s="552"/>
      <c r="F173" s="553" t="str">
        <f>VLOOKUP(B173,EQUIPAMENTOS!$A:$N,12,FALSE)</f>
        <v>Gasolina</v>
      </c>
      <c r="G173" s="554" t="s">
        <v>415</v>
      </c>
      <c r="H173" s="560">
        <f>VLOOKUP(B173,EQUIPAMENTOS!$A:$N,13,FALSE)</f>
        <v>6.59</v>
      </c>
      <c r="I173" s="556">
        <f>VLOOKUP(B173,EQUIPAMENTOS!$A:$N,14,FALSE)</f>
        <v>3</v>
      </c>
      <c r="J173" s="498">
        <f>H173*I173*E152*F152</f>
        <v>0</v>
      </c>
      <c r="K173" s="471"/>
    </row>
    <row r="174" spans="1:11">
      <c r="A174" s="463"/>
      <c r="B174" s="550" t="str">
        <f>B153</f>
        <v>Escavadeira hidráulica sobre esteira 22T</v>
      </c>
      <c r="C174" s="531"/>
      <c r="D174" s="531"/>
      <c r="E174" s="500"/>
      <c r="F174" s="553" t="str">
        <f>VLOOKUP(B174,EQUIPAMENTOS!$A:$N,12,FALSE)</f>
        <v>Diesel S10</v>
      </c>
      <c r="G174" s="554" t="s">
        <v>415</v>
      </c>
      <c r="H174" s="560">
        <f>VLOOKUP(B174,EQUIPAMENTOS!$A:$N,13,FALSE)</f>
        <v>0</v>
      </c>
      <c r="I174" s="556">
        <f>VLOOKUP(B174,EQUIPAMENTOS!$A:$N,14,FALSE)</f>
        <v>22</v>
      </c>
      <c r="J174" s="505">
        <f>H174*I174*E153*F153</f>
        <v>0</v>
      </c>
      <c r="K174" s="471"/>
    </row>
    <row r="175" spans="1:11">
      <c r="A175" s="463"/>
      <c r="B175" s="550" t="str">
        <f>B154</f>
        <v>Rolo compactador pé de carneiro 10t</v>
      </c>
      <c r="C175" s="531"/>
      <c r="D175" s="531"/>
      <c r="E175" s="500"/>
      <c r="F175" s="553" t="str">
        <f>VLOOKUP(B175,EQUIPAMENTOS!$A:$N,12,FALSE)</f>
        <v>Diesel S10</v>
      </c>
      <c r="G175" s="554" t="s">
        <v>415</v>
      </c>
      <c r="H175" s="560">
        <f>VLOOKUP(B175,EQUIPAMENTOS!$A:$N,13,FALSE)</f>
        <v>0</v>
      </c>
      <c r="I175" s="556">
        <f>VLOOKUP(B175,EQUIPAMENTOS!$A:$N,14,FALSE)</f>
        <v>16</v>
      </c>
      <c r="J175" s="505">
        <f>H175*I175*E154*F154</f>
        <v>0</v>
      </c>
      <c r="K175" s="471"/>
    </row>
    <row r="176" spans="1:11">
      <c r="A176" s="463"/>
      <c r="B176" s="530"/>
      <c r="C176" s="531"/>
      <c r="D176" s="531"/>
      <c r="E176" s="500"/>
      <c r="F176" s="501"/>
      <c r="G176" s="559"/>
      <c r="H176" s="560"/>
      <c r="I176" s="556"/>
      <c r="J176" s="505">
        <f>H176*I176*E156*F156</f>
        <v>0</v>
      </c>
      <c r="K176" s="471"/>
    </row>
    <row r="177" spans="1:12">
      <c r="A177" s="463"/>
      <c r="B177" s="530"/>
      <c r="C177" s="539"/>
      <c r="D177" s="539"/>
      <c r="E177" s="507"/>
      <c r="F177" s="501"/>
      <c r="G177" s="481"/>
      <c r="H177" s="560"/>
      <c r="I177" s="561"/>
      <c r="J177" s="505">
        <f>H177*I177*E157*F157</f>
        <v>0</v>
      </c>
      <c r="K177" s="471"/>
    </row>
    <row r="178" spans="1:12">
      <c r="A178" s="463"/>
      <c r="B178" s="563" t="s">
        <v>946</v>
      </c>
      <c r="C178" s="539"/>
      <c r="D178" s="539"/>
      <c r="E178" s="539"/>
      <c r="F178" s="536"/>
      <c r="G178" s="539"/>
      <c r="H178" s="564"/>
      <c r="I178" s="565" t="s">
        <v>175</v>
      </c>
      <c r="J178" s="514">
        <f>SUM(J173:J177)</f>
        <v>0</v>
      </c>
      <c r="K178" s="471"/>
      <c r="L178" s="6" t="e">
        <f>J178/E170</f>
        <v>#REF!</v>
      </c>
    </row>
    <row r="179" spans="1:12">
      <c r="A179" s="463"/>
      <c r="B179" s="566"/>
      <c r="C179" s="539"/>
      <c r="D179" s="539"/>
      <c r="E179" s="567"/>
      <c r="F179" s="568"/>
      <c r="G179" s="519"/>
      <c r="H179" s="519"/>
      <c r="I179" s="542"/>
      <c r="J179" s="567"/>
      <c r="K179" s="471"/>
    </row>
    <row r="180" spans="1:12" ht="20.399999999999999">
      <c r="A180" s="463"/>
      <c r="B180" s="1493" t="s">
        <v>955</v>
      </c>
      <c r="C180" s="1494"/>
      <c r="D180" s="1494"/>
      <c r="E180" s="1494"/>
      <c r="F180" s="1495"/>
      <c r="G180" s="569" t="s">
        <v>372</v>
      </c>
      <c r="H180" s="519" t="s">
        <v>956</v>
      </c>
      <c r="I180" s="570" t="s">
        <v>942</v>
      </c>
      <c r="J180" s="522" t="s">
        <v>363</v>
      </c>
      <c r="K180" s="471"/>
    </row>
    <row r="181" spans="1:12">
      <c r="A181" s="463"/>
      <c r="B181" s="571"/>
      <c r="C181" s="572"/>
      <c r="D181" s="573"/>
      <c r="E181" s="573"/>
      <c r="F181" s="574"/>
      <c r="G181" s="502"/>
      <c r="H181" s="502"/>
      <c r="I181" s="575"/>
      <c r="J181" s="505"/>
      <c r="K181" s="471"/>
    </row>
    <row r="182" spans="1:12">
      <c r="A182" s="463"/>
      <c r="B182" s="576"/>
      <c r="C182" s="577"/>
      <c r="D182" s="578"/>
      <c r="E182" s="578"/>
      <c r="F182" s="579"/>
      <c r="G182" s="502"/>
      <c r="H182" s="502"/>
      <c r="I182" s="575"/>
      <c r="J182" s="505"/>
      <c r="K182" s="471"/>
    </row>
    <row r="183" spans="1:12">
      <c r="A183" s="463"/>
      <c r="B183" s="1496" t="s">
        <v>175</v>
      </c>
      <c r="C183" s="1496"/>
      <c r="D183" s="1496"/>
      <c r="E183" s="1496"/>
      <c r="F183" s="1496"/>
      <c r="G183" s="1496"/>
      <c r="H183" s="1496"/>
      <c r="I183" s="1496"/>
      <c r="J183" s="514">
        <f>SUM(J181:J182)</f>
        <v>0</v>
      </c>
      <c r="K183" s="471"/>
    </row>
    <row r="184" spans="1:12">
      <c r="A184" s="463"/>
      <c r="B184" s="580"/>
      <c r="C184" s="524"/>
      <c r="D184" s="524"/>
      <c r="E184" s="581"/>
      <c r="F184" s="582"/>
      <c r="G184" s="583"/>
      <c r="H184" s="583"/>
      <c r="I184" s="584"/>
      <c r="J184" s="585"/>
      <c r="K184" s="471"/>
    </row>
    <row r="185" spans="1:12">
      <c r="A185" s="463"/>
      <c r="B185" s="586" t="s">
        <v>957</v>
      </c>
      <c r="C185" s="586"/>
      <c r="D185" s="563"/>
      <c r="E185" s="536"/>
      <c r="F185" s="536"/>
      <c r="G185" s="536"/>
      <c r="H185" s="587"/>
      <c r="I185" s="588"/>
      <c r="J185" s="514" t="e">
        <f>(J170+J178+J183)/E170</f>
        <v>#REF!</v>
      </c>
      <c r="K185" s="471"/>
    </row>
    <row r="186" spans="1:12">
      <c r="A186" s="463"/>
      <c r="B186" s="566"/>
      <c r="C186" s="539"/>
      <c r="D186" s="539"/>
      <c r="E186" s="567"/>
      <c r="F186" s="568"/>
      <c r="G186" s="519"/>
      <c r="H186" s="519"/>
      <c r="I186" s="542"/>
      <c r="J186" s="589"/>
      <c r="K186" s="471"/>
    </row>
    <row r="187" spans="1:12" ht="20.399999999999999">
      <c r="A187" s="463"/>
      <c r="B187" s="1493" t="s">
        <v>958</v>
      </c>
      <c r="C187" s="1494"/>
      <c r="D187" s="1494"/>
      <c r="E187" s="1494"/>
      <c r="F187" s="1495"/>
      <c r="G187" s="569" t="s">
        <v>372</v>
      </c>
      <c r="H187" s="519" t="s">
        <v>956</v>
      </c>
      <c r="I187" s="570" t="s">
        <v>942</v>
      </c>
      <c r="J187" s="522" t="s">
        <v>363</v>
      </c>
      <c r="K187" s="471"/>
    </row>
    <row r="188" spans="1:12">
      <c r="A188" s="463"/>
      <c r="B188" s="571" t="s">
        <v>1264</v>
      </c>
      <c r="C188" s="572"/>
      <c r="D188" s="573"/>
      <c r="E188" s="573"/>
      <c r="F188" s="574"/>
      <c r="G188" s="502">
        <v>8.3999999999999995E-3</v>
      </c>
      <c r="H188" s="502" t="s">
        <v>973</v>
      </c>
      <c r="I188" s="575">
        <v>165</v>
      </c>
      <c r="J188" s="505">
        <f>G188*I188</f>
        <v>1.3859999999999999</v>
      </c>
      <c r="K188" s="471"/>
    </row>
    <row r="189" spans="1:12">
      <c r="A189" s="463"/>
      <c r="B189" s="576" t="s">
        <v>1265</v>
      </c>
      <c r="C189" s="577"/>
      <c r="D189" s="578"/>
      <c r="E189" s="578"/>
      <c r="F189" s="579"/>
      <c r="G189" s="502">
        <v>3.62</v>
      </c>
      <c r="H189" s="502" t="s">
        <v>985</v>
      </c>
      <c r="I189" s="575">
        <f>35/50</f>
        <v>0.7</v>
      </c>
      <c r="J189" s="505">
        <f>G189*I189</f>
        <v>2.5339999999999998</v>
      </c>
      <c r="K189" s="471"/>
    </row>
    <row r="190" spans="1:12">
      <c r="A190" s="463"/>
      <c r="B190" s="576" t="s">
        <v>1268</v>
      </c>
      <c r="C190" s="577"/>
      <c r="D190" s="578"/>
      <c r="E190" s="578"/>
      <c r="F190" s="579"/>
      <c r="G190" s="502">
        <v>1.05</v>
      </c>
      <c r="H190" s="502" t="s">
        <v>984</v>
      </c>
      <c r="I190" s="737">
        <f>MATERIAIS!D10</f>
        <v>449.5</v>
      </c>
      <c r="J190" s="505">
        <f>G190*I190</f>
        <v>471.97500000000002</v>
      </c>
      <c r="K190" s="471"/>
    </row>
    <row r="191" spans="1:12">
      <c r="A191" s="463"/>
      <c r="B191" s="590"/>
      <c r="C191" s="591"/>
      <c r="D191" s="592"/>
      <c r="E191" s="592"/>
      <c r="F191" s="593"/>
      <c r="G191" s="502"/>
      <c r="H191" s="502"/>
      <c r="I191" s="575"/>
      <c r="J191" s="505">
        <f>G191*I191</f>
        <v>0</v>
      </c>
      <c r="K191" s="471"/>
    </row>
    <row r="192" spans="1:12">
      <c r="A192" s="463"/>
      <c r="B192" s="594"/>
      <c r="C192" s="536"/>
      <c r="D192" s="536"/>
      <c r="E192" s="595"/>
      <c r="F192" s="596"/>
      <c r="G192" s="545"/>
      <c r="H192" s="545"/>
      <c r="I192" s="537" t="s">
        <v>175</v>
      </c>
      <c r="J192" s="514">
        <f>SUM(J188:J191)</f>
        <v>475.89500000000004</v>
      </c>
      <c r="K192" s="471"/>
    </row>
    <row r="193" spans="1:11">
      <c r="A193" s="463"/>
      <c r="B193" s="597"/>
      <c r="C193" s="536"/>
      <c r="D193" s="536"/>
      <c r="E193" s="595"/>
      <c r="F193" s="596"/>
      <c r="G193" s="545"/>
      <c r="H193" s="545"/>
      <c r="I193" s="537"/>
      <c r="J193" s="595"/>
      <c r="K193" s="471"/>
    </row>
    <row r="194" spans="1:11" ht="20.399999999999999">
      <c r="A194" s="463"/>
      <c r="B194" s="1493" t="s">
        <v>959</v>
      </c>
      <c r="C194" s="1494"/>
      <c r="D194" s="1494"/>
      <c r="E194" s="1494"/>
      <c r="F194" s="1495"/>
      <c r="G194" s="600" t="s">
        <v>372</v>
      </c>
      <c r="H194" s="519" t="s">
        <v>942</v>
      </c>
      <c r="I194" s="570"/>
      <c r="J194" s="522" t="s">
        <v>363</v>
      </c>
      <c r="K194" s="471"/>
    </row>
    <row r="195" spans="1:11">
      <c r="A195" s="463"/>
      <c r="B195" s="1734"/>
      <c r="C195" s="1735"/>
      <c r="D195" s="1735"/>
      <c r="E195" s="1735"/>
      <c r="F195" s="1736"/>
      <c r="G195" s="502"/>
      <c r="H195" s="1737"/>
      <c r="I195" s="1738"/>
      <c r="J195" s="505"/>
      <c r="K195" s="471"/>
    </row>
    <row r="196" spans="1:11">
      <c r="A196" s="463"/>
      <c r="B196" s="1739"/>
      <c r="C196" s="1740"/>
      <c r="D196" s="1740"/>
      <c r="E196" s="1740"/>
      <c r="F196" s="1741"/>
      <c r="G196" s="509"/>
      <c r="H196" s="1742"/>
      <c r="I196" s="1743"/>
      <c r="J196" s="505"/>
      <c r="K196" s="471"/>
    </row>
    <row r="197" spans="1:11">
      <c r="A197" s="463"/>
      <c r="B197" s="594"/>
      <c r="C197" s="536"/>
      <c r="D197" s="536"/>
      <c r="E197" s="595"/>
      <c r="F197" s="596"/>
      <c r="G197" s="545"/>
      <c r="H197" s="545"/>
      <c r="I197" s="537" t="s">
        <v>175</v>
      </c>
      <c r="J197" s="514">
        <f>SUM(J195:J196)</f>
        <v>0</v>
      </c>
      <c r="K197" s="471"/>
    </row>
    <row r="198" spans="1:11">
      <c r="A198" s="463"/>
      <c r="B198" s="536"/>
      <c r="C198" s="536"/>
      <c r="D198" s="536"/>
      <c r="E198" s="536"/>
      <c r="F198" s="536"/>
      <c r="G198" s="536"/>
      <c r="H198" s="536"/>
      <c r="I198" s="537"/>
      <c r="J198" s="536"/>
      <c r="K198" s="471"/>
    </row>
    <row r="199" spans="1:11">
      <c r="A199" s="463"/>
      <c r="B199" s="1481" t="s">
        <v>961</v>
      </c>
      <c r="C199" s="1482"/>
      <c r="D199" s="1482"/>
      <c r="E199" s="1482"/>
      <c r="F199" s="1482"/>
      <c r="G199" s="1482"/>
      <c r="H199" s="1482"/>
      <c r="I199" s="1483"/>
      <c r="J199" s="586" t="e">
        <f>J197+J192+J185</f>
        <v>#REF!</v>
      </c>
      <c r="K199" s="471"/>
    </row>
    <row r="200" spans="1:11">
      <c r="A200" s="463"/>
      <c r="B200" s="536"/>
      <c r="C200" s="536"/>
      <c r="D200" s="536"/>
      <c r="E200" s="536"/>
      <c r="F200" s="536"/>
      <c r="G200" s="536"/>
      <c r="H200" s="536"/>
      <c r="I200" s="537"/>
      <c r="J200" s="536"/>
      <c r="K200" s="471"/>
    </row>
    <row r="201" spans="1:11">
      <c r="A201" s="463"/>
      <c r="B201" s="1481" t="s">
        <v>962</v>
      </c>
      <c r="C201" s="1482"/>
      <c r="D201" s="1482"/>
      <c r="E201" s="1482"/>
      <c r="F201" s="1482"/>
      <c r="G201" s="1482"/>
      <c r="H201" s="1482"/>
      <c r="I201" s="1483"/>
      <c r="J201" s="514" t="e">
        <f>J199*0</f>
        <v>#REF!</v>
      </c>
      <c r="K201" s="471"/>
    </row>
    <row r="202" spans="1:11">
      <c r="A202" s="463"/>
      <c r="B202" s="536"/>
      <c r="C202" s="536"/>
      <c r="D202" s="536"/>
      <c r="E202" s="536"/>
      <c r="F202" s="536"/>
      <c r="G202" s="536"/>
      <c r="H202" s="536"/>
      <c r="I202" s="537"/>
      <c r="J202" s="536"/>
      <c r="K202" s="471"/>
    </row>
    <row r="203" spans="1:11">
      <c r="A203" s="463"/>
      <c r="B203" s="1481" t="s">
        <v>963</v>
      </c>
      <c r="C203" s="1482"/>
      <c r="D203" s="1482"/>
      <c r="E203" s="1482"/>
      <c r="F203" s="1482"/>
      <c r="G203" s="1482"/>
      <c r="H203" s="1482"/>
      <c r="I203" s="1483"/>
      <c r="J203" s="586" t="e">
        <f>J199+J201</f>
        <v>#REF!</v>
      </c>
      <c r="K203" s="471"/>
    </row>
    <row r="204" spans="1:11">
      <c r="A204" s="463"/>
      <c r="B204" s="524"/>
      <c r="C204" s="524"/>
      <c r="D204" s="524"/>
      <c r="E204" s="524"/>
      <c r="F204" s="524"/>
      <c r="G204" s="524"/>
      <c r="H204" s="524"/>
      <c r="I204" s="584"/>
      <c r="J204" s="524"/>
      <c r="K204" s="471"/>
    </row>
    <row r="205" spans="1:11">
      <c r="A205" s="463"/>
      <c r="B205" s="602"/>
      <c r="C205" s="572"/>
      <c r="D205" s="572"/>
      <c r="E205" s="572"/>
      <c r="F205" s="572"/>
      <c r="G205" s="572"/>
      <c r="H205" s="572"/>
      <c r="I205" s="572"/>
      <c r="J205" s="603"/>
      <c r="K205" s="471"/>
    </row>
    <row r="206" spans="1:11">
      <c r="A206" s="463"/>
      <c r="B206" s="604"/>
      <c r="C206" s="605"/>
      <c r="D206" s="606"/>
      <c r="E206" s="606"/>
      <c r="F206" s="607" t="s">
        <v>946</v>
      </c>
      <c r="G206" s="608" t="s">
        <v>946</v>
      </c>
      <c r="H206" s="605"/>
      <c r="I206" s="605"/>
      <c r="J206" s="609"/>
      <c r="K206" s="471"/>
    </row>
    <row r="207" spans="1:11">
      <c r="A207" s="463"/>
      <c r="B207" s="472"/>
      <c r="C207" s="472"/>
      <c r="D207" s="472"/>
      <c r="E207" s="472"/>
      <c r="F207" s="472"/>
      <c r="G207" s="472"/>
      <c r="H207" s="472"/>
      <c r="I207" s="472"/>
      <c r="J207" s="472"/>
      <c r="K207" s="471"/>
    </row>
    <row r="208" spans="1:11">
      <c r="A208" s="463"/>
      <c r="B208" s="610" t="str">
        <f>PLANEJAMENTO!$F$2</f>
        <v>OPERAÇÃO DE SUPRESSÃO E SUMP</v>
      </c>
      <c r="C208" s="611"/>
      <c r="D208" s="611"/>
      <c r="E208" s="611"/>
      <c r="F208" s="612"/>
      <c r="G208" s="613" t="s">
        <v>363</v>
      </c>
      <c r="H208" s="515"/>
      <c r="I208" s="515"/>
      <c r="J208" s="518"/>
      <c r="K208" s="471"/>
    </row>
    <row r="209" spans="1:11">
      <c r="A209" s="463"/>
      <c r="B209" s="614">
        <f>PLANEJAMENTO!E98</f>
        <v>0</v>
      </c>
      <c r="C209" s="615"/>
      <c r="D209" s="615"/>
      <c r="E209" s="615"/>
      <c r="F209" s="616"/>
      <c r="G209" s="1484" t="s">
        <v>964</v>
      </c>
      <c r="H209" s="1485"/>
      <c r="I209" s="1485"/>
      <c r="J209" s="1486"/>
      <c r="K209" s="471"/>
    </row>
    <row r="210" spans="1:11">
      <c r="A210" s="463"/>
      <c r="B210" s="617"/>
      <c r="C210" s="618"/>
      <c r="D210" s="618"/>
      <c r="E210" s="618"/>
      <c r="F210" s="619"/>
      <c r="G210" s="620"/>
      <c r="H210" s="1487"/>
      <c r="I210" s="1488"/>
      <c r="J210" s="1489"/>
      <c r="K210" s="471"/>
    </row>
    <row r="211" spans="1:11" ht="15" thickBot="1">
      <c r="A211" s="621"/>
      <c r="B211" s="622"/>
      <c r="C211" s="622"/>
      <c r="D211" s="622"/>
      <c r="E211" s="622"/>
      <c r="F211" s="622"/>
      <c r="G211" s="622"/>
      <c r="H211" s="622"/>
      <c r="I211" s="622"/>
      <c r="J211" s="622"/>
      <c r="K211" s="623"/>
    </row>
    <row r="212" spans="1:11">
      <c r="A212" s="460"/>
      <c r="B212" s="461"/>
      <c r="C212" s="461"/>
      <c r="D212" s="461"/>
      <c r="E212" s="461"/>
      <c r="F212" s="461"/>
      <c r="G212" s="461"/>
      <c r="H212" s="461"/>
      <c r="I212" s="461"/>
      <c r="J212" s="461"/>
      <c r="K212" s="462"/>
    </row>
    <row r="213" spans="1:11">
      <c r="A213" s="463"/>
      <c r="B213" s="464" t="s">
        <v>178</v>
      </c>
      <c r="C213" s="465"/>
      <c r="D213" s="466" t="s">
        <v>936</v>
      </c>
      <c r="E213" s="467"/>
      <c r="F213" s="468"/>
      <c r="G213" s="468"/>
      <c r="H213" s="469"/>
      <c r="I213" s="469"/>
      <c r="J213" s="470"/>
      <c r="K213" s="471"/>
    </row>
    <row r="214" spans="1:11">
      <c r="A214" s="463"/>
      <c r="B214" s="472"/>
      <c r="C214" s="472"/>
      <c r="D214" s="472"/>
      <c r="E214" s="472"/>
      <c r="F214" s="472"/>
      <c r="G214" s="472"/>
      <c r="H214" s="472"/>
      <c r="I214" s="472"/>
      <c r="J214" s="472"/>
      <c r="K214" s="471"/>
    </row>
    <row r="215" spans="1:11">
      <c r="A215" s="463"/>
      <c r="B215" s="473"/>
      <c r="C215" s="474" t="s">
        <v>937</v>
      </c>
      <c r="D215" s="1497" t="s">
        <v>250</v>
      </c>
      <c r="E215" s="1498"/>
      <c r="F215" s="1498"/>
      <c r="G215" s="1498"/>
      <c r="H215" s="1498"/>
      <c r="I215" s="1499"/>
      <c r="J215" s="475" t="s">
        <v>267</v>
      </c>
      <c r="K215" s="471"/>
    </row>
    <row r="216" spans="1:11">
      <c r="A216" s="463"/>
      <c r="B216" s="476"/>
      <c r="C216" s="477">
        <f ca="1">PLANEJAMENTO!$F$4</f>
        <v>46140</v>
      </c>
      <c r="D216" s="1721" t="s">
        <v>1263</v>
      </c>
      <c r="E216" s="1722"/>
      <c r="F216" s="1722"/>
      <c r="G216" s="1722"/>
      <c r="H216" s="1722"/>
      <c r="I216" s="1723"/>
      <c r="J216" s="481" t="str">
        <f>F238</f>
        <v>m</v>
      </c>
      <c r="K216" s="471"/>
    </row>
    <row r="217" spans="1:11">
      <c r="A217" s="463"/>
      <c r="B217" s="482"/>
      <c r="C217" s="482"/>
      <c r="D217" s="482"/>
      <c r="E217" s="482"/>
      <c r="F217" s="482"/>
      <c r="G217" s="482"/>
      <c r="H217" s="482"/>
      <c r="I217" s="483"/>
      <c r="J217" s="484"/>
      <c r="K217" s="471"/>
    </row>
    <row r="218" spans="1:11">
      <c r="A218" s="463"/>
      <c r="B218" s="1484" t="s">
        <v>938</v>
      </c>
      <c r="C218" s="1486"/>
      <c r="D218" s="1502" t="s">
        <v>688</v>
      </c>
      <c r="E218" s="1504" t="s">
        <v>939</v>
      </c>
      <c r="F218" s="485" t="s">
        <v>940</v>
      </c>
      <c r="G218" s="486"/>
      <c r="H218" s="485" t="s">
        <v>941</v>
      </c>
      <c r="I218" s="486"/>
      <c r="J218" s="487" t="s">
        <v>942</v>
      </c>
      <c r="K218" s="471"/>
    </row>
    <row r="219" spans="1:11">
      <c r="A219" s="463"/>
      <c r="B219" s="1500"/>
      <c r="C219" s="1501"/>
      <c r="D219" s="1503"/>
      <c r="E219" s="1505"/>
      <c r="F219" s="488" t="s">
        <v>943</v>
      </c>
      <c r="G219" s="488" t="s">
        <v>944</v>
      </c>
      <c r="H219" s="488" t="s">
        <v>943</v>
      </c>
      <c r="I219" s="489" t="s">
        <v>944</v>
      </c>
      <c r="J219" s="490" t="s">
        <v>945</v>
      </c>
      <c r="K219" s="471"/>
    </row>
    <row r="220" spans="1:11">
      <c r="A220" s="463"/>
      <c r="B220" s="499" t="s">
        <v>659</v>
      </c>
      <c r="C220" s="492"/>
      <c r="D220" s="493"/>
      <c r="E220" s="494"/>
      <c r="F220" s="494">
        <v>1</v>
      </c>
      <c r="G220" s="495">
        <f>1-F220</f>
        <v>0</v>
      </c>
      <c r="H220" s="503">
        <f>VLOOKUP(B220,EQUIPAMENTOS!$A:$J,10,FALSE)</f>
        <v>10</v>
      </c>
      <c r="I220" s="497">
        <f>H220</f>
        <v>10</v>
      </c>
      <c r="J220" s="498">
        <f t="shared" ref="J220:J226" si="4">H220*F220*E220+I220*G220*E220</f>
        <v>0</v>
      </c>
      <c r="K220" s="471"/>
    </row>
    <row r="221" spans="1:11">
      <c r="A221" s="463"/>
      <c r="B221" s="499" t="s">
        <v>631</v>
      </c>
      <c r="C221" s="500"/>
      <c r="D221" s="501"/>
      <c r="E221" s="502">
        <v>1</v>
      </c>
      <c r="F221" s="502">
        <v>1</v>
      </c>
      <c r="G221" s="502">
        <f>1-F221</f>
        <v>0</v>
      </c>
      <c r="H221" s="503">
        <f>VLOOKUP(B221,EQUIPAMENTOS!$A:$J,10,FALSE)</f>
        <v>175</v>
      </c>
      <c r="I221" s="504">
        <f>H221</f>
        <v>175</v>
      </c>
      <c r="J221" s="505">
        <f t="shared" si="4"/>
        <v>175</v>
      </c>
      <c r="K221" s="471"/>
    </row>
    <row r="222" spans="1:11">
      <c r="A222" s="463"/>
      <c r="B222" s="499" t="s">
        <v>986</v>
      </c>
      <c r="C222" s="500"/>
      <c r="D222" s="501"/>
      <c r="E222" s="502">
        <v>1</v>
      </c>
      <c r="F222" s="502">
        <v>0.5</v>
      </c>
      <c r="G222" s="502">
        <f>1-F222</f>
        <v>0.5</v>
      </c>
      <c r="H222" s="503">
        <f>VLOOKUP(B222,EQUIPAMENTOS!$A:$J,10,FALSE)</f>
        <v>145</v>
      </c>
      <c r="I222" s="504">
        <f>H222</f>
        <v>145</v>
      </c>
      <c r="J222" s="505">
        <f t="shared" si="4"/>
        <v>145</v>
      </c>
      <c r="K222" s="471"/>
    </row>
    <row r="223" spans="1:11">
      <c r="A223" s="463"/>
      <c r="B223" s="499"/>
      <c r="C223" s="500"/>
      <c r="D223" s="501"/>
      <c r="E223" s="502"/>
      <c r="F223" s="502"/>
      <c r="G223" s="502"/>
      <c r="H223" s="503"/>
      <c r="I223" s="504"/>
      <c r="J223" s="505">
        <f t="shared" si="4"/>
        <v>0</v>
      </c>
      <c r="K223" s="471"/>
    </row>
    <row r="224" spans="1:11">
      <c r="A224" s="463"/>
      <c r="B224" s="499"/>
      <c r="C224" s="500"/>
      <c r="D224" s="501"/>
      <c r="E224" s="502"/>
      <c r="F224" s="502"/>
      <c r="G224" s="502"/>
      <c r="H224" s="503"/>
      <c r="I224" s="504"/>
      <c r="J224" s="505">
        <f t="shared" si="4"/>
        <v>0</v>
      </c>
      <c r="K224" s="471"/>
    </row>
    <row r="225" spans="1:11">
      <c r="A225" s="463"/>
      <c r="B225" s="499"/>
      <c r="C225" s="500"/>
      <c r="D225" s="501"/>
      <c r="E225" s="502"/>
      <c r="F225" s="502"/>
      <c r="G225" s="502"/>
      <c r="H225" s="503"/>
      <c r="I225" s="504"/>
      <c r="J225" s="505">
        <f t="shared" si="4"/>
        <v>0</v>
      </c>
      <c r="K225" s="471"/>
    </row>
    <row r="226" spans="1:11">
      <c r="A226" s="463"/>
      <c r="B226" s="506"/>
      <c r="C226" s="507"/>
      <c r="D226" s="508"/>
      <c r="E226" s="509"/>
      <c r="F226" s="509"/>
      <c r="G226" s="509"/>
      <c r="H226" s="510"/>
      <c r="I226" s="511"/>
      <c r="J226" s="505">
        <f t="shared" si="4"/>
        <v>0</v>
      </c>
      <c r="K226" s="471"/>
    </row>
    <row r="227" spans="1:11">
      <c r="A227" s="463"/>
      <c r="B227" s="512" t="s">
        <v>946</v>
      </c>
      <c r="C227" s="482"/>
      <c r="D227" s="482"/>
      <c r="E227" s="482"/>
      <c r="F227" s="482"/>
      <c r="G227" s="482"/>
      <c r="H227" s="482"/>
      <c r="I227" s="513" t="s">
        <v>175</v>
      </c>
      <c r="J227" s="514">
        <f>SUM(J220:J226)</f>
        <v>320</v>
      </c>
      <c r="K227" s="471"/>
    </row>
    <row r="228" spans="1:11">
      <c r="A228" s="463"/>
      <c r="B228" s="515"/>
      <c r="C228" s="515"/>
      <c r="D228" s="515"/>
      <c r="E228" s="515"/>
      <c r="F228" s="515"/>
      <c r="G228" s="515"/>
      <c r="H228" s="515"/>
      <c r="I228" s="516"/>
      <c r="J228" s="517"/>
      <c r="K228" s="471"/>
    </row>
    <row r="229" spans="1:11" ht="20.399999999999999">
      <c r="A229" s="463"/>
      <c r="B229" s="1490" t="s">
        <v>947</v>
      </c>
      <c r="C229" s="1491"/>
      <c r="D229" s="1491"/>
      <c r="E229" s="1492"/>
      <c r="F229" s="725" t="s">
        <v>688</v>
      </c>
      <c r="G229" s="519"/>
      <c r="H229" s="520" t="s">
        <v>427</v>
      </c>
      <c r="I229" s="521" t="s">
        <v>948</v>
      </c>
      <c r="J229" s="522" t="s">
        <v>949</v>
      </c>
      <c r="K229" s="471"/>
    </row>
    <row r="230" spans="1:11">
      <c r="A230" s="463"/>
      <c r="B230" s="530" t="s">
        <v>969</v>
      </c>
      <c r="C230" s="531"/>
      <c r="D230" s="472"/>
      <c r="E230" s="500"/>
      <c r="F230" s="501"/>
      <c r="G230" s="532"/>
      <c r="H230" s="533">
        <f>E222</f>
        <v>1</v>
      </c>
      <c r="I230" s="534">
        <f>(VLOOKUP(B230,'MÃO DE OBRA'!$A:$E,5,FALSE)/220)</f>
        <v>21.588799999999999</v>
      </c>
      <c r="J230" s="505">
        <f t="shared" ref="J230:J235" si="5">H230*I230</f>
        <v>21.588799999999999</v>
      </c>
      <c r="K230" s="471"/>
    </row>
    <row r="231" spans="1:11">
      <c r="A231" s="463"/>
      <c r="B231" s="530" t="s">
        <v>974</v>
      </c>
      <c r="C231" s="531"/>
      <c r="D231" s="472"/>
      <c r="E231" s="500"/>
      <c r="F231" s="501"/>
      <c r="G231" s="532"/>
      <c r="H231" s="533">
        <f>E221</f>
        <v>1</v>
      </c>
      <c r="I231" s="534">
        <f>(VLOOKUP(B231,'MÃO DE OBRA'!$A:$E,5,FALSE)/220)</f>
        <v>35.988199999999999</v>
      </c>
      <c r="J231" s="505">
        <f t="shared" si="5"/>
        <v>35.988199999999999</v>
      </c>
      <c r="K231" s="471"/>
    </row>
    <row r="232" spans="1:11">
      <c r="A232" s="463"/>
      <c r="B232" s="530" t="s">
        <v>988</v>
      </c>
      <c r="C232" s="531"/>
      <c r="D232" s="472"/>
      <c r="E232" s="500"/>
      <c r="F232" s="501"/>
      <c r="G232" s="532"/>
      <c r="H232" s="533">
        <v>2</v>
      </c>
      <c r="I232" s="534">
        <f>(VLOOKUP(B232,'MÃO DE OBRA'!$A:$E,5,FALSE)/220)</f>
        <v>21.588799999999999</v>
      </c>
      <c r="J232" s="505">
        <f t="shared" si="5"/>
        <v>43.177599999999998</v>
      </c>
      <c r="K232" s="471"/>
    </row>
    <row r="233" spans="1:11">
      <c r="A233" s="463"/>
      <c r="B233" s="530" t="s">
        <v>472</v>
      </c>
      <c r="C233" s="531"/>
      <c r="D233" s="472"/>
      <c r="E233" s="500"/>
      <c r="F233" s="501"/>
      <c r="G233" s="532"/>
      <c r="H233" s="533">
        <v>6</v>
      </c>
      <c r="I233" s="534">
        <f>(VLOOKUP(B233,'MÃO DE OBRA'!$A:$E,5,FALSE)/220)</f>
        <v>18.377072727272729</v>
      </c>
      <c r="J233" s="505">
        <f t="shared" si="5"/>
        <v>110.26243636363637</v>
      </c>
      <c r="K233" s="471"/>
    </row>
    <row r="234" spans="1:11">
      <c r="A234" s="463"/>
      <c r="B234" s="530" t="s">
        <v>550</v>
      </c>
      <c r="C234" s="531"/>
      <c r="D234" s="472"/>
      <c r="E234" s="500"/>
      <c r="F234" s="501"/>
      <c r="G234" s="532"/>
      <c r="H234" s="533">
        <v>1</v>
      </c>
      <c r="I234" s="534">
        <f>(VLOOKUP(B234,'MÃO DE OBRA'!$A:$E,5,FALSE)/220)</f>
        <v>19.055000000000003</v>
      </c>
      <c r="J234" s="505">
        <f t="shared" si="5"/>
        <v>19.055000000000003</v>
      </c>
      <c r="K234" s="471"/>
    </row>
    <row r="235" spans="1:11">
      <c r="A235" s="463"/>
      <c r="B235" s="530"/>
      <c r="C235" s="531"/>
      <c r="D235" s="472"/>
      <c r="E235" s="500"/>
      <c r="F235" s="501"/>
      <c r="G235" s="532"/>
      <c r="H235" s="533"/>
      <c r="I235" s="504"/>
      <c r="J235" s="505">
        <f t="shared" si="5"/>
        <v>0</v>
      </c>
      <c r="K235" s="471"/>
    </row>
    <row r="236" spans="1:11">
      <c r="A236" s="463"/>
      <c r="B236" s="512" t="s">
        <v>946</v>
      </c>
      <c r="C236" s="515"/>
      <c r="D236" s="515"/>
      <c r="E236" s="515"/>
      <c r="F236" s="515"/>
      <c r="G236" s="515"/>
      <c r="H236" s="515"/>
      <c r="I236" s="535" t="s">
        <v>175</v>
      </c>
      <c r="J236" s="514">
        <f>SUM(J230:J235)</f>
        <v>230.07203636363636</v>
      </c>
      <c r="K236" s="471"/>
    </row>
    <row r="237" spans="1:11">
      <c r="A237" s="463"/>
      <c r="B237" s="536"/>
      <c r="C237" s="536"/>
      <c r="D237" s="536"/>
      <c r="E237" s="536"/>
      <c r="F237" s="536"/>
      <c r="G237" s="536"/>
      <c r="H237" s="536"/>
      <c r="I237" s="537"/>
      <c r="J237" s="536"/>
      <c r="K237" s="471"/>
    </row>
    <row r="238" spans="1:11">
      <c r="A238" s="463"/>
      <c r="B238" s="538" t="s">
        <v>952</v>
      </c>
      <c r="C238" s="539"/>
      <c r="D238" s="536"/>
      <c r="E238" s="540" t="e">
        <f>CRONOGRAMA!#REF!</f>
        <v>#REF!</v>
      </c>
      <c r="F238" s="541" t="s">
        <v>225</v>
      </c>
      <c r="G238" s="519"/>
      <c r="H238" s="519"/>
      <c r="I238" s="542" t="s">
        <v>953</v>
      </c>
      <c r="J238" s="514">
        <f>J227+J236</f>
        <v>550.07203636363636</v>
      </c>
      <c r="K238" s="471"/>
    </row>
    <row r="239" spans="1:11">
      <c r="A239" s="463"/>
      <c r="B239" s="543"/>
      <c r="C239" s="536"/>
      <c r="D239" s="536"/>
      <c r="E239" s="544"/>
      <c r="F239" s="545"/>
      <c r="G239" s="545"/>
      <c r="H239" s="545"/>
      <c r="I239" s="537"/>
      <c r="J239" s="536"/>
      <c r="K239" s="471"/>
    </row>
    <row r="240" spans="1:11" ht="20.399999999999999">
      <c r="A240" s="463"/>
      <c r="B240" s="1493" t="s">
        <v>362</v>
      </c>
      <c r="C240" s="1494"/>
      <c r="D240" s="1494"/>
      <c r="E240" s="1495"/>
      <c r="F240" s="546" t="s">
        <v>688</v>
      </c>
      <c r="G240" s="547" t="s">
        <v>371</v>
      </c>
      <c r="H240" s="520" t="s">
        <v>942</v>
      </c>
      <c r="I240" s="548" t="s">
        <v>361</v>
      </c>
      <c r="J240" s="549" t="s">
        <v>363</v>
      </c>
      <c r="K240" s="471"/>
    </row>
    <row r="241" spans="1:12">
      <c r="A241" s="463"/>
      <c r="B241" s="550" t="str">
        <f>B220</f>
        <v>Sapo compactador</v>
      </c>
      <c r="C241" s="551"/>
      <c r="D241" s="551"/>
      <c r="E241" s="552"/>
      <c r="F241" s="553" t="str">
        <f>VLOOKUP(B241,EQUIPAMENTOS!$A:$N,12,FALSE)</f>
        <v>Gasolina</v>
      </c>
      <c r="G241" s="554" t="s">
        <v>415</v>
      </c>
      <c r="H241" s="560">
        <f>VLOOKUP(B241,EQUIPAMENTOS!$A:$N,13,FALSE)</f>
        <v>6.59</v>
      </c>
      <c r="I241" s="556">
        <f>VLOOKUP(B241,EQUIPAMENTOS!$A:$N,14,FALSE)</f>
        <v>3</v>
      </c>
      <c r="J241" s="498">
        <f>H241*I241*E220*F220</f>
        <v>0</v>
      </c>
      <c r="K241" s="471"/>
    </row>
    <row r="242" spans="1:12">
      <c r="A242" s="463"/>
      <c r="B242" s="550" t="str">
        <f>B221</f>
        <v>Escavadeira hidráulica sobre esteira 22T</v>
      </c>
      <c r="C242" s="531"/>
      <c r="D242" s="531"/>
      <c r="E242" s="500"/>
      <c r="F242" s="553" t="str">
        <f>VLOOKUP(B242,EQUIPAMENTOS!$A:$N,12,FALSE)</f>
        <v>Diesel S10</v>
      </c>
      <c r="G242" s="554" t="s">
        <v>415</v>
      </c>
      <c r="H242" s="560">
        <f>VLOOKUP(B242,EQUIPAMENTOS!$A:$N,13,FALSE)</f>
        <v>0</v>
      </c>
      <c r="I242" s="556">
        <f>VLOOKUP(B242,EQUIPAMENTOS!$A:$N,14,FALSE)</f>
        <v>22</v>
      </c>
      <c r="J242" s="505">
        <f>H242*I242*E221*F221</f>
        <v>0</v>
      </c>
      <c r="K242" s="471"/>
    </row>
    <row r="243" spans="1:12">
      <c r="A243" s="463"/>
      <c r="B243" s="550" t="str">
        <f>B222</f>
        <v>Rolo compactador pé de carneiro 10t</v>
      </c>
      <c r="C243" s="539"/>
      <c r="D243" s="539"/>
      <c r="E243" s="507"/>
      <c r="F243" s="553" t="str">
        <f>VLOOKUP(B243,EQUIPAMENTOS!$A:$N,12,FALSE)</f>
        <v>Diesel S10</v>
      </c>
      <c r="G243" s="736" t="s">
        <v>415</v>
      </c>
      <c r="H243" s="560">
        <f>VLOOKUP(B243,EQUIPAMENTOS!$A:$N,13,FALSE)</f>
        <v>0</v>
      </c>
      <c r="I243" s="556">
        <f>VLOOKUP(B243,EQUIPAMENTOS!$A:$N,14,FALSE)</f>
        <v>16</v>
      </c>
      <c r="J243" s="505">
        <f>H243*I243*E222*F222</f>
        <v>0</v>
      </c>
      <c r="K243" s="471"/>
    </row>
    <row r="244" spans="1:12">
      <c r="A244" s="463"/>
      <c r="B244" s="563" t="s">
        <v>946</v>
      </c>
      <c r="C244" s="539"/>
      <c r="D244" s="539"/>
      <c r="E244" s="539"/>
      <c r="F244" s="536"/>
      <c r="G244" s="539"/>
      <c r="H244" s="564"/>
      <c r="I244" s="565" t="s">
        <v>175</v>
      </c>
      <c r="J244" s="514">
        <f>SUM(J241:J243)</f>
        <v>0</v>
      </c>
      <c r="K244" s="471"/>
      <c r="L244" s="6" t="e">
        <f>J244/E238</f>
        <v>#REF!</v>
      </c>
    </row>
    <row r="245" spans="1:12">
      <c r="A245" s="463"/>
      <c r="B245" s="566"/>
      <c r="C245" s="539"/>
      <c r="D245" s="539"/>
      <c r="E245" s="567"/>
      <c r="F245" s="568"/>
      <c r="G245" s="519"/>
      <c r="H245" s="519"/>
      <c r="I245" s="542"/>
      <c r="J245" s="567"/>
      <c r="K245" s="471"/>
    </row>
    <row r="246" spans="1:12" ht="20.399999999999999">
      <c r="A246" s="463"/>
      <c r="B246" s="1493" t="s">
        <v>955</v>
      </c>
      <c r="C246" s="1494"/>
      <c r="D246" s="1494"/>
      <c r="E246" s="1494"/>
      <c r="F246" s="1495"/>
      <c r="G246" s="569" t="s">
        <v>372</v>
      </c>
      <c r="H246" s="519" t="s">
        <v>956</v>
      </c>
      <c r="I246" s="570" t="s">
        <v>942</v>
      </c>
      <c r="J246" s="522" t="s">
        <v>363</v>
      </c>
      <c r="K246" s="471"/>
    </row>
    <row r="247" spans="1:12">
      <c r="A247" s="463"/>
      <c r="B247" s="571"/>
      <c r="C247" s="572"/>
      <c r="D247" s="573"/>
      <c r="E247" s="573"/>
      <c r="F247" s="574"/>
      <c r="G247" s="502"/>
      <c r="H247" s="502"/>
      <c r="I247" s="575"/>
      <c r="J247" s="505"/>
      <c r="K247" s="471"/>
    </row>
    <row r="248" spans="1:12">
      <c r="A248" s="463"/>
      <c r="B248" s="576"/>
      <c r="C248" s="577"/>
      <c r="D248" s="578"/>
      <c r="E248" s="578"/>
      <c r="F248" s="579"/>
      <c r="G248" s="502"/>
      <c r="H248" s="502"/>
      <c r="I248" s="575"/>
      <c r="J248" s="505"/>
      <c r="K248" s="471"/>
    </row>
    <row r="249" spans="1:12">
      <c r="A249" s="463"/>
      <c r="B249" s="1496" t="s">
        <v>175</v>
      </c>
      <c r="C249" s="1496"/>
      <c r="D249" s="1496"/>
      <c r="E249" s="1496"/>
      <c r="F249" s="1496"/>
      <c r="G249" s="1496"/>
      <c r="H249" s="1496"/>
      <c r="I249" s="1496"/>
      <c r="J249" s="514">
        <f>SUM(J247:J248)</f>
        <v>0</v>
      </c>
      <c r="K249" s="471"/>
    </row>
    <row r="250" spans="1:12">
      <c r="A250" s="463"/>
      <c r="B250" s="580"/>
      <c r="C250" s="524"/>
      <c r="D250" s="524"/>
      <c r="E250" s="581"/>
      <c r="F250" s="582"/>
      <c r="G250" s="583"/>
      <c r="H250" s="583"/>
      <c r="I250" s="584"/>
      <c r="J250" s="585"/>
      <c r="K250" s="471"/>
    </row>
    <row r="251" spans="1:12">
      <c r="A251" s="463"/>
      <c r="B251" s="586" t="s">
        <v>957</v>
      </c>
      <c r="C251" s="586"/>
      <c r="D251" s="563"/>
      <c r="E251" s="536"/>
      <c r="F251" s="536"/>
      <c r="G251" s="536"/>
      <c r="H251" s="587"/>
      <c r="I251" s="588"/>
      <c r="J251" s="514" t="e">
        <f>(J238+J244+J249)/E238</f>
        <v>#REF!</v>
      </c>
      <c r="K251" s="471"/>
    </row>
    <row r="252" spans="1:12">
      <c r="A252" s="463"/>
      <c r="B252" s="566"/>
      <c r="C252" s="539"/>
      <c r="D252" s="539"/>
      <c r="E252" s="567"/>
      <c r="F252" s="568"/>
      <c r="G252" s="519"/>
      <c r="H252" s="519"/>
      <c r="I252" s="542"/>
      <c r="J252" s="589"/>
      <c r="K252" s="471"/>
    </row>
    <row r="253" spans="1:12" ht="20.399999999999999">
      <c r="A253" s="463"/>
      <c r="B253" s="1493" t="s">
        <v>958</v>
      </c>
      <c r="C253" s="1494"/>
      <c r="D253" s="1494"/>
      <c r="E253" s="1494"/>
      <c r="F253" s="1495"/>
      <c r="G253" s="569" t="s">
        <v>372</v>
      </c>
      <c r="H253" s="519" t="s">
        <v>956</v>
      </c>
      <c r="I253" s="570" t="s">
        <v>942</v>
      </c>
      <c r="J253" s="522" t="s">
        <v>363</v>
      </c>
      <c r="K253" s="471"/>
    </row>
    <row r="254" spans="1:12">
      <c r="A254" s="463"/>
      <c r="B254" s="571" t="s">
        <v>1264</v>
      </c>
      <c r="C254" s="572"/>
      <c r="D254" s="573"/>
      <c r="E254" s="573"/>
      <c r="F254" s="574"/>
      <c r="G254" s="502">
        <v>1.5699999999999999E-2</v>
      </c>
      <c r="H254" s="502" t="s">
        <v>973</v>
      </c>
      <c r="I254" s="575">
        <v>165</v>
      </c>
      <c r="J254" s="505">
        <f>G254*I254</f>
        <v>2.5904999999999996</v>
      </c>
      <c r="K254" s="471"/>
    </row>
    <row r="255" spans="1:12">
      <c r="A255" s="463"/>
      <c r="B255" s="576" t="s">
        <v>1265</v>
      </c>
      <c r="C255" s="577"/>
      <c r="D255" s="578"/>
      <c r="E255" s="578"/>
      <c r="F255" s="579"/>
      <c r="G255" s="502">
        <v>6.8</v>
      </c>
      <c r="H255" s="502" t="s">
        <v>985</v>
      </c>
      <c r="I255" s="575">
        <f>35/50</f>
        <v>0.7</v>
      </c>
      <c r="J255" s="505">
        <f>G255*I255</f>
        <v>4.76</v>
      </c>
      <c r="K255" s="471"/>
    </row>
    <row r="256" spans="1:12">
      <c r="A256" s="463"/>
      <c r="B256" s="576" t="s">
        <v>1269</v>
      </c>
      <c r="C256" s="577"/>
      <c r="D256" s="578"/>
      <c r="E256" s="578"/>
      <c r="F256" s="579"/>
      <c r="G256" s="502">
        <v>1.05</v>
      </c>
      <c r="H256" s="502" t="s">
        <v>984</v>
      </c>
      <c r="I256" s="737">
        <f>MATERIAIS!D13</f>
        <v>655.5</v>
      </c>
      <c r="J256" s="505">
        <f>G256*I256</f>
        <v>688.27499999999998</v>
      </c>
      <c r="K256" s="471"/>
    </row>
    <row r="257" spans="1:11">
      <c r="A257" s="463"/>
      <c r="B257" s="590"/>
      <c r="C257" s="591"/>
      <c r="D257" s="592"/>
      <c r="E257" s="592"/>
      <c r="F257" s="593"/>
      <c r="G257" s="502"/>
      <c r="H257" s="502"/>
      <c r="I257" s="575"/>
      <c r="J257" s="505">
        <f>G257*I257</f>
        <v>0</v>
      </c>
      <c r="K257" s="471"/>
    </row>
    <row r="258" spans="1:11">
      <c r="A258" s="463"/>
      <c r="B258" s="594"/>
      <c r="C258" s="536"/>
      <c r="D258" s="536"/>
      <c r="E258" s="595"/>
      <c r="F258" s="596"/>
      <c r="G258" s="545"/>
      <c r="H258" s="545"/>
      <c r="I258" s="537" t="s">
        <v>175</v>
      </c>
      <c r="J258" s="514">
        <f>SUM(J254:J257)</f>
        <v>695.62549999999999</v>
      </c>
      <c r="K258" s="471"/>
    </row>
    <row r="259" spans="1:11">
      <c r="A259" s="463"/>
      <c r="B259" s="597"/>
      <c r="C259" s="536"/>
      <c r="D259" s="536"/>
      <c r="E259" s="595"/>
      <c r="F259" s="596"/>
      <c r="G259" s="545"/>
      <c r="H259" s="545"/>
      <c r="I259" s="537"/>
      <c r="J259" s="595"/>
      <c r="K259" s="471"/>
    </row>
    <row r="260" spans="1:11" ht="20.399999999999999">
      <c r="A260" s="463"/>
      <c r="B260" s="1493" t="s">
        <v>959</v>
      </c>
      <c r="C260" s="1494"/>
      <c r="D260" s="1494"/>
      <c r="E260" s="1494"/>
      <c r="F260" s="1495"/>
      <c r="G260" s="600" t="s">
        <v>372</v>
      </c>
      <c r="H260" s="519" t="s">
        <v>942</v>
      </c>
      <c r="I260" s="570"/>
      <c r="J260" s="522" t="s">
        <v>363</v>
      </c>
      <c r="K260" s="471"/>
    </row>
    <row r="261" spans="1:11">
      <c r="A261" s="463"/>
      <c r="B261" s="1734"/>
      <c r="C261" s="1735"/>
      <c r="D261" s="1735"/>
      <c r="E261" s="1735"/>
      <c r="F261" s="1736"/>
      <c r="G261" s="502"/>
      <c r="H261" s="1737"/>
      <c r="I261" s="1738"/>
      <c r="J261" s="505"/>
      <c r="K261" s="471"/>
    </row>
    <row r="262" spans="1:11">
      <c r="A262" s="463"/>
      <c r="B262" s="1739"/>
      <c r="C262" s="1740"/>
      <c r="D262" s="1740"/>
      <c r="E262" s="1740"/>
      <c r="F262" s="1741"/>
      <c r="G262" s="509"/>
      <c r="H262" s="1742"/>
      <c r="I262" s="1743"/>
      <c r="J262" s="505"/>
      <c r="K262" s="471"/>
    </row>
    <row r="263" spans="1:11">
      <c r="A263" s="463"/>
      <c r="B263" s="594"/>
      <c r="C263" s="536"/>
      <c r="D263" s="536"/>
      <c r="E263" s="595"/>
      <c r="F263" s="596"/>
      <c r="G263" s="545"/>
      <c r="H263" s="545"/>
      <c r="I263" s="537" t="s">
        <v>175</v>
      </c>
      <c r="J263" s="514">
        <f>SUM(J261:J262)</f>
        <v>0</v>
      </c>
      <c r="K263" s="471"/>
    </row>
    <row r="264" spans="1:11">
      <c r="A264" s="463"/>
      <c r="B264" s="536"/>
      <c r="C264" s="536"/>
      <c r="D264" s="536"/>
      <c r="E264" s="536"/>
      <c r="F264" s="536"/>
      <c r="G264" s="536"/>
      <c r="H264" s="536"/>
      <c r="I264" s="537"/>
      <c r="J264" s="536"/>
      <c r="K264" s="471"/>
    </row>
    <row r="265" spans="1:11">
      <c r="A265" s="463"/>
      <c r="B265" s="1481" t="s">
        <v>961</v>
      </c>
      <c r="C265" s="1482"/>
      <c r="D265" s="1482"/>
      <c r="E265" s="1482"/>
      <c r="F265" s="1482"/>
      <c r="G265" s="1482"/>
      <c r="H265" s="1482"/>
      <c r="I265" s="1483"/>
      <c r="J265" s="586" t="e">
        <f>J263+J258+J251</f>
        <v>#REF!</v>
      </c>
      <c r="K265" s="471"/>
    </row>
    <row r="266" spans="1:11">
      <c r="A266" s="463"/>
      <c r="B266" s="536"/>
      <c r="C266" s="536"/>
      <c r="D266" s="536"/>
      <c r="E266" s="536"/>
      <c r="F266" s="536"/>
      <c r="G266" s="536"/>
      <c r="H266" s="536"/>
      <c r="I266" s="537"/>
      <c r="J266" s="536"/>
      <c r="K266" s="471"/>
    </row>
    <row r="267" spans="1:11">
      <c r="A267" s="463"/>
      <c r="B267" s="1481" t="s">
        <v>962</v>
      </c>
      <c r="C267" s="1482"/>
      <c r="D267" s="1482"/>
      <c r="E267" s="1482"/>
      <c r="F267" s="1482"/>
      <c r="G267" s="1482"/>
      <c r="H267" s="1482"/>
      <c r="I267" s="1483"/>
      <c r="J267" s="514" t="e">
        <f>J265*0</f>
        <v>#REF!</v>
      </c>
      <c r="K267" s="471"/>
    </row>
    <row r="268" spans="1:11">
      <c r="A268" s="463"/>
      <c r="B268" s="536"/>
      <c r="C268" s="536"/>
      <c r="D268" s="536"/>
      <c r="E268" s="536"/>
      <c r="F268" s="536"/>
      <c r="G268" s="536"/>
      <c r="H268" s="536"/>
      <c r="I268" s="537"/>
      <c r="J268" s="536"/>
      <c r="K268" s="471"/>
    </row>
    <row r="269" spans="1:11">
      <c r="A269" s="463"/>
      <c r="B269" s="1481" t="s">
        <v>963</v>
      </c>
      <c r="C269" s="1482"/>
      <c r="D269" s="1482"/>
      <c r="E269" s="1482"/>
      <c r="F269" s="1482"/>
      <c r="G269" s="1482"/>
      <c r="H269" s="1482"/>
      <c r="I269" s="1483"/>
      <c r="J269" s="586" t="e">
        <f>J265+J267</f>
        <v>#REF!</v>
      </c>
      <c r="K269" s="471"/>
    </row>
    <row r="270" spans="1:11">
      <c r="A270" s="463"/>
      <c r="B270" s="524"/>
      <c r="C270" s="524"/>
      <c r="D270" s="524"/>
      <c r="E270" s="524"/>
      <c r="F270" s="524"/>
      <c r="G270" s="524"/>
      <c r="H270" s="524"/>
      <c r="I270" s="584"/>
      <c r="J270" s="524"/>
      <c r="K270" s="471"/>
    </row>
    <row r="271" spans="1:11">
      <c r="A271" s="463"/>
      <c r="B271" s="602"/>
      <c r="C271" s="572"/>
      <c r="D271" s="572"/>
      <c r="E271" s="572"/>
      <c r="F271" s="572"/>
      <c r="G271" s="572"/>
      <c r="H271" s="572"/>
      <c r="I271" s="572"/>
      <c r="J271" s="603"/>
      <c r="K271" s="471"/>
    </row>
    <row r="272" spans="1:11">
      <c r="A272" s="463"/>
      <c r="B272" s="604"/>
      <c r="C272" s="605"/>
      <c r="D272" s="606"/>
      <c r="E272" s="606"/>
      <c r="F272" s="607" t="s">
        <v>946</v>
      </c>
      <c r="G272" s="608" t="s">
        <v>946</v>
      </c>
      <c r="H272" s="605"/>
      <c r="I272" s="605"/>
      <c r="J272" s="609"/>
      <c r="K272" s="471"/>
    </row>
    <row r="273" spans="1:11">
      <c r="A273" s="463"/>
      <c r="B273" s="472"/>
      <c r="C273" s="472"/>
      <c r="D273" s="472"/>
      <c r="E273" s="472"/>
      <c r="F273" s="472"/>
      <c r="G273" s="472"/>
      <c r="H273" s="472"/>
      <c r="I273" s="472"/>
      <c r="J273" s="472"/>
      <c r="K273" s="471"/>
    </row>
    <row r="274" spans="1:11">
      <c r="A274" s="463"/>
      <c r="B274" s="610" t="str">
        <f>PLANEJAMENTO!$F$2</f>
        <v>OPERAÇÃO DE SUPRESSÃO E SUMP</v>
      </c>
      <c r="C274" s="611"/>
      <c r="D274" s="611"/>
      <c r="E274" s="611"/>
      <c r="F274" s="612"/>
      <c r="G274" s="613" t="s">
        <v>363</v>
      </c>
      <c r="H274" s="515"/>
      <c r="I274" s="515"/>
      <c r="J274" s="518"/>
      <c r="K274" s="471"/>
    </row>
    <row r="275" spans="1:11">
      <c r="A275" s="463"/>
      <c r="B275" s="614">
        <f>PLANEJAMENTO!E168</f>
        <v>0</v>
      </c>
      <c r="C275" s="615"/>
      <c r="D275" s="615"/>
      <c r="E275" s="615"/>
      <c r="F275" s="616"/>
      <c r="G275" s="1484" t="s">
        <v>964</v>
      </c>
      <c r="H275" s="1485"/>
      <c r="I275" s="1485"/>
      <c r="J275" s="1486"/>
      <c r="K275" s="471"/>
    </row>
    <row r="276" spans="1:11">
      <c r="A276" s="463"/>
      <c r="B276" s="617"/>
      <c r="C276" s="618"/>
      <c r="D276" s="618"/>
      <c r="E276" s="618"/>
      <c r="F276" s="619"/>
      <c r="G276" s="620"/>
      <c r="H276" s="1487"/>
      <c r="I276" s="1488"/>
      <c r="J276" s="1489"/>
      <c r="K276" s="471"/>
    </row>
    <row r="277" spans="1:11" ht="15" thickBot="1">
      <c r="A277" s="621"/>
      <c r="B277" s="622"/>
      <c r="C277" s="622"/>
      <c r="D277" s="622"/>
      <c r="E277" s="622"/>
      <c r="F277" s="622"/>
      <c r="G277" s="622"/>
      <c r="H277" s="622"/>
      <c r="I277" s="622"/>
      <c r="J277" s="622"/>
      <c r="K277" s="623"/>
    </row>
    <row r="278" spans="1:11">
      <c r="A278" s="460"/>
      <c r="B278" s="461"/>
      <c r="C278" s="461"/>
      <c r="D278" s="461"/>
      <c r="E278" s="461"/>
      <c r="F278" s="461"/>
      <c r="G278" s="461"/>
      <c r="H278" s="461"/>
      <c r="I278" s="461"/>
      <c r="J278" s="461"/>
      <c r="K278" s="462"/>
    </row>
    <row r="279" spans="1:11">
      <c r="A279" s="463"/>
      <c r="B279" s="464" t="s">
        <v>178</v>
      </c>
      <c r="C279" s="465"/>
      <c r="D279" s="466" t="s">
        <v>936</v>
      </c>
      <c r="E279" s="467"/>
      <c r="F279" s="468"/>
      <c r="G279" s="468"/>
      <c r="H279" s="469"/>
      <c r="I279" s="469"/>
      <c r="J279" s="470"/>
      <c r="K279" s="471"/>
    </row>
    <row r="280" spans="1:11">
      <c r="A280" s="463"/>
      <c r="B280" s="472"/>
      <c r="C280" s="472"/>
      <c r="D280" s="472"/>
      <c r="E280" s="472"/>
      <c r="F280" s="472"/>
      <c r="G280" s="472"/>
      <c r="H280" s="472"/>
      <c r="I280" s="472"/>
      <c r="J280" s="472"/>
      <c r="K280" s="471"/>
    </row>
    <row r="281" spans="1:11">
      <c r="A281" s="463"/>
      <c r="B281" s="473"/>
      <c r="C281" s="474" t="s">
        <v>937</v>
      </c>
      <c r="D281" s="1497" t="s">
        <v>250</v>
      </c>
      <c r="E281" s="1498"/>
      <c r="F281" s="1498"/>
      <c r="G281" s="1498"/>
      <c r="H281" s="1498"/>
      <c r="I281" s="1499"/>
      <c r="J281" s="475" t="s">
        <v>267</v>
      </c>
      <c r="K281" s="471"/>
    </row>
    <row r="282" spans="1:11" ht="24.75" customHeight="1">
      <c r="A282" s="463"/>
      <c r="B282" s="476"/>
      <c r="C282" s="477">
        <f ca="1">PLANEJAMENTO!$F$4</f>
        <v>46140</v>
      </c>
      <c r="D282" s="1721" t="s">
        <v>1270</v>
      </c>
      <c r="E282" s="1722"/>
      <c r="F282" s="1722"/>
      <c r="G282" s="1722"/>
      <c r="H282" s="1722"/>
      <c r="I282" s="1723"/>
      <c r="J282" s="481" t="str">
        <f>F303</f>
        <v>M</v>
      </c>
      <c r="K282" s="471"/>
    </row>
    <row r="283" spans="1:11">
      <c r="A283" s="463"/>
      <c r="B283" s="482"/>
      <c r="C283" s="482"/>
      <c r="D283" s="482"/>
      <c r="E283" s="482"/>
      <c r="F283" s="482"/>
      <c r="G283" s="482"/>
      <c r="H283" s="482"/>
      <c r="I283" s="483"/>
      <c r="J283" s="484"/>
      <c r="K283" s="471"/>
    </row>
    <row r="284" spans="1:11">
      <c r="A284" s="463"/>
      <c r="B284" s="1484" t="s">
        <v>938</v>
      </c>
      <c r="C284" s="1486"/>
      <c r="D284" s="1502" t="s">
        <v>688</v>
      </c>
      <c r="E284" s="1504" t="s">
        <v>939</v>
      </c>
      <c r="F284" s="485" t="s">
        <v>940</v>
      </c>
      <c r="G284" s="486"/>
      <c r="H284" s="485" t="s">
        <v>941</v>
      </c>
      <c r="I284" s="486"/>
      <c r="J284" s="487" t="s">
        <v>942</v>
      </c>
      <c r="K284" s="471"/>
    </row>
    <row r="285" spans="1:11">
      <c r="A285" s="463"/>
      <c r="B285" s="1500"/>
      <c r="C285" s="1501"/>
      <c r="D285" s="1503"/>
      <c r="E285" s="1505"/>
      <c r="F285" s="488" t="s">
        <v>943</v>
      </c>
      <c r="G285" s="488" t="s">
        <v>944</v>
      </c>
      <c r="H285" s="488" t="s">
        <v>943</v>
      </c>
      <c r="I285" s="489" t="s">
        <v>944</v>
      </c>
      <c r="J285" s="490" t="s">
        <v>945</v>
      </c>
      <c r="K285" s="471"/>
    </row>
    <row r="286" spans="1:11">
      <c r="A286" s="463"/>
      <c r="B286" s="499" t="s">
        <v>659</v>
      </c>
      <c r="C286" s="492"/>
      <c r="D286" s="493"/>
      <c r="E286" s="494"/>
      <c r="F286" s="494">
        <v>1</v>
      </c>
      <c r="G286" s="495">
        <f>1-F286</f>
        <v>0</v>
      </c>
      <c r="H286" s="503">
        <f>VLOOKUP(B286,EQUIPAMENTOS!$A:$J,10,FALSE)</f>
        <v>10</v>
      </c>
      <c r="I286" s="504">
        <f>H286</f>
        <v>10</v>
      </c>
      <c r="J286" s="505">
        <f>H286*F286*E286+I286*G286*E286</f>
        <v>0</v>
      </c>
      <c r="K286" s="471"/>
    </row>
    <row r="287" spans="1:11">
      <c r="A287" s="463"/>
      <c r="B287" s="499" t="s">
        <v>631</v>
      </c>
      <c r="C287" s="500"/>
      <c r="D287" s="501"/>
      <c r="E287" s="502">
        <v>1</v>
      </c>
      <c r="F287" s="502">
        <v>1</v>
      </c>
      <c r="G287" s="502">
        <f>1-F287</f>
        <v>0</v>
      </c>
      <c r="H287" s="503">
        <f>VLOOKUP(B287,EQUIPAMENTOS!$A:$J,10,FALSE)</f>
        <v>175</v>
      </c>
      <c r="I287" s="504">
        <f>H287</f>
        <v>175</v>
      </c>
      <c r="J287" s="505">
        <f>H287*F287*E287+I287*G287*E287</f>
        <v>175</v>
      </c>
      <c r="K287" s="471"/>
    </row>
    <row r="288" spans="1:11">
      <c r="A288" s="463"/>
      <c r="B288" s="499" t="s">
        <v>986</v>
      </c>
      <c r="C288" s="500"/>
      <c r="D288" s="501"/>
      <c r="E288" s="502">
        <v>1</v>
      </c>
      <c r="F288" s="502">
        <v>0.5</v>
      </c>
      <c r="G288" s="502">
        <f>1-F288</f>
        <v>0.5</v>
      </c>
      <c r="H288" s="503">
        <f>VLOOKUP(B288,EQUIPAMENTOS!$A:$J,10,FALSE)</f>
        <v>145</v>
      </c>
      <c r="I288" s="504">
        <f>H288</f>
        <v>145</v>
      </c>
      <c r="J288" s="505">
        <f>H288*F288*E288+I288*G288*E288</f>
        <v>145</v>
      </c>
      <c r="K288" s="471"/>
    </row>
    <row r="289" spans="1:11">
      <c r="A289" s="463"/>
      <c r="B289" s="506"/>
      <c r="C289" s="507"/>
      <c r="D289" s="508"/>
      <c r="E289" s="509"/>
      <c r="F289" s="509"/>
      <c r="G289" s="509"/>
      <c r="H289" s="510"/>
      <c r="I289" s="511"/>
      <c r="J289" s="505">
        <f>H289*F289*E289+I289*G289*E289</f>
        <v>0</v>
      </c>
      <c r="K289" s="471"/>
    </row>
    <row r="290" spans="1:11">
      <c r="A290" s="463"/>
      <c r="B290" s="512" t="s">
        <v>946</v>
      </c>
      <c r="C290" s="482"/>
      <c r="D290" s="482"/>
      <c r="E290" s="482"/>
      <c r="F290" s="482"/>
      <c r="G290" s="482"/>
      <c r="H290" s="482"/>
      <c r="I290" s="513" t="s">
        <v>175</v>
      </c>
      <c r="J290" s="514">
        <f>SUM(J286:J289)</f>
        <v>320</v>
      </c>
      <c r="K290" s="471"/>
    </row>
    <row r="291" spans="1:11">
      <c r="A291" s="463"/>
      <c r="B291" s="515"/>
      <c r="C291" s="515"/>
      <c r="D291" s="515"/>
      <c r="E291" s="515"/>
      <c r="F291" s="515"/>
      <c r="G291" s="515"/>
      <c r="H291" s="515"/>
      <c r="I291" s="516"/>
      <c r="J291" s="517"/>
      <c r="K291" s="471"/>
    </row>
    <row r="292" spans="1:11" ht="20.399999999999999">
      <c r="A292" s="463"/>
      <c r="B292" s="1490" t="s">
        <v>947</v>
      </c>
      <c r="C292" s="1491"/>
      <c r="D292" s="1491"/>
      <c r="E292" s="1492"/>
      <c r="F292" s="725" t="s">
        <v>688</v>
      </c>
      <c r="G292" s="519"/>
      <c r="H292" s="520" t="s">
        <v>427</v>
      </c>
      <c r="I292" s="521" t="s">
        <v>948</v>
      </c>
      <c r="J292" s="522" t="s">
        <v>949</v>
      </c>
      <c r="K292" s="471"/>
    </row>
    <row r="293" spans="1:11">
      <c r="A293" s="463"/>
      <c r="B293" s="530" t="s">
        <v>969</v>
      </c>
      <c r="C293" s="531"/>
      <c r="D293" s="472"/>
      <c r="E293" s="500"/>
      <c r="F293" s="501"/>
      <c r="G293" s="532"/>
      <c r="H293" s="533">
        <f>E288</f>
        <v>1</v>
      </c>
      <c r="I293" s="534">
        <f>(VLOOKUP(B293,'MÃO DE OBRA'!$A:$E,5,FALSE)/220)</f>
        <v>21.588799999999999</v>
      </c>
      <c r="J293" s="505">
        <f>H293*I293</f>
        <v>21.588799999999999</v>
      </c>
      <c r="K293" s="471"/>
    </row>
    <row r="294" spans="1:11">
      <c r="A294" s="463"/>
      <c r="B294" s="530" t="s">
        <v>974</v>
      </c>
      <c r="C294" s="531"/>
      <c r="D294" s="472"/>
      <c r="E294" s="500"/>
      <c r="F294" s="501"/>
      <c r="G294" s="532"/>
      <c r="H294" s="533">
        <f>E287</f>
        <v>1</v>
      </c>
      <c r="I294" s="534">
        <f>(VLOOKUP(B294,'MÃO DE OBRA'!$A:$E,5,FALSE)/220)</f>
        <v>35.988199999999999</v>
      </c>
      <c r="J294" s="505">
        <f>H294*I294</f>
        <v>35.988199999999999</v>
      </c>
      <c r="K294" s="471"/>
    </row>
    <row r="295" spans="1:11">
      <c r="A295" s="463"/>
      <c r="B295" s="530" t="s">
        <v>988</v>
      </c>
      <c r="C295" s="531"/>
      <c r="D295" s="472"/>
      <c r="E295" s="500"/>
      <c r="F295" s="501"/>
      <c r="G295" s="532"/>
      <c r="H295" s="533">
        <v>2</v>
      </c>
      <c r="I295" s="534">
        <f>(VLOOKUP(B295,'MÃO DE OBRA'!$A:$E,5,FALSE)/220)</f>
        <v>21.588799999999999</v>
      </c>
      <c r="J295" s="505">
        <f>H295*I295</f>
        <v>43.177599999999998</v>
      </c>
      <c r="K295" s="471"/>
    </row>
    <row r="296" spans="1:11">
      <c r="A296" s="463"/>
      <c r="B296" s="530" t="s">
        <v>472</v>
      </c>
      <c r="C296" s="531"/>
      <c r="D296" s="472"/>
      <c r="E296" s="500"/>
      <c r="F296" s="501"/>
      <c r="G296" s="532"/>
      <c r="H296" s="533">
        <v>6</v>
      </c>
      <c r="I296" s="534">
        <f>(VLOOKUP(B296,'MÃO DE OBRA'!$A:$E,5,FALSE)/220)</f>
        <v>18.377072727272729</v>
      </c>
      <c r="J296" s="505">
        <f>H296*I296</f>
        <v>110.26243636363637</v>
      </c>
      <c r="K296" s="471"/>
    </row>
    <row r="297" spans="1:11">
      <c r="A297" s="463"/>
      <c r="B297" s="530" t="s">
        <v>550</v>
      </c>
      <c r="C297" s="531"/>
      <c r="D297" s="472"/>
      <c r="E297" s="500"/>
      <c r="F297" s="501"/>
      <c r="G297" s="532"/>
      <c r="H297" s="533">
        <v>1</v>
      </c>
      <c r="I297" s="534">
        <f>(VLOOKUP(B297,'MÃO DE OBRA'!$A:$E,5,FALSE)/220)</f>
        <v>19.055000000000003</v>
      </c>
      <c r="J297" s="505">
        <f>H297*I297</f>
        <v>19.055000000000003</v>
      </c>
      <c r="K297" s="471"/>
    </row>
    <row r="298" spans="1:11">
      <c r="A298" s="463"/>
      <c r="B298" s="530"/>
      <c r="C298" s="531"/>
      <c r="D298" s="472"/>
      <c r="E298" s="500"/>
      <c r="F298" s="501"/>
      <c r="G298" s="532"/>
      <c r="H298" s="533"/>
      <c r="I298" s="534"/>
      <c r="J298" s="505"/>
      <c r="K298" s="471"/>
    </row>
    <row r="299" spans="1:11">
      <c r="A299" s="463"/>
      <c r="B299" s="530"/>
      <c r="C299" s="531"/>
      <c r="D299" s="472"/>
      <c r="E299" s="500"/>
      <c r="F299" s="501"/>
      <c r="G299" s="532"/>
      <c r="H299" s="533"/>
      <c r="I299" s="534"/>
      <c r="J299" s="505"/>
      <c r="K299" s="471"/>
    </row>
    <row r="300" spans="1:11">
      <c r="A300" s="463"/>
      <c r="B300" s="530"/>
      <c r="C300" s="531"/>
      <c r="D300" s="472"/>
      <c r="E300" s="500"/>
      <c r="F300" s="501"/>
      <c r="G300" s="532"/>
      <c r="H300" s="533"/>
      <c r="I300" s="504"/>
      <c r="J300" s="505">
        <f>H300*I300</f>
        <v>0</v>
      </c>
      <c r="K300" s="471"/>
    </row>
    <row r="301" spans="1:11">
      <c r="A301" s="463"/>
      <c r="B301" s="512" t="s">
        <v>946</v>
      </c>
      <c r="C301" s="515"/>
      <c r="D301" s="515"/>
      <c r="E301" s="515"/>
      <c r="F301" s="515"/>
      <c r="G301" s="515"/>
      <c r="H301" s="515"/>
      <c r="I301" s="535" t="s">
        <v>175</v>
      </c>
      <c r="J301" s="514">
        <f>SUM(J293:J300)</f>
        <v>230.07203636363636</v>
      </c>
      <c r="K301" s="471"/>
    </row>
    <row r="302" spans="1:11">
      <c r="A302" s="463"/>
      <c r="B302" s="536"/>
      <c r="C302" s="536"/>
      <c r="D302" s="536"/>
      <c r="E302" s="536"/>
      <c r="F302" s="536"/>
      <c r="G302" s="536"/>
      <c r="H302" s="536"/>
      <c r="I302" s="537"/>
      <c r="J302" s="536"/>
      <c r="K302" s="471"/>
    </row>
    <row r="303" spans="1:11">
      <c r="A303" s="463"/>
      <c r="B303" s="538" t="s">
        <v>952</v>
      </c>
      <c r="C303" s="539"/>
      <c r="D303" s="536"/>
      <c r="E303" s="540" t="e">
        <f>CRONOGRAMA!#REF!</f>
        <v>#REF!</v>
      </c>
      <c r="F303" s="541" t="s">
        <v>984</v>
      </c>
      <c r="G303" s="519"/>
      <c r="H303" s="519"/>
      <c r="I303" s="542" t="s">
        <v>953</v>
      </c>
      <c r="J303" s="514">
        <f>J290+J301</f>
        <v>550.07203636363636</v>
      </c>
      <c r="K303" s="471"/>
    </row>
    <row r="304" spans="1:11">
      <c r="A304" s="463"/>
      <c r="B304" s="543"/>
      <c r="C304" s="536"/>
      <c r="D304" s="536"/>
      <c r="E304" s="544"/>
      <c r="F304" s="545"/>
      <c r="G304" s="545"/>
      <c r="H304" s="545"/>
      <c r="I304" s="537"/>
      <c r="J304" s="536"/>
      <c r="K304" s="471"/>
    </row>
    <row r="305" spans="1:12" ht="20.399999999999999">
      <c r="A305" s="463"/>
      <c r="B305" s="1493" t="s">
        <v>362</v>
      </c>
      <c r="C305" s="1494"/>
      <c r="D305" s="1494"/>
      <c r="E305" s="1495"/>
      <c r="F305" s="546" t="s">
        <v>688</v>
      </c>
      <c r="G305" s="547" t="s">
        <v>371</v>
      </c>
      <c r="H305" s="520" t="s">
        <v>942</v>
      </c>
      <c r="I305" s="548" t="s">
        <v>361</v>
      </c>
      <c r="J305" s="549" t="s">
        <v>363</v>
      </c>
      <c r="K305" s="471"/>
    </row>
    <row r="306" spans="1:12">
      <c r="A306" s="463"/>
      <c r="B306" s="550" t="str">
        <f>B286</f>
        <v>Sapo compactador</v>
      </c>
      <c r="C306" s="551"/>
      <c r="D306" s="551"/>
      <c r="E306" s="552"/>
      <c r="F306" s="553" t="str">
        <f>VLOOKUP(B306,EQUIPAMENTOS!$A:$N,12,FALSE)</f>
        <v>Gasolina</v>
      </c>
      <c r="G306" s="554" t="s">
        <v>415</v>
      </c>
      <c r="H306" s="560">
        <f>VLOOKUP(B306,EQUIPAMENTOS!$A:$N,13,FALSE)</f>
        <v>6.59</v>
      </c>
      <c r="I306" s="556">
        <f>VLOOKUP(B306,EQUIPAMENTOS!$A:$N,14,FALSE)</f>
        <v>3</v>
      </c>
      <c r="J306" s="505">
        <f>H306*I306*E286*F286</f>
        <v>0</v>
      </c>
      <c r="K306" s="471"/>
    </row>
    <row r="307" spans="1:12">
      <c r="A307" s="463"/>
      <c r="B307" s="550" t="str">
        <f>B287</f>
        <v>Escavadeira hidráulica sobre esteira 22T</v>
      </c>
      <c r="C307" s="531"/>
      <c r="D307" s="531"/>
      <c r="E307" s="500"/>
      <c r="F307" s="553" t="str">
        <f>VLOOKUP(B307,EQUIPAMENTOS!$A:$N,12,FALSE)</f>
        <v>Diesel S10</v>
      </c>
      <c r="G307" s="554" t="s">
        <v>415</v>
      </c>
      <c r="H307" s="560">
        <f>VLOOKUP(B307,EQUIPAMENTOS!$A:$N,13,FALSE)</f>
        <v>0</v>
      </c>
      <c r="I307" s="556">
        <f>VLOOKUP(B307,EQUIPAMENTOS!$A:$N,14,FALSE)</f>
        <v>22</v>
      </c>
      <c r="J307" s="505">
        <f>H307*I307*E287*F287</f>
        <v>0</v>
      </c>
      <c r="K307" s="471"/>
    </row>
    <row r="308" spans="1:12">
      <c r="A308" s="463"/>
      <c r="B308" s="550" t="str">
        <f>B288</f>
        <v>Rolo compactador pé de carneiro 10t</v>
      </c>
      <c r="C308" s="539"/>
      <c r="D308" s="539"/>
      <c r="E308" s="507"/>
      <c r="F308" s="553" t="str">
        <f>VLOOKUP(B308,EQUIPAMENTOS!$A:$N,12,FALSE)</f>
        <v>Diesel S10</v>
      </c>
      <c r="G308" s="736" t="s">
        <v>415</v>
      </c>
      <c r="H308" s="560">
        <f>VLOOKUP(B308,EQUIPAMENTOS!$A:$N,13,FALSE)</f>
        <v>0</v>
      </c>
      <c r="I308" s="556">
        <f>VLOOKUP(B308,EQUIPAMENTOS!$A:$N,14,FALSE)</f>
        <v>16</v>
      </c>
      <c r="J308" s="505">
        <f>H308*I308*E288*F288</f>
        <v>0</v>
      </c>
      <c r="K308" s="471"/>
    </row>
    <row r="309" spans="1:12">
      <c r="A309" s="463"/>
      <c r="B309" s="563" t="s">
        <v>946</v>
      </c>
      <c r="C309" s="539"/>
      <c r="D309" s="539"/>
      <c r="E309" s="539"/>
      <c r="F309" s="536"/>
      <c r="G309" s="539"/>
      <c r="H309" s="564"/>
      <c r="I309" s="565" t="s">
        <v>175</v>
      </c>
      <c r="J309" s="514">
        <f>SUM(J306:J308)</f>
        <v>0</v>
      </c>
      <c r="K309" s="471"/>
      <c r="L309" s="6" t="e">
        <f>J309/E303</f>
        <v>#REF!</v>
      </c>
    </row>
    <row r="310" spans="1:12">
      <c r="A310" s="463"/>
      <c r="B310" s="566"/>
      <c r="C310" s="539"/>
      <c r="D310" s="539"/>
      <c r="E310" s="567"/>
      <c r="F310" s="568"/>
      <c r="G310" s="519"/>
      <c r="H310" s="519"/>
      <c r="I310" s="542"/>
      <c r="J310" s="567"/>
      <c r="K310" s="471"/>
    </row>
    <row r="311" spans="1:12" ht="20.399999999999999">
      <c r="A311" s="463"/>
      <c r="B311" s="1493" t="s">
        <v>955</v>
      </c>
      <c r="C311" s="1494"/>
      <c r="D311" s="1494"/>
      <c r="E311" s="1494"/>
      <c r="F311" s="1495"/>
      <c r="G311" s="569" t="s">
        <v>372</v>
      </c>
      <c r="H311" s="519" t="s">
        <v>956</v>
      </c>
      <c r="I311" s="570" t="s">
        <v>942</v>
      </c>
      <c r="J311" s="522" t="s">
        <v>363</v>
      </c>
      <c r="K311" s="471"/>
    </row>
    <row r="312" spans="1:12">
      <c r="A312" s="463"/>
      <c r="B312" s="571"/>
      <c r="C312" s="572"/>
      <c r="D312" s="573"/>
      <c r="E312" s="573"/>
      <c r="F312" s="574"/>
      <c r="G312" s="502"/>
      <c r="H312" s="502"/>
      <c r="I312" s="575"/>
      <c r="J312" s="505"/>
      <c r="K312" s="471"/>
    </row>
    <row r="313" spans="1:12">
      <c r="A313" s="463"/>
      <c r="B313" s="576"/>
      <c r="C313" s="577"/>
      <c r="D313" s="578"/>
      <c r="E313" s="578"/>
      <c r="F313" s="579"/>
      <c r="G313" s="502"/>
      <c r="H313" s="502"/>
      <c r="I313" s="575"/>
      <c r="J313" s="505"/>
      <c r="K313" s="471"/>
    </row>
    <row r="314" spans="1:12">
      <c r="A314" s="463"/>
      <c r="B314" s="1496" t="s">
        <v>175</v>
      </c>
      <c r="C314" s="1496"/>
      <c r="D314" s="1496"/>
      <c r="E314" s="1496"/>
      <c r="F314" s="1496"/>
      <c r="G314" s="1496"/>
      <c r="H314" s="1496"/>
      <c r="I314" s="1496"/>
      <c r="J314" s="514">
        <f>SUM(J312:J313)</f>
        <v>0</v>
      </c>
      <c r="K314" s="471"/>
    </row>
    <row r="315" spans="1:12">
      <c r="A315" s="463"/>
      <c r="B315" s="580"/>
      <c r="C315" s="524"/>
      <c r="D315" s="524"/>
      <c r="E315" s="581"/>
      <c r="F315" s="582"/>
      <c r="G315" s="583"/>
      <c r="H315" s="583"/>
      <c r="I315" s="584"/>
      <c r="J315" s="585"/>
      <c r="K315" s="471"/>
    </row>
    <row r="316" spans="1:12">
      <c r="A316" s="463"/>
      <c r="B316" s="586" t="s">
        <v>957</v>
      </c>
      <c r="C316" s="586"/>
      <c r="D316" s="563"/>
      <c r="E316" s="536"/>
      <c r="F316" s="536"/>
      <c r="G316" s="536"/>
      <c r="H316" s="587"/>
      <c r="I316" s="588"/>
      <c r="J316" s="514" t="e">
        <f>(J303+J309+J314)/E303</f>
        <v>#REF!</v>
      </c>
      <c r="K316" s="471"/>
    </row>
    <row r="317" spans="1:12">
      <c r="A317" s="463"/>
      <c r="B317" s="566"/>
      <c r="C317" s="539"/>
      <c r="D317" s="539"/>
      <c r="E317" s="567"/>
      <c r="F317" s="568"/>
      <c r="G317" s="519"/>
      <c r="H317" s="519"/>
      <c r="I317" s="542"/>
      <c r="J317" s="589"/>
      <c r="K317" s="471"/>
    </row>
    <row r="318" spans="1:12" ht="20.399999999999999">
      <c r="A318" s="463"/>
      <c r="B318" s="1493" t="s">
        <v>958</v>
      </c>
      <c r="C318" s="1494"/>
      <c r="D318" s="1494"/>
      <c r="E318" s="1494"/>
      <c r="F318" s="1495"/>
      <c r="G318" s="569" t="s">
        <v>372</v>
      </c>
      <c r="H318" s="519" t="s">
        <v>956</v>
      </c>
      <c r="I318" s="570" t="s">
        <v>942</v>
      </c>
      <c r="J318" s="522" t="s">
        <v>363</v>
      </c>
      <c r="K318" s="471"/>
    </row>
    <row r="319" spans="1:12">
      <c r="A319" s="463"/>
      <c r="B319" s="571" t="s">
        <v>1264</v>
      </c>
      <c r="C319" s="572"/>
      <c r="D319" s="573"/>
      <c r="E319" s="573"/>
      <c r="F319" s="574"/>
      <c r="G319" s="502">
        <v>3.3000000000000002E-2</v>
      </c>
      <c r="H319" s="502" t="s">
        <v>973</v>
      </c>
      <c r="I319" s="575">
        <v>165</v>
      </c>
      <c r="J319" s="505">
        <f>G319*I319</f>
        <v>5.4450000000000003</v>
      </c>
      <c r="K319" s="471"/>
    </row>
    <row r="320" spans="1:12">
      <c r="A320" s="463"/>
      <c r="B320" s="576" t="s">
        <v>1265</v>
      </c>
      <c r="C320" s="577"/>
      <c r="D320" s="578"/>
      <c r="E320" s="578"/>
      <c r="F320" s="579"/>
      <c r="G320" s="502">
        <v>14.16</v>
      </c>
      <c r="H320" s="502" t="s">
        <v>985</v>
      </c>
      <c r="I320" s="575">
        <f>35/50</f>
        <v>0.7</v>
      </c>
      <c r="J320" s="505">
        <f>G320*I320</f>
        <v>9.911999999999999</v>
      </c>
      <c r="K320" s="471"/>
    </row>
    <row r="321" spans="1:11">
      <c r="A321" s="463"/>
      <c r="B321" s="576" t="s">
        <v>1271</v>
      </c>
      <c r="C321" s="577"/>
      <c r="D321" s="578"/>
      <c r="E321" s="578"/>
      <c r="F321" s="579"/>
      <c r="G321" s="502">
        <v>1.05</v>
      </c>
      <c r="H321" s="502" t="s">
        <v>984</v>
      </c>
      <c r="I321" s="737">
        <f>MATERIAIS!D16</f>
        <v>1390.5</v>
      </c>
      <c r="J321" s="505">
        <f>G321*I321</f>
        <v>1460.0250000000001</v>
      </c>
      <c r="K321" s="471"/>
    </row>
    <row r="322" spans="1:11">
      <c r="A322" s="463"/>
      <c r="B322" s="590"/>
      <c r="C322" s="591"/>
      <c r="D322" s="592"/>
      <c r="E322" s="592"/>
      <c r="F322" s="593"/>
      <c r="G322" s="502"/>
      <c r="H322" s="502"/>
      <c r="I322" s="575"/>
      <c r="J322" s="505">
        <f>G322*I322</f>
        <v>0</v>
      </c>
      <c r="K322" s="471"/>
    </row>
    <row r="323" spans="1:11">
      <c r="A323" s="463"/>
      <c r="B323" s="594"/>
      <c r="C323" s="536"/>
      <c r="D323" s="536"/>
      <c r="E323" s="595"/>
      <c r="F323" s="596"/>
      <c r="G323" s="545"/>
      <c r="H323" s="545"/>
      <c r="I323" s="537" t="s">
        <v>175</v>
      </c>
      <c r="J323" s="514">
        <f>SUM(J319:J322)</f>
        <v>1475.3820000000001</v>
      </c>
      <c r="K323" s="471"/>
    </row>
    <row r="324" spans="1:11">
      <c r="A324" s="463"/>
      <c r="B324" s="597"/>
      <c r="C324" s="536"/>
      <c r="D324" s="536"/>
      <c r="E324" s="595"/>
      <c r="F324" s="596"/>
      <c r="G324" s="545"/>
      <c r="H324" s="545"/>
      <c r="I324" s="537"/>
      <c r="J324" s="595"/>
      <c r="K324" s="471"/>
    </row>
    <row r="325" spans="1:11" ht="20.399999999999999">
      <c r="A325" s="463"/>
      <c r="B325" s="1493" t="s">
        <v>959</v>
      </c>
      <c r="C325" s="1494"/>
      <c r="D325" s="1494"/>
      <c r="E325" s="1494"/>
      <c r="F325" s="1495"/>
      <c r="G325" s="600" t="s">
        <v>372</v>
      </c>
      <c r="H325" s="519" t="s">
        <v>942</v>
      </c>
      <c r="I325" s="570"/>
      <c r="J325" s="522" t="s">
        <v>363</v>
      </c>
      <c r="K325" s="471"/>
    </row>
    <row r="326" spans="1:11">
      <c r="A326" s="463"/>
      <c r="B326" s="1734"/>
      <c r="C326" s="1735"/>
      <c r="D326" s="1735"/>
      <c r="E326" s="1735"/>
      <c r="F326" s="1736"/>
      <c r="G326" s="502"/>
      <c r="H326" s="1737"/>
      <c r="I326" s="1738"/>
      <c r="J326" s="505"/>
      <c r="K326" s="471"/>
    </row>
    <row r="327" spans="1:11">
      <c r="A327" s="463"/>
      <c r="B327" s="1739"/>
      <c r="C327" s="1740"/>
      <c r="D327" s="1740"/>
      <c r="E327" s="1740"/>
      <c r="F327" s="1741"/>
      <c r="G327" s="509"/>
      <c r="H327" s="1742"/>
      <c r="I327" s="1743"/>
      <c r="J327" s="505"/>
      <c r="K327" s="471"/>
    </row>
    <row r="328" spans="1:11">
      <c r="A328" s="463"/>
      <c r="B328" s="594"/>
      <c r="C328" s="536"/>
      <c r="D328" s="536"/>
      <c r="E328" s="595"/>
      <c r="F328" s="596"/>
      <c r="G328" s="545"/>
      <c r="H328" s="545"/>
      <c r="I328" s="537" t="s">
        <v>175</v>
      </c>
      <c r="J328" s="514">
        <f>SUM(J326:J327)</f>
        <v>0</v>
      </c>
      <c r="K328" s="471"/>
    </row>
    <row r="329" spans="1:11">
      <c r="A329" s="463"/>
      <c r="B329" s="536"/>
      <c r="C329" s="536"/>
      <c r="D329" s="536"/>
      <c r="E329" s="536"/>
      <c r="F329" s="536"/>
      <c r="G329" s="536"/>
      <c r="H329" s="536"/>
      <c r="I329" s="537"/>
      <c r="J329" s="536"/>
      <c r="K329" s="471"/>
    </row>
    <row r="330" spans="1:11">
      <c r="A330" s="463"/>
      <c r="B330" s="1481" t="s">
        <v>961</v>
      </c>
      <c r="C330" s="1482"/>
      <c r="D330" s="1482"/>
      <c r="E330" s="1482"/>
      <c r="F330" s="1482"/>
      <c r="G330" s="1482"/>
      <c r="H330" s="1482"/>
      <c r="I330" s="1483"/>
      <c r="J330" s="586" t="e">
        <f>J328+J323+J316</f>
        <v>#REF!</v>
      </c>
      <c r="K330" s="471"/>
    </row>
    <row r="331" spans="1:11">
      <c r="A331" s="463"/>
      <c r="B331" s="536"/>
      <c r="C331" s="536"/>
      <c r="D331" s="536"/>
      <c r="E331" s="536"/>
      <c r="F331" s="536"/>
      <c r="G331" s="536"/>
      <c r="H331" s="536"/>
      <c r="I331" s="537"/>
      <c r="J331" s="536"/>
      <c r="K331" s="471"/>
    </row>
    <row r="332" spans="1:11">
      <c r="A332" s="463"/>
      <c r="B332" s="1481" t="s">
        <v>962</v>
      </c>
      <c r="C332" s="1482"/>
      <c r="D332" s="1482"/>
      <c r="E332" s="1482"/>
      <c r="F332" s="1482"/>
      <c r="G332" s="1482"/>
      <c r="H332" s="1482"/>
      <c r="I332" s="1483"/>
      <c r="J332" s="514" t="e">
        <f>J330*0</f>
        <v>#REF!</v>
      </c>
      <c r="K332" s="471"/>
    </row>
    <row r="333" spans="1:11">
      <c r="A333" s="463"/>
      <c r="B333" s="536"/>
      <c r="C333" s="536"/>
      <c r="D333" s="536"/>
      <c r="E333" s="536"/>
      <c r="F333" s="536"/>
      <c r="G333" s="536"/>
      <c r="H333" s="536"/>
      <c r="I333" s="537"/>
      <c r="J333" s="536"/>
      <c r="K333" s="471"/>
    </row>
    <row r="334" spans="1:11">
      <c r="A334" s="463"/>
      <c r="B334" s="1481" t="s">
        <v>963</v>
      </c>
      <c r="C334" s="1482"/>
      <c r="D334" s="1482"/>
      <c r="E334" s="1482"/>
      <c r="F334" s="1482"/>
      <c r="G334" s="1482"/>
      <c r="H334" s="1482"/>
      <c r="I334" s="1483"/>
      <c r="J334" s="586" t="e">
        <f>J330+J332</f>
        <v>#REF!</v>
      </c>
      <c r="K334" s="471"/>
    </row>
    <row r="335" spans="1:11">
      <c r="A335" s="463"/>
      <c r="B335" s="524"/>
      <c r="C335" s="524"/>
      <c r="D335" s="524"/>
      <c r="E335" s="524"/>
      <c r="F335" s="524"/>
      <c r="G335" s="524"/>
      <c r="H335" s="524"/>
      <c r="I335" s="584"/>
      <c r="J335" s="524"/>
      <c r="K335" s="471"/>
    </row>
    <row r="336" spans="1:11">
      <c r="A336" s="463"/>
      <c r="B336" s="602"/>
      <c r="C336" s="572"/>
      <c r="D336" s="572"/>
      <c r="E336" s="572"/>
      <c r="F336" s="572"/>
      <c r="G336" s="572"/>
      <c r="H336" s="572"/>
      <c r="I336" s="572"/>
      <c r="J336" s="603"/>
      <c r="K336" s="471"/>
    </row>
    <row r="337" spans="1:11">
      <c r="A337" s="463"/>
      <c r="B337" s="604"/>
      <c r="C337" s="605"/>
      <c r="D337" s="606"/>
      <c r="E337" s="606"/>
      <c r="F337" s="607" t="s">
        <v>946</v>
      </c>
      <c r="G337" s="608" t="s">
        <v>946</v>
      </c>
      <c r="H337" s="605"/>
      <c r="I337" s="605"/>
      <c r="J337" s="609"/>
      <c r="K337" s="471"/>
    </row>
    <row r="338" spans="1:11">
      <c r="A338" s="463"/>
      <c r="B338" s="472"/>
      <c r="C338" s="472"/>
      <c r="D338" s="472"/>
      <c r="E338" s="472"/>
      <c r="F338" s="472"/>
      <c r="G338" s="472"/>
      <c r="H338" s="472"/>
      <c r="I338" s="472"/>
      <c r="J338" s="472"/>
      <c r="K338" s="471"/>
    </row>
    <row r="339" spans="1:11">
      <c r="A339" s="463"/>
      <c r="B339" s="610" t="str">
        <f>PLANEJAMENTO!$F$2</f>
        <v>OPERAÇÃO DE SUPRESSÃO E SUMP</v>
      </c>
      <c r="C339" s="611"/>
      <c r="D339" s="611"/>
      <c r="E339" s="611"/>
      <c r="F339" s="612"/>
      <c r="G339" s="613" t="s">
        <v>363</v>
      </c>
      <c r="H339" s="515"/>
      <c r="I339" s="515"/>
      <c r="J339" s="518"/>
      <c r="K339" s="471"/>
    </row>
    <row r="340" spans="1:11">
      <c r="A340" s="463"/>
      <c r="B340" s="614">
        <f>PLANEJAMENTO!E232</f>
        <v>0</v>
      </c>
      <c r="C340" s="615"/>
      <c r="D340" s="615"/>
      <c r="E340" s="615"/>
      <c r="F340" s="616"/>
      <c r="G340" s="1484" t="s">
        <v>964</v>
      </c>
      <c r="H340" s="1485"/>
      <c r="I340" s="1485"/>
      <c r="J340" s="1486"/>
      <c r="K340" s="471"/>
    </row>
    <row r="341" spans="1:11">
      <c r="A341" s="463"/>
      <c r="B341" s="617"/>
      <c r="C341" s="618"/>
      <c r="D341" s="618"/>
      <c r="E341" s="618"/>
      <c r="F341" s="619"/>
      <c r="G341" s="620"/>
      <c r="H341" s="1487"/>
      <c r="I341" s="1488"/>
      <c r="J341" s="1489"/>
      <c r="K341" s="471"/>
    </row>
    <row r="342" spans="1:11" ht="15" thickBot="1">
      <c r="A342" s="621"/>
      <c r="B342" s="622"/>
      <c r="C342" s="622"/>
      <c r="D342" s="622"/>
      <c r="E342" s="622"/>
      <c r="F342" s="622"/>
      <c r="G342" s="622"/>
      <c r="H342" s="622"/>
      <c r="I342" s="622"/>
      <c r="J342" s="622"/>
      <c r="K342" s="623"/>
    </row>
    <row r="343" spans="1:11" hidden="1">
      <c r="A343" s="460"/>
      <c r="B343" s="461"/>
      <c r="C343" s="461"/>
      <c r="D343" s="461"/>
      <c r="E343" s="461"/>
      <c r="F343" s="461"/>
      <c r="G343" s="461"/>
      <c r="H343" s="461"/>
      <c r="I343" s="461"/>
      <c r="J343" s="461"/>
      <c r="K343" s="462"/>
    </row>
    <row r="344" spans="1:11" hidden="1">
      <c r="A344" s="463"/>
      <c r="B344" s="464" t="s">
        <v>178</v>
      </c>
      <c r="C344" s="465"/>
      <c r="D344" s="466" t="s">
        <v>936</v>
      </c>
      <c r="E344" s="467"/>
      <c r="F344" s="468"/>
      <c r="G344" s="468"/>
      <c r="H344" s="469"/>
      <c r="I344" s="469"/>
      <c r="J344" s="470"/>
      <c r="K344" s="471"/>
    </row>
    <row r="345" spans="1:11" hidden="1">
      <c r="A345" s="463"/>
      <c r="B345" s="472"/>
      <c r="C345" s="472"/>
      <c r="D345" s="472"/>
      <c r="E345" s="472"/>
      <c r="F345" s="472"/>
      <c r="G345" s="472"/>
      <c r="H345" s="472"/>
      <c r="I345" s="472"/>
      <c r="J345" s="472"/>
      <c r="K345" s="471"/>
    </row>
    <row r="346" spans="1:11" hidden="1">
      <c r="A346" s="463"/>
      <c r="B346" s="473" t="s">
        <v>987</v>
      </c>
      <c r="C346" s="474" t="s">
        <v>937</v>
      </c>
      <c r="D346" s="1497" t="s">
        <v>250</v>
      </c>
      <c r="E346" s="1498"/>
      <c r="F346" s="1498"/>
      <c r="G346" s="1498"/>
      <c r="H346" s="1498"/>
      <c r="I346" s="1499"/>
      <c r="J346" s="475" t="s">
        <v>267</v>
      </c>
      <c r="K346" s="471"/>
    </row>
    <row r="347" spans="1:11" ht="31.5" hidden="1" customHeight="1">
      <c r="A347" s="463"/>
      <c r="B347" s="476">
        <v>41388</v>
      </c>
      <c r="C347" s="477">
        <f ca="1">PLANEJAMENTO!$F$4</f>
        <v>46140</v>
      </c>
      <c r="D347" s="1721" t="e">
        <f>PLANEJAMENTO!#REF!</f>
        <v>#REF!</v>
      </c>
      <c r="E347" s="1722"/>
      <c r="F347" s="1722"/>
      <c r="G347" s="1722"/>
      <c r="H347" s="1722"/>
      <c r="I347" s="1723"/>
      <c r="J347" s="481" t="str">
        <f>F366</f>
        <v>M3</v>
      </c>
      <c r="K347" s="471"/>
    </row>
    <row r="348" spans="1:11" hidden="1">
      <c r="A348" s="463"/>
      <c r="B348" s="482"/>
      <c r="C348" s="482"/>
      <c r="D348" s="482"/>
      <c r="E348" s="482"/>
      <c r="F348" s="482"/>
      <c r="G348" s="482"/>
      <c r="H348" s="482"/>
      <c r="I348" s="483"/>
      <c r="J348" s="484"/>
      <c r="K348" s="471"/>
    </row>
    <row r="349" spans="1:11" hidden="1">
      <c r="A349" s="463"/>
      <c r="B349" s="1484" t="s">
        <v>938</v>
      </c>
      <c r="C349" s="1486"/>
      <c r="D349" s="1502" t="s">
        <v>688</v>
      </c>
      <c r="E349" s="1504" t="s">
        <v>939</v>
      </c>
      <c r="F349" s="485" t="s">
        <v>940</v>
      </c>
      <c r="G349" s="486"/>
      <c r="H349" s="485" t="s">
        <v>941</v>
      </c>
      <c r="I349" s="486"/>
      <c r="J349" s="487" t="s">
        <v>942</v>
      </c>
      <c r="K349" s="471"/>
    </row>
    <row r="350" spans="1:11" hidden="1">
      <c r="A350" s="463"/>
      <c r="B350" s="1500"/>
      <c r="C350" s="1501"/>
      <c r="D350" s="1503"/>
      <c r="E350" s="1505"/>
      <c r="F350" s="488" t="s">
        <v>943</v>
      </c>
      <c r="G350" s="488" t="s">
        <v>944</v>
      </c>
      <c r="H350" s="488" t="s">
        <v>943</v>
      </c>
      <c r="I350" s="489" t="s">
        <v>944</v>
      </c>
      <c r="J350" s="490" t="s">
        <v>945</v>
      </c>
      <c r="K350" s="471"/>
    </row>
    <row r="351" spans="1:11" hidden="1">
      <c r="A351" s="463"/>
      <c r="B351" s="499" t="str">
        <f>EQUIPAMENTOS!A14</f>
        <v>Escavadeira hidráulica sobre esteira 22T</v>
      </c>
      <c r="C351" s="500"/>
      <c r="D351" s="501"/>
      <c r="E351" s="502">
        <v>1</v>
      </c>
      <c r="F351" s="502">
        <v>1</v>
      </c>
      <c r="G351" s="502">
        <v>0</v>
      </c>
      <c r="H351" s="503">
        <f>VLOOKUP(B351,EQUIPAMENTOS!$A:$J,10,FALSE)</f>
        <v>175</v>
      </c>
      <c r="I351" s="504">
        <f>H351</f>
        <v>175</v>
      </c>
      <c r="J351" s="505">
        <f>H351*F351*E351+I351*G351*E351</f>
        <v>175</v>
      </c>
      <c r="K351" s="471"/>
    </row>
    <row r="352" spans="1:11" hidden="1">
      <c r="A352" s="463"/>
      <c r="B352" s="499" t="s">
        <v>968</v>
      </c>
      <c r="C352" s="500"/>
      <c r="D352" s="501"/>
      <c r="E352" s="502">
        <v>1</v>
      </c>
      <c r="F352" s="502">
        <v>1</v>
      </c>
      <c r="G352" s="502">
        <v>0</v>
      </c>
      <c r="H352" s="503">
        <f>VLOOKUP(B352,EQUIPAMENTOS!$A:$J,10,FALSE)</f>
        <v>190</v>
      </c>
      <c r="I352" s="504">
        <f>H352</f>
        <v>190</v>
      </c>
      <c r="J352" s="505">
        <f>H352*F352*E352+I352*G352*E352</f>
        <v>190</v>
      </c>
      <c r="K352" s="471"/>
    </row>
    <row r="353" spans="1:11" hidden="1">
      <c r="A353" s="463"/>
      <c r="B353" s="499"/>
      <c r="C353" s="500"/>
      <c r="D353" s="501"/>
      <c r="E353" s="502"/>
      <c r="F353" s="502"/>
      <c r="G353" s="502"/>
      <c r="H353" s="503"/>
      <c r="I353" s="504"/>
      <c r="J353" s="505">
        <f>H353*F353*E353+I353*G353*E353</f>
        <v>0</v>
      </c>
      <c r="K353" s="471"/>
    </row>
    <row r="354" spans="1:11" hidden="1">
      <c r="A354" s="463"/>
      <c r="B354" s="506"/>
      <c r="C354" s="507"/>
      <c r="D354" s="508"/>
      <c r="E354" s="509"/>
      <c r="F354" s="509"/>
      <c r="G354" s="509"/>
      <c r="H354" s="510"/>
      <c r="I354" s="511"/>
      <c r="J354" s="505">
        <f>H354*F354*E354+I354*G354*E354</f>
        <v>0</v>
      </c>
      <c r="K354" s="471"/>
    </row>
    <row r="355" spans="1:11" hidden="1">
      <c r="A355" s="463"/>
      <c r="B355" s="512" t="s">
        <v>946</v>
      </c>
      <c r="C355" s="482"/>
      <c r="D355" s="482"/>
      <c r="E355" s="482"/>
      <c r="F355" s="482"/>
      <c r="G355" s="482"/>
      <c r="H355" s="482"/>
      <c r="I355" s="513" t="s">
        <v>175</v>
      </c>
      <c r="J355" s="514">
        <f>SUM(J351:J354)</f>
        <v>365</v>
      </c>
      <c r="K355" s="471"/>
    </row>
    <row r="356" spans="1:11" hidden="1">
      <c r="A356" s="463"/>
      <c r="B356" s="515"/>
      <c r="C356" s="515"/>
      <c r="D356" s="515"/>
      <c r="E356" s="515"/>
      <c r="F356" s="515"/>
      <c r="G356" s="515"/>
      <c r="H356" s="515"/>
      <c r="I356" s="516"/>
      <c r="J356" s="517"/>
      <c r="K356" s="471"/>
    </row>
    <row r="357" spans="1:11" ht="20.399999999999999" hidden="1">
      <c r="A357" s="463"/>
      <c r="B357" s="1490" t="s">
        <v>947</v>
      </c>
      <c r="C357" s="1491"/>
      <c r="D357" s="1491"/>
      <c r="E357" s="1492"/>
      <c r="F357" s="725" t="s">
        <v>688</v>
      </c>
      <c r="G357" s="519"/>
      <c r="H357" s="520" t="s">
        <v>427</v>
      </c>
      <c r="I357" s="521" t="s">
        <v>948</v>
      </c>
      <c r="J357" s="522" t="s">
        <v>949</v>
      </c>
      <c r="K357" s="471"/>
    </row>
    <row r="358" spans="1:11" hidden="1">
      <c r="A358" s="463"/>
      <c r="B358" s="530" t="s">
        <v>472</v>
      </c>
      <c r="C358" s="531"/>
      <c r="D358" s="472"/>
      <c r="E358" s="500"/>
      <c r="F358" s="501"/>
      <c r="G358" s="532"/>
      <c r="H358" s="533">
        <v>4</v>
      </c>
      <c r="I358" s="534">
        <f>(VLOOKUP(B358,'MÃO DE OBRA'!$A:$E,5,FALSE)/220)</f>
        <v>18.377072727272729</v>
      </c>
      <c r="J358" s="505">
        <f>H358*I358</f>
        <v>73.508290909090917</v>
      </c>
      <c r="K358" s="471"/>
    </row>
    <row r="359" spans="1:11" hidden="1">
      <c r="A359" s="463"/>
      <c r="B359" s="530" t="s">
        <v>988</v>
      </c>
      <c r="C359" s="531"/>
      <c r="D359" s="472"/>
      <c r="E359" s="500"/>
      <c r="F359" s="501"/>
      <c r="G359" s="532"/>
      <c r="H359" s="533">
        <v>1</v>
      </c>
      <c r="I359" s="534">
        <f>(VLOOKUP(B359,'MÃO DE OBRA'!$A:$E,5,FALSE)/220)</f>
        <v>21.588799999999999</v>
      </c>
      <c r="J359" s="505">
        <f>H359*I359</f>
        <v>21.588799999999999</v>
      </c>
      <c r="K359" s="471"/>
    </row>
    <row r="360" spans="1:11" hidden="1">
      <c r="A360" s="463"/>
      <c r="B360" s="530" t="s">
        <v>974</v>
      </c>
      <c r="C360" s="531"/>
      <c r="D360" s="472"/>
      <c r="E360" s="500"/>
      <c r="F360" s="501"/>
      <c r="G360" s="532"/>
      <c r="H360" s="533">
        <f>E351</f>
        <v>1</v>
      </c>
      <c r="I360" s="534">
        <f>(VLOOKUP(B360,'MÃO DE OBRA'!$A:$E,5,FALSE)/220)</f>
        <v>35.988199999999999</v>
      </c>
      <c r="J360" s="505">
        <f>H360*I360</f>
        <v>35.988199999999999</v>
      </c>
      <c r="K360" s="471"/>
    </row>
    <row r="361" spans="1:11" hidden="1">
      <c r="A361" s="463"/>
      <c r="B361" s="530" t="s">
        <v>970</v>
      </c>
      <c r="C361" s="531"/>
      <c r="D361" s="472"/>
      <c r="E361" s="500"/>
      <c r="F361" s="501"/>
      <c r="G361" s="532"/>
      <c r="H361" s="533">
        <f>E352</f>
        <v>1</v>
      </c>
      <c r="I361" s="534">
        <f>(VLOOKUP(B361,'MÃO DE OBRA'!$A:$E,5,FALSE)/220)</f>
        <v>35.988199999999999</v>
      </c>
      <c r="J361" s="505">
        <f>H361*I361</f>
        <v>35.988199999999999</v>
      </c>
      <c r="K361" s="471"/>
    </row>
    <row r="362" spans="1:11" hidden="1">
      <c r="A362" s="463"/>
      <c r="B362" s="530"/>
      <c r="C362" s="531"/>
      <c r="D362" s="472"/>
      <c r="E362" s="500"/>
      <c r="F362" s="501"/>
      <c r="G362" s="532"/>
      <c r="H362" s="533"/>
      <c r="I362" s="534"/>
      <c r="J362" s="505"/>
      <c r="K362" s="471"/>
    </row>
    <row r="363" spans="1:11" hidden="1">
      <c r="A363" s="463"/>
      <c r="B363" s="530"/>
      <c r="C363" s="531"/>
      <c r="D363" s="472"/>
      <c r="E363" s="500"/>
      <c r="F363" s="501"/>
      <c r="G363" s="532"/>
      <c r="H363" s="533"/>
      <c r="I363" s="504"/>
      <c r="J363" s="505">
        <f>H363*I363</f>
        <v>0</v>
      </c>
      <c r="K363" s="471"/>
    </row>
    <row r="364" spans="1:11" hidden="1">
      <c r="A364" s="463"/>
      <c r="B364" s="512" t="s">
        <v>946</v>
      </c>
      <c r="C364" s="515"/>
      <c r="D364" s="515"/>
      <c r="E364" s="515"/>
      <c r="F364" s="515"/>
      <c r="G364" s="515"/>
      <c r="H364" s="515"/>
      <c r="I364" s="535" t="s">
        <v>175</v>
      </c>
      <c r="J364" s="514">
        <f>SUM(J358:J363)</f>
        <v>167.07349090909094</v>
      </c>
      <c r="K364" s="471"/>
    </row>
    <row r="365" spans="1:11" hidden="1">
      <c r="A365" s="463"/>
      <c r="B365" s="536"/>
      <c r="C365" s="536"/>
      <c r="D365" s="536"/>
      <c r="E365" s="536"/>
      <c r="F365" s="536"/>
      <c r="G365" s="536"/>
      <c r="H365" s="536"/>
      <c r="I365" s="537"/>
      <c r="J365" s="536"/>
      <c r="K365" s="471"/>
    </row>
    <row r="366" spans="1:11" hidden="1">
      <c r="A366" s="463"/>
      <c r="B366" s="538" t="s">
        <v>952</v>
      </c>
      <c r="C366" s="539"/>
      <c r="D366" s="536"/>
      <c r="E366" s="540" t="e">
        <f>CRONOGRAMA!#REF!*0.5</f>
        <v>#REF!</v>
      </c>
      <c r="F366" s="541" t="s">
        <v>973</v>
      </c>
      <c r="G366" s="519"/>
      <c r="H366" s="519"/>
      <c r="I366" s="542" t="s">
        <v>953</v>
      </c>
      <c r="J366" s="514">
        <f>J355+J364</f>
        <v>532.07349090909088</v>
      </c>
      <c r="K366" s="471"/>
    </row>
    <row r="367" spans="1:11" hidden="1">
      <c r="A367" s="463"/>
      <c r="B367" s="543"/>
      <c r="C367" s="536"/>
      <c r="D367" s="536"/>
      <c r="E367" s="544"/>
      <c r="F367" s="545"/>
      <c r="G367" s="545"/>
      <c r="H367" s="545"/>
      <c r="I367" s="537"/>
      <c r="J367" s="536"/>
      <c r="K367" s="471"/>
    </row>
    <row r="368" spans="1:11" ht="20.399999999999999" hidden="1">
      <c r="A368" s="463"/>
      <c r="B368" s="1493" t="s">
        <v>362</v>
      </c>
      <c r="C368" s="1494"/>
      <c r="D368" s="1494"/>
      <c r="E368" s="1495"/>
      <c r="F368" s="546" t="s">
        <v>688</v>
      </c>
      <c r="G368" s="547" t="s">
        <v>371</v>
      </c>
      <c r="H368" s="520" t="s">
        <v>942</v>
      </c>
      <c r="I368" s="548" t="s">
        <v>361</v>
      </c>
      <c r="J368" s="549" t="s">
        <v>363</v>
      </c>
      <c r="K368" s="471"/>
    </row>
    <row r="369" spans="1:12" hidden="1">
      <c r="A369" s="463"/>
      <c r="B369" s="550" t="str">
        <f>B351</f>
        <v>Escavadeira hidráulica sobre esteira 22T</v>
      </c>
      <c r="C369" s="551"/>
      <c r="D369" s="551"/>
      <c r="E369" s="552"/>
      <c r="F369" s="553" t="str">
        <f>VLOOKUP(B369,EQUIPAMENTOS!$A:$N,12,FALSE)</f>
        <v>Diesel S10</v>
      </c>
      <c r="G369" s="554" t="s">
        <v>415</v>
      </c>
      <c r="H369" s="560">
        <f>VLOOKUP(B369,EQUIPAMENTOS!$A:$N,13,FALSE)</f>
        <v>0</v>
      </c>
      <c r="I369" s="556">
        <f>VLOOKUP(B369,EQUIPAMENTOS!$A:$N,14,FALSE)</f>
        <v>22</v>
      </c>
      <c r="J369" s="498">
        <f>H369*I369*E351*F351</f>
        <v>0</v>
      </c>
      <c r="K369" s="471"/>
    </row>
    <row r="370" spans="1:12" hidden="1">
      <c r="A370" s="463"/>
      <c r="B370" s="530" t="str">
        <f>B352</f>
        <v>Motoniveladora 140k</v>
      </c>
      <c r="C370" s="531"/>
      <c r="D370" s="531"/>
      <c r="E370" s="500"/>
      <c r="F370" s="553" t="str">
        <f>VLOOKUP(B370,EQUIPAMENTOS!$A:$N,12,FALSE)</f>
        <v>Diesel S10</v>
      </c>
      <c r="G370" s="554" t="s">
        <v>415</v>
      </c>
      <c r="H370" s="560">
        <f>VLOOKUP(B370,EQUIPAMENTOS!$A:$N,13,FALSE)</f>
        <v>0</v>
      </c>
      <c r="I370" s="556">
        <f>VLOOKUP(B370,EQUIPAMENTOS!$A:$N,14,FALSE)</f>
        <v>28</v>
      </c>
      <c r="J370" s="498">
        <f>H370*I370*E352*F352</f>
        <v>0</v>
      </c>
      <c r="K370" s="471"/>
    </row>
    <row r="371" spans="1:12" hidden="1">
      <c r="A371" s="463"/>
      <c r="B371" s="530"/>
      <c r="C371" s="539"/>
      <c r="D371" s="539"/>
      <c r="E371" s="507"/>
      <c r="F371" s="501"/>
      <c r="G371" s="481"/>
      <c r="H371" s="560"/>
      <c r="I371" s="561"/>
      <c r="J371" s="505">
        <f>H371*I371*E353*F353</f>
        <v>0</v>
      </c>
      <c r="K371" s="471"/>
    </row>
    <row r="372" spans="1:12" hidden="1">
      <c r="A372" s="463"/>
      <c r="B372" s="563" t="s">
        <v>946</v>
      </c>
      <c r="C372" s="539"/>
      <c r="D372" s="539"/>
      <c r="E372" s="539"/>
      <c r="F372" s="536"/>
      <c r="G372" s="539"/>
      <c r="H372" s="564"/>
      <c r="I372" s="565" t="s">
        <v>175</v>
      </c>
      <c r="J372" s="514">
        <f>SUM(J369:J371)</f>
        <v>0</v>
      </c>
      <c r="K372" s="471"/>
      <c r="L372" s="6" t="e">
        <f>J372/E366</f>
        <v>#REF!</v>
      </c>
    </row>
    <row r="373" spans="1:12" hidden="1">
      <c r="A373" s="463"/>
      <c r="B373" s="566"/>
      <c r="C373" s="539"/>
      <c r="D373" s="539"/>
      <c r="E373" s="567"/>
      <c r="F373" s="568"/>
      <c r="G373" s="519"/>
      <c r="H373" s="519"/>
      <c r="I373" s="542"/>
      <c r="J373" s="567"/>
      <c r="K373" s="471"/>
    </row>
    <row r="374" spans="1:12" ht="20.399999999999999" hidden="1">
      <c r="A374" s="463"/>
      <c r="B374" s="1493" t="s">
        <v>955</v>
      </c>
      <c r="C374" s="1494"/>
      <c r="D374" s="1494"/>
      <c r="E374" s="1494"/>
      <c r="F374" s="1495"/>
      <c r="G374" s="569" t="s">
        <v>372</v>
      </c>
      <c r="H374" s="519" t="s">
        <v>956</v>
      </c>
      <c r="I374" s="570" t="s">
        <v>942</v>
      </c>
      <c r="J374" s="522" t="s">
        <v>363</v>
      </c>
      <c r="K374" s="471"/>
    </row>
    <row r="375" spans="1:12" hidden="1">
      <c r="A375" s="463"/>
      <c r="B375" s="571"/>
      <c r="C375" s="572"/>
      <c r="D375" s="573"/>
      <c r="E375" s="573"/>
      <c r="F375" s="574"/>
      <c r="G375" s="502"/>
      <c r="H375" s="502"/>
      <c r="I375" s="575"/>
      <c r="J375" s="505"/>
      <c r="K375" s="471"/>
    </row>
    <row r="376" spans="1:12" hidden="1">
      <c r="A376" s="463"/>
      <c r="B376" s="576"/>
      <c r="C376" s="577"/>
      <c r="D376" s="578"/>
      <c r="E376" s="578"/>
      <c r="F376" s="579"/>
      <c r="G376" s="502"/>
      <c r="H376" s="502"/>
      <c r="I376" s="575"/>
      <c r="J376" s="505"/>
      <c r="K376" s="471"/>
    </row>
    <row r="377" spans="1:12" hidden="1">
      <c r="A377" s="463"/>
      <c r="B377" s="1496" t="s">
        <v>175</v>
      </c>
      <c r="C377" s="1496"/>
      <c r="D377" s="1496"/>
      <c r="E377" s="1496"/>
      <c r="F377" s="1496"/>
      <c r="G377" s="1496"/>
      <c r="H377" s="1496"/>
      <c r="I377" s="1496"/>
      <c r="J377" s="514">
        <f>SUM(J375:J376)</f>
        <v>0</v>
      </c>
      <c r="K377" s="471"/>
    </row>
    <row r="378" spans="1:12" hidden="1">
      <c r="A378" s="463"/>
      <c r="B378" s="580"/>
      <c r="C378" s="524"/>
      <c r="D378" s="524"/>
      <c r="E378" s="581"/>
      <c r="F378" s="582"/>
      <c r="G378" s="583"/>
      <c r="H378" s="583"/>
      <c r="I378" s="584"/>
      <c r="J378" s="585"/>
      <c r="K378" s="471"/>
    </row>
    <row r="379" spans="1:12" hidden="1">
      <c r="A379" s="463"/>
      <c r="B379" s="586" t="s">
        <v>957</v>
      </c>
      <c r="C379" s="586"/>
      <c r="D379" s="563"/>
      <c r="E379" s="536"/>
      <c r="F379" s="536"/>
      <c r="G379" s="536"/>
      <c r="H379" s="587"/>
      <c r="I379" s="588"/>
      <c r="J379" s="514" t="e">
        <f>(J366+J372+J377)/E366</f>
        <v>#REF!</v>
      </c>
      <c r="K379" s="471"/>
    </row>
    <row r="380" spans="1:12" hidden="1">
      <c r="A380" s="463"/>
      <c r="B380" s="566"/>
      <c r="C380" s="539"/>
      <c r="D380" s="539"/>
      <c r="E380" s="567"/>
      <c r="F380" s="568"/>
      <c r="G380" s="519"/>
      <c r="H380" s="519"/>
      <c r="I380" s="542"/>
      <c r="J380" s="589"/>
      <c r="K380" s="471"/>
    </row>
    <row r="381" spans="1:12" ht="20.399999999999999" hidden="1">
      <c r="A381" s="463"/>
      <c r="B381" s="1493" t="s">
        <v>958</v>
      </c>
      <c r="C381" s="1494"/>
      <c r="D381" s="1494"/>
      <c r="E381" s="1494"/>
      <c r="F381" s="1495"/>
      <c r="G381" s="569" t="s">
        <v>372</v>
      </c>
      <c r="H381" s="519" t="s">
        <v>956</v>
      </c>
      <c r="I381" s="570" t="s">
        <v>942</v>
      </c>
      <c r="J381" s="522" t="s">
        <v>363</v>
      </c>
      <c r="K381" s="471"/>
    </row>
    <row r="382" spans="1:12" hidden="1">
      <c r="A382" s="463"/>
      <c r="B382" s="571" t="s">
        <v>991</v>
      </c>
      <c r="C382" s="572"/>
      <c r="D382" s="573"/>
      <c r="E382" s="573"/>
      <c r="F382" s="574"/>
      <c r="G382" s="502">
        <v>1.165</v>
      </c>
      <c r="H382" s="502" t="s">
        <v>973</v>
      </c>
      <c r="I382" s="738">
        <f>75*1.7+75*1.7</f>
        <v>255</v>
      </c>
      <c r="J382" s="505">
        <f>G382*I382</f>
        <v>297.07499999999999</v>
      </c>
      <c r="K382" s="471"/>
    </row>
    <row r="383" spans="1:12" hidden="1">
      <c r="A383" s="463"/>
      <c r="B383" s="576"/>
      <c r="C383" s="577"/>
      <c r="D383" s="578"/>
      <c r="E383" s="578"/>
      <c r="F383" s="579"/>
      <c r="G383" s="502"/>
      <c r="H383" s="502"/>
      <c r="I383" s="575"/>
      <c r="J383" s="505"/>
      <c r="K383" s="471"/>
    </row>
    <row r="384" spans="1:12" hidden="1">
      <c r="A384" s="463"/>
      <c r="B384" s="576"/>
      <c r="C384" s="577"/>
      <c r="D384" s="578"/>
      <c r="E384" s="578"/>
      <c r="F384" s="579"/>
      <c r="G384" s="502"/>
      <c r="H384" s="502"/>
      <c r="I384" s="737"/>
      <c r="J384" s="505"/>
      <c r="K384" s="471"/>
    </row>
    <row r="385" spans="1:11" hidden="1">
      <c r="A385" s="463"/>
      <c r="B385" s="590"/>
      <c r="C385" s="591"/>
      <c r="D385" s="592"/>
      <c r="E385" s="592"/>
      <c r="F385" s="593"/>
      <c r="G385" s="502"/>
      <c r="H385" s="502"/>
      <c r="I385" s="575"/>
      <c r="J385" s="505">
        <f>G385*I385</f>
        <v>0</v>
      </c>
      <c r="K385" s="471"/>
    </row>
    <row r="386" spans="1:11" hidden="1">
      <c r="A386" s="463"/>
      <c r="B386" s="594"/>
      <c r="C386" s="536"/>
      <c r="D386" s="536"/>
      <c r="E386" s="595"/>
      <c r="F386" s="596"/>
      <c r="G386" s="545"/>
      <c r="H386" s="545"/>
      <c r="I386" s="537" t="s">
        <v>175</v>
      </c>
      <c r="J386" s="514">
        <f>SUM(J382:J385)</f>
        <v>297.07499999999999</v>
      </c>
      <c r="K386" s="471"/>
    </row>
    <row r="387" spans="1:11" hidden="1">
      <c r="A387" s="463"/>
      <c r="B387" s="597"/>
      <c r="C387" s="536"/>
      <c r="D387" s="536"/>
      <c r="E387" s="595"/>
      <c r="F387" s="596"/>
      <c r="G387" s="545"/>
      <c r="H387" s="545"/>
      <c r="I387" s="537"/>
      <c r="J387" s="595"/>
      <c r="K387" s="471"/>
    </row>
    <row r="388" spans="1:11" ht="20.399999999999999" hidden="1">
      <c r="A388" s="463"/>
      <c r="B388" s="1493" t="s">
        <v>959</v>
      </c>
      <c r="C388" s="1494"/>
      <c r="D388" s="1494"/>
      <c r="E388" s="1494"/>
      <c r="F388" s="1495"/>
      <c r="G388" s="600" t="s">
        <v>372</v>
      </c>
      <c r="H388" s="519" t="s">
        <v>942</v>
      </c>
      <c r="I388" s="570"/>
      <c r="J388" s="522" t="s">
        <v>363</v>
      </c>
      <c r="K388" s="471"/>
    </row>
    <row r="389" spans="1:11" hidden="1">
      <c r="A389" s="463"/>
      <c r="B389" s="1734"/>
      <c r="C389" s="1735"/>
      <c r="D389" s="1735"/>
      <c r="E389" s="1735"/>
      <c r="F389" s="1736"/>
      <c r="G389" s="502"/>
      <c r="H389" s="1737"/>
      <c r="I389" s="1738"/>
      <c r="J389" s="505"/>
      <c r="K389" s="471"/>
    </row>
    <row r="390" spans="1:11" hidden="1">
      <c r="A390" s="463"/>
      <c r="B390" s="1739"/>
      <c r="C390" s="1740"/>
      <c r="D390" s="1740"/>
      <c r="E390" s="1740"/>
      <c r="F390" s="1741"/>
      <c r="G390" s="509"/>
      <c r="H390" s="1742"/>
      <c r="I390" s="1743"/>
      <c r="J390" s="505"/>
      <c r="K390" s="471"/>
    </row>
    <row r="391" spans="1:11" hidden="1">
      <c r="A391" s="463"/>
      <c r="B391" s="594"/>
      <c r="C391" s="536"/>
      <c r="D391" s="536"/>
      <c r="E391" s="595"/>
      <c r="F391" s="596"/>
      <c r="G391" s="545"/>
      <c r="H391" s="545"/>
      <c r="I391" s="537" t="s">
        <v>175</v>
      </c>
      <c r="J391" s="514">
        <f>SUM(J389:J390)</f>
        <v>0</v>
      </c>
      <c r="K391" s="471"/>
    </row>
    <row r="392" spans="1:11" hidden="1">
      <c r="A392" s="463"/>
      <c r="B392" s="536"/>
      <c r="C392" s="536"/>
      <c r="D392" s="536"/>
      <c r="E392" s="536"/>
      <c r="F392" s="536"/>
      <c r="G392" s="536"/>
      <c r="H392" s="536"/>
      <c r="I392" s="537"/>
      <c r="J392" s="536"/>
      <c r="K392" s="471"/>
    </row>
    <row r="393" spans="1:11" hidden="1">
      <c r="A393" s="463"/>
      <c r="B393" s="1481" t="s">
        <v>961</v>
      </c>
      <c r="C393" s="1482"/>
      <c r="D393" s="1482"/>
      <c r="E393" s="1482"/>
      <c r="F393" s="1482"/>
      <c r="G393" s="1482"/>
      <c r="H393" s="1482"/>
      <c r="I393" s="1483"/>
      <c r="J393" s="586" t="e">
        <f>J391+J386+J379</f>
        <v>#REF!</v>
      </c>
      <c r="K393" s="471"/>
    </row>
    <row r="394" spans="1:11" hidden="1">
      <c r="A394" s="463"/>
      <c r="B394" s="536"/>
      <c r="C394" s="536"/>
      <c r="D394" s="536"/>
      <c r="E394" s="536"/>
      <c r="F394" s="536"/>
      <c r="G394" s="536"/>
      <c r="H394" s="536"/>
      <c r="I394" s="537"/>
      <c r="J394" s="536"/>
      <c r="K394" s="471"/>
    </row>
    <row r="395" spans="1:11" hidden="1">
      <c r="A395" s="463"/>
      <c r="B395" s="1481" t="s">
        <v>962</v>
      </c>
      <c r="C395" s="1482"/>
      <c r="D395" s="1482"/>
      <c r="E395" s="1482"/>
      <c r="F395" s="1482"/>
      <c r="G395" s="1482"/>
      <c r="H395" s="1482"/>
      <c r="I395" s="1483"/>
      <c r="J395" s="514" t="e">
        <f>J393*0</f>
        <v>#REF!</v>
      </c>
      <c r="K395" s="471"/>
    </row>
    <row r="396" spans="1:11" hidden="1">
      <c r="A396" s="463"/>
      <c r="B396" s="536"/>
      <c r="C396" s="536"/>
      <c r="D396" s="536"/>
      <c r="E396" s="536"/>
      <c r="F396" s="536"/>
      <c r="G396" s="536"/>
      <c r="H396" s="536"/>
      <c r="I396" s="537"/>
      <c r="J396" s="536"/>
      <c r="K396" s="471"/>
    </row>
    <row r="397" spans="1:11" hidden="1">
      <c r="A397" s="463"/>
      <c r="B397" s="1481" t="s">
        <v>963</v>
      </c>
      <c r="C397" s="1482"/>
      <c r="D397" s="1482"/>
      <c r="E397" s="1482"/>
      <c r="F397" s="1482"/>
      <c r="G397" s="1482"/>
      <c r="H397" s="1482"/>
      <c r="I397" s="1483"/>
      <c r="J397" s="586" t="e">
        <f>J393+J395</f>
        <v>#REF!</v>
      </c>
      <c r="K397" s="471"/>
    </row>
    <row r="398" spans="1:11" hidden="1">
      <c r="A398" s="463"/>
      <c r="B398" s="524"/>
      <c r="C398" s="524"/>
      <c r="D398" s="524"/>
      <c r="E398" s="524"/>
      <c r="F398" s="524"/>
      <c r="G398" s="524"/>
      <c r="H398" s="524"/>
      <c r="I398" s="584"/>
      <c r="J398" s="524"/>
      <c r="K398" s="471"/>
    </row>
    <row r="399" spans="1:11" hidden="1">
      <c r="A399" s="463"/>
      <c r="B399" s="602"/>
      <c r="C399" s="572"/>
      <c r="D399" s="572"/>
      <c r="E399" s="572"/>
      <c r="F399" s="572"/>
      <c r="G399" s="572"/>
      <c r="H399" s="572"/>
      <c r="I399" s="572"/>
      <c r="J399" s="603"/>
      <c r="K399" s="471"/>
    </row>
    <row r="400" spans="1:11" hidden="1">
      <c r="A400" s="463"/>
      <c r="B400" s="604"/>
      <c r="C400" s="605"/>
      <c r="D400" s="606"/>
      <c r="E400" s="606"/>
      <c r="F400" s="607" t="s">
        <v>946</v>
      </c>
      <c r="G400" s="608" t="s">
        <v>946</v>
      </c>
      <c r="H400" s="605"/>
      <c r="I400" s="605"/>
      <c r="J400" s="609"/>
      <c r="K400" s="471"/>
    </row>
    <row r="401" spans="1:11" hidden="1">
      <c r="A401" s="463"/>
      <c r="B401" s="472"/>
      <c r="C401" s="472"/>
      <c r="D401" s="472"/>
      <c r="E401" s="472"/>
      <c r="F401" s="472"/>
      <c r="G401" s="472"/>
      <c r="H401" s="472"/>
      <c r="I401" s="472"/>
      <c r="J401" s="472"/>
      <c r="K401" s="471"/>
    </row>
    <row r="402" spans="1:11" hidden="1">
      <c r="A402" s="463"/>
      <c r="B402" s="610" t="str">
        <f>PLANEJAMENTO!$F$2</f>
        <v>OPERAÇÃO DE SUPRESSÃO E SUMP</v>
      </c>
      <c r="C402" s="611"/>
      <c r="D402" s="611"/>
      <c r="E402" s="611"/>
      <c r="F402" s="612"/>
      <c r="G402" s="613" t="s">
        <v>363</v>
      </c>
      <c r="H402" s="515"/>
      <c r="I402" s="515"/>
      <c r="J402" s="518"/>
      <c r="K402" s="471"/>
    </row>
    <row r="403" spans="1:11" hidden="1">
      <c r="A403" s="463"/>
      <c r="B403" s="614">
        <f>PLANEJAMENTO!E293</f>
        <v>0</v>
      </c>
      <c r="C403" s="615"/>
      <c r="D403" s="615"/>
      <c r="E403" s="615"/>
      <c r="F403" s="616"/>
      <c r="G403" s="1484" t="s">
        <v>964</v>
      </c>
      <c r="H403" s="1485"/>
      <c r="I403" s="1485"/>
      <c r="J403" s="1486"/>
      <c r="K403" s="471"/>
    </row>
    <row r="404" spans="1:11" hidden="1">
      <c r="A404" s="463"/>
      <c r="B404" s="617"/>
      <c r="C404" s="618"/>
      <c r="D404" s="618"/>
      <c r="E404" s="618"/>
      <c r="F404" s="619"/>
      <c r="G404" s="620"/>
      <c r="H404" s="1487"/>
      <c r="I404" s="1488"/>
      <c r="J404" s="1489"/>
      <c r="K404" s="471"/>
    </row>
    <row r="405" spans="1:11" ht="15" hidden="1" thickBot="1">
      <c r="A405" s="621"/>
      <c r="B405" s="622"/>
      <c r="C405" s="622"/>
      <c r="D405" s="622"/>
      <c r="E405" s="622"/>
      <c r="F405" s="622"/>
      <c r="G405" s="622"/>
      <c r="H405" s="622"/>
      <c r="I405" s="622"/>
      <c r="J405" s="622"/>
      <c r="K405" s="623"/>
    </row>
    <row r="406" spans="1:11" hidden="1">
      <c r="A406" s="460"/>
      <c r="B406" s="461"/>
      <c r="C406" s="461"/>
      <c r="D406" s="461"/>
      <c r="E406" s="461"/>
      <c r="F406" s="461"/>
      <c r="G406" s="461"/>
      <c r="H406" s="461"/>
      <c r="I406" s="461"/>
      <c r="J406" s="461"/>
      <c r="K406" s="462"/>
    </row>
    <row r="407" spans="1:11" hidden="1">
      <c r="A407" s="463"/>
      <c r="B407" s="464" t="s">
        <v>178</v>
      </c>
      <c r="C407" s="465"/>
      <c r="D407" s="466" t="s">
        <v>936</v>
      </c>
      <c r="E407" s="467"/>
      <c r="F407" s="468"/>
      <c r="G407" s="468"/>
      <c r="H407" s="469"/>
      <c r="I407" s="469"/>
      <c r="J407" s="470"/>
      <c r="K407" s="471"/>
    </row>
    <row r="408" spans="1:11" hidden="1">
      <c r="A408" s="463"/>
      <c r="B408" s="472"/>
      <c r="C408" s="472"/>
      <c r="D408" s="472"/>
      <c r="E408" s="472"/>
      <c r="F408" s="472"/>
      <c r="G408" s="472"/>
      <c r="H408" s="472"/>
      <c r="I408" s="472"/>
      <c r="J408" s="472"/>
      <c r="K408" s="471"/>
    </row>
    <row r="409" spans="1:11" hidden="1">
      <c r="A409" s="463"/>
      <c r="B409" s="473" t="s">
        <v>987</v>
      </c>
      <c r="C409" s="474" t="s">
        <v>937</v>
      </c>
      <c r="D409" s="1497" t="s">
        <v>250</v>
      </c>
      <c r="E409" s="1498"/>
      <c r="F409" s="1498"/>
      <c r="G409" s="1498"/>
      <c r="H409" s="1498"/>
      <c r="I409" s="1499"/>
      <c r="J409" s="475" t="s">
        <v>267</v>
      </c>
      <c r="K409" s="471"/>
    </row>
    <row r="410" spans="1:11" hidden="1">
      <c r="A410" s="463"/>
      <c r="B410" s="476">
        <v>41389</v>
      </c>
      <c r="C410" s="477">
        <f ca="1">PLANEJAMENTO!$F$4</f>
        <v>46140</v>
      </c>
      <c r="D410" s="1721" t="e">
        <f>PLANEJAMENTO!#REF!</f>
        <v>#REF!</v>
      </c>
      <c r="E410" s="1722"/>
      <c r="F410" s="1722"/>
      <c r="G410" s="1722"/>
      <c r="H410" s="1722"/>
      <c r="I410" s="1723"/>
      <c r="J410" s="481" t="str">
        <f>F429</f>
        <v>m2</v>
      </c>
      <c r="K410" s="471"/>
    </row>
    <row r="411" spans="1:11" hidden="1">
      <c r="A411" s="463"/>
      <c r="B411" s="482"/>
      <c r="C411" s="482"/>
      <c r="D411" s="482"/>
      <c r="E411" s="482"/>
      <c r="F411" s="482"/>
      <c r="G411" s="482"/>
      <c r="H411" s="482"/>
      <c r="I411" s="483"/>
      <c r="J411" s="484"/>
      <c r="K411" s="471"/>
    </row>
    <row r="412" spans="1:11" hidden="1">
      <c r="A412" s="463"/>
      <c r="B412" s="1484" t="s">
        <v>938</v>
      </c>
      <c r="C412" s="1486"/>
      <c r="D412" s="1502" t="s">
        <v>688</v>
      </c>
      <c r="E412" s="1504" t="s">
        <v>939</v>
      </c>
      <c r="F412" s="485" t="s">
        <v>940</v>
      </c>
      <c r="G412" s="486"/>
      <c r="H412" s="485" t="s">
        <v>941</v>
      </c>
      <c r="I412" s="486"/>
      <c r="J412" s="487" t="s">
        <v>942</v>
      </c>
      <c r="K412" s="471"/>
    </row>
    <row r="413" spans="1:11" hidden="1">
      <c r="A413" s="463"/>
      <c r="B413" s="1500"/>
      <c r="C413" s="1501"/>
      <c r="D413" s="1503"/>
      <c r="E413" s="1505"/>
      <c r="F413" s="488" t="s">
        <v>943</v>
      </c>
      <c r="G413" s="488" t="s">
        <v>944</v>
      </c>
      <c r="H413" s="488" t="s">
        <v>943</v>
      </c>
      <c r="I413" s="489" t="s">
        <v>944</v>
      </c>
      <c r="J413" s="490" t="s">
        <v>945</v>
      </c>
      <c r="K413" s="471"/>
    </row>
    <row r="414" spans="1:11" hidden="1">
      <c r="A414" s="463"/>
      <c r="B414" s="499"/>
      <c r="C414" s="500"/>
      <c r="D414" s="501"/>
      <c r="E414" s="502"/>
      <c r="F414" s="502"/>
      <c r="G414" s="502"/>
      <c r="H414" s="503"/>
      <c r="I414" s="504"/>
      <c r="J414" s="505"/>
      <c r="K414" s="471"/>
    </row>
    <row r="415" spans="1:11" hidden="1">
      <c r="A415" s="463"/>
      <c r="B415" s="499" t="s">
        <v>968</v>
      </c>
      <c r="C415" s="500"/>
      <c r="D415" s="501"/>
      <c r="E415" s="502"/>
      <c r="F415" s="502">
        <v>1</v>
      </c>
      <c r="G415" s="502">
        <v>0</v>
      </c>
      <c r="H415" s="503">
        <f>VLOOKUP(B415,EQUIPAMENTOS!$A:$J,10,FALSE)</f>
        <v>190</v>
      </c>
      <c r="I415" s="504">
        <f>H415</f>
        <v>190</v>
      </c>
      <c r="J415" s="505">
        <f>H415*F415*E415+I415*G415*E415</f>
        <v>0</v>
      </c>
      <c r="K415" s="471"/>
    </row>
    <row r="416" spans="1:11" hidden="1">
      <c r="A416" s="463"/>
      <c r="B416" s="499"/>
      <c r="C416" s="500"/>
      <c r="D416" s="501"/>
      <c r="E416" s="502"/>
      <c r="F416" s="502"/>
      <c r="G416" s="502"/>
      <c r="H416" s="503"/>
      <c r="I416" s="504"/>
      <c r="J416" s="505">
        <f>H416*F416*E416+I416*G416*E416</f>
        <v>0</v>
      </c>
      <c r="K416" s="471"/>
    </row>
    <row r="417" spans="1:11" hidden="1">
      <c r="A417" s="463"/>
      <c r="B417" s="506"/>
      <c r="C417" s="507"/>
      <c r="D417" s="508"/>
      <c r="E417" s="509"/>
      <c r="F417" s="509"/>
      <c r="G417" s="509"/>
      <c r="H417" s="510"/>
      <c r="I417" s="511"/>
      <c r="J417" s="505">
        <f>H417*F417*E417+I417*G417*E417</f>
        <v>0</v>
      </c>
      <c r="K417" s="471"/>
    </row>
    <row r="418" spans="1:11" hidden="1">
      <c r="A418" s="463"/>
      <c r="B418" s="512" t="s">
        <v>946</v>
      </c>
      <c r="C418" s="482"/>
      <c r="D418" s="482"/>
      <c r="E418" s="482"/>
      <c r="F418" s="482"/>
      <c r="G418" s="482"/>
      <c r="H418" s="482"/>
      <c r="I418" s="513" t="s">
        <v>175</v>
      </c>
      <c r="J418" s="514">
        <f>SUM(J414:J417)</f>
        <v>0</v>
      </c>
      <c r="K418" s="471"/>
    </row>
    <row r="419" spans="1:11" hidden="1">
      <c r="A419" s="463"/>
      <c r="B419" s="515"/>
      <c r="C419" s="515"/>
      <c r="D419" s="515"/>
      <c r="E419" s="515"/>
      <c r="F419" s="515"/>
      <c r="G419" s="515"/>
      <c r="H419" s="515"/>
      <c r="I419" s="516"/>
      <c r="J419" s="517"/>
      <c r="K419" s="471"/>
    </row>
    <row r="420" spans="1:11" ht="20.399999999999999" hidden="1">
      <c r="A420" s="463"/>
      <c r="B420" s="1490" t="s">
        <v>947</v>
      </c>
      <c r="C420" s="1491"/>
      <c r="D420" s="1491"/>
      <c r="E420" s="1492"/>
      <c r="F420" s="725" t="s">
        <v>688</v>
      </c>
      <c r="G420" s="519"/>
      <c r="H420" s="520" t="s">
        <v>427</v>
      </c>
      <c r="I420" s="521" t="s">
        <v>948</v>
      </c>
      <c r="J420" s="522" t="s">
        <v>949</v>
      </c>
      <c r="K420" s="471"/>
    </row>
    <row r="421" spans="1:11" hidden="1">
      <c r="A421" s="463"/>
      <c r="B421" s="530" t="s">
        <v>472</v>
      </c>
      <c r="C421" s="531"/>
      <c r="D421" s="472"/>
      <c r="E421" s="500"/>
      <c r="F421" s="501"/>
      <c r="G421" s="532"/>
      <c r="H421" s="533">
        <v>5</v>
      </c>
      <c r="I421" s="534">
        <f>(VLOOKUP(B421,'MÃO DE OBRA'!$A:$E,5,FALSE)/220)</f>
        <v>18.377072727272729</v>
      </c>
      <c r="J421" s="505">
        <f>H421*I421</f>
        <v>91.88536363636365</v>
      </c>
      <c r="K421" s="471"/>
    </row>
    <row r="422" spans="1:11" hidden="1">
      <c r="A422" s="463"/>
      <c r="B422" s="530" t="s">
        <v>988</v>
      </c>
      <c r="C422" s="531"/>
      <c r="D422" s="472"/>
      <c r="E422" s="500"/>
      <c r="F422" s="501"/>
      <c r="G422" s="532"/>
      <c r="H422" s="533"/>
      <c r="I422" s="534">
        <f>(VLOOKUP(B422,'MÃO DE OBRA'!$A:$E,5,FALSE)/220)</f>
        <v>21.588799999999999</v>
      </c>
      <c r="J422" s="505">
        <f>H422*I422</f>
        <v>0</v>
      </c>
      <c r="K422" s="471"/>
    </row>
    <row r="423" spans="1:11" hidden="1">
      <c r="A423" s="463"/>
      <c r="B423" s="530" t="s">
        <v>974</v>
      </c>
      <c r="C423" s="531"/>
      <c r="D423" s="472"/>
      <c r="E423" s="500"/>
      <c r="F423" s="501"/>
      <c r="G423" s="532"/>
      <c r="H423" s="533"/>
      <c r="I423" s="534">
        <f>(VLOOKUP(B423,'MÃO DE OBRA'!$A:$E,5,FALSE)/220)</f>
        <v>35.988199999999999</v>
      </c>
      <c r="J423" s="505">
        <f>H423*I423</f>
        <v>0</v>
      </c>
      <c r="K423" s="471"/>
    </row>
    <row r="424" spans="1:11" hidden="1">
      <c r="A424" s="463"/>
      <c r="B424" s="530" t="s">
        <v>970</v>
      </c>
      <c r="C424" s="531"/>
      <c r="D424" s="472"/>
      <c r="E424" s="500"/>
      <c r="F424" s="501"/>
      <c r="G424" s="532"/>
      <c r="H424" s="533"/>
      <c r="I424" s="534">
        <f>(VLOOKUP(B424,'MÃO DE OBRA'!$A:$E,5,FALSE)/220)</f>
        <v>35.988199999999999</v>
      </c>
      <c r="J424" s="505">
        <f>H424*I424</f>
        <v>0</v>
      </c>
      <c r="K424" s="471"/>
    </row>
    <row r="425" spans="1:11" hidden="1">
      <c r="A425" s="463"/>
      <c r="B425" s="530"/>
      <c r="C425" s="531"/>
      <c r="D425" s="472"/>
      <c r="E425" s="500"/>
      <c r="F425" s="501"/>
      <c r="G425" s="532"/>
      <c r="H425" s="533"/>
      <c r="I425" s="534"/>
      <c r="J425" s="505"/>
      <c r="K425" s="471"/>
    </row>
    <row r="426" spans="1:11" hidden="1">
      <c r="A426" s="463"/>
      <c r="B426" s="530"/>
      <c r="C426" s="531"/>
      <c r="D426" s="472"/>
      <c r="E426" s="500"/>
      <c r="F426" s="501"/>
      <c r="G426" s="532"/>
      <c r="H426" s="533"/>
      <c r="I426" s="504"/>
      <c r="J426" s="505">
        <f>H426*I426</f>
        <v>0</v>
      </c>
      <c r="K426" s="471"/>
    </row>
    <row r="427" spans="1:11" hidden="1">
      <c r="A427" s="463"/>
      <c r="B427" s="512" t="s">
        <v>946</v>
      </c>
      <c r="C427" s="515"/>
      <c r="D427" s="515"/>
      <c r="E427" s="515"/>
      <c r="F427" s="515"/>
      <c r="G427" s="515"/>
      <c r="H427" s="515"/>
      <c r="I427" s="535" t="s">
        <v>175</v>
      </c>
      <c r="J427" s="514">
        <f>SUM(J421:J426)</f>
        <v>91.88536363636365</v>
      </c>
      <c r="K427" s="471"/>
    </row>
    <row r="428" spans="1:11" hidden="1">
      <c r="A428" s="463"/>
      <c r="B428" s="536"/>
      <c r="C428" s="536"/>
      <c r="D428" s="536"/>
      <c r="E428" s="536"/>
      <c r="F428" s="536"/>
      <c r="G428" s="536"/>
      <c r="H428" s="536"/>
      <c r="I428" s="537"/>
      <c r="J428" s="536"/>
      <c r="K428" s="471"/>
    </row>
    <row r="429" spans="1:11" hidden="1">
      <c r="A429" s="463"/>
      <c r="B429" s="538" t="s">
        <v>952</v>
      </c>
      <c r="C429" s="539"/>
      <c r="D429" s="536"/>
      <c r="E429" s="540" t="e">
        <f>CRONOGRAMA!#REF!*0.55</f>
        <v>#REF!</v>
      </c>
      <c r="F429" s="541" t="s">
        <v>965</v>
      </c>
      <c r="G429" s="519"/>
      <c r="H429" s="519"/>
      <c r="I429" s="542" t="s">
        <v>953</v>
      </c>
      <c r="J429" s="514">
        <f>J418+J427</f>
        <v>91.88536363636365</v>
      </c>
      <c r="K429" s="471"/>
    </row>
    <row r="430" spans="1:11" hidden="1">
      <c r="A430" s="463"/>
      <c r="B430" s="543"/>
      <c r="C430" s="536"/>
      <c r="D430" s="536"/>
      <c r="E430" s="544"/>
      <c r="F430" s="545"/>
      <c r="G430" s="545"/>
      <c r="H430" s="545"/>
      <c r="I430" s="537"/>
      <c r="J430" s="536"/>
      <c r="K430" s="471"/>
    </row>
    <row r="431" spans="1:11" ht="20.399999999999999" hidden="1">
      <c r="A431" s="463"/>
      <c r="B431" s="1493" t="s">
        <v>362</v>
      </c>
      <c r="C431" s="1494"/>
      <c r="D431" s="1494"/>
      <c r="E431" s="1495"/>
      <c r="F431" s="546" t="s">
        <v>688</v>
      </c>
      <c r="G431" s="547" t="s">
        <v>371</v>
      </c>
      <c r="H431" s="520" t="s">
        <v>942</v>
      </c>
      <c r="I431" s="548" t="s">
        <v>361</v>
      </c>
      <c r="J431" s="549" t="s">
        <v>363</v>
      </c>
      <c r="K431" s="471"/>
    </row>
    <row r="432" spans="1:11" hidden="1">
      <c r="A432" s="463"/>
      <c r="B432" s="550"/>
      <c r="C432" s="551"/>
      <c r="D432" s="551"/>
      <c r="E432" s="552"/>
      <c r="F432" s="553"/>
      <c r="G432" s="554"/>
      <c r="H432" s="560"/>
      <c r="I432" s="556"/>
      <c r="J432" s="498"/>
      <c r="K432" s="471"/>
    </row>
    <row r="433" spans="1:12" hidden="1">
      <c r="A433" s="463"/>
      <c r="B433" s="530" t="str">
        <f>B415</f>
        <v>Motoniveladora 140k</v>
      </c>
      <c r="C433" s="531"/>
      <c r="D433" s="531"/>
      <c r="E433" s="500"/>
      <c r="F433" s="553" t="str">
        <f>VLOOKUP(B433,EQUIPAMENTOS!$A:$N,12,FALSE)</f>
        <v>Diesel S10</v>
      </c>
      <c r="G433" s="554" t="s">
        <v>415</v>
      </c>
      <c r="H433" s="560">
        <f>VLOOKUP(B433,EQUIPAMENTOS!$A:$N,13,FALSE)</f>
        <v>0</v>
      </c>
      <c r="I433" s="556">
        <f>VLOOKUP(B433,EQUIPAMENTOS!$A:$N,14,FALSE)</f>
        <v>28</v>
      </c>
      <c r="J433" s="498">
        <f>H433*I433*E415*F415</f>
        <v>0</v>
      </c>
      <c r="K433" s="471"/>
    </row>
    <row r="434" spans="1:12" hidden="1">
      <c r="A434" s="463"/>
      <c r="B434" s="530"/>
      <c r="C434" s="539"/>
      <c r="D434" s="539"/>
      <c r="E434" s="507"/>
      <c r="F434" s="501"/>
      <c r="G434" s="481"/>
      <c r="H434" s="560"/>
      <c r="I434" s="561"/>
      <c r="J434" s="505">
        <f>H434*I434*E416*F416</f>
        <v>0</v>
      </c>
      <c r="K434" s="471"/>
    </row>
    <row r="435" spans="1:12" hidden="1">
      <c r="A435" s="463"/>
      <c r="B435" s="563" t="s">
        <v>946</v>
      </c>
      <c r="C435" s="539"/>
      <c r="D435" s="539"/>
      <c r="E435" s="539"/>
      <c r="F435" s="536"/>
      <c r="G435" s="539"/>
      <c r="H435" s="564"/>
      <c r="I435" s="565" t="s">
        <v>175</v>
      </c>
      <c r="J435" s="514">
        <f>SUM(J432:J434)</f>
        <v>0</v>
      </c>
      <c r="K435" s="471"/>
      <c r="L435" s="6" t="e">
        <f>J435/E429</f>
        <v>#REF!</v>
      </c>
    </row>
    <row r="436" spans="1:12" hidden="1">
      <c r="A436" s="463"/>
      <c r="B436" s="566"/>
      <c r="C436" s="539"/>
      <c r="D436" s="539"/>
      <c r="E436" s="567"/>
      <c r="F436" s="568"/>
      <c r="G436" s="519"/>
      <c r="H436" s="519"/>
      <c r="I436" s="542"/>
      <c r="J436" s="567"/>
      <c r="K436" s="471"/>
    </row>
    <row r="437" spans="1:12" ht="20.399999999999999" hidden="1">
      <c r="A437" s="463"/>
      <c r="B437" s="1493" t="s">
        <v>955</v>
      </c>
      <c r="C437" s="1494"/>
      <c r="D437" s="1494"/>
      <c r="E437" s="1494"/>
      <c r="F437" s="1495"/>
      <c r="G437" s="569" t="s">
        <v>372</v>
      </c>
      <c r="H437" s="519" t="s">
        <v>956</v>
      </c>
      <c r="I437" s="570" t="s">
        <v>942</v>
      </c>
      <c r="J437" s="522" t="s">
        <v>363</v>
      </c>
      <c r="K437" s="471"/>
    </row>
    <row r="438" spans="1:12" hidden="1">
      <c r="A438" s="463"/>
      <c r="B438" s="571"/>
      <c r="C438" s="572"/>
      <c r="D438" s="573"/>
      <c r="E438" s="573"/>
      <c r="F438" s="574"/>
      <c r="G438" s="502"/>
      <c r="H438" s="502"/>
      <c r="I438" s="575"/>
      <c r="J438" s="505"/>
      <c r="K438" s="471"/>
    </row>
    <row r="439" spans="1:12" hidden="1">
      <c r="A439" s="463"/>
      <c r="B439" s="576"/>
      <c r="C439" s="577"/>
      <c r="D439" s="578"/>
      <c r="E439" s="578"/>
      <c r="F439" s="579"/>
      <c r="G439" s="502"/>
      <c r="H439" s="502"/>
      <c r="I439" s="575"/>
      <c r="J439" s="505"/>
      <c r="K439" s="471"/>
    </row>
    <row r="440" spans="1:12" hidden="1">
      <c r="A440" s="463"/>
      <c r="B440" s="1496" t="s">
        <v>175</v>
      </c>
      <c r="C440" s="1496"/>
      <c r="D440" s="1496"/>
      <c r="E440" s="1496"/>
      <c r="F440" s="1496"/>
      <c r="G440" s="1496"/>
      <c r="H440" s="1496"/>
      <c r="I440" s="1496"/>
      <c r="J440" s="514">
        <f>SUM(J438:J439)</f>
        <v>0</v>
      </c>
      <c r="K440" s="471"/>
    </row>
    <row r="441" spans="1:12" hidden="1">
      <c r="A441" s="463"/>
      <c r="B441" s="580"/>
      <c r="C441" s="524"/>
      <c r="D441" s="524"/>
      <c r="E441" s="581"/>
      <c r="F441" s="582"/>
      <c r="G441" s="583"/>
      <c r="H441" s="583"/>
      <c r="I441" s="584"/>
      <c r="J441" s="585"/>
      <c r="K441" s="471"/>
    </row>
    <row r="442" spans="1:12" hidden="1">
      <c r="A442" s="463"/>
      <c r="B442" s="586" t="s">
        <v>957</v>
      </c>
      <c r="C442" s="586"/>
      <c r="D442" s="563"/>
      <c r="E442" s="536"/>
      <c r="F442" s="536"/>
      <c r="G442" s="536"/>
      <c r="H442" s="587"/>
      <c r="I442" s="588"/>
      <c r="J442" s="514" t="e">
        <f>(J429+J435+J440)/E429</f>
        <v>#REF!</v>
      </c>
      <c r="K442" s="471"/>
    </row>
    <row r="443" spans="1:12" hidden="1">
      <c r="A443" s="463"/>
      <c r="B443" s="566"/>
      <c r="C443" s="539"/>
      <c r="D443" s="539"/>
      <c r="E443" s="567"/>
      <c r="F443" s="568"/>
      <c r="G443" s="519"/>
      <c r="H443" s="519"/>
      <c r="I443" s="542"/>
      <c r="J443" s="589"/>
      <c r="K443" s="471"/>
    </row>
    <row r="444" spans="1:12" ht="20.399999999999999" hidden="1">
      <c r="A444" s="463"/>
      <c r="B444" s="1493" t="s">
        <v>958</v>
      </c>
      <c r="C444" s="1494"/>
      <c r="D444" s="1494"/>
      <c r="E444" s="1494"/>
      <c r="F444" s="1495"/>
      <c r="G444" s="569" t="s">
        <v>372</v>
      </c>
      <c r="H444" s="519" t="s">
        <v>956</v>
      </c>
      <c r="I444" s="570" t="s">
        <v>942</v>
      </c>
      <c r="J444" s="522" t="s">
        <v>363</v>
      </c>
      <c r="K444" s="471"/>
    </row>
    <row r="445" spans="1:12" hidden="1">
      <c r="A445" s="463"/>
      <c r="B445" s="571" t="s">
        <v>992</v>
      </c>
      <c r="C445" s="572"/>
      <c r="D445" s="573"/>
      <c r="E445" s="573"/>
      <c r="F445" s="574"/>
      <c r="G445" s="502">
        <v>1</v>
      </c>
      <c r="H445" s="502" t="s">
        <v>904</v>
      </c>
      <c r="I445" s="738">
        <v>12.5</v>
      </c>
      <c r="J445" s="505">
        <f>G445*I445</f>
        <v>12.5</v>
      </c>
      <c r="K445" s="471"/>
    </row>
    <row r="446" spans="1:12" hidden="1">
      <c r="A446" s="463"/>
      <c r="B446" s="576"/>
      <c r="C446" s="577"/>
      <c r="D446" s="578"/>
      <c r="E446" s="578"/>
      <c r="F446" s="579"/>
      <c r="G446" s="502"/>
      <c r="H446" s="502"/>
      <c r="I446" s="575"/>
      <c r="J446" s="505"/>
      <c r="K446" s="471"/>
    </row>
    <row r="447" spans="1:12" hidden="1">
      <c r="A447" s="463"/>
      <c r="B447" s="576"/>
      <c r="C447" s="577"/>
      <c r="D447" s="578"/>
      <c r="E447" s="578"/>
      <c r="F447" s="579"/>
      <c r="G447" s="502"/>
      <c r="H447" s="502"/>
      <c r="I447" s="737"/>
      <c r="J447" s="505"/>
      <c r="K447" s="471"/>
    </row>
    <row r="448" spans="1:12" hidden="1">
      <c r="A448" s="463"/>
      <c r="B448" s="590"/>
      <c r="C448" s="591"/>
      <c r="D448" s="592"/>
      <c r="E448" s="592"/>
      <c r="F448" s="593"/>
      <c r="G448" s="502"/>
      <c r="H448" s="502"/>
      <c r="I448" s="575"/>
      <c r="J448" s="505">
        <f>G448*I448</f>
        <v>0</v>
      </c>
      <c r="K448" s="471"/>
    </row>
    <row r="449" spans="1:11" hidden="1">
      <c r="A449" s="463"/>
      <c r="B449" s="594"/>
      <c r="C449" s="536"/>
      <c r="D449" s="536"/>
      <c r="E449" s="595"/>
      <c r="F449" s="596"/>
      <c r="G449" s="545"/>
      <c r="H449" s="545"/>
      <c r="I449" s="537" t="s">
        <v>175</v>
      </c>
      <c r="J449" s="514">
        <f>SUM(J445:J448)</f>
        <v>12.5</v>
      </c>
      <c r="K449" s="471"/>
    </row>
    <row r="450" spans="1:11" hidden="1">
      <c r="A450" s="463"/>
      <c r="B450" s="597"/>
      <c r="C450" s="536"/>
      <c r="D450" s="536"/>
      <c r="E450" s="595"/>
      <c r="F450" s="596"/>
      <c r="G450" s="545"/>
      <c r="H450" s="545"/>
      <c r="I450" s="537"/>
      <c r="J450" s="595"/>
      <c r="K450" s="471"/>
    </row>
    <row r="451" spans="1:11" ht="20.399999999999999" hidden="1">
      <c r="A451" s="463"/>
      <c r="B451" s="1493" t="s">
        <v>959</v>
      </c>
      <c r="C451" s="1494"/>
      <c r="D451" s="1494"/>
      <c r="E451" s="1494"/>
      <c r="F451" s="1495"/>
      <c r="G451" s="600" t="s">
        <v>372</v>
      </c>
      <c r="H451" s="519" t="s">
        <v>942</v>
      </c>
      <c r="I451" s="570"/>
      <c r="J451" s="522" t="s">
        <v>363</v>
      </c>
      <c r="K451" s="471"/>
    </row>
    <row r="452" spans="1:11" hidden="1">
      <c r="A452" s="463"/>
      <c r="B452" s="1734"/>
      <c r="C452" s="1735"/>
      <c r="D452" s="1735"/>
      <c r="E452" s="1735"/>
      <c r="F452" s="1736"/>
      <c r="G452" s="502"/>
      <c r="H452" s="1737"/>
      <c r="I452" s="1738"/>
      <c r="J452" s="505"/>
      <c r="K452" s="471"/>
    </row>
    <row r="453" spans="1:11" hidden="1">
      <c r="A453" s="463"/>
      <c r="B453" s="1739"/>
      <c r="C453" s="1740"/>
      <c r="D453" s="1740"/>
      <c r="E453" s="1740"/>
      <c r="F453" s="1741"/>
      <c r="G453" s="509"/>
      <c r="H453" s="1742"/>
      <c r="I453" s="1743"/>
      <c r="J453" s="505"/>
      <c r="K453" s="471"/>
    </row>
    <row r="454" spans="1:11" hidden="1">
      <c r="A454" s="463"/>
      <c r="B454" s="594"/>
      <c r="C454" s="536"/>
      <c r="D454" s="536"/>
      <c r="E454" s="595"/>
      <c r="F454" s="596"/>
      <c r="G454" s="545"/>
      <c r="H454" s="545"/>
      <c r="I454" s="537" t="s">
        <v>175</v>
      </c>
      <c r="J454" s="514">
        <f>SUM(J452:J453)</f>
        <v>0</v>
      </c>
      <c r="K454" s="471"/>
    </row>
    <row r="455" spans="1:11" hidden="1">
      <c r="A455" s="463"/>
      <c r="B455" s="536"/>
      <c r="C455" s="536"/>
      <c r="D455" s="536"/>
      <c r="E455" s="536"/>
      <c r="F455" s="536"/>
      <c r="G455" s="536"/>
      <c r="H455" s="536"/>
      <c r="I455" s="537"/>
      <c r="J455" s="536"/>
      <c r="K455" s="471"/>
    </row>
    <row r="456" spans="1:11" hidden="1">
      <c r="A456" s="463"/>
      <c r="B456" s="1481" t="s">
        <v>961</v>
      </c>
      <c r="C456" s="1482"/>
      <c r="D456" s="1482"/>
      <c r="E456" s="1482"/>
      <c r="F456" s="1482"/>
      <c r="G456" s="1482"/>
      <c r="H456" s="1482"/>
      <c r="I456" s="1483"/>
      <c r="J456" s="586" t="e">
        <f>J454+J449+J442</f>
        <v>#REF!</v>
      </c>
      <c r="K456" s="471"/>
    </row>
    <row r="457" spans="1:11" hidden="1">
      <c r="A457" s="463"/>
      <c r="B457" s="536"/>
      <c r="C457" s="536"/>
      <c r="D457" s="536"/>
      <c r="E457" s="536"/>
      <c r="F457" s="536"/>
      <c r="G457" s="536"/>
      <c r="H457" s="536"/>
      <c r="I457" s="537"/>
      <c r="J457" s="536"/>
      <c r="K457" s="471"/>
    </row>
    <row r="458" spans="1:11" hidden="1">
      <c r="A458" s="463"/>
      <c r="B458" s="1481" t="s">
        <v>962</v>
      </c>
      <c r="C458" s="1482"/>
      <c r="D458" s="1482"/>
      <c r="E458" s="1482"/>
      <c r="F458" s="1482"/>
      <c r="G458" s="1482"/>
      <c r="H458" s="1482"/>
      <c r="I458" s="1483"/>
      <c r="J458" s="514" t="e">
        <f>J456*0</f>
        <v>#REF!</v>
      </c>
      <c r="K458" s="471"/>
    </row>
    <row r="459" spans="1:11" hidden="1">
      <c r="A459" s="463"/>
      <c r="B459" s="536"/>
      <c r="C459" s="536"/>
      <c r="D459" s="536"/>
      <c r="E459" s="536"/>
      <c r="F459" s="536"/>
      <c r="G459" s="536"/>
      <c r="H459" s="536"/>
      <c r="I459" s="537"/>
      <c r="J459" s="536"/>
      <c r="K459" s="471"/>
    </row>
    <row r="460" spans="1:11" hidden="1">
      <c r="A460" s="463"/>
      <c r="B460" s="1481" t="s">
        <v>963</v>
      </c>
      <c r="C460" s="1482"/>
      <c r="D460" s="1482"/>
      <c r="E460" s="1482"/>
      <c r="F460" s="1482"/>
      <c r="G460" s="1482"/>
      <c r="H460" s="1482"/>
      <c r="I460" s="1483"/>
      <c r="J460" s="586" t="e">
        <f>J456+J458</f>
        <v>#REF!</v>
      </c>
      <c r="K460" s="471"/>
    </row>
    <row r="461" spans="1:11" hidden="1">
      <c r="A461" s="463"/>
      <c r="B461" s="524"/>
      <c r="C461" s="524"/>
      <c r="D461" s="524"/>
      <c r="E461" s="524"/>
      <c r="F461" s="524"/>
      <c r="G461" s="524"/>
      <c r="H461" s="524"/>
      <c r="I461" s="584"/>
      <c r="J461" s="524"/>
      <c r="K461" s="471"/>
    </row>
    <row r="462" spans="1:11" hidden="1">
      <c r="A462" s="463"/>
      <c r="B462" s="602"/>
      <c r="C462" s="572"/>
      <c r="D462" s="572"/>
      <c r="E462" s="572"/>
      <c r="F462" s="572"/>
      <c r="G462" s="572"/>
      <c r="H462" s="572"/>
      <c r="I462" s="572"/>
      <c r="J462" s="603"/>
      <c r="K462" s="471"/>
    </row>
    <row r="463" spans="1:11" hidden="1">
      <c r="A463" s="463"/>
      <c r="B463" s="604"/>
      <c r="C463" s="605"/>
      <c r="D463" s="606"/>
      <c r="E463" s="606"/>
      <c r="F463" s="607" t="s">
        <v>946</v>
      </c>
      <c r="G463" s="608" t="s">
        <v>946</v>
      </c>
      <c r="H463" s="605"/>
      <c r="I463" s="605"/>
      <c r="J463" s="609"/>
      <c r="K463" s="471"/>
    </row>
    <row r="464" spans="1:11" hidden="1">
      <c r="A464" s="463"/>
      <c r="B464" s="472"/>
      <c r="C464" s="472"/>
      <c r="D464" s="472"/>
      <c r="E464" s="472"/>
      <c r="F464" s="472"/>
      <c r="G464" s="472"/>
      <c r="H464" s="472"/>
      <c r="I464" s="472"/>
      <c r="J464" s="472"/>
      <c r="K464" s="471"/>
    </row>
    <row r="465" spans="1:18" hidden="1">
      <c r="A465" s="463"/>
      <c r="B465" s="610" t="str">
        <f>PLANEJAMENTO!$F$2</f>
        <v>OPERAÇÃO DE SUPRESSÃO E SUMP</v>
      </c>
      <c r="C465" s="611"/>
      <c r="D465" s="611"/>
      <c r="E465" s="611"/>
      <c r="F465" s="612"/>
      <c r="G465" s="613" t="s">
        <v>363</v>
      </c>
      <c r="H465" s="515"/>
      <c r="I465" s="515"/>
      <c r="J465" s="518"/>
      <c r="K465" s="471"/>
    </row>
    <row r="466" spans="1:18" hidden="1">
      <c r="A466" s="463"/>
      <c r="B466" s="614">
        <f>PLANEJAMENTO!E356</f>
        <v>0</v>
      </c>
      <c r="C466" s="615"/>
      <c r="D466" s="615"/>
      <c r="E466" s="615"/>
      <c r="F466" s="616"/>
      <c r="G466" s="1484" t="s">
        <v>964</v>
      </c>
      <c r="H466" s="1485"/>
      <c r="I466" s="1485"/>
      <c r="J466" s="1486"/>
      <c r="K466" s="471"/>
    </row>
    <row r="467" spans="1:18" hidden="1">
      <c r="A467" s="463"/>
      <c r="B467" s="617"/>
      <c r="C467" s="618"/>
      <c r="D467" s="618"/>
      <c r="E467" s="618"/>
      <c r="F467" s="619"/>
      <c r="G467" s="620"/>
      <c r="H467" s="1487"/>
      <c r="I467" s="1488"/>
      <c r="J467" s="1489"/>
      <c r="K467" s="471"/>
    </row>
    <row r="468" spans="1:18" ht="15" hidden="1" thickBot="1">
      <c r="A468" s="621"/>
      <c r="B468" s="622"/>
      <c r="C468" s="622"/>
      <c r="D468" s="622"/>
      <c r="E468" s="622"/>
      <c r="F468" s="622"/>
      <c r="G468" s="622"/>
      <c r="H468" s="622"/>
      <c r="I468" s="622"/>
      <c r="J468" s="622"/>
      <c r="K468" s="623"/>
    </row>
    <row r="469" spans="1:18" hidden="1">
      <c r="A469" s="460"/>
      <c r="B469" s="461"/>
      <c r="C469" s="461"/>
      <c r="D469" s="461"/>
      <c r="E469" s="461"/>
      <c r="F469" s="461"/>
      <c r="G469" s="461"/>
      <c r="H469" s="461"/>
      <c r="I469" s="461"/>
      <c r="J469" s="461"/>
      <c r="K469" s="462"/>
    </row>
    <row r="470" spans="1:18" hidden="1">
      <c r="A470" s="463"/>
      <c r="B470" s="464" t="s">
        <v>178</v>
      </c>
      <c r="C470" s="465"/>
      <c r="D470" s="466" t="s">
        <v>936</v>
      </c>
      <c r="E470" s="467"/>
      <c r="F470" s="468"/>
      <c r="G470" s="468"/>
      <c r="H470" s="469"/>
      <c r="I470" s="469"/>
      <c r="J470" s="470"/>
      <c r="K470" s="471"/>
    </row>
    <row r="471" spans="1:18" hidden="1">
      <c r="A471" s="463"/>
      <c r="B471" s="472"/>
      <c r="C471" s="472"/>
      <c r="D471" s="472"/>
      <c r="E471" s="472"/>
      <c r="F471" s="472"/>
      <c r="G471" s="472"/>
      <c r="H471" s="472"/>
      <c r="I471" s="472"/>
      <c r="J471" s="472"/>
      <c r="K471" s="471"/>
    </row>
    <row r="472" spans="1:18" hidden="1">
      <c r="A472" s="463"/>
      <c r="B472" s="473"/>
      <c r="C472" s="474" t="s">
        <v>937</v>
      </c>
      <c r="D472" s="1497" t="s">
        <v>250</v>
      </c>
      <c r="E472" s="1498"/>
      <c r="F472" s="1498"/>
      <c r="G472" s="1498"/>
      <c r="H472" s="1498"/>
      <c r="I472" s="1499"/>
      <c r="J472" s="475" t="s">
        <v>267</v>
      </c>
      <c r="K472" s="471"/>
    </row>
    <row r="473" spans="1:18" hidden="1">
      <c r="A473" s="463"/>
      <c r="B473" s="476"/>
      <c r="C473" s="477">
        <f ca="1">PLANEJAMENTO!$F$4</f>
        <v>46140</v>
      </c>
      <c r="D473" s="1721" t="e">
        <f>PLANEJAMENTO!#REF!</f>
        <v>#REF!</v>
      </c>
      <c r="E473" s="1722"/>
      <c r="F473" s="1722"/>
      <c r="G473" s="1722"/>
      <c r="H473" s="1722"/>
      <c r="I473" s="1723"/>
      <c r="J473" s="481" t="str">
        <f>F491</f>
        <v>m</v>
      </c>
      <c r="K473" s="471"/>
    </row>
    <row r="474" spans="1:18" hidden="1">
      <c r="A474" s="463"/>
      <c r="B474" s="482"/>
      <c r="C474" s="482"/>
      <c r="D474" s="482"/>
      <c r="E474" s="482"/>
      <c r="F474" s="482"/>
      <c r="G474" s="482"/>
      <c r="H474" s="482"/>
      <c r="I474" s="483"/>
      <c r="J474" s="484"/>
      <c r="K474" s="471"/>
    </row>
    <row r="475" spans="1:18" hidden="1">
      <c r="A475" s="463"/>
      <c r="B475" s="1484" t="s">
        <v>938</v>
      </c>
      <c r="C475" s="1486"/>
      <c r="D475" s="1502" t="s">
        <v>688</v>
      </c>
      <c r="E475" s="1504" t="s">
        <v>939</v>
      </c>
      <c r="F475" s="485" t="s">
        <v>940</v>
      </c>
      <c r="G475" s="486"/>
      <c r="H475" s="485" t="s">
        <v>941</v>
      </c>
      <c r="I475" s="486"/>
      <c r="J475" s="487" t="s">
        <v>942</v>
      </c>
      <c r="K475" s="471"/>
    </row>
    <row r="476" spans="1:18" hidden="1">
      <c r="A476" s="463"/>
      <c r="B476" s="1500"/>
      <c r="C476" s="1501"/>
      <c r="D476" s="1503"/>
      <c r="E476" s="1505"/>
      <c r="F476" s="488" t="s">
        <v>943</v>
      </c>
      <c r="G476" s="488" t="s">
        <v>944</v>
      </c>
      <c r="H476" s="488" t="s">
        <v>943</v>
      </c>
      <c r="I476" s="489" t="s">
        <v>944</v>
      </c>
      <c r="J476" s="490" t="s">
        <v>945</v>
      </c>
      <c r="K476" s="471"/>
    </row>
    <row r="477" spans="1:18" hidden="1">
      <c r="A477" s="463"/>
      <c r="B477" s="499" t="str">
        <f>B220</f>
        <v>Sapo compactador</v>
      </c>
      <c r="C477" s="500"/>
      <c r="D477" s="501"/>
      <c r="E477" s="502">
        <v>1</v>
      </c>
      <c r="F477" s="502">
        <v>1</v>
      </c>
      <c r="G477" s="502">
        <v>0</v>
      </c>
      <c r="H477" s="503">
        <f>VLOOKUP(B477,EQUIPAMENTOS!$A:$J,10,FALSE)</f>
        <v>10</v>
      </c>
      <c r="I477" s="504">
        <f>H477</f>
        <v>10</v>
      </c>
      <c r="J477" s="505">
        <f>H477*F477*E477+I477*G477*E477</f>
        <v>10</v>
      </c>
      <c r="K477" s="471"/>
    </row>
    <row r="478" spans="1:18" hidden="1">
      <c r="A478" s="463"/>
      <c r="B478" s="499"/>
      <c r="C478" s="500"/>
      <c r="D478" s="501"/>
      <c r="E478" s="502"/>
      <c r="F478" s="502"/>
      <c r="G478" s="502"/>
      <c r="H478" s="503"/>
      <c r="I478" s="504"/>
      <c r="J478" s="505">
        <f>H478*F478*E478+I478*G478*E478</f>
        <v>0</v>
      </c>
      <c r="K478" s="471"/>
    </row>
    <row r="479" spans="1:18" hidden="1">
      <c r="A479" s="463"/>
      <c r="B479" s="506"/>
      <c r="C479" s="507"/>
      <c r="D479" s="508"/>
      <c r="E479" s="509"/>
      <c r="F479" s="509"/>
      <c r="G479" s="509"/>
      <c r="H479" s="510"/>
      <c r="I479" s="511"/>
      <c r="J479" s="505">
        <f>H479*F479*E479+I479*G479*E479</f>
        <v>0</v>
      </c>
      <c r="K479" s="471"/>
    </row>
    <row r="480" spans="1:18" hidden="1">
      <c r="A480" s="463"/>
      <c r="B480" s="512" t="s">
        <v>946</v>
      </c>
      <c r="C480" s="482"/>
      <c r="D480" s="482"/>
      <c r="E480" s="482"/>
      <c r="F480" s="482"/>
      <c r="G480" s="482"/>
      <c r="H480" s="482"/>
      <c r="I480" s="513" t="s">
        <v>175</v>
      </c>
      <c r="J480" s="514">
        <f>SUM(J477:J479)</f>
        <v>10</v>
      </c>
      <c r="K480" s="471"/>
      <c r="O480">
        <v>5.25</v>
      </c>
      <c r="P480">
        <v>1</v>
      </c>
      <c r="R480">
        <f>P484/P481</f>
        <v>5</v>
      </c>
    </row>
    <row r="481" spans="1:18" hidden="1">
      <c r="A481" s="463"/>
      <c r="B481" s="515"/>
      <c r="C481" s="515"/>
      <c r="D481" s="515"/>
      <c r="E481" s="515"/>
      <c r="F481" s="515"/>
      <c r="G481" s="515"/>
      <c r="H481" s="515"/>
      <c r="I481" s="516"/>
      <c r="J481" s="517"/>
      <c r="K481" s="471"/>
      <c r="O481">
        <v>8</v>
      </c>
      <c r="P481">
        <f>O481/O480</f>
        <v>1.5238095238095237</v>
      </c>
    </row>
    <row r="482" spans="1:18" ht="20.399999999999999" hidden="1">
      <c r="A482" s="463"/>
      <c r="B482" s="1490" t="s">
        <v>947</v>
      </c>
      <c r="C482" s="1491"/>
      <c r="D482" s="1491"/>
      <c r="E482" s="1492"/>
      <c r="F482" s="725" t="s">
        <v>688</v>
      </c>
      <c r="G482" s="519"/>
      <c r="H482" s="520" t="s">
        <v>427</v>
      </c>
      <c r="I482" s="521" t="s">
        <v>948</v>
      </c>
      <c r="J482" s="522" t="s">
        <v>949</v>
      </c>
      <c r="K482" s="471"/>
    </row>
    <row r="483" spans="1:18" hidden="1">
      <c r="A483" s="463"/>
      <c r="B483" s="530" t="s">
        <v>472</v>
      </c>
      <c r="C483" s="531"/>
      <c r="D483" s="472"/>
      <c r="E483" s="500"/>
      <c r="F483" s="501"/>
      <c r="G483" s="532"/>
      <c r="H483" s="533">
        <v>5</v>
      </c>
      <c r="I483" s="534">
        <f>(VLOOKUP(B483,'MÃO DE OBRA'!$A:$E,5,FALSE)/220)</f>
        <v>18.377072727272729</v>
      </c>
      <c r="J483" s="505">
        <f>H483*I483</f>
        <v>91.88536363636365</v>
      </c>
      <c r="K483" s="471"/>
      <c r="O483">
        <v>1.05</v>
      </c>
      <c r="P483">
        <v>1</v>
      </c>
    </row>
    <row r="484" spans="1:18" hidden="1">
      <c r="A484" s="463"/>
      <c r="B484" s="530" t="s">
        <v>988</v>
      </c>
      <c r="C484" s="531"/>
      <c r="D484" s="472"/>
      <c r="E484" s="500"/>
      <c r="F484" s="501"/>
      <c r="G484" s="532"/>
      <c r="H484" s="533">
        <v>1</v>
      </c>
      <c r="I484" s="534">
        <f>(VLOOKUP(B484,'MÃO DE OBRA'!$A:$E,5,FALSE)/220)</f>
        <v>21.588799999999999</v>
      </c>
      <c r="J484" s="505">
        <f>H484*I484</f>
        <v>21.588799999999999</v>
      </c>
      <c r="K484" s="471"/>
      <c r="O484">
        <v>8</v>
      </c>
      <c r="P484">
        <f>O484/O483</f>
        <v>7.6190476190476186</v>
      </c>
    </row>
    <row r="485" spans="1:18" hidden="1">
      <c r="A485" s="463"/>
      <c r="B485" s="530" t="s">
        <v>507</v>
      </c>
      <c r="C485" s="531"/>
      <c r="D485" s="472"/>
      <c r="E485" s="500"/>
      <c r="F485" s="501"/>
      <c r="G485" s="532"/>
      <c r="H485" s="533">
        <v>5</v>
      </c>
      <c r="I485" s="534">
        <f>(VLOOKUP(B485,'MÃO DE OBRA'!$A:$E,5,FALSE)/220)</f>
        <v>21.588799999999999</v>
      </c>
      <c r="J485" s="505">
        <f>H485*I485</f>
        <v>107.94399999999999</v>
      </c>
      <c r="K485" s="471"/>
    </row>
    <row r="486" spans="1:18" hidden="1">
      <c r="A486" s="463"/>
      <c r="B486" s="530" t="s">
        <v>481</v>
      </c>
      <c r="C486" s="531"/>
      <c r="D486" s="472"/>
      <c r="E486" s="500"/>
      <c r="F486" s="501"/>
      <c r="G486" s="532"/>
      <c r="H486" s="533">
        <v>3</v>
      </c>
      <c r="I486" s="534">
        <f>(VLOOKUP(B486,'MÃO DE OBRA'!$A:$E,5,FALSE)/220)</f>
        <v>21.588799999999999</v>
      </c>
      <c r="J486" s="505">
        <f>H486*I486</f>
        <v>64.766400000000004</v>
      </c>
      <c r="K486" s="471"/>
    </row>
    <row r="487" spans="1:18" hidden="1">
      <c r="A487" s="463"/>
      <c r="B487" s="530"/>
      <c r="C487" s="531"/>
      <c r="D487" s="472"/>
      <c r="E487" s="500"/>
      <c r="F487" s="501"/>
      <c r="G487" s="532"/>
      <c r="H487" s="533"/>
      <c r="I487" s="534"/>
      <c r="J487" s="505"/>
      <c r="K487" s="471"/>
      <c r="O487">
        <v>2.2370000000000001</v>
      </c>
      <c r="P487">
        <v>1</v>
      </c>
      <c r="R487">
        <f>P484/P488</f>
        <v>2.1304761904761906</v>
      </c>
    </row>
    <row r="488" spans="1:18" hidden="1">
      <c r="A488" s="463"/>
      <c r="B488" s="530"/>
      <c r="C488" s="531"/>
      <c r="D488" s="472"/>
      <c r="E488" s="500"/>
      <c r="F488" s="501"/>
      <c r="G488" s="532"/>
      <c r="H488" s="533"/>
      <c r="I488" s="504"/>
      <c r="J488" s="505">
        <f>H488*I488</f>
        <v>0</v>
      </c>
      <c r="K488" s="471"/>
      <c r="O488">
        <v>8</v>
      </c>
      <c r="P488">
        <f>O488/O487</f>
        <v>3.5762181493071075</v>
      </c>
    </row>
    <row r="489" spans="1:18" hidden="1">
      <c r="A489" s="463"/>
      <c r="B489" s="512" t="s">
        <v>946</v>
      </c>
      <c r="C489" s="515"/>
      <c r="D489" s="515"/>
      <c r="E489" s="515"/>
      <c r="F489" s="515"/>
      <c r="G489" s="515"/>
      <c r="H489" s="515"/>
      <c r="I489" s="535" t="s">
        <v>175</v>
      </c>
      <c r="J489" s="514">
        <f>SUM(J483:J488)</f>
        <v>286.18456363636363</v>
      </c>
      <c r="K489" s="471"/>
    </row>
    <row r="490" spans="1:18" hidden="1">
      <c r="A490" s="463"/>
      <c r="B490" s="536"/>
      <c r="C490" s="536"/>
      <c r="D490" s="536"/>
      <c r="E490" s="536"/>
      <c r="F490" s="536"/>
      <c r="G490" s="536"/>
      <c r="H490" s="536"/>
      <c r="I490" s="537"/>
      <c r="J490" s="536"/>
      <c r="K490" s="471"/>
      <c r="O490">
        <v>4.8310000000000004</v>
      </c>
      <c r="P490">
        <v>1</v>
      </c>
      <c r="R490">
        <f>P484/P491</f>
        <v>4.6009523809523811</v>
      </c>
    </row>
    <row r="491" spans="1:18" hidden="1">
      <c r="A491" s="463"/>
      <c r="B491" s="538" t="s">
        <v>952</v>
      </c>
      <c r="C491" s="539"/>
      <c r="D491" s="536"/>
      <c r="E491" s="540">
        <f>1*0.5</f>
        <v>0.5</v>
      </c>
      <c r="F491" s="541" t="s">
        <v>225</v>
      </c>
      <c r="G491" s="519"/>
      <c r="H491" s="519"/>
      <c r="I491" s="542" t="s">
        <v>953</v>
      </c>
      <c r="J491" s="514">
        <f>J480+J489</f>
        <v>296.18456363636363</v>
      </c>
      <c r="K491" s="471"/>
      <c r="O491">
        <v>8</v>
      </c>
      <c r="P491">
        <f>O491/O490</f>
        <v>1.6559718484785757</v>
      </c>
    </row>
    <row r="492" spans="1:18" hidden="1">
      <c r="A492" s="463"/>
      <c r="B492" s="543"/>
      <c r="C492" s="536"/>
      <c r="D492" s="536"/>
      <c r="E492" s="544"/>
      <c r="F492" s="545"/>
      <c r="G492" s="545"/>
      <c r="H492" s="545"/>
      <c r="I492" s="537"/>
      <c r="J492" s="536"/>
      <c r="K492" s="471"/>
    </row>
    <row r="493" spans="1:18" ht="20.399999999999999" hidden="1">
      <c r="A493" s="463"/>
      <c r="B493" s="1493" t="s">
        <v>362</v>
      </c>
      <c r="C493" s="1494"/>
      <c r="D493" s="1494"/>
      <c r="E493" s="1495"/>
      <c r="F493" s="546" t="s">
        <v>688</v>
      </c>
      <c r="G493" s="547" t="s">
        <v>371</v>
      </c>
      <c r="H493" s="520" t="s">
        <v>942</v>
      </c>
      <c r="I493" s="548" t="s">
        <v>361</v>
      </c>
      <c r="J493" s="549" t="s">
        <v>363</v>
      </c>
      <c r="K493" s="471"/>
    </row>
    <row r="494" spans="1:18" hidden="1">
      <c r="A494" s="463"/>
      <c r="B494" s="530" t="str">
        <f>B477</f>
        <v>Sapo compactador</v>
      </c>
      <c r="C494" s="531"/>
      <c r="D494" s="531"/>
      <c r="E494" s="500"/>
      <c r="F494" s="553" t="str">
        <f>VLOOKUP(B494,EQUIPAMENTOS!$A:$N,12,FALSE)</f>
        <v>Gasolina</v>
      </c>
      <c r="G494" s="554" t="s">
        <v>415</v>
      </c>
      <c r="H494" s="560">
        <f>VLOOKUP(B494,EQUIPAMENTOS!$A:$N,13,FALSE)</f>
        <v>6.59</v>
      </c>
      <c r="I494" s="556">
        <f>VLOOKUP(B494,EQUIPAMENTOS!$A:$N,14,FALSE)</f>
        <v>3</v>
      </c>
      <c r="J494" s="498">
        <f>H494*I494*E477*F477</f>
        <v>19.77</v>
      </c>
      <c r="K494" s="471"/>
    </row>
    <row r="495" spans="1:18" hidden="1">
      <c r="A495" s="463"/>
      <c r="B495" s="530"/>
      <c r="C495" s="539"/>
      <c r="D495" s="539"/>
      <c r="E495" s="507"/>
      <c r="F495" s="501"/>
      <c r="G495" s="481"/>
      <c r="H495" s="560"/>
      <c r="I495" s="561"/>
      <c r="J495" s="505">
        <f>H495*I495*E478*F478</f>
        <v>0</v>
      </c>
      <c r="K495" s="471"/>
    </row>
    <row r="496" spans="1:18" hidden="1">
      <c r="A496" s="463"/>
      <c r="B496" s="563" t="s">
        <v>946</v>
      </c>
      <c r="C496" s="539"/>
      <c r="D496" s="539"/>
      <c r="E496" s="539"/>
      <c r="F496" s="536"/>
      <c r="G496" s="539"/>
      <c r="H496" s="564"/>
      <c r="I496" s="565" t="s">
        <v>175</v>
      </c>
      <c r="J496" s="514">
        <f>SUM(J494:J495)</f>
        <v>19.77</v>
      </c>
      <c r="K496" s="471"/>
    </row>
    <row r="497" spans="1:11" hidden="1">
      <c r="A497" s="463"/>
      <c r="B497" s="566"/>
      <c r="C497" s="539"/>
      <c r="D497" s="539"/>
      <c r="E497" s="567"/>
      <c r="F497" s="568"/>
      <c r="G497" s="519"/>
      <c r="H497" s="519"/>
      <c r="I497" s="542"/>
      <c r="J497" s="567"/>
      <c r="K497" s="471"/>
    </row>
    <row r="498" spans="1:11" ht="20.399999999999999" hidden="1">
      <c r="A498" s="463"/>
      <c r="B498" s="1493" t="s">
        <v>955</v>
      </c>
      <c r="C498" s="1494"/>
      <c r="D498" s="1494"/>
      <c r="E498" s="1494"/>
      <c r="F498" s="1495"/>
      <c r="G498" s="569" t="s">
        <v>372</v>
      </c>
      <c r="H498" s="519" t="s">
        <v>956</v>
      </c>
      <c r="I498" s="570" t="s">
        <v>942</v>
      </c>
      <c r="J498" s="522" t="s">
        <v>363</v>
      </c>
      <c r="K498" s="471"/>
    </row>
    <row r="499" spans="1:11" hidden="1">
      <c r="A499" s="463"/>
      <c r="B499" s="571"/>
      <c r="C499" s="572"/>
      <c r="D499" s="573"/>
      <c r="E499" s="573"/>
      <c r="F499" s="574"/>
      <c r="G499" s="502"/>
      <c r="H499" s="502"/>
      <c r="I499" s="575"/>
      <c r="J499" s="505"/>
      <c r="K499" s="471"/>
    </row>
    <row r="500" spans="1:11" hidden="1">
      <c r="A500" s="463"/>
      <c r="B500" s="576"/>
      <c r="C500" s="577"/>
      <c r="D500" s="578"/>
      <c r="E500" s="578"/>
      <c r="F500" s="579"/>
      <c r="G500" s="502"/>
      <c r="H500" s="502"/>
      <c r="I500" s="575"/>
      <c r="J500" s="505"/>
      <c r="K500" s="471"/>
    </row>
    <row r="501" spans="1:11" hidden="1">
      <c r="A501" s="463"/>
      <c r="B501" s="1496" t="s">
        <v>175</v>
      </c>
      <c r="C501" s="1496"/>
      <c r="D501" s="1496"/>
      <c r="E501" s="1496"/>
      <c r="F501" s="1496"/>
      <c r="G501" s="1496"/>
      <c r="H501" s="1496"/>
      <c r="I501" s="1496"/>
      <c r="J501" s="514">
        <f>SUM(J499:J500)</f>
        <v>0</v>
      </c>
      <c r="K501" s="471"/>
    </row>
    <row r="502" spans="1:11" hidden="1">
      <c r="A502" s="463"/>
      <c r="B502" s="580"/>
      <c r="C502" s="524"/>
      <c r="D502" s="524"/>
      <c r="E502" s="581"/>
      <c r="F502" s="582"/>
      <c r="G502" s="583"/>
      <c r="H502" s="583"/>
      <c r="I502" s="584"/>
      <c r="J502" s="585"/>
      <c r="K502" s="471"/>
    </row>
    <row r="503" spans="1:11" hidden="1">
      <c r="A503" s="463"/>
      <c r="B503" s="586" t="s">
        <v>957</v>
      </c>
      <c r="C503" s="586"/>
      <c r="D503" s="563"/>
      <c r="E503" s="536"/>
      <c r="F503" s="536"/>
      <c r="G503" s="536"/>
      <c r="H503" s="587"/>
      <c r="I503" s="588"/>
      <c r="J503" s="514">
        <f>(J491+J496+J501)/E491</f>
        <v>631.90912727272723</v>
      </c>
      <c r="K503" s="471"/>
    </row>
    <row r="504" spans="1:11" hidden="1">
      <c r="A504" s="463"/>
      <c r="B504" s="566"/>
      <c r="C504" s="539"/>
      <c r="D504" s="539"/>
      <c r="E504" s="567"/>
      <c r="F504" s="568"/>
      <c r="G504" s="519"/>
      <c r="H504" s="519"/>
      <c r="I504" s="542"/>
      <c r="J504" s="589"/>
      <c r="K504" s="471"/>
    </row>
    <row r="505" spans="1:11" ht="20.399999999999999" hidden="1">
      <c r="A505" s="463"/>
      <c r="B505" s="1493" t="s">
        <v>958</v>
      </c>
      <c r="C505" s="1494"/>
      <c r="D505" s="1494"/>
      <c r="E505" s="1494"/>
      <c r="F505" s="1495"/>
      <c r="G505" s="569" t="s">
        <v>372</v>
      </c>
      <c r="H505" s="519" t="s">
        <v>956</v>
      </c>
      <c r="I505" s="570" t="s">
        <v>942</v>
      </c>
      <c r="J505" s="522" t="s">
        <v>363</v>
      </c>
      <c r="K505" s="471"/>
    </row>
    <row r="506" spans="1:11" hidden="1">
      <c r="A506" s="463"/>
      <c r="B506" s="571"/>
      <c r="C506" s="572"/>
      <c r="D506" s="573"/>
      <c r="E506" s="573"/>
      <c r="F506" s="574"/>
      <c r="G506" s="502"/>
      <c r="H506" s="502"/>
      <c r="I506" s="738"/>
      <c r="J506" s="505"/>
      <c r="K506" s="471"/>
    </row>
    <row r="507" spans="1:11" hidden="1">
      <c r="A507" s="463"/>
      <c r="B507" s="576"/>
      <c r="C507" s="577"/>
      <c r="D507" s="578"/>
      <c r="E507" s="578"/>
      <c r="F507" s="579"/>
      <c r="G507" s="502"/>
      <c r="H507" s="502"/>
      <c r="I507" s="575"/>
      <c r="J507" s="505"/>
      <c r="K507" s="471"/>
    </row>
    <row r="508" spans="1:11" hidden="1">
      <c r="A508" s="463"/>
      <c r="B508" s="576"/>
      <c r="C508" s="577"/>
      <c r="D508" s="578"/>
      <c r="E508" s="578"/>
      <c r="F508" s="579"/>
      <c r="G508" s="502"/>
      <c r="H508" s="502"/>
      <c r="I508" s="737"/>
      <c r="J508" s="505"/>
      <c r="K508" s="471"/>
    </row>
    <row r="509" spans="1:11" hidden="1">
      <c r="A509" s="463"/>
      <c r="B509" s="590"/>
      <c r="C509" s="591"/>
      <c r="D509" s="592"/>
      <c r="E509" s="592"/>
      <c r="F509" s="593"/>
      <c r="G509" s="502"/>
      <c r="H509" s="502"/>
      <c r="I509" s="575"/>
      <c r="J509" s="505">
        <f>G509*I509</f>
        <v>0</v>
      </c>
      <c r="K509" s="471"/>
    </row>
    <row r="510" spans="1:11" hidden="1">
      <c r="A510" s="463"/>
      <c r="B510" s="594"/>
      <c r="C510" s="536"/>
      <c r="D510" s="536"/>
      <c r="E510" s="595"/>
      <c r="F510" s="596"/>
      <c r="G510" s="545"/>
      <c r="H510" s="545"/>
      <c r="I510" s="537" t="s">
        <v>175</v>
      </c>
      <c r="J510" s="514">
        <f>SUM(J506:J509)</f>
        <v>0</v>
      </c>
      <c r="K510" s="471"/>
    </row>
    <row r="511" spans="1:11" hidden="1">
      <c r="A511" s="463"/>
      <c r="B511" s="597"/>
      <c r="C511" s="536"/>
      <c r="D511" s="536"/>
      <c r="E511" s="595"/>
      <c r="F511" s="596"/>
      <c r="G511" s="545"/>
      <c r="H511" s="545"/>
      <c r="I511" s="537"/>
      <c r="J511" s="595"/>
      <c r="K511" s="471"/>
    </row>
    <row r="512" spans="1:11" ht="20.399999999999999" hidden="1">
      <c r="A512" s="463"/>
      <c r="B512" s="1493" t="s">
        <v>959</v>
      </c>
      <c r="C512" s="1494"/>
      <c r="D512" s="1494"/>
      <c r="E512" s="1494"/>
      <c r="F512" s="1495"/>
      <c r="G512" s="600" t="s">
        <v>372</v>
      </c>
      <c r="H512" s="519" t="s">
        <v>942</v>
      </c>
      <c r="I512" s="570"/>
      <c r="J512" s="522" t="s">
        <v>363</v>
      </c>
      <c r="K512" s="471"/>
    </row>
    <row r="513" spans="1:11" hidden="1">
      <c r="A513" s="463"/>
      <c r="B513" s="1734"/>
      <c r="C513" s="1735"/>
      <c r="D513" s="1735"/>
      <c r="E513" s="1735"/>
      <c r="F513" s="1736"/>
      <c r="G513" s="502"/>
      <c r="H513" s="1737"/>
      <c r="I513" s="1738"/>
      <c r="J513" s="505"/>
      <c r="K513" s="471"/>
    </row>
    <row r="514" spans="1:11" hidden="1">
      <c r="A514" s="463"/>
      <c r="B514" s="1739"/>
      <c r="C514" s="1740"/>
      <c r="D514" s="1740"/>
      <c r="E514" s="1740"/>
      <c r="F514" s="1741"/>
      <c r="G514" s="509"/>
      <c r="H514" s="1742"/>
      <c r="I514" s="1743"/>
      <c r="J514" s="505"/>
      <c r="K514" s="471"/>
    </row>
    <row r="515" spans="1:11" hidden="1">
      <c r="A515" s="463"/>
      <c r="B515" s="594"/>
      <c r="C515" s="536"/>
      <c r="D515" s="536"/>
      <c r="E515" s="595"/>
      <c r="F515" s="596"/>
      <c r="G515" s="545"/>
      <c r="H515" s="545"/>
      <c r="I515" s="537" t="s">
        <v>175</v>
      </c>
      <c r="J515" s="514">
        <f>SUM(J513:J514)</f>
        <v>0</v>
      </c>
      <c r="K515" s="471"/>
    </row>
    <row r="516" spans="1:11" hidden="1">
      <c r="A516" s="463"/>
      <c r="B516" s="536"/>
      <c r="C516" s="536"/>
      <c r="D516" s="536"/>
      <c r="E516" s="536"/>
      <c r="F516" s="536"/>
      <c r="G516" s="536"/>
      <c r="H516" s="536"/>
      <c r="I516" s="537"/>
      <c r="J516" s="536"/>
      <c r="K516" s="471"/>
    </row>
    <row r="517" spans="1:11" hidden="1">
      <c r="A517" s="463"/>
      <c r="B517" s="1481" t="s">
        <v>961</v>
      </c>
      <c r="C517" s="1482"/>
      <c r="D517" s="1482"/>
      <c r="E517" s="1482"/>
      <c r="F517" s="1482"/>
      <c r="G517" s="1482"/>
      <c r="H517" s="1482"/>
      <c r="I517" s="1483"/>
      <c r="J517" s="586">
        <f>J515+J510+J503</f>
        <v>631.90912727272723</v>
      </c>
      <c r="K517" s="471"/>
    </row>
    <row r="518" spans="1:11" hidden="1">
      <c r="A518" s="463"/>
      <c r="B518" s="536"/>
      <c r="C518" s="536"/>
      <c r="D518" s="536"/>
      <c r="E518" s="536"/>
      <c r="F518" s="536"/>
      <c r="G518" s="536"/>
      <c r="H518" s="536"/>
      <c r="I518" s="537"/>
      <c r="J518" s="536"/>
      <c r="K518" s="471"/>
    </row>
    <row r="519" spans="1:11" hidden="1">
      <c r="A519" s="463"/>
      <c r="B519" s="1481" t="s">
        <v>962</v>
      </c>
      <c r="C519" s="1482"/>
      <c r="D519" s="1482"/>
      <c r="E519" s="1482"/>
      <c r="F519" s="1482"/>
      <c r="G519" s="1482"/>
      <c r="H519" s="1482"/>
      <c r="I519" s="1483"/>
      <c r="J519" s="514">
        <f>J517*0</f>
        <v>0</v>
      </c>
      <c r="K519" s="471"/>
    </row>
    <row r="520" spans="1:11" hidden="1">
      <c r="A520" s="463"/>
      <c r="B520" s="536"/>
      <c r="C520" s="536"/>
      <c r="D520" s="536"/>
      <c r="E520" s="536"/>
      <c r="F520" s="536"/>
      <c r="G520" s="536"/>
      <c r="H520" s="536"/>
      <c r="I520" s="537"/>
      <c r="J520" s="536"/>
      <c r="K520" s="471"/>
    </row>
    <row r="521" spans="1:11" hidden="1">
      <c r="A521" s="463"/>
      <c r="B521" s="1481" t="s">
        <v>963</v>
      </c>
      <c r="C521" s="1482"/>
      <c r="D521" s="1482"/>
      <c r="E521" s="1482"/>
      <c r="F521" s="1482"/>
      <c r="G521" s="1482"/>
      <c r="H521" s="1482"/>
      <c r="I521" s="1483"/>
      <c r="J521" s="586">
        <f>J517+J519</f>
        <v>631.90912727272723</v>
      </c>
      <c r="K521" s="471"/>
    </row>
    <row r="522" spans="1:11" hidden="1">
      <c r="A522" s="463"/>
      <c r="B522" s="524"/>
      <c r="C522" s="524"/>
      <c r="D522" s="524"/>
      <c r="E522" s="524"/>
      <c r="F522" s="524"/>
      <c r="G522" s="524"/>
      <c r="H522" s="524"/>
      <c r="I522" s="584"/>
      <c r="J522" s="524"/>
      <c r="K522" s="471"/>
    </row>
    <row r="523" spans="1:11" hidden="1">
      <c r="A523" s="463"/>
      <c r="B523" s="602"/>
      <c r="C523" s="572"/>
      <c r="D523" s="572"/>
      <c r="E523" s="572"/>
      <c r="F523" s="572"/>
      <c r="G523" s="572"/>
      <c r="H523" s="572"/>
      <c r="I523" s="572"/>
      <c r="J523" s="603"/>
      <c r="K523" s="471"/>
    </row>
    <row r="524" spans="1:11" hidden="1">
      <c r="A524" s="463"/>
      <c r="B524" s="604"/>
      <c r="C524" s="605"/>
      <c r="D524" s="606"/>
      <c r="E524" s="606"/>
      <c r="F524" s="607" t="s">
        <v>946</v>
      </c>
      <c r="G524" s="608" t="s">
        <v>946</v>
      </c>
      <c r="H524" s="605"/>
      <c r="I524" s="605"/>
      <c r="J524" s="609"/>
      <c r="K524" s="471"/>
    </row>
    <row r="525" spans="1:11" hidden="1">
      <c r="A525" s="463"/>
      <c r="B525" s="472"/>
      <c r="C525" s="472"/>
      <c r="D525" s="472"/>
      <c r="E525" s="472"/>
      <c r="F525" s="472"/>
      <c r="G525" s="472"/>
      <c r="H525" s="472"/>
      <c r="I525" s="472"/>
      <c r="J525" s="472"/>
      <c r="K525" s="471"/>
    </row>
    <row r="526" spans="1:11" hidden="1">
      <c r="A526" s="463"/>
      <c r="B526" s="610" t="str">
        <f>PLANEJAMENTO!$F$2</f>
        <v>OPERAÇÃO DE SUPRESSÃO E SUMP</v>
      </c>
      <c r="C526" s="611"/>
      <c r="D526" s="611"/>
      <c r="E526" s="611"/>
      <c r="F526" s="612"/>
      <c r="G526" s="613" t="s">
        <v>363</v>
      </c>
      <c r="H526" s="515"/>
      <c r="I526" s="515"/>
      <c r="J526" s="518"/>
      <c r="K526" s="471"/>
    </row>
    <row r="527" spans="1:11" hidden="1">
      <c r="A527" s="463"/>
      <c r="B527" s="614">
        <f>PLANEJAMENTO!E419</f>
        <v>0</v>
      </c>
      <c r="C527" s="615"/>
      <c r="D527" s="615"/>
      <c r="E527" s="615"/>
      <c r="F527" s="616"/>
      <c r="G527" s="1484" t="s">
        <v>964</v>
      </c>
      <c r="H527" s="1485"/>
      <c r="I527" s="1485"/>
      <c r="J527" s="1486"/>
      <c r="K527" s="471"/>
    </row>
    <row r="528" spans="1:11" hidden="1">
      <c r="A528" s="463"/>
      <c r="B528" s="617"/>
      <c r="C528" s="618"/>
      <c r="D528" s="618"/>
      <c r="E528" s="618"/>
      <c r="F528" s="619"/>
      <c r="G528" s="620"/>
      <c r="H528" s="1487"/>
      <c r="I528" s="1488"/>
      <c r="J528" s="1489"/>
      <c r="K528" s="471"/>
    </row>
    <row r="529" spans="1:20" ht="15" hidden="1" thickBot="1">
      <c r="A529" s="621"/>
      <c r="B529" s="622"/>
      <c r="C529" s="622"/>
      <c r="D529" s="622"/>
      <c r="E529" s="622"/>
      <c r="F529" s="622"/>
      <c r="G529" s="622"/>
      <c r="H529" s="622"/>
      <c r="I529" s="622"/>
      <c r="J529" s="622"/>
      <c r="K529" s="623"/>
    </row>
    <row r="530" spans="1:20" hidden="1">
      <c r="A530" s="460"/>
      <c r="B530" s="461"/>
      <c r="C530" s="461"/>
      <c r="D530" s="461"/>
      <c r="E530" s="461"/>
      <c r="F530" s="461"/>
      <c r="G530" s="461"/>
      <c r="H530" s="461"/>
      <c r="I530" s="461"/>
      <c r="J530" s="461"/>
      <c r="K530" s="462"/>
    </row>
    <row r="531" spans="1:20" hidden="1">
      <c r="A531" s="463"/>
      <c r="B531" s="464" t="s">
        <v>178</v>
      </c>
      <c r="C531" s="465"/>
      <c r="D531" s="466" t="s">
        <v>936</v>
      </c>
      <c r="E531" s="467"/>
      <c r="F531" s="468"/>
      <c r="G531" s="468"/>
      <c r="H531" s="469"/>
      <c r="I531" s="469"/>
      <c r="J531" s="470"/>
      <c r="K531" s="471"/>
    </row>
    <row r="532" spans="1:20" hidden="1">
      <c r="A532" s="463"/>
      <c r="B532" s="472"/>
      <c r="C532" s="472"/>
      <c r="D532" s="472"/>
      <c r="E532" s="472"/>
      <c r="F532" s="472"/>
      <c r="G532" s="472"/>
      <c r="H532" s="472"/>
      <c r="I532" s="472"/>
      <c r="J532" s="472"/>
      <c r="K532" s="471"/>
    </row>
    <row r="533" spans="1:20" hidden="1">
      <c r="A533" s="463"/>
      <c r="B533" s="473"/>
      <c r="C533" s="474" t="s">
        <v>937</v>
      </c>
      <c r="D533" s="1497" t="s">
        <v>250</v>
      </c>
      <c r="E533" s="1498"/>
      <c r="F533" s="1498"/>
      <c r="G533" s="1498"/>
      <c r="H533" s="1498"/>
      <c r="I533" s="1499"/>
      <c r="J533" s="475" t="s">
        <v>267</v>
      </c>
      <c r="K533" s="471"/>
    </row>
    <row r="534" spans="1:20" hidden="1">
      <c r="A534" s="463"/>
      <c r="B534" s="476"/>
      <c r="C534" s="477">
        <f ca="1">PLANEJAMENTO!$F$4</f>
        <v>46140</v>
      </c>
      <c r="D534" s="1721" t="e">
        <f>PLANEJAMENTO!#REF!</f>
        <v>#REF!</v>
      </c>
      <c r="E534" s="1722"/>
      <c r="F534" s="1722"/>
      <c r="G534" s="1722"/>
      <c r="H534" s="1722"/>
      <c r="I534" s="1723"/>
      <c r="J534" s="481" t="str">
        <f>F552</f>
        <v>m2</v>
      </c>
      <c r="K534" s="471"/>
    </row>
    <row r="535" spans="1:20" hidden="1">
      <c r="A535" s="463"/>
      <c r="B535" s="482"/>
      <c r="C535" s="482"/>
      <c r="D535" s="482"/>
      <c r="E535" s="482"/>
      <c r="F535" s="482"/>
      <c r="G535" s="482"/>
      <c r="H535" s="482"/>
      <c r="I535" s="483"/>
      <c r="J535" s="484"/>
      <c r="K535" s="471"/>
    </row>
    <row r="536" spans="1:20" hidden="1">
      <c r="A536" s="463"/>
      <c r="B536" s="1484" t="s">
        <v>938</v>
      </c>
      <c r="C536" s="1486"/>
      <c r="D536" s="1502" t="s">
        <v>688</v>
      </c>
      <c r="E536" s="1504" t="s">
        <v>939</v>
      </c>
      <c r="F536" s="485" t="s">
        <v>940</v>
      </c>
      <c r="G536" s="486"/>
      <c r="H536" s="485" t="s">
        <v>941</v>
      </c>
      <c r="I536" s="486"/>
      <c r="J536" s="487" t="s">
        <v>942</v>
      </c>
      <c r="K536" s="471"/>
    </row>
    <row r="537" spans="1:20" hidden="1">
      <c r="A537" s="463"/>
      <c r="B537" s="1500"/>
      <c r="C537" s="1501"/>
      <c r="D537" s="1503"/>
      <c r="E537" s="1505"/>
      <c r="F537" s="488" t="s">
        <v>943</v>
      </c>
      <c r="G537" s="488" t="s">
        <v>944</v>
      </c>
      <c r="H537" s="488" t="s">
        <v>943</v>
      </c>
      <c r="I537" s="489" t="s">
        <v>944</v>
      </c>
      <c r="J537" s="490" t="s">
        <v>945</v>
      </c>
      <c r="K537" s="471"/>
    </row>
    <row r="538" spans="1:20" hidden="1">
      <c r="A538" s="463"/>
      <c r="B538" s="499"/>
      <c r="C538" s="500"/>
      <c r="D538" s="501"/>
      <c r="E538" s="502"/>
      <c r="F538" s="502"/>
      <c r="G538" s="502"/>
      <c r="H538" s="503"/>
      <c r="I538" s="504"/>
      <c r="J538" s="505"/>
      <c r="K538" s="471"/>
    </row>
    <row r="539" spans="1:20" hidden="1">
      <c r="A539" s="463"/>
      <c r="B539" s="499"/>
      <c r="C539" s="500"/>
      <c r="D539" s="501"/>
      <c r="E539" s="502"/>
      <c r="F539" s="502"/>
      <c r="G539" s="502"/>
      <c r="H539" s="503"/>
      <c r="I539" s="504"/>
      <c r="J539" s="505">
        <f>H539*F539*E539+I539*G539*E539</f>
        <v>0</v>
      </c>
      <c r="K539" s="471"/>
    </row>
    <row r="540" spans="1:20" hidden="1">
      <c r="A540" s="463"/>
      <c r="B540" s="506"/>
      <c r="C540" s="507"/>
      <c r="D540" s="508"/>
      <c r="E540" s="509"/>
      <c r="F540" s="509"/>
      <c r="G540" s="509"/>
      <c r="H540" s="510"/>
      <c r="I540" s="511"/>
      <c r="J540" s="505">
        <f>H540*F540*E540+I540*G540*E540</f>
        <v>0</v>
      </c>
      <c r="K540" s="471"/>
    </row>
    <row r="541" spans="1:20" hidden="1">
      <c r="A541" s="463"/>
      <c r="B541" s="512" t="s">
        <v>946</v>
      </c>
      <c r="C541" s="482"/>
      <c r="D541" s="482"/>
      <c r="E541" s="482"/>
      <c r="F541" s="482"/>
      <c r="G541" s="482"/>
      <c r="H541" s="482"/>
      <c r="I541" s="513" t="s">
        <v>175</v>
      </c>
      <c r="J541" s="514">
        <f>SUM(J538:J540)</f>
        <v>0</v>
      </c>
      <c r="K541" s="471"/>
    </row>
    <row r="542" spans="1:20" hidden="1">
      <c r="A542" s="463"/>
      <c r="B542" s="515"/>
      <c r="C542" s="515"/>
      <c r="D542" s="515"/>
      <c r="E542" s="515"/>
      <c r="F542" s="515"/>
      <c r="G542" s="515"/>
      <c r="H542" s="515"/>
      <c r="I542" s="516"/>
      <c r="J542" s="517"/>
      <c r="K542" s="471"/>
    </row>
    <row r="543" spans="1:20" ht="20.399999999999999" hidden="1">
      <c r="A543" s="463"/>
      <c r="B543" s="1490" t="s">
        <v>947</v>
      </c>
      <c r="C543" s="1491"/>
      <c r="D543" s="1491"/>
      <c r="E543" s="1492"/>
      <c r="F543" s="725" t="s">
        <v>688</v>
      </c>
      <c r="G543" s="519"/>
      <c r="H543" s="520" t="s">
        <v>427</v>
      </c>
      <c r="I543" s="521" t="s">
        <v>948</v>
      </c>
      <c r="J543" s="522" t="s">
        <v>949</v>
      </c>
      <c r="K543" s="471"/>
    </row>
    <row r="544" spans="1:20" hidden="1">
      <c r="A544" s="463"/>
      <c r="B544" s="530" t="s">
        <v>472</v>
      </c>
      <c r="C544" s="531"/>
      <c r="D544" s="472"/>
      <c r="E544" s="500"/>
      <c r="F544" s="501"/>
      <c r="G544" s="532"/>
      <c r="H544" s="533">
        <v>1</v>
      </c>
      <c r="I544" s="534">
        <f>(VLOOKUP(B544,'MÃO DE OBRA'!$A:$E,5,FALSE)/220)</f>
        <v>18.377072727272729</v>
      </c>
      <c r="J544" s="505">
        <f>H544*I544</f>
        <v>18.377072727272729</v>
      </c>
      <c r="K544" s="471"/>
      <c r="P544">
        <v>0.32</v>
      </c>
      <c r="Q544">
        <v>1</v>
      </c>
      <c r="S544">
        <v>0.15</v>
      </c>
      <c r="T544">
        <v>1</v>
      </c>
    </row>
    <row r="545" spans="1:23" hidden="1">
      <c r="A545" s="463"/>
      <c r="B545" s="530" t="s">
        <v>988</v>
      </c>
      <c r="C545" s="531"/>
      <c r="D545" s="472"/>
      <c r="E545" s="500"/>
      <c r="F545" s="501"/>
      <c r="G545" s="532"/>
      <c r="H545" s="533">
        <v>1</v>
      </c>
      <c r="I545" s="534">
        <f>(VLOOKUP(B545,'MÃO DE OBRA'!$A:$E,5,FALSE)/220)</f>
        <v>21.588799999999999</v>
      </c>
      <c r="J545" s="505">
        <f>H545*I545</f>
        <v>21.588799999999999</v>
      </c>
      <c r="K545" s="471"/>
      <c r="P545">
        <v>1</v>
      </c>
      <c r="Q545">
        <f>P545/P544</f>
        <v>3.125</v>
      </c>
      <c r="S545">
        <v>1</v>
      </c>
      <c r="T545">
        <f>S545/S544</f>
        <v>6.666666666666667</v>
      </c>
    </row>
    <row r="546" spans="1:23" hidden="1">
      <c r="A546" s="463"/>
      <c r="B546" s="530"/>
      <c r="C546" s="531"/>
      <c r="D546" s="472"/>
      <c r="E546" s="500"/>
      <c r="F546" s="501"/>
      <c r="G546" s="532"/>
      <c r="H546" s="533"/>
      <c r="I546" s="534"/>
      <c r="J546" s="505"/>
      <c r="K546" s="471"/>
    </row>
    <row r="547" spans="1:23" hidden="1">
      <c r="A547" s="463"/>
      <c r="B547" s="530"/>
      <c r="C547" s="531"/>
      <c r="D547" s="472"/>
      <c r="E547" s="500"/>
      <c r="F547" s="501"/>
      <c r="G547" s="532"/>
      <c r="H547" s="533"/>
      <c r="I547" s="534"/>
      <c r="J547" s="505"/>
      <c r="K547" s="471"/>
      <c r="Q547">
        <f>T545/Q545</f>
        <v>2.1333333333333333</v>
      </c>
    </row>
    <row r="548" spans="1:23" hidden="1">
      <c r="A548" s="463"/>
      <c r="B548" s="530"/>
      <c r="C548" s="531"/>
      <c r="D548" s="472"/>
      <c r="E548" s="500"/>
      <c r="F548" s="501"/>
      <c r="G548" s="532"/>
      <c r="H548" s="533"/>
      <c r="I548" s="534"/>
      <c r="J548" s="505"/>
      <c r="K548" s="471"/>
    </row>
    <row r="549" spans="1:23" hidden="1">
      <c r="A549" s="463"/>
      <c r="B549" s="530"/>
      <c r="C549" s="531"/>
      <c r="D549" s="472"/>
      <c r="E549" s="500"/>
      <c r="F549" s="501"/>
      <c r="G549" s="532"/>
      <c r="H549" s="533"/>
      <c r="I549" s="504"/>
      <c r="J549" s="505">
        <f>H549*I549</f>
        <v>0</v>
      </c>
      <c r="K549" s="471"/>
    </row>
    <row r="550" spans="1:23" hidden="1">
      <c r="A550" s="463"/>
      <c r="B550" s="512" t="s">
        <v>946</v>
      </c>
      <c r="C550" s="515"/>
      <c r="D550" s="515"/>
      <c r="E550" s="515"/>
      <c r="F550" s="515"/>
      <c r="G550" s="515"/>
      <c r="H550" s="515"/>
      <c r="I550" s="535" t="s">
        <v>175</v>
      </c>
      <c r="J550" s="514">
        <f>SUM(J544:J549)</f>
        <v>39.965872727272725</v>
      </c>
      <c r="K550" s="471"/>
    </row>
    <row r="551" spans="1:23" hidden="1">
      <c r="A551" s="463"/>
      <c r="B551" s="536"/>
      <c r="C551" s="536"/>
      <c r="D551" s="536"/>
      <c r="E551" s="536"/>
      <c r="F551" s="536"/>
      <c r="G551" s="536"/>
      <c r="H551" s="536"/>
      <c r="I551" s="537"/>
      <c r="J551" s="536"/>
      <c r="K551" s="471"/>
    </row>
    <row r="552" spans="1:23" hidden="1">
      <c r="A552" s="463"/>
      <c r="B552" s="538" t="s">
        <v>952</v>
      </c>
      <c r="C552" s="539"/>
      <c r="D552" s="536"/>
      <c r="E552" s="540">
        <f>1/0.0563</f>
        <v>17.761989342806395</v>
      </c>
      <c r="F552" s="541" t="s">
        <v>965</v>
      </c>
      <c r="G552" s="519"/>
      <c r="H552" s="519"/>
      <c r="I552" s="542" t="s">
        <v>953</v>
      </c>
      <c r="J552" s="514">
        <f>J541+J550</f>
        <v>39.965872727272725</v>
      </c>
      <c r="K552" s="471"/>
    </row>
    <row r="553" spans="1:23" hidden="1">
      <c r="A553" s="463"/>
      <c r="B553" s="543"/>
      <c r="C553" s="536"/>
      <c r="D553" s="536"/>
      <c r="E553" s="544"/>
      <c r="F553" s="545"/>
      <c r="G553" s="545"/>
      <c r="H553" s="545"/>
      <c r="I553" s="537"/>
      <c r="J553" s="536"/>
      <c r="K553" s="471"/>
    </row>
    <row r="554" spans="1:23" ht="20.399999999999999" hidden="1">
      <c r="A554" s="463"/>
      <c r="B554" s="1493" t="s">
        <v>362</v>
      </c>
      <c r="C554" s="1494"/>
      <c r="D554" s="1494"/>
      <c r="E554" s="1495"/>
      <c r="F554" s="546" t="s">
        <v>688</v>
      </c>
      <c r="G554" s="547" t="s">
        <v>371</v>
      </c>
      <c r="H554" s="520" t="s">
        <v>942</v>
      </c>
      <c r="I554" s="548" t="s">
        <v>361</v>
      </c>
      <c r="J554" s="549" t="s">
        <v>363</v>
      </c>
      <c r="K554" s="471"/>
    </row>
    <row r="555" spans="1:23" hidden="1">
      <c r="A555" s="463"/>
      <c r="B555" s="530"/>
      <c r="C555" s="531"/>
      <c r="D555" s="531"/>
      <c r="E555" s="500"/>
      <c r="F555" s="553"/>
      <c r="G555" s="554"/>
      <c r="H555" s="560"/>
      <c r="I555" s="556"/>
      <c r="J555" s="498"/>
      <c r="K555" s="471"/>
    </row>
    <row r="556" spans="1:23" hidden="1">
      <c r="A556" s="463"/>
      <c r="B556" s="530"/>
      <c r="C556" s="539"/>
      <c r="D556" s="539"/>
      <c r="E556" s="507"/>
      <c r="F556" s="501"/>
      <c r="G556" s="481"/>
      <c r="H556" s="560"/>
      <c r="I556" s="561"/>
      <c r="J556" s="505">
        <f>H556*I556*E539*F539</f>
        <v>0</v>
      </c>
      <c r="K556" s="471"/>
      <c r="Q556">
        <v>254.4</v>
      </c>
      <c r="R556" t="s">
        <v>993</v>
      </c>
      <c r="S556">
        <v>1.27</v>
      </c>
      <c r="T556" t="s">
        <v>965</v>
      </c>
      <c r="V556">
        <f>V557/Q557</f>
        <v>0.15698394436270724</v>
      </c>
      <c r="W556">
        <f>Q556*V556</f>
        <v>39.936715445872721</v>
      </c>
    </row>
    <row r="557" spans="1:23" hidden="1">
      <c r="A557" s="463"/>
      <c r="B557" s="563" t="s">
        <v>946</v>
      </c>
      <c r="C557" s="539"/>
      <c r="D557" s="539"/>
      <c r="E557" s="539"/>
      <c r="F557" s="536"/>
      <c r="G557" s="539"/>
      <c r="H557" s="564"/>
      <c r="I557" s="565" t="s">
        <v>175</v>
      </c>
      <c r="J557" s="514">
        <f>SUM(J555:J556)</f>
        <v>0</v>
      </c>
      <c r="K557" s="471"/>
      <c r="Q557">
        <f>Q556/S556</f>
        <v>200.31496062992127</v>
      </c>
      <c r="S557">
        <v>1</v>
      </c>
      <c r="T557" t="s">
        <v>965</v>
      </c>
      <c r="V557" s="2">
        <f>J578</f>
        <v>31.446232634545453</v>
      </c>
      <c r="W557">
        <f>V557*S556</f>
        <v>39.936715445872728</v>
      </c>
    </row>
    <row r="558" spans="1:23" hidden="1">
      <c r="A558" s="463"/>
      <c r="B558" s="566"/>
      <c r="C558" s="539"/>
      <c r="D558" s="539"/>
      <c r="E558" s="567"/>
      <c r="F558" s="568"/>
      <c r="G558" s="519"/>
      <c r="H558" s="519"/>
      <c r="I558" s="542"/>
      <c r="J558" s="567"/>
      <c r="K558" s="471"/>
    </row>
    <row r="559" spans="1:23" ht="20.399999999999999" hidden="1">
      <c r="A559" s="463"/>
      <c r="B559" s="1493" t="s">
        <v>955</v>
      </c>
      <c r="C559" s="1494"/>
      <c r="D559" s="1494"/>
      <c r="E559" s="1494"/>
      <c r="F559" s="1495"/>
      <c r="G559" s="569" t="s">
        <v>372</v>
      </c>
      <c r="H559" s="519" t="s">
        <v>956</v>
      </c>
      <c r="I559" s="570" t="s">
        <v>942</v>
      </c>
      <c r="J559" s="522" t="s">
        <v>363</v>
      </c>
      <c r="K559" s="471"/>
    </row>
    <row r="560" spans="1:23" hidden="1">
      <c r="A560" s="463"/>
      <c r="B560" s="571"/>
      <c r="C560" s="572"/>
      <c r="D560" s="573"/>
      <c r="E560" s="573"/>
      <c r="F560" s="574"/>
      <c r="G560" s="502"/>
      <c r="H560" s="502"/>
      <c r="I560" s="575"/>
      <c r="J560" s="505"/>
      <c r="K560" s="471"/>
    </row>
    <row r="561" spans="1:11" hidden="1">
      <c r="A561" s="463"/>
      <c r="B561" s="576"/>
      <c r="C561" s="577"/>
      <c r="D561" s="578"/>
      <c r="E561" s="578"/>
      <c r="F561" s="579"/>
      <c r="G561" s="502"/>
      <c r="H561" s="502"/>
      <c r="I561" s="575"/>
      <c r="J561" s="505"/>
      <c r="K561" s="471"/>
    </row>
    <row r="562" spans="1:11" hidden="1">
      <c r="A562" s="463"/>
      <c r="B562" s="1496" t="s">
        <v>175</v>
      </c>
      <c r="C562" s="1496"/>
      <c r="D562" s="1496"/>
      <c r="E562" s="1496"/>
      <c r="F562" s="1496"/>
      <c r="G562" s="1496"/>
      <c r="H562" s="1496"/>
      <c r="I562" s="1496"/>
      <c r="J562" s="514">
        <f>SUM(J560:J561)</f>
        <v>0</v>
      </c>
      <c r="K562" s="471"/>
    </row>
    <row r="563" spans="1:11" hidden="1">
      <c r="A563" s="463"/>
      <c r="B563" s="580"/>
      <c r="C563" s="524"/>
      <c r="D563" s="524"/>
      <c r="E563" s="581"/>
      <c r="F563" s="582"/>
      <c r="G563" s="583"/>
      <c r="H563" s="583"/>
      <c r="I563" s="584"/>
      <c r="J563" s="585"/>
      <c r="K563" s="471"/>
    </row>
    <row r="564" spans="1:11" hidden="1">
      <c r="A564" s="463"/>
      <c r="B564" s="586" t="s">
        <v>957</v>
      </c>
      <c r="C564" s="586"/>
      <c r="D564" s="563"/>
      <c r="E564" s="536"/>
      <c r="F564" s="536"/>
      <c r="G564" s="536"/>
      <c r="H564" s="587"/>
      <c r="I564" s="588"/>
      <c r="J564" s="514">
        <f>(J552+J557+J562)/E552</f>
        <v>2.2500786345454542</v>
      </c>
      <c r="K564" s="471"/>
    </row>
    <row r="565" spans="1:11" hidden="1">
      <c r="A565" s="463"/>
      <c r="B565" s="566"/>
      <c r="C565" s="539"/>
      <c r="D565" s="539"/>
      <c r="E565" s="567"/>
      <c r="F565" s="568"/>
      <c r="G565" s="519"/>
      <c r="H565" s="519"/>
      <c r="I565" s="542"/>
      <c r="J565" s="589"/>
      <c r="K565" s="471"/>
    </row>
    <row r="566" spans="1:11" ht="20.399999999999999" hidden="1">
      <c r="A566" s="463"/>
      <c r="B566" s="1493" t="s">
        <v>958</v>
      </c>
      <c r="C566" s="1494"/>
      <c r="D566" s="1494"/>
      <c r="E566" s="1494"/>
      <c r="F566" s="1495"/>
      <c r="G566" s="569" t="s">
        <v>372</v>
      </c>
      <c r="H566" s="519" t="s">
        <v>956</v>
      </c>
      <c r="I566" s="570" t="s">
        <v>942</v>
      </c>
      <c r="J566" s="522" t="s">
        <v>363</v>
      </c>
      <c r="K566" s="471"/>
    </row>
    <row r="567" spans="1:11" hidden="1">
      <c r="A567" s="463"/>
      <c r="B567" s="571" t="s">
        <v>994</v>
      </c>
      <c r="C567" s="572"/>
      <c r="D567" s="573"/>
      <c r="E567" s="573"/>
      <c r="F567" s="574"/>
      <c r="G567" s="502">
        <v>1.05</v>
      </c>
      <c r="H567" s="502" t="s">
        <v>965</v>
      </c>
      <c r="I567" s="575">
        <v>12</v>
      </c>
      <c r="J567" s="505">
        <f>G567*I567</f>
        <v>12.600000000000001</v>
      </c>
      <c r="K567" s="471"/>
    </row>
    <row r="568" spans="1:11" hidden="1">
      <c r="A568" s="463"/>
      <c r="B568" s="576" t="s">
        <v>995</v>
      </c>
      <c r="C568" s="577"/>
      <c r="D568" s="578"/>
      <c r="E568" s="578"/>
      <c r="F568" s="579"/>
      <c r="G568" s="502">
        <v>0.62419999999999998</v>
      </c>
      <c r="H568" s="502" t="s">
        <v>904</v>
      </c>
      <c r="I568" s="575">
        <v>26.37</v>
      </c>
      <c r="J568" s="505">
        <f>G568*I568</f>
        <v>16.460153999999999</v>
      </c>
      <c r="K568" s="471"/>
    </row>
    <row r="569" spans="1:11" hidden="1">
      <c r="A569" s="463"/>
      <c r="B569" s="576" t="s">
        <v>996</v>
      </c>
      <c r="C569" s="577"/>
      <c r="D569" s="578"/>
      <c r="E569" s="578"/>
      <c r="F569" s="579"/>
      <c r="G569" s="502">
        <v>0.1</v>
      </c>
      <c r="H569" s="502" t="s">
        <v>956</v>
      </c>
      <c r="I569" s="738">
        <v>1.36</v>
      </c>
      <c r="J569" s="505">
        <f>G569*I569</f>
        <v>0.13600000000000001</v>
      </c>
      <c r="K569" s="471"/>
    </row>
    <row r="570" spans="1:11" hidden="1">
      <c r="A570" s="463"/>
      <c r="B570" s="590"/>
      <c r="C570" s="591"/>
      <c r="D570" s="592"/>
      <c r="E570" s="592"/>
      <c r="F570" s="593"/>
      <c r="G570" s="502"/>
      <c r="H570" s="502"/>
      <c r="I570" s="575"/>
      <c r="J570" s="505">
        <f>G570*I570</f>
        <v>0</v>
      </c>
      <c r="K570" s="471"/>
    </row>
    <row r="571" spans="1:11" hidden="1">
      <c r="A571" s="463"/>
      <c r="B571" s="594"/>
      <c r="C571" s="536"/>
      <c r="D571" s="536"/>
      <c r="E571" s="595"/>
      <c r="F571" s="596"/>
      <c r="G571" s="545"/>
      <c r="H571" s="545"/>
      <c r="I571" s="537" t="s">
        <v>175</v>
      </c>
      <c r="J571" s="514">
        <f>SUM(J567:J570)</f>
        <v>29.196154</v>
      </c>
      <c r="K571" s="471"/>
    </row>
    <row r="572" spans="1:11" hidden="1">
      <c r="A572" s="463"/>
      <c r="B572" s="597"/>
      <c r="C572" s="536"/>
      <c r="D572" s="536"/>
      <c r="E572" s="595"/>
      <c r="F572" s="596"/>
      <c r="G572" s="545"/>
      <c r="H572" s="545"/>
      <c r="I572" s="537"/>
      <c r="J572" s="595"/>
      <c r="K572" s="471"/>
    </row>
    <row r="573" spans="1:11" ht="20.399999999999999" hidden="1">
      <c r="A573" s="463"/>
      <c r="B573" s="1493" t="s">
        <v>959</v>
      </c>
      <c r="C573" s="1494"/>
      <c r="D573" s="1494"/>
      <c r="E573" s="1494"/>
      <c r="F573" s="1495"/>
      <c r="G573" s="600" t="s">
        <v>372</v>
      </c>
      <c r="H573" s="519" t="s">
        <v>942</v>
      </c>
      <c r="I573" s="570"/>
      <c r="J573" s="522" t="s">
        <v>363</v>
      </c>
      <c r="K573" s="471"/>
    </row>
    <row r="574" spans="1:11" hidden="1">
      <c r="A574" s="463"/>
      <c r="B574" s="1734"/>
      <c r="C574" s="1735"/>
      <c r="D574" s="1735"/>
      <c r="E574" s="1735"/>
      <c r="F574" s="1736"/>
      <c r="G574" s="502"/>
      <c r="H574" s="1737"/>
      <c r="I574" s="1738"/>
      <c r="J574" s="505"/>
      <c r="K574" s="471"/>
    </row>
    <row r="575" spans="1:11" hidden="1">
      <c r="A575" s="463"/>
      <c r="B575" s="1739"/>
      <c r="C575" s="1740"/>
      <c r="D575" s="1740"/>
      <c r="E575" s="1740"/>
      <c r="F575" s="1741"/>
      <c r="G575" s="509"/>
      <c r="H575" s="1742"/>
      <c r="I575" s="1743"/>
      <c r="J575" s="505"/>
      <c r="K575" s="471"/>
    </row>
    <row r="576" spans="1:11" hidden="1">
      <c r="A576" s="463"/>
      <c r="B576" s="594"/>
      <c r="C576" s="536"/>
      <c r="D576" s="536"/>
      <c r="E576" s="595"/>
      <c r="F576" s="596"/>
      <c r="G576" s="545"/>
      <c r="H576" s="545"/>
      <c r="I576" s="537" t="s">
        <v>175</v>
      </c>
      <c r="J576" s="514">
        <f>SUM(J574:J575)</f>
        <v>0</v>
      </c>
      <c r="K576" s="471"/>
    </row>
    <row r="577" spans="1:11" hidden="1">
      <c r="A577" s="463"/>
      <c r="B577" s="536"/>
      <c r="C577" s="536"/>
      <c r="D577" s="536"/>
      <c r="E577" s="536"/>
      <c r="F577" s="536"/>
      <c r="G577" s="536"/>
      <c r="H577" s="536"/>
      <c r="I577" s="537"/>
      <c r="J577" s="536"/>
      <c r="K577" s="471"/>
    </row>
    <row r="578" spans="1:11" hidden="1">
      <c r="A578" s="463"/>
      <c r="B578" s="1481" t="s">
        <v>961</v>
      </c>
      <c r="C578" s="1482"/>
      <c r="D578" s="1482"/>
      <c r="E578" s="1482"/>
      <c r="F578" s="1482"/>
      <c r="G578" s="1482"/>
      <c r="H578" s="1482"/>
      <c r="I578" s="1483"/>
      <c r="J578" s="586">
        <f>J576+J571+J564</f>
        <v>31.446232634545453</v>
      </c>
      <c r="K578" s="471"/>
    </row>
    <row r="579" spans="1:11" hidden="1">
      <c r="A579" s="463"/>
      <c r="B579" s="536"/>
      <c r="C579" s="536"/>
      <c r="D579" s="536"/>
      <c r="E579" s="536"/>
      <c r="F579" s="536"/>
      <c r="G579" s="536"/>
      <c r="H579" s="536"/>
      <c r="I579" s="537"/>
      <c r="J579" s="536"/>
      <c r="K579" s="471"/>
    </row>
    <row r="580" spans="1:11" hidden="1">
      <c r="A580" s="463"/>
      <c r="B580" s="1481" t="s">
        <v>962</v>
      </c>
      <c r="C580" s="1482"/>
      <c r="D580" s="1482"/>
      <c r="E580" s="1482"/>
      <c r="F580" s="1482"/>
      <c r="G580" s="1482"/>
      <c r="H580" s="1482"/>
      <c r="I580" s="1483"/>
      <c r="J580" s="514">
        <f>J578*0</f>
        <v>0</v>
      </c>
      <c r="K580" s="471"/>
    </row>
    <row r="581" spans="1:11" hidden="1">
      <c r="A581" s="463"/>
      <c r="B581" s="536"/>
      <c r="C581" s="536"/>
      <c r="D581" s="536"/>
      <c r="E581" s="536"/>
      <c r="F581" s="536"/>
      <c r="G581" s="536"/>
      <c r="H581" s="536"/>
      <c r="I581" s="537"/>
      <c r="J581" s="536"/>
      <c r="K581" s="471"/>
    </row>
    <row r="582" spans="1:11" hidden="1">
      <c r="A582" s="463"/>
      <c r="B582" s="1481" t="s">
        <v>963</v>
      </c>
      <c r="C582" s="1482"/>
      <c r="D582" s="1482"/>
      <c r="E582" s="1482"/>
      <c r="F582" s="1482"/>
      <c r="G582" s="1482"/>
      <c r="H582" s="1482"/>
      <c r="I582" s="1483"/>
      <c r="J582" s="586">
        <f>J578+J580</f>
        <v>31.446232634545453</v>
      </c>
      <c r="K582" s="471"/>
    </row>
    <row r="583" spans="1:11" hidden="1">
      <c r="A583" s="463"/>
      <c r="B583" s="524"/>
      <c r="C583" s="524"/>
      <c r="D583" s="524"/>
      <c r="E583" s="524"/>
      <c r="F583" s="524"/>
      <c r="G583" s="524"/>
      <c r="H583" s="524"/>
      <c r="I583" s="584"/>
      <c r="J583" s="524"/>
      <c r="K583" s="471"/>
    </row>
    <row r="584" spans="1:11" hidden="1">
      <c r="A584" s="463"/>
      <c r="B584" s="602"/>
      <c r="C584" s="572"/>
      <c r="D584" s="572"/>
      <c r="E584" s="572"/>
      <c r="F584" s="572"/>
      <c r="G584" s="572"/>
      <c r="H584" s="572"/>
      <c r="I584" s="572"/>
      <c r="J584" s="603"/>
      <c r="K584" s="471"/>
    </row>
    <row r="585" spans="1:11" hidden="1">
      <c r="A585" s="463"/>
      <c r="B585" s="604"/>
      <c r="C585" s="605"/>
      <c r="D585" s="606"/>
      <c r="E585" s="606"/>
      <c r="F585" s="607" t="s">
        <v>946</v>
      </c>
      <c r="G585" s="608" t="s">
        <v>946</v>
      </c>
      <c r="H585" s="605"/>
      <c r="I585" s="605"/>
      <c r="J585" s="609"/>
      <c r="K585" s="471"/>
    </row>
    <row r="586" spans="1:11" hidden="1">
      <c r="A586" s="463"/>
      <c r="B586" s="472"/>
      <c r="C586" s="472"/>
      <c r="D586" s="472"/>
      <c r="E586" s="472"/>
      <c r="F586" s="472"/>
      <c r="G586" s="472"/>
      <c r="H586" s="472"/>
      <c r="I586" s="472"/>
      <c r="J586" s="472"/>
      <c r="K586" s="471"/>
    </row>
    <row r="587" spans="1:11" hidden="1">
      <c r="A587" s="463"/>
      <c r="B587" s="610" t="str">
        <f>PLANEJAMENTO!$F$2</f>
        <v>OPERAÇÃO DE SUPRESSÃO E SUMP</v>
      </c>
      <c r="C587" s="611"/>
      <c r="D587" s="611"/>
      <c r="E587" s="611"/>
      <c r="F587" s="612"/>
      <c r="G587" s="613" t="s">
        <v>363</v>
      </c>
      <c r="H587" s="515"/>
      <c r="I587" s="515"/>
      <c r="J587" s="518"/>
      <c r="K587" s="471"/>
    </row>
    <row r="588" spans="1:11" hidden="1">
      <c r="A588" s="463"/>
      <c r="B588" s="614">
        <f>PLANEJAMENTO!E480</f>
        <v>0</v>
      </c>
      <c r="C588" s="615"/>
      <c r="D588" s="615"/>
      <c r="E588" s="615"/>
      <c r="F588" s="616"/>
      <c r="G588" s="1484" t="s">
        <v>964</v>
      </c>
      <c r="H588" s="1485"/>
      <c r="I588" s="1485"/>
      <c r="J588" s="1486"/>
      <c r="K588" s="471"/>
    </row>
    <row r="589" spans="1:11" hidden="1">
      <c r="A589" s="463"/>
      <c r="B589" s="617"/>
      <c r="C589" s="618"/>
      <c r="D589" s="618"/>
      <c r="E589" s="618"/>
      <c r="F589" s="619"/>
      <c r="G589" s="620"/>
      <c r="H589" s="1487"/>
      <c r="I589" s="1488"/>
      <c r="J589" s="1489"/>
      <c r="K589" s="471"/>
    </row>
    <row r="590" spans="1:11" ht="15" hidden="1" thickBot="1">
      <c r="A590" s="621"/>
      <c r="B590" s="622"/>
      <c r="C590" s="622"/>
      <c r="D590" s="622"/>
      <c r="E590" s="622"/>
      <c r="F590" s="622"/>
      <c r="G590" s="622"/>
      <c r="H590" s="622"/>
      <c r="I590" s="622"/>
      <c r="J590" s="622"/>
      <c r="K590" s="623"/>
    </row>
  </sheetData>
  <mergeCells count="181">
    <mergeCell ref="B578:I578"/>
    <mergeCell ref="B580:I580"/>
    <mergeCell ref="B582:I582"/>
    <mergeCell ref="G588:J588"/>
    <mergeCell ref="H589:J589"/>
    <mergeCell ref="B573:F573"/>
    <mergeCell ref="B574:F574"/>
    <mergeCell ref="H574:I574"/>
    <mergeCell ref="B575:F575"/>
    <mergeCell ref="H575:I575"/>
    <mergeCell ref="B543:E543"/>
    <mergeCell ref="B554:E554"/>
    <mergeCell ref="B559:F559"/>
    <mergeCell ref="B562:I562"/>
    <mergeCell ref="B566:F566"/>
    <mergeCell ref="D533:I533"/>
    <mergeCell ref="D534:I534"/>
    <mergeCell ref="B536:C537"/>
    <mergeCell ref="D536:D537"/>
    <mergeCell ref="E536:E537"/>
    <mergeCell ref="B517:I517"/>
    <mergeCell ref="B519:I519"/>
    <mergeCell ref="B521:I521"/>
    <mergeCell ref="G527:J527"/>
    <mergeCell ref="H528:J528"/>
    <mergeCell ref="B512:F512"/>
    <mergeCell ref="B513:F513"/>
    <mergeCell ref="H513:I513"/>
    <mergeCell ref="B514:F514"/>
    <mergeCell ref="H514:I514"/>
    <mergeCell ref="B482:E482"/>
    <mergeCell ref="B493:E493"/>
    <mergeCell ref="B498:F498"/>
    <mergeCell ref="B501:I501"/>
    <mergeCell ref="B505:F505"/>
    <mergeCell ref="D472:I472"/>
    <mergeCell ref="D473:I473"/>
    <mergeCell ref="B475:C476"/>
    <mergeCell ref="D475:D476"/>
    <mergeCell ref="E475:E476"/>
    <mergeCell ref="B456:I456"/>
    <mergeCell ref="B458:I458"/>
    <mergeCell ref="B460:I460"/>
    <mergeCell ref="G466:J466"/>
    <mergeCell ref="H467:J467"/>
    <mergeCell ref="B451:F451"/>
    <mergeCell ref="B452:F452"/>
    <mergeCell ref="H452:I452"/>
    <mergeCell ref="B453:F453"/>
    <mergeCell ref="H453:I453"/>
    <mergeCell ref="B420:E420"/>
    <mergeCell ref="B431:E431"/>
    <mergeCell ref="B437:F437"/>
    <mergeCell ref="B440:I440"/>
    <mergeCell ref="B444:F444"/>
    <mergeCell ref="D409:I409"/>
    <mergeCell ref="D410:I410"/>
    <mergeCell ref="B412:C413"/>
    <mergeCell ref="D412:D413"/>
    <mergeCell ref="E412:E413"/>
    <mergeCell ref="B393:I393"/>
    <mergeCell ref="B395:I395"/>
    <mergeCell ref="B397:I397"/>
    <mergeCell ref="G403:J403"/>
    <mergeCell ref="H404:J404"/>
    <mergeCell ref="B388:F388"/>
    <mergeCell ref="B389:F389"/>
    <mergeCell ref="H389:I389"/>
    <mergeCell ref="B390:F390"/>
    <mergeCell ref="H390:I390"/>
    <mergeCell ref="B357:E357"/>
    <mergeCell ref="B368:E368"/>
    <mergeCell ref="B374:F374"/>
    <mergeCell ref="B377:I377"/>
    <mergeCell ref="B381:F381"/>
    <mergeCell ref="D346:I346"/>
    <mergeCell ref="D347:I347"/>
    <mergeCell ref="B349:C350"/>
    <mergeCell ref="D349:D350"/>
    <mergeCell ref="E349:E350"/>
    <mergeCell ref="B330:I330"/>
    <mergeCell ref="B332:I332"/>
    <mergeCell ref="B334:I334"/>
    <mergeCell ref="G340:J340"/>
    <mergeCell ref="H341:J341"/>
    <mergeCell ref="B325:F325"/>
    <mergeCell ref="B326:F326"/>
    <mergeCell ref="H326:I326"/>
    <mergeCell ref="B327:F327"/>
    <mergeCell ref="H327:I327"/>
    <mergeCell ref="B292:E292"/>
    <mergeCell ref="B305:E305"/>
    <mergeCell ref="B311:F311"/>
    <mergeCell ref="B314:I314"/>
    <mergeCell ref="B318:F318"/>
    <mergeCell ref="D281:I281"/>
    <mergeCell ref="D282:I282"/>
    <mergeCell ref="B284:C285"/>
    <mergeCell ref="D284:D285"/>
    <mergeCell ref="E284:E285"/>
    <mergeCell ref="B265:I265"/>
    <mergeCell ref="B267:I267"/>
    <mergeCell ref="B269:I269"/>
    <mergeCell ref="G275:J275"/>
    <mergeCell ref="H276:J276"/>
    <mergeCell ref="B260:F260"/>
    <mergeCell ref="B261:F261"/>
    <mergeCell ref="H261:I261"/>
    <mergeCell ref="B262:F262"/>
    <mergeCell ref="H262:I262"/>
    <mergeCell ref="B229:E229"/>
    <mergeCell ref="B240:E240"/>
    <mergeCell ref="B246:F246"/>
    <mergeCell ref="B249:I249"/>
    <mergeCell ref="B253:F253"/>
    <mergeCell ref="D215:I215"/>
    <mergeCell ref="D216:I216"/>
    <mergeCell ref="B218:C219"/>
    <mergeCell ref="D218:D219"/>
    <mergeCell ref="E218:E219"/>
    <mergeCell ref="D147:I147"/>
    <mergeCell ref="B150:C151"/>
    <mergeCell ref="D150:D151"/>
    <mergeCell ref="E150:E151"/>
    <mergeCell ref="B161:E161"/>
    <mergeCell ref="D148:I148"/>
    <mergeCell ref="D4:I4"/>
    <mergeCell ref="B7:C8"/>
    <mergeCell ref="D7:D8"/>
    <mergeCell ref="E7:E8"/>
    <mergeCell ref="B17:E17"/>
    <mergeCell ref="B29:E29"/>
    <mergeCell ref="D75:I75"/>
    <mergeCell ref="D76:I76"/>
    <mergeCell ref="B78:C79"/>
    <mergeCell ref="D78:D79"/>
    <mergeCell ref="E78:E79"/>
    <mergeCell ref="B89:E89"/>
    <mergeCell ref="G69:J69"/>
    <mergeCell ref="H70:J70"/>
    <mergeCell ref="D5:I5"/>
    <mergeCell ref="B54:F54"/>
    <mergeCell ref="B55:F55"/>
    <mergeCell ref="B56:F56"/>
    <mergeCell ref="H55:I55"/>
    <mergeCell ref="H56:I56"/>
    <mergeCell ref="H54:I54"/>
    <mergeCell ref="B38:F38"/>
    <mergeCell ref="B41:I41"/>
    <mergeCell ref="B45:F45"/>
    <mergeCell ref="B59:I59"/>
    <mergeCell ref="B61:I61"/>
    <mergeCell ref="B63:I63"/>
    <mergeCell ref="H142:J142"/>
    <mergeCell ref="H128:I128"/>
    <mergeCell ref="B101:E101"/>
    <mergeCell ref="B110:F110"/>
    <mergeCell ref="B113:I113"/>
    <mergeCell ref="B117:F117"/>
    <mergeCell ref="B126:F126"/>
    <mergeCell ref="B127:F127"/>
    <mergeCell ref="H127:I127"/>
    <mergeCell ref="B128:F128"/>
    <mergeCell ref="B131:I131"/>
    <mergeCell ref="B133:I133"/>
    <mergeCell ref="B135:I135"/>
    <mergeCell ref="G141:J141"/>
    <mergeCell ref="G209:J209"/>
    <mergeCell ref="H210:J210"/>
    <mergeCell ref="B172:E172"/>
    <mergeCell ref="B180:F180"/>
    <mergeCell ref="B183:I183"/>
    <mergeCell ref="B187:F187"/>
    <mergeCell ref="B195:F195"/>
    <mergeCell ref="B194:F194"/>
    <mergeCell ref="H195:I195"/>
    <mergeCell ref="B199:I199"/>
    <mergeCell ref="B201:I201"/>
    <mergeCell ref="B203:I203"/>
    <mergeCell ref="B196:F196"/>
    <mergeCell ref="H196:I196"/>
  </mergeCells>
  <phoneticPr fontId="45" type="noConversion"/>
  <pageMargins left="0.511811024" right="0.511811024" top="0.78740157499999996" bottom="0.78740157499999996" header="0.31496062000000002" footer="0.31496062000000002"/>
  <pageSetup paperSize="9" scale="65" orientation="portrait" r:id="rId1"/>
  <rowBreaks count="7" manualBreakCount="7">
    <brk id="71" max="10" man="1"/>
    <brk id="143" max="10" man="1"/>
    <brk id="211" max="10" man="1"/>
    <brk id="277" max="10" man="1"/>
    <brk id="342" max="10" man="1"/>
    <brk id="405" max="10" man="1"/>
    <brk id="468" max="10"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5457A-04C9-4391-8659-C0783ED96CC9}">
  <sheetPr codeName="Planilha42">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997</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651</v>
      </c>
      <c r="C9" s="492"/>
      <c r="D9" s="493"/>
      <c r="E9" s="494">
        <v>1</v>
      </c>
      <c r="F9" s="494">
        <v>1</v>
      </c>
      <c r="G9" s="495">
        <f>1-F9</f>
        <v>0</v>
      </c>
      <c r="H9" s="496">
        <f>VLOOKUP(B9,EQUIPAMENTOS!$A:$J,10,FALSE)</f>
        <v>63.777777777777779</v>
      </c>
      <c r="I9" s="497">
        <f>H9</f>
        <v>63.777777777777779</v>
      </c>
      <c r="J9" s="498">
        <f t="shared" ref="J9:J15" si="0">H9*F9*E9+I9*G9*E9</f>
        <v>63.777777777777779</v>
      </c>
      <c r="K9" s="471"/>
    </row>
    <row r="10" spans="1:11" hidden="1">
      <c r="A10" s="463"/>
      <c r="B10" s="499"/>
      <c r="C10" s="500"/>
      <c r="D10" s="501"/>
      <c r="E10" s="502"/>
      <c r="F10" s="502">
        <v>1</v>
      </c>
      <c r="G10" s="502">
        <f>1-F10</f>
        <v>0</v>
      </c>
      <c r="H10" s="503"/>
      <c r="I10" s="504">
        <f>H10</f>
        <v>0</v>
      </c>
      <c r="J10" s="505">
        <f t="shared" si="0"/>
        <v>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63.777777777777779</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1.3173700000000002</v>
      </c>
      <c r="K19" s="471"/>
    </row>
    <row r="20" spans="1:11">
      <c r="A20" s="463"/>
      <c r="B20" s="530" t="s">
        <v>966</v>
      </c>
      <c r="C20" s="531"/>
      <c r="D20" s="472"/>
      <c r="E20" s="500"/>
      <c r="F20" s="501"/>
      <c r="G20" s="532"/>
      <c r="H20" s="533">
        <v>1</v>
      </c>
      <c r="I20" s="534">
        <f>VLOOKUP(B20,'MÃO DE OBRA'!$A:$E,5,FALSE)/220</f>
        <v>26.3474</v>
      </c>
      <c r="J20" s="505">
        <f>H20*I20</f>
        <v>26.3474</v>
      </c>
      <c r="K20" s="471"/>
    </row>
    <row r="21" spans="1:11" hidden="1">
      <c r="A21" s="463"/>
      <c r="B21" s="530" t="s">
        <v>534</v>
      </c>
      <c r="C21" s="531"/>
      <c r="D21" s="472"/>
      <c r="E21" s="500"/>
      <c r="F21" s="501"/>
      <c r="G21" s="532"/>
      <c r="H21" s="533"/>
      <c r="I21" s="534">
        <f>VLOOKUP(B21,'MÃO DE OBRA'!$A:$E,5,FALSE)/220</f>
        <v>21.588799999999999</v>
      </c>
      <c r="J21" s="505">
        <f>H21*I21</f>
        <v>0</v>
      </c>
      <c r="K21" s="471"/>
    </row>
    <row r="22" spans="1:11">
      <c r="A22" s="463"/>
      <c r="B22" s="530" t="s">
        <v>472</v>
      </c>
      <c r="C22" s="531"/>
      <c r="D22" s="472"/>
      <c r="E22" s="500"/>
      <c r="F22" s="501"/>
      <c r="G22" s="532"/>
      <c r="H22" s="533"/>
      <c r="I22" s="534">
        <f>VLOOKUP(B22,'MÃO DE OBRA'!$A:$E,5,FALSE)/220</f>
        <v>18.377072727272729</v>
      </c>
      <c r="J22" s="505">
        <f>H22*I22</f>
        <v>0</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3.1888888888888891</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30.853658888888891</v>
      </c>
      <c r="K26" s="471"/>
    </row>
    <row r="27" spans="1:11">
      <c r="A27" s="463"/>
      <c r="B27" s="536"/>
      <c r="C27" s="536"/>
      <c r="D27" s="536"/>
      <c r="E27" s="536"/>
      <c r="F27" s="536"/>
      <c r="G27" s="536"/>
      <c r="H27" s="536"/>
      <c r="I27" s="537"/>
      <c r="J27" s="536"/>
      <c r="K27" s="471"/>
    </row>
    <row r="28" spans="1:11">
      <c r="A28" s="463"/>
      <c r="B28" s="538" t="s">
        <v>952</v>
      </c>
      <c r="C28" s="539"/>
      <c r="D28" s="536"/>
      <c r="E28" s="540">
        <v>30</v>
      </c>
      <c r="F28" s="541" t="s">
        <v>208</v>
      </c>
      <c r="G28" s="519"/>
      <c r="H28" s="519"/>
      <c r="I28" s="542" t="s">
        <v>953</v>
      </c>
      <c r="J28" s="514">
        <f>J16+J26</f>
        <v>94.631436666666673</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Retroescavadeira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c r="C32" s="531"/>
      <c r="D32" s="531"/>
      <c r="E32" s="500"/>
      <c r="F32" s="553"/>
      <c r="G32" s="554" t="s">
        <v>415</v>
      </c>
      <c r="H32" s="555"/>
      <c r="I32" s="556"/>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3.1543812222222223</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t="s">
        <v>946</v>
      </c>
      <c r="F55" s="502">
        <v>0</v>
      </c>
      <c r="G55" s="502">
        <v>0</v>
      </c>
      <c r="H55" s="502">
        <v>0</v>
      </c>
      <c r="I55" s="575">
        <v>0</v>
      </c>
      <c r="J55" s="505">
        <f>I55*H55*G55*F55</f>
        <v>0</v>
      </c>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3.1543812222222223</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3.1543812222222223</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C31F1-E8A6-4F4B-85B8-634E0DF17749}">
  <sheetPr codeName="Planilha43">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998</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954</v>
      </c>
      <c r="C9" s="492"/>
      <c r="D9" s="493"/>
      <c r="E9" s="494">
        <v>1</v>
      </c>
      <c r="F9" s="494">
        <v>1</v>
      </c>
      <c r="G9" s="495">
        <f>1-F9</f>
        <v>0</v>
      </c>
      <c r="H9" s="496">
        <f>VLOOKUP(B9,EQUIPAMENTOS!$A:$J,10,FALSE)</f>
        <v>192.58333333333334</v>
      </c>
      <c r="I9" s="497">
        <f>H9</f>
        <v>192.58333333333334</v>
      </c>
      <c r="J9" s="498">
        <f t="shared" ref="J9:J15" si="0">H9*F9*E9+I9*G9*E9</f>
        <v>192.58333333333334</v>
      </c>
      <c r="K9" s="471"/>
    </row>
    <row r="10" spans="1:11">
      <c r="A10" s="463"/>
      <c r="B10" s="499" t="s">
        <v>983</v>
      </c>
      <c r="C10" s="500"/>
      <c r="D10" s="501"/>
      <c r="E10" s="502">
        <v>2</v>
      </c>
      <c r="F10" s="502">
        <v>1</v>
      </c>
      <c r="G10" s="502">
        <f>1-F10</f>
        <v>0</v>
      </c>
      <c r="H10" s="503">
        <f>VLOOKUP(B10,EQUIPAMENTOS!$A:$J,10,FALSE)</f>
        <v>125</v>
      </c>
      <c r="I10" s="504">
        <f>H10</f>
        <v>125</v>
      </c>
      <c r="J10" s="505">
        <f t="shared" si="0"/>
        <v>250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442.58333333333337</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4.903830000000001</v>
      </c>
      <c r="K19" s="471"/>
    </row>
    <row r="20" spans="1:11">
      <c r="A20" s="463"/>
      <c r="B20" s="530" t="s">
        <v>951</v>
      </c>
      <c r="C20" s="531"/>
      <c r="D20" s="472"/>
      <c r="E20" s="500"/>
      <c r="F20" s="501"/>
      <c r="G20" s="532"/>
      <c r="H20" s="533">
        <v>1</v>
      </c>
      <c r="I20" s="534">
        <f>VLOOKUP(B20,'MÃO DE OBRA'!$A:$E,5,FALSE)/220</f>
        <v>26.270618181818183</v>
      </c>
      <c r="J20" s="505">
        <f>H20*I20</f>
        <v>26.270618181818183</v>
      </c>
      <c r="K20" s="471"/>
    </row>
    <row r="21" spans="1:11">
      <c r="A21" s="463"/>
      <c r="B21" s="530" t="s">
        <v>950</v>
      </c>
      <c r="C21" s="531"/>
      <c r="D21" s="472"/>
      <c r="E21" s="500"/>
      <c r="F21" s="501"/>
      <c r="G21" s="532"/>
      <c r="H21" s="533">
        <f>E10</f>
        <v>2</v>
      </c>
      <c r="I21" s="534">
        <f>VLOOKUP(B21,'MÃO DE OBRA'!$A:$E,5,FALSE)/220</f>
        <v>26.714454545454547</v>
      </c>
      <c r="J21" s="505">
        <f>H21*I21</f>
        <v>53.428909090909094</v>
      </c>
      <c r="K21" s="471"/>
    </row>
    <row r="22" spans="1:11">
      <c r="A22" s="463"/>
      <c r="B22" s="530" t="s">
        <v>472</v>
      </c>
      <c r="C22" s="531"/>
      <c r="D22" s="472"/>
      <c r="E22" s="500"/>
      <c r="F22" s="501"/>
      <c r="G22" s="532"/>
      <c r="H22" s="533">
        <v>1</v>
      </c>
      <c r="I22" s="534">
        <f>VLOOKUP(B22,'MÃO DE OBRA'!$A:$E,5,FALSE)/220</f>
        <v>18.377072727272729</v>
      </c>
      <c r="J22" s="505">
        <f>H22*I22</f>
        <v>18.377072727272729</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22.12916666666667</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125.10959666666668</v>
      </c>
      <c r="K26" s="471"/>
    </row>
    <row r="27" spans="1:11">
      <c r="A27" s="463"/>
      <c r="B27" s="536"/>
      <c r="C27" s="536"/>
      <c r="D27" s="536"/>
      <c r="E27" s="536"/>
      <c r="F27" s="536"/>
      <c r="G27" s="536"/>
      <c r="H27" s="536"/>
      <c r="I27" s="537"/>
      <c r="J27" s="536"/>
      <c r="K27" s="471"/>
    </row>
    <row r="28" spans="1:11">
      <c r="A28" s="463"/>
      <c r="B28" s="538" t="s">
        <v>952</v>
      </c>
      <c r="C28" s="539"/>
      <c r="D28" s="536"/>
      <c r="E28" s="540">
        <v>120</v>
      </c>
      <c r="F28" s="541" t="s">
        <v>208</v>
      </c>
      <c r="G28" s="519"/>
      <c r="H28" s="519"/>
      <c r="I28" s="542" t="s">
        <v>953</v>
      </c>
      <c r="J28" s="514">
        <f>J16+J26</f>
        <v>567.69293000000005</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Pá Carregadeira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t="str">
        <f>B10</f>
        <v>Caminhão Basculante 14 m³</v>
      </c>
      <c r="C32" s="531"/>
      <c r="D32" s="531"/>
      <c r="E32" s="500"/>
      <c r="F32" s="553" t="str">
        <f>VLOOKUP(B32,EQUIPAMENTOS!$A:$N,12,FALSE)</f>
        <v>Diesel S10</v>
      </c>
      <c r="G32" s="554" t="s">
        <v>415</v>
      </c>
      <c r="H32" s="560">
        <f>VLOOKUP(B32,EQUIPAMENTOS!$A:$N,13,FALSE)</f>
        <v>0</v>
      </c>
      <c r="I32" s="556">
        <f>VLOOKUP(B32,EQUIPAMENTOS!$A:$N,14,FALSE)</f>
        <v>2.5</v>
      </c>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4.7307744166666668</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c r="F55" s="502"/>
      <c r="G55" s="502"/>
      <c r="H55" s="502"/>
      <c r="I55" s="575"/>
      <c r="J55" s="505"/>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481" t="s">
        <v>961</v>
      </c>
      <c r="C61" s="1482"/>
      <c r="D61" s="1482"/>
      <c r="E61" s="1482"/>
      <c r="F61" s="1482"/>
      <c r="G61" s="1482"/>
      <c r="H61" s="1482"/>
      <c r="I61" s="1483"/>
      <c r="J61" s="586">
        <f>J59+J51+J44</f>
        <v>4.7307744166666668</v>
      </c>
      <c r="K61" s="471"/>
    </row>
    <row r="62" spans="1:11">
      <c r="A62" s="463"/>
      <c r="B62" s="536"/>
      <c r="C62" s="536"/>
      <c r="D62" s="536"/>
      <c r="E62" s="536"/>
      <c r="F62" s="536"/>
      <c r="G62" s="536"/>
      <c r="H62" s="536"/>
      <c r="I62" s="537"/>
      <c r="J62" s="536"/>
      <c r="K62" s="471"/>
    </row>
    <row r="63" spans="1:11">
      <c r="A63" s="463"/>
      <c r="B63" s="1481" t="s">
        <v>962</v>
      </c>
      <c r="C63" s="1482"/>
      <c r="D63" s="1482"/>
      <c r="E63" s="1482"/>
      <c r="F63" s="1482"/>
      <c r="G63" s="1482"/>
      <c r="H63" s="1482"/>
      <c r="I63" s="1483"/>
      <c r="J63" s="514">
        <f>J61*0</f>
        <v>0</v>
      </c>
      <c r="K63" s="471"/>
    </row>
    <row r="64" spans="1:11">
      <c r="A64" s="463"/>
      <c r="B64" s="536"/>
      <c r="C64" s="536"/>
      <c r="D64" s="536"/>
      <c r="E64" s="536"/>
      <c r="F64" s="536"/>
      <c r="G64" s="536"/>
      <c r="H64" s="536"/>
      <c r="I64" s="537"/>
      <c r="J64" s="536"/>
      <c r="K64" s="471"/>
    </row>
    <row r="65" spans="1:11">
      <c r="A65" s="463"/>
      <c r="B65" s="1481" t="s">
        <v>963</v>
      </c>
      <c r="C65" s="1482"/>
      <c r="D65" s="1482"/>
      <c r="E65" s="1482"/>
      <c r="F65" s="1482"/>
      <c r="G65" s="1482"/>
      <c r="H65" s="1482"/>
      <c r="I65" s="1483"/>
      <c r="J65" s="586">
        <f>J61+J63</f>
        <v>4.7307744166666668</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484" t="s">
        <v>964</v>
      </c>
      <c r="H71" s="1485"/>
      <c r="I71" s="1485"/>
      <c r="J71" s="1486"/>
      <c r="K71" s="471"/>
    </row>
    <row r="72" spans="1:11">
      <c r="A72" s="463"/>
      <c r="B72" s="617"/>
      <c r="C72" s="618"/>
      <c r="D72" s="618"/>
      <c r="E72" s="618"/>
      <c r="F72" s="619"/>
      <c r="G72" s="620"/>
      <c r="H72" s="1487"/>
      <c r="I72" s="1488"/>
      <c r="J72" s="1489"/>
      <c r="K72" s="471"/>
    </row>
    <row r="73" spans="1:11" ht="15" thickBot="1">
      <c r="A73" s="621"/>
      <c r="B73" s="622"/>
      <c r="C73" s="622"/>
      <c r="D73" s="622"/>
      <c r="E73" s="622"/>
      <c r="F73" s="622"/>
      <c r="G73" s="622"/>
      <c r="H73" s="622"/>
      <c r="I73" s="622"/>
      <c r="J73" s="622"/>
      <c r="K73" s="623"/>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93AB-A492-412F-B78E-922D28C0C549}">
  <sheetPr codeName="Planilha44">
    <tabColor rgb="FFFFFF66"/>
  </sheetPr>
  <dimension ref="A1:L391"/>
  <sheetViews>
    <sheetView view="pageBreakPreview" zoomScaleNormal="100" zoomScaleSheetLayoutView="100" workbookViewId="0">
      <selection activeCell="J252" sqref="J252"/>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ht="24" customHeight="1">
      <c r="A5" s="463"/>
      <c r="B5" s="476" t="s">
        <v>3</v>
      </c>
      <c r="C5" s="477">
        <f ca="1">PLANEJAMENTO!F4</f>
        <v>46140</v>
      </c>
      <c r="D5" s="1721" t="s">
        <v>999</v>
      </c>
      <c r="E5" s="1722"/>
      <c r="F5" s="1722"/>
      <c r="G5" s="1722"/>
      <c r="H5" s="1722"/>
      <c r="I5" s="1723"/>
      <c r="J5" s="481" t="str">
        <f>F25</f>
        <v>m</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659</v>
      </c>
      <c r="C9" s="500"/>
      <c r="D9" s="501"/>
      <c r="E9" s="502"/>
      <c r="F9" s="502">
        <v>1</v>
      </c>
      <c r="G9" s="502">
        <f>1-F9</f>
        <v>0</v>
      </c>
      <c r="H9" s="503">
        <f>VLOOKUP(B9,EQUIPAMENTOS!$A:$J,10,FALSE)</f>
        <v>10</v>
      </c>
      <c r="I9" s="504">
        <f>H9</f>
        <v>10</v>
      </c>
      <c r="J9" s="505">
        <f>H9*F9*E9+I9*G9*E9</f>
        <v>0</v>
      </c>
      <c r="K9" s="471"/>
    </row>
    <row r="10" spans="1:11">
      <c r="A10" s="463"/>
      <c r="B10" s="499" t="s">
        <v>651</v>
      </c>
      <c r="C10" s="500"/>
      <c r="D10" s="501"/>
      <c r="E10" s="502">
        <v>0.5</v>
      </c>
      <c r="F10" s="502">
        <v>1</v>
      </c>
      <c r="G10" s="502">
        <f>1-F10</f>
        <v>0</v>
      </c>
      <c r="H10" s="503">
        <f>VLOOKUP(B10,EQUIPAMENTOS!$A:$J,10,FALSE)</f>
        <v>63.777777777777779</v>
      </c>
      <c r="I10" s="504">
        <f>H10</f>
        <v>63.777777777777779</v>
      </c>
      <c r="J10" s="505">
        <f>H10*F10*E10+I10*G10*E10</f>
        <v>31.888888888888889</v>
      </c>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31.888888888888889</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2">
      <c r="A17" s="463"/>
      <c r="B17" s="523"/>
      <c r="C17" s="524"/>
      <c r="D17" s="525"/>
      <c r="E17" s="526"/>
      <c r="F17" s="527"/>
      <c r="G17" s="528"/>
      <c r="H17" s="529"/>
      <c r="I17" s="497"/>
      <c r="J17" s="498"/>
      <c r="K17" s="471"/>
    </row>
    <row r="18" spans="1:12">
      <c r="A18" s="463"/>
      <c r="B18" s="530" t="s">
        <v>1000</v>
      </c>
      <c r="C18" s="531"/>
      <c r="D18" s="472"/>
      <c r="E18" s="500"/>
      <c r="F18" s="501"/>
      <c r="G18" s="532"/>
      <c r="H18" s="533">
        <v>1</v>
      </c>
      <c r="I18" s="534">
        <f>VLOOKUP(B18,'MÃO DE OBRA'!$A:$E,5,FALSE)/220</f>
        <v>19.055000000000003</v>
      </c>
      <c r="J18" s="505">
        <f>H18*I18</f>
        <v>19.055000000000003</v>
      </c>
      <c r="K18" s="471"/>
    </row>
    <row r="19" spans="1:12">
      <c r="A19" s="463"/>
      <c r="B19" s="530" t="s">
        <v>472</v>
      </c>
      <c r="C19" s="531"/>
      <c r="D19" s="472"/>
      <c r="E19" s="500"/>
      <c r="F19" s="501"/>
      <c r="G19" s="532"/>
      <c r="H19" s="533">
        <v>3</v>
      </c>
      <c r="I19" s="534">
        <f>VLOOKUP(B19,'MÃO DE OBRA'!$A:$E,5,FALSE)/220</f>
        <v>18.377072727272729</v>
      </c>
      <c r="J19" s="505">
        <f>H19*I19</f>
        <v>55.131218181818184</v>
      </c>
      <c r="K19" s="471"/>
    </row>
    <row r="20" spans="1:12">
      <c r="A20" s="463"/>
      <c r="B20" s="530" t="s">
        <v>1053</v>
      </c>
      <c r="C20" s="531"/>
      <c r="D20" s="472"/>
      <c r="E20" s="500"/>
      <c r="F20" s="501"/>
      <c r="G20" s="532"/>
      <c r="H20" s="533">
        <f>E10</f>
        <v>0.5</v>
      </c>
      <c r="I20" s="534">
        <f>VLOOKUP(B20,'MÃO DE OBRA'!$A:$E,5,FALSE)/220</f>
        <v>26.3474</v>
      </c>
      <c r="J20" s="505">
        <f>H20*I20</f>
        <v>13.1737</v>
      </c>
      <c r="K20" s="471"/>
    </row>
    <row r="21" spans="1:12">
      <c r="A21" s="463"/>
      <c r="B21" s="530"/>
      <c r="C21" s="531"/>
      <c r="D21" s="472"/>
      <c r="E21" s="500"/>
      <c r="F21" s="501"/>
      <c r="G21" s="532"/>
      <c r="H21" s="533"/>
      <c r="I21" s="504"/>
      <c r="J21" s="505"/>
      <c r="K21" s="471"/>
    </row>
    <row r="22" spans="1:12">
      <c r="A22" s="463"/>
      <c r="B22" s="530"/>
      <c r="C22" s="531"/>
      <c r="D22" s="472"/>
      <c r="E22" s="500"/>
      <c r="F22" s="501"/>
      <c r="G22" s="532"/>
      <c r="H22" s="533"/>
      <c r="I22" s="504"/>
      <c r="J22" s="505">
        <f>H22*I22</f>
        <v>0</v>
      </c>
      <c r="K22" s="471"/>
    </row>
    <row r="23" spans="1:12">
      <c r="A23" s="463"/>
      <c r="B23" s="512" t="s">
        <v>946</v>
      </c>
      <c r="C23" s="515"/>
      <c r="D23" s="515"/>
      <c r="E23" s="515"/>
      <c r="F23" s="515"/>
      <c r="G23" s="515"/>
      <c r="H23" s="515"/>
      <c r="I23" s="535" t="s">
        <v>175</v>
      </c>
      <c r="J23" s="514">
        <f>SUM(J17:J22)</f>
        <v>87.359918181818188</v>
      </c>
      <c r="K23" s="471"/>
    </row>
    <row r="24" spans="1:12">
      <c r="A24" s="463"/>
      <c r="B24" s="536"/>
      <c r="C24" s="536"/>
      <c r="D24" s="536"/>
      <c r="E24" s="536"/>
      <c r="F24" s="536"/>
      <c r="G24" s="536"/>
      <c r="H24" s="536"/>
      <c r="I24" s="537"/>
      <c r="J24" s="536"/>
      <c r="K24" s="471"/>
    </row>
    <row r="25" spans="1:12">
      <c r="A25" s="463"/>
      <c r="B25" s="538" t="s">
        <v>952</v>
      </c>
      <c r="C25" s="539"/>
      <c r="D25" s="536"/>
      <c r="E25" s="540" t="e">
        <f>PRODUÇÕES!#REF!</f>
        <v>#REF!</v>
      </c>
      <c r="F25" s="541" t="s">
        <v>225</v>
      </c>
      <c r="G25" s="519"/>
      <c r="H25" s="519"/>
      <c r="I25" s="542" t="s">
        <v>953</v>
      </c>
      <c r="J25" s="514">
        <f>J14+J23</f>
        <v>119.24880707070707</v>
      </c>
      <c r="K25" s="471"/>
    </row>
    <row r="26" spans="1:12">
      <c r="A26" s="463"/>
      <c r="B26" s="543"/>
      <c r="C26" s="536"/>
      <c r="D26" s="536"/>
      <c r="E26" s="544"/>
      <c r="F26" s="545"/>
      <c r="G26" s="545"/>
      <c r="H26" s="545"/>
      <c r="I26" s="537"/>
      <c r="J26" s="536"/>
      <c r="K26" s="471"/>
    </row>
    <row r="27" spans="1:12" ht="20.399999999999999">
      <c r="A27" s="463"/>
      <c r="B27" s="1493" t="s">
        <v>362</v>
      </c>
      <c r="C27" s="1494"/>
      <c r="D27" s="1494"/>
      <c r="E27" s="1495"/>
      <c r="F27" s="546" t="s">
        <v>688</v>
      </c>
      <c r="G27" s="547" t="s">
        <v>371</v>
      </c>
      <c r="H27" s="520" t="s">
        <v>942</v>
      </c>
      <c r="I27" s="548" t="s">
        <v>361</v>
      </c>
      <c r="J27" s="549" t="s">
        <v>363</v>
      </c>
      <c r="K27" s="471"/>
    </row>
    <row r="28" spans="1:12">
      <c r="A28" s="463"/>
      <c r="B28" s="550" t="str">
        <f>B9</f>
        <v>Sapo compactador</v>
      </c>
      <c r="C28" s="531"/>
      <c r="D28" s="531"/>
      <c r="E28" s="500"/>
      <c r="F28" s="553" t="str">
        <f>VLOOKUP(B28,EQUIPAMENTOS!$A:$N,12,FALSE)</f>
        <v>Gasolina</v>
      </c>
      <c r="G28" s="554" t="s">
        <v>415</v>
      </c>
      <c r="H28" s="560">
        <f>VLOOKUP(B28,EQUIPAMENTOS!$A:$N,13,FALSE)</f>
        <v>6.59</v>
      </c>
      <c r="I28" s="556">
        <f>VLOOKUP(B28,EQUIPAMENTOS!$A:$N,14,FALSE)</f>
        <v>3</v>
      </c>
      <c r="J28" s="505">
        <f>H28*I28*E9*F9</f>
        <v>0</v>
      </c>
      <c r="K28" s="471"/>
    </row>
    <row r="29" spans="1:12">
      <c r="A29" s="463"/>
      <c r="B29" s="550" t="str">
        <f>B10</f>
        <v>Retroescavadeira</v>
      </c>
      <c r="C29" s="531"/>
      <c r="D29" s="531"/>
      <c r="E29" s="500"/>
      <c r="F29" s="553" t="str">
        <f>VLOOKUP(B29,EQUIPAMENTOS!$A:$N,12,FALSE)</f>
        <v>Diesel S10</v>
      </c>
      <c r="G29" s="554" t="s">
        <v>415</v>
      </c>
      <c r="H29" s="560">
        <f>VLOOKUP(B29,EQUIPAMENTOS!$A:$N,13,FALSE)</f>
        <v>0</v>
      </c>
      <c r="I29" s="556">
        <f>VLOOKUP(B29,EQUIPAMENTOS!$A:$N,14,FALSE)</f>
        <v>16</v>
      </c>
      <c r="J29" s="505">
        <f>H29*I29*E10*F10</f>
        <v>0</v>
      </c>
      <c r="K29" s="471"/>
    </row>
    <row r="30" spans="1:12">
      <c r="A30" s="463"/>
      <c r="B30" s="530"/>
      <c r="C30" s="531"/>
      <c r="D30" s="531"/>
      <c r="E30" s="500"/>
      <c r="F30" s="501"/>
      <c r="G30" s="559"/>
      <c r="H30" s="560"/>
      <c r="I30" s="556"/>
      <c r="J30" s="505">
        <f>H30*I30*E11*F11</f>
        <v>0</v>
      </c>
      <c r="K30" s="471"/>
    </row>
    <row r="31" spans="1:12">
      <c r="A31" s="463"/>
      <c r="B31" s="530"/>
      <c r="C31" s="539"/>
      <c r="D31" s="539"/>
      <c r="E31" s="507"/>
      <c r="F31" s="501"/>
      <c r="G31" s="481"/>
      <c r="H31" s="560"/>
      <c r="I31" s="561"/>
      <c r="J31" s="505">
        <f>H31*I31*E12*F12</f>
        <v>0</v>
      </c>
      <c r="K31" s="471"/>
    </row>
    <row r="32" spans="1:12">
      <c r="A32" s="463"/>
      <c r="B32" s="563" t="s">
        <v>946</v>
      </c>
      <c r="C32" s="539"/>
      <c r="D32" s="539"/>
      <c r="E32" s="539"/>
      <c r="F32" s="536"/>
      <c r="G32" s="539"/>
      <c r="H32" s="564"/>
      <c r="I32" s="565" t="s">
        <v>175</v>
      </c>
      <c r="J32" s="514">
        <f>SUM(J28:J31)</f>
        <v>0</v>
      </c>
      <c r="K32" s="471"/>
      <c r="L32" s="6" t="e">
        <f>J32/E25</f>
        <v>#REF!</v>
      </c>
    </row>
    <row r="33" spans="1:11">
      <c r="A33" s="463"/>
      <c r="B33" s="566"/>
      <c r="C33" s="539"/>
      <c r="D33" s="539"/>
      <c r="E33" s="567"/>
      <c r="F33" s="568"/>
      <c r="G33" s="519"/>
      <c r="H33" s="519"/>
      <c r="I33" s="542"/>
      <c r="J33" s="567"/>
      <c r="K33" s="471"/>
    </row>
    <row r="34" spans="1:11" ht="20.399999999999999">
      <c r="A34" s="463"/>
      <c r="B34" s="1493" t="s">
        <v>955</v>
      </c>
      <c r="C34" s="1494"/>
      <c r="D34" s="1494"/>
      <c r="E34" s="1494"/>
      <c r="F34" s="1495"/>
      <c r="G34" s="569" t="s">
        <v>372</v>
      </c>
      <c r="H34" s="519" t="s">
        <v>956</v>
      </c>
      <c r="I34" s="570" t="s">
        <v>942</v>
      </c>
      <c r="J34" s="522" t="s">
        <v>363</v>
      </c>
      <c r="K34" s="471"/>
    </row>
    <row r="35" spans="1:11">
      <c r="A35" s="463"/>
      <c r="B35" s="571"/>
      <c r="C35" s="572"/>
      <c r="D35" s="573"/>
      <c r="E35" s="573"/>
      <c r="F35" s="574"/>
      <c r="G35" s="502"/>
      <c r="H35" s="502"/>
      <c r="I35" s="575"/>
      <c r="J35" s="505"/>
      <c r="K35" s="471"/>
    </row>
    <row r="36" spans="1:11">
      <c r="A36" s="463"/>
      <c r="B36" s="576"/>
      <c r="C36" s="577"/>
      <c r="D36" s="578"/>
      <c r="E36" s="578"/>
      <c r="F36" s="579"/>
      <c r="G36" s="502"/>
      <c r="H36" s="502"/>
      <c r="I36" s="575"/>
      <c r="J36" s="505"/>
      <c r="K36" s="471"/>
    </row>
    <row r="37" spans="1:11">
      <c r="A37" s="463"/>
      <c r="B37" s="1496" t="s">
        <v>175</v>
      </c>
      <c r="C37" s="1496"/>
      <c r="D37" s="1496"/>
      <c r="E37" s="1496"/>
      <c r="F37" s="1496"/>
      <c r="G37" s="1496"/>
      <c r="H37" s="1496"/>
      <c r="I37" s="1496"/>
      <c r="J37" s="514">
        <f>SUM(J35:J36)</f>
        <v>0</v>
      </c>
      <c r="K37" s="471"/>
    </row>
    <row r="38" spans="1:11">
      <c r="A38" s="463"/>
      <c r="B38" s="580"/>
      <c r="C38" s="524"/>
      <c r="D38" s="524"/>
      <c r="E38" s="581"/>
      <c r="F38" s="582"/>
      <c r="G38" s="583"/>
      <c r="H38" s="583"/>
      <c r="I38" s="584"/>
      <c r="J38" s="585"/>
      <c r="K38" s="471"/>
    </row>
    <row r="39" spans="1:11">
      <c r="A39" s="463"/>
      <c r="B39" s="586" t="s">
        <v>957</v>
      </c>
      <c r="C39" s="586"/>
      <c r="D39" s="563"/>
      <c r="E39" s="536"/>
      <c r="F39" s="536"/>
      <c r="G39" s="536"/>
      <c r="H39" s="587"/>
      <c r="I39" s="588"/>
      <c r="J39" s="514" t="e">
        <f>(J25+J32+J37)/E25</f>
        <v>#REF!</v>
      </c>
      <c r="K39" s="471"/>
    </row>
    <row r="40" spans="1:11">
      <c r="A40" s="463"/>
      <c r="B40" s="566"/>
      <c r="C40" s="539"/>
      <c r="D40" s="539"/>
      <c r="E40" s="567"/>
      <c r="F40" s="568"/>
      <c r="G40" s="519"/>
      <c r="H40" s="519"/>
      <c r="I40" s="542"/>
      <c r="J40" s="589"/>
      <c r="K40" s="471"/>
    </row>
    <row r="41" spans="1:11" ht="20.399999999999999">
      <c r="A41" s="463"/>
      <c r="B41" s="1493" t="s">
        <v>958</v>
      </c>
      <c r="C41" s="1494"/>
      <c r="D41" s="1494"/>
      <c r="E41" s="1494"/>
      <c r="F41" s="1495"/>
      <c r="G41" s="569" t="s">
        <v>372</v>
      </c>
      <c r="H41" s="519" t="s">
        <v>956</v>
      </c>
      <c r="I41" s="570" t="s">
        <v>942</v>
      </c>
      <c r="J41" s="522" t="s">
        <v>363</v>
      </c>
      <c r="K41" s="471"/>
    </row>
    <row r="42" spans="1:11">
      <c r="A42" s="463"/>
      <c r="B42" s="571" t="s">
        <v>1001</v>
      </c>
      <c r="C42" s="572"/>
      <c r="D42" s="573"/>
      <c r="E42" s="573"/>
      <c r="F42" s="574"/>
      <c r="G42" s="502">
        <v>1.05</v>
      </c>
      <c r="H42" s="502" t="s">
        <v>225</v>
      </c>
      <c r="I42" s="575"/>
      <c r="J42" s="505">
        <f>G42*I42</f>
        <v>0</v>
      </c>
      <c r="K42" s="471"/>
    </row>
    <row r="43" spans="1:11">
      <c r="A43" s="463"/>
      <c r="B43" s="576" t="s">
        <v>1002</v>
      </c>
      <c r="C43" s="577"/>
      <c r="D43" s="578"/>
      <c r="E43" s="578"/>
      <c r="F43" s="579"/>
      <c r="G43" s="502">
        <f>50/1000</f>
        <v>0.05</v>
      </c>
      <c r="H43" s="502" t="s">
        <v>990</v>
      </c>
      <c r="I43" s="575">
        <v>10</v>
      </c>
      <c r="J43" s="505">
        <f>G43*I43</f>
        <v>0.5</v>
      </c>
      <c r="K43" s="471"/>
    </row>
    <row r="44" spans="1:11">
      <c r="A44" s="463"/>
      <c r="B44" s="576"/>
      <c r="C44" s="577"/>
      <c r="D44" s="578"/>
      <c r="E44" s="578"/>
      <c r="F44" s="579"/>
      <c r="G44" s="502"/>
      <c r="H44" s="502"/>
      <c r="I44" s="575"/>
      <c r="J44" s="505">
        <f>G44*I44</f>
        <v>0</v>
      </c>
      <c r="K44" s="471"/>
    </row>
    <row r="45" spans="1:11">
      <c r="A45" s="463"/>
      <c r="B45" s="590"/>
      <c r="C45" s="591"/>
      <c r="D45" s="592"/>
      <c r="E45" s="592"/>
      <c r="F45" s="593"/>
      <c r="G45" s="502"/>
      <c r="H45" s="502"/>
      <c r="I45" s="575"/>
      <c r="J45" s="505">
        <f>G45*I45</f>
        <v>0</v>
      </c>
      <c r="K45" s="471"/>
    </row>
    <row r="46" spans="1:11">
      <c r="A46" s="463"/>
      <c r="B46" s="594"/>
      <c r="C46" s="536"/>
      <c r="D46" s="536"/>
      <c r="E46" s="595"/>
      <c r="F46" s="596"/>
      <c r="G46" s="545"/>
      <c r="H46" s="545"/>
      <c r="I46" s="537" t="s">
        <v>175</v>
      </c>
      <c r="J46" s="514">
        <f>SUM(J42:J45)</f>
        <v>0.5</v>
      </c>
      <c r="K46" s="471"/>
    </row>
    <row r="47" spans="1:11">
      <c r="A47" s="463"/>
      <c r="B47" s="597"/>
      <c r="C47" s="536"/>
      <c r="D47" s="536"/>
      <c r="E47" s="595"/>
      <c r="F47" s="596"/>
      <c r="G47" s="545"/>
      <c r="H47" s="545"/>
      <c r="I47" s="537"/>
      <c r="J47" s="595"/>
      <c r="K47" s="471"/>
    </row>
    <row r="48" spans="1:11" ht="20.399999999999999">
      <c r="A48" s="463"/>
      <c r="B48" s="1493" t="s">
        <v>959</v>
      </c>
      <c r="C48" s="1494"/>
      <c r="D48" s="1494"/>
      <c r="E48" s="1494"/>
      <c r="F48" s="1495"/>
      <c r="G48" s="600" t="s">
        <v>372</v>
      </c>
      <c r="H48" s="1493" t="s">
        <v>942</v>
      </c>
      <c r="I48" s="1495"/>
      <c r="J48" s="522" t="s">
        <v>363</v>
      </c>
      <c r="K48" s="471"/>
    </row>
    <row r="49" spans="1:11">
      <c r="A49" s="463"/>
      <c r="B49" s="1734"/>
      <c r="C49" s="1735"/>
      <c r="D49" s="1735"/>
      <c r="E49" s="1735"/>
      <c r="F49" s="1736"/>
      <c r="G49" s="502"/>
      <c r="H49" s="1737"/>
      <c r="I49" s="1738"/>
      <c r="J49" s="505"/>
      <c r="K49" s="471"/>
    </row>
    <row r="50" spans="1:11">
      <c r="A50" s="463"/>
      <c r="B50" s="1739"/>
      <c r="C50" s="1740"/>
      <c r="D50" s="1740"/>
      <c r="E50" s="1740"/>
      <c r="F50" s="1741"/>
      <c r="G50" s="509"/>
      <c r="H50" s="1742"/>
      <c r="I50" s="1743"/>
      <c r="J50" s="505"/>
      <c r="K50" s="471"/>
    </row>
    <row r="51" spans="1:11">
      <c r="A51" s="463"/>
      <c r="B51" s="594"/>
      <c r="C51" s="536"/>
      <c r="D51" s="536"/>
      <c r="E51" s="595"/>
      <c r="F51" s="596"/>
      <c r="G51" s="545"/>
      <c r="H51" s="545"/>
      <c r="I51" s="537" t="s">
        <v>175</v>
      </c>
      <c r="J51" s="514">
        <f>SUM(J49:J50)</f>
        <v>0</v>
      </c>
      <c r="K51" s="471"/>
    </row>
    <row r="52" spans="1:11">
      <c r="A52" s="463"/>
      <c r="B52" s="536"/>
      <c r="C52" s="536"/>
      <c r="D52" s="536"/>
      <c r="E52" s="536"/>
      <c r="F52" s="536"/>
      <c r="G52" s="536"/>
      <c r="H52" s="536"/>
      <c r="I52" s="537"/>
      <c r="J52" s="536"/>
      <c r="K52" s="471"/>
    </row>
    <row r="53" spans="1:11">
      <c r="A53" s="463"/>
      <c r="B53" s="1481" t="s">
        <v>961</v>
      </c>
      <c r="C53" s="1482"/>
      <c r="D53" s="1482"/>
      <c r="E53" s="1482"/>
      <c r="F53" s="1482"/>
      <c r="G53" s="1482"/>
      <c r="H53" s="1482"/>
      <c r="I53" s="1483"/>
      <c r="J53" s="586" t="e">
        <f>J51+J46+J39</f>
        <v>#REF!</v>
      </c>
      <c r="K53" s="471"/>
    </row>
    <row r="54" spans="1:11">
      <c r="A54" s="463"/>
      <c r="B54" s="536"/>
      <c r="C54" s="536"/>
      <c r="D54" s="536"/>
      <c r="E54" s="536"/>
      <c r="F54" s="536"/>
      <c r="G54" s="536"/>
      <c r="H54" s="536"/>
      <c r="I54" s="537"/>
      <c r="J54" s="536"/>
      <c r="K54" s="471"/>
    </row>
    <row r="55" spans="1:11">
      <c r="A55" s="463"/>
      <c r="B55" s="1481" t="s">
        <v>962</v>
      </c>
      <c r="C55" s="1482"/>
      <c r="D55" s="1482"/>
      <c r="E55" s="1482"/>
      <c r="F55" s="1482"/>
      <c r="G55" s="1482"/>
      <c r="H55" s="1482"/>
      <c r="I55" s="1483"/>
      <c r="J55" s="514" t="e">
        <f>J53*0</f>
        <v>#REF!</v>
      </c>
      <c r="K55" s="471"/>
    </row>
    <row r="56" spans="1:11">
      <c r="A56" s="463"/>
      <c r="B56" s="536"/>
      <c r="C56" s="536"/>
      <c r="D56" s="536"/>
      <c r="E56" s="536"/>
      <c r="F56" s="536"/>
      <c r="G56" s="536"/>
      <c r="H56" s="536"/>
      <c r="I56" s="537"/>
      <c r="J56" s="536"/>
      <c r="K56" s="471"/>
    </row>
    <row r="57" spans="1:11">
      <c r="A57" s="463"/>
      <c r="B57" s="1481" t="s">
        <v>963</v>
      </c>
      <c r="C57" s="1482"/>
      <c r="D57" s="1482"/>
      <c r="E57" s="1482"/>
      <c r="F57" s="1482"/>
      <c r="G57" s="1482"/>
      <c r="H57" s="1482"/>
      <c r="I57" s="1483"/>
      <c r="J57" s="586" t="e">
        <f>J53+J55</f>
        <v>#REF!</v>
      </c>
      <c r="K57" s="471"/>
    </row>
    <row r="58" spans="1:11">
      <c r="A58" s="463"/>
      <c r="B58" s="524"/>
      <c r="C58" s="524"/>
      <c r="D58" s="524"/>
      <c r="E58" s="524"/>
      <c r="F58" s="524"/>
      <c r="G58" s="524"/>
      <c r="H58" s="524"/>
      <c r="I58" s="584"/>
      <c r="J58" s="524"/>
      <c r="K58" s="471"/>
    </row>
    <row r="59" spans="1:11">
      <c r="A59" s="463"/>
      <c r="B59" s="602"/>
      <c r="C59" s="572"/>
      <c r="D59" s="572"/>
      <c r="E59" s="572"/>
      <c r="F59" s="572"/>
      <c r="G59" s="572"/>
      <c r="H59" s="572"/>
      <c r="I59" s="572"/>
      <c r="J59" s="603"/>
      <c r="K59" s="471"/>
    </row>
    <row r="60" spans="1:11">
      <c r="A60" s="463"/>
      <c r="B60" s="604"/>
      <c r="C60" s="605"/>
      <c r="D60" s="606"/>
      <c r="E60" s="606"/>
      <c r="F60" s="607" t="s">
        <v>946</v>
      </c>
      <c r="G60" s="608" t="s">
        <v>946</v>
      </c>
      <c r="H60" s="605"/>
      <c r="I60" s="605"/>
      <c r="J60" s="609"/>
      <c r="K60" s="471"/>
    </row>
    <row r="61" spans="1:11">
      <c r="A61" s="463"/>
      <c r="B61" s="472"/>
      <c r="C61" s="472"/>
      <c r="D61" s="472"/>
      <c r="E61" s="472"/>
      <c r="F61" s="472"/>
      <c r="G61" s="472"/>
      <c r="H61" s="472"/>
      <c r="I61" s="472"/>
      <c r="J61" s="472"/>
      <c r="K61" s="471"/>
    </row>
    <row r="62" spans="1:11">
      <c r="A62" s="463"/>
      <c r="B62" s="610" t="str">
        <f>PLANEJAMENTO!$F$2</f>
        <v>OPERAÇÃO DE SUPRESSÃO E SUMP</v>
      </c>
      <c r="C62" s="611"/>
      <c r="D62" s="611"/>
      <c r="E62" s="611"/>
      <c r="F62" s="612"/>
      <c r="G62" s="613" t="s">
        <v>363</v>
      </c>
      <c r="H62" s="515"/>
      <c r="I62" s="515"/>
      <c r="J62" s="518"/>
      <c r="K62" s="471"/>
    </row>
    <row r="63" spans="1:11">
      <c r="A63" s="463"/>
      <c r="B63" s="614" t="str">
        <f>PLANEJAMENTO!$F$3</f>
        <v>MARA ROSA</v>
      </c>
      <c r="C63" s="615"/>
      <c r="D63" s="615"/>
      <c r="E63" s="615"/>
      <c r="F63" s="616"/>
      <c r="G63" s="1484" t="s">
        <v>964</v>
      </c>
      <c r="H63" s="1485"/>
      <c r="I63" s="1485"/>
      <c r="J63" s="1486"/>
      <c r="K63" s="471"/>
    </row>
    <row r="64" spans="1:11">
      <c r="A64" s="463"/>
      <c r="B64" s="617"/>
      <c r="C64" s="618"/>
      <c r="D64" s="618"/>
      <c r="E64" s="618"/>
      <c r="F64" s="619"/>
      <c r="G64" s="620"/>
      <c r="H64" s="1487"/>
      <c r="I64" s="1488"/>
      <c r="J64" s="1489"/>
      <c r="K64" s="471"/>
    </row>
    <row r="65" spans="1:11" ht="15" thickBot="1">
      <c r="A65" s="621"/>
      <c r="B65" s="622"/>
      <c r="C65" s="622"/>
      <c r="D65" s="622"/>
      <c r="E65" s="622"/>
      <c r="F65" s="622"/>
      <c r="G65" s="622"/>
      <c r="H65" s="622"/>
      <c r="I65" s="622"/>
      <c r="J65" s="622"/>
      <c r="K65" s="623"/>
    </row>
    <row r="66" spans="1:11">
      <c r="A66" s="460"/>
      <c r="B66" s="461"/>
      <c r="C66" s="461"/>
      <c r="D66" s="461"/>
      <c r="E66" s="461"/>
      <c r="F66" s="461"/>
      <c r="G66" s="461"/>
      <c r="H66" s="461"/>
      <c r="I66" s="461"/>
      <c r="J66" s="461"/>
      <c r="K66" s="462"/>
    </row>
    <row r="67" spans="1:11">
      <c r="A67" s="463"/>
      <c r="B67" s="464" t="s">
        <v>178</v>
      </c>
      <c r="C67" s="465"/>
      <c r="D67" s="466" t="s">
        <v>936</v>
      </c>
      <c r="E67" s="467"/>
      <c r="F67" s="468"/>
      <c r="G67" s="468"/>
      <c r="H67" s="469"/>
      <c r="I67" s="469"/>
      <c r="J67" s="470"/>
      <c r="K67" s="471"/>
    </row>
    <row r="68" spans="1:11">
      <c r="A68" s="463"/>
      <c r="B68" s="472"/>
      <c r="C68" s="472"/>
      <c r="D68" s="472"/>
      <c r="E68" s="472"/>
      <c r="F68" s="472"/>
      <c r="G68" s="472"/>
      <c r="H68" s="472"/>
      <c r="I68" s="472"/>
      <c r="J68" s="472"/>
      <c r="K68" s="471"/>
    </row>
    <row r="69" spans="1:11">
      <c r="A69" s="463"/>
      <c r="B69" s="473" t="s">
        <v>688</v>
      </c>
      <c r="C69" s="474" t="s">
        <v>937</v>
      </c>
      <c r="D69" s="1497" t="s">
        <v>250</v>
      </c>
      <c r="E69" s="1498"/>
      <c r="F69" s="1498"/>
      <c r="G69" s="1498"/>
      <c r="H69" s="1498"/>
      <c r="I69" s="1499"/>
      <c r="J69" s="475" t="s">
        <v>267</v>
      </c>
      <c r="K69" s="471"/>
    </row>
    <row r="70" spans="1:11" ht="22.5" customHeight="1">
      <c r="A70" s="463"/>
      <c r="B70" s="476" t="s">
        <v>3</v>
      </c>
      <c r="C70" s="477">
        <f ca="1">PLANEJAMENTO!$F$4</f>
        <v>46140</v>
      </c>
      <c r="D70" s="1721" t="s">
        <v>1005</v>
      </c>
      <c r="E70" s="1722"/>
      <c r="F70" s="1722"/>
      <c r="G70" s="1722"/>
      <c r="H70" s="1722"/>
      <c r="I70" s="1723"/>
      <c r="J70" s="481" t="str">
        <f>F90</f>
        <v>m</v>
      </c>
      <c r="K70" s="471"/>
    </row>
    <row r="71" spans="1:11" ht="13.5" customHeight="1">
      <c r="A71" s="463"/>
      <c r="B71" s="482"/>
      <c r="C71" s="482"/>
      <c r="D71" s="482"/>
      <c r="E71" s="482"/>
      <c r="F71" s="482"/>
      <c r="G71" s="482"/>
      <c r="H71" s="482"/>
      <c r="I71" s="483"/>
      <c r="J71" s="484"/>
      <c r="K71" s="471"/>
    </row>
    <row r="72" spans="1:11">
      <c r="A72" s="463"/>
      <c r="B72" s="1484" t="s">
        <v>938</v>
      </c>
      <c r="C72" s="1486"/>
      <c r="D72" s="1502" t="s">
        <v>688</v>
      </c>
      <c r="E72" s="1504" t="s">
        <v>939</v>
      </c>
      <c r="F72" s="485" t="s">
        <v>940</v>
      </c>
      <c r="G72" s="486"/>
      <c r="H72" s="485" t="s">
        <v>941</v>
      </c>
      <c r="I72" s="486"/>
      <c r="J72" s="487" t="s">
        <v>942</v>
      </c>
      <c r="K72" s="471"/>
    </row>
    <row r="73" spans="1:11">
      <c r="A73" s="463"/>
      <c r="B73" s="1500"/>
      <c r="C73" s="1501"/>
      <c r="D73" s="1503"/>
      <c r="E73" s="1505"/>
      <c r="F73" s="488" t="s">
        <v>943</v>
      </c>
      <c r="G73" s="488" t="s">
        <v>944</v>
      </c>
      <c r="H73" s="488" t="s">
        <v>943</v>
      </c>
      <c r="I73" s="489" t="s">
        <v>944</v>
      </c>
      <c r="J73" s="490" t="s">
        <v>945</v>
      </c>
      <c r="K73" s="471"/>
    </row>
    <row r="74" spans="1:11">
      <c r="A74" s="463"/>
      <c r="B74" s="499" t="s">
        <v>659</v>
      </c>
      <c r="C74" s="500"/>
      <c r="D74" s="501"/>
      <c r="E74" s="502"/>
      <c r="F74" s="502">
        <v>1</v>
      </c>
      <c r="G74" s="502">
        <f>1-F74</f>
        <v>0</v>
      </c>
      <c r="H74" s="503">
        <f>VLOOKUP(B74,EQUIPAMENTOS!$A:$J,10,FALSE)</f>
        <v>10</v>
      </c>
      <c r="I74" s="504">
        <f>H74</f>
        <v>10</v>
      </c>
      <c r="J74" s="505">
        <f>H74*F74*E74+I74*G74*E74</f>
        <v>0</v>
      </c>
      <c r="K74" s="471"/>
    </row>
    <row r="75" spans="1:11">
      <c r="A75" s="463"/>
      <c r="B75" s="499" t="s">
        <v>651</v>
      </c>
      <c r="C75" s="500"/>
      <c r="D75" s="501"/>
      <c r="E75" s="502">
        <v>0.5</v>
      </c>
      <c r="F75" s="502">
        <v>1</v>
      </c>
      <c r="G75" s="502">
        <f>1-F75</f>
        <v>0</v>
      </c>
      <c r="H75" s="503">
        <f>VLOOKUP(B75,EQUIPAMENTOS!$A:$J,10,FALSE)</f>
        <v>63.777777777777779</v>
      </c>
      <c r="I75" s="504">
        <f>H75</f>
        <v>63.777777777777779</v>
      </c>
      <c r="J75" s="505">
        <f>H75*F75*E75+I75*G75*E75</f>
        <v>31.888888888888889</v>
      </c>
      <c r="K75" s="471"/>
    </row>
    <row r="76" spans="1:11">
      <c r="A76" s="463"/>
      <c r="B76" s="499"/>
      <c r="C76" s="500"/>
      <c r="D76" s="501"/>
      <c r="E76" s="502"/>
      <c r="F76" s="502"/>
      <c r="G76" s="502"/>
      <c r="H76" s="503"/>
      <c r="I76" s="504"/>
      <c r="J76" s="505">
        <f>H76*F76*E76+I76*G76*E76</f>
        <v>0</v>
      </c>
      <c r="K76" s="471"/>
    </row>
    <row r="77" spans="1:11">
      <c r="A77" s="463"/>
      <c r="B77" s="499"/>
      <c r="C77" s="500"/>
      <c r="D77" s="501"/>
      <c r="E77" s="502"/>
      <c r="F77" s="502"/>
      <c r="G77" s="502"/>
      <c r="H77" s="503"/>
      <c r="I77" s="504"/>
      <c r="J77" s="505">
        <f>H77*F77*E77+I77*G77*E77</f>
        <v>0</v>
      </c>
      <c r="K77" s="471"/>
    </row>
    <row r="78" spans="1:11">
      <c r="A78" s="463"/>
      <c r="B78" s="506"/>
      <c r="C78" s="507"/>
      <c r="D78" s="508"/>
      <c r="E78" s="509"/>
      <c r="F78" s="509"/>
      <c r="G78" s="509"/>
      <c r="H78" s="510"/>
      <c r="I78" s="511"/>
      <c r="J78" s="505">
        <f>H78*F78*E78+I78*G78*E78</f>
        <v>0</v>
      </c>
      <c r="K78" s="471"/>
    </row>
    <row r="79" spans="1:11">
      <c r="A79" s="463"/>
      <c r="B79" s="512" t="s">
        <v>946</v>
      </c>
      <c r="C79" s="482"/>
      <c r="D79" s="482"/>
      <c r="E79" s="482"/>
      <c r="F79" s="482"/>
      <c r="G79" s="482"/>
      <c r="H79" s="482"/>
      <c r="I79" s="513" t="s">
        <v>175</v>
      </c>
      <c r="J79" s="514">
        <f>SUM(J74:J78)</f>
        <v>31.888888888888889</v>
      </c>
      <c r="K79" s="471"/>
    </row>
    <row r="80" spans="1:11">
      <c r="A80" s="463"/>
      <c r="B80" s="515"/>
      <c r="C80" s="515"/>
      <c r="D80" s="515"/>
      <c r="E80" s="515"/>
      <c r="F80" s="515"/>
      <c r="G80" s="515"/>
      <c r="H80" s="515"/>
      <c r="I80" s="516"/>
      <c r="J80" s="517"/>
      <c r="K80" s="471"/>
    </row>
    <row r="81" spans="1:11" ht="20.399999999999999">
      <c r="A81" s="463"/>
      <c r="B81" s="1490" t="s">
        <v>947</v>
      </c>
      <c r="C81" s="1491"/>
      <c r="D81" s="1491"/>
      <c r="E81" s="1492"/>
      <c r="F81" s="518" t="s">
        <v>688</v>
      </c>
      <c r="G81" s="519"/>
      <c r="H81" s="520" t="s">
        <v>427</v>
      </c>
      <c r="I81" s="521" t="s">
        <v>948</v>
      </c>
      <c r="J81" s="522" t="s">
        <v>949</v>
      </c>
      <c r="K81" s="471"/>
    </row>
    <row r="82" spans="1:11">
      <c r="A82" s="463"/>
      <c r="B82" s="523"/>
      <c r="C82" s="524"/>
      <c r="D82" s="525"/>
      <c r="E82" s="526"/>
      <c r="F82" s="527"/>
      <c r="G82" s="528"/>
      <c r="H82" s="529"/>
      <c r="I82" s="497"/>
      <c r="J82" s="498"/>
      <c r="K82" s="471"/>
    </row>
    <row r="83" spans="1:11">
      <c r="A83" s="463"/>
      <c r="B83" s="530" t="s">
        <v>1000</v>
      </c>
      <c r="C83" s="531"/>
      <c r="D83" s="472"/>
      <c r="E83" s="500"/>
      <c r="F83" s="501"/>
      <c r="G83" s="532"/>
      <c r="H83" s="533">
        <v>1</v>
      </c>
      <c r="I83" s="534">
        <f>VLOOKUP(B83,'MÃO DE OBRA'!$A:$E,5,FALSE)/220</f>
        <v>19.055000000000003</v>
      </c>
      <c r="J83" s="505">
        <f>H83*I83</f>
        <v>19.055000000000003</v>
      </c>
      <c r="K83" s="471"/>
    </row>
    <row r="84" spans="1:11">
      <c r="A84" s="463"/>
      <c r="B84" s="530" t="s">
        <v>472</v>
      </c>
      <c r="C84" s="531"/>
      <c r="D84" s="472"/>
      <c r="E84" s="500"/>
      <c r="F84" s="501"/>
      <c r="G84" s="532"/>
      <c r="H84" s="533">
        <v>3</v>
      </c>
      <c r="I84" s="534">
        <f>VLOOKUP(B84,'MÃO DE OBRA'!$A:$E,5,FALSE)/220</f>
        <v>18.377072727272729</v>
      </c>
      <c r="J84" s="505">
        <f>H84*I84</f>
        <v>55.131218181818184</v>
      </c>
      <c r="K84" s="471"/>
    </row>
    <row r="85" spans="1:11">
      <c r="A85" s="463"/>
      <c r="B85" s="530" t="s">
        <v>1053</v>
      </c>
      <c r="C85" s="531"/>
      <c r="D85" s="472"/>
      <c r="E85" s="500"/>
      <c r="F85" s="501"/>
      <c r="G85" s="532"/>
      <c r="H85" s="533">
        <f>E75</f>
        <v>0.5</v>
      </c>
      <c r="I85" s="534">
        <f>VLOOKUP(B85,'MÃO DE OBRA'!$A:$E,5,FALSE)/220</f>
        <v>26.3474</v>
      </c>
      <c r="J85" s="505">
        <f>H85*I85</f>
        <v>13.1737</v>
      </c>
      <c r="K85" s="471"/>
    </row>
    <row r="86" spans="1:11">
      <c r="A86" s="463"/>
      <c r="B86" s="530"/>
      <c r="C86" s="531"/>
      <c r="D86" s="472"/>
      <c r="E86" s="500"/>
      <c r="F86" s="501"/>
      <c r="G86" s="532"/>
      <c r="H86" s="533"/>
      <c r="I86" s="504"/>
      <c r="J86" s="505"/>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f>SUM(J82:J87)</f>
        <v>87.359918181818188</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225</v>
      </c>
      <c r="G90" s="519"/>
      <c r="H90" s="519"/>
      <c r="I90" s="542" t="s">
        <v>953</v>
      </c>
      <c r="J90" s="514">
        <f>J79+J88</f>
        <v>119.24880707070707</v>
      </c>
      <c r="K90" s="471"/>
    </row>
    <row r="91" spans="1:11">
      <c r="A91" s="463"/>
      <c r="B91" s="543"/>
      <c r="C91" s="536"/>
      <c r="D91" s="536"/>
      <c r="E91" s="544"/>
      <c r="F91" s="545"/>
      <c r="G91" s="545"/>
      <c r="H91" s="545"/>
      <c r="I91" s="537"/>
      <c r="J91" s="536"/>
      <c r="K91" s="471"/>
    </row>
    <row r="92" spans="1:11" ht="20.399999999999999">
      <c r="A92" s="463"/>
      <c r="B92" s="1493" t="s">
        <v>362</v>
      </c>
      <c r="C92" s="1494"/>
      <c r="D92" s="1494"/>
      <c r="E92" s="1495"/>
      <c r="F92" s="546" t="s">
        <v>688</v>
      </c>
      <c r="G92" s="547" t="s">
        <v>371</v>
      </c>
      <c r="H92" s="520" t="s">
        <v>942</v>
      </c>
      <c r="I92" s="548" t="s">
        <v>361</v>
      </c>
      <c r="J92" s="549" t="s">
        <v>363</v>
      </c>
      <c r="K92" s="471"/>
    </row>
    <row r="93" spans="1:11">
      <c r="A93" s="463"/>
      <c r="B93" s="550" t="str">
        <f>B74</f>
        <v>Sapo compactador</v>
      </c>
      <c r="C93" s="531"/>
      <c r="D93" s="531"/>
      <c r="E93" s="500"/>
      <c r="F93" s="553" t="str">
        <f>VLOOKUP(B93,EQUIPAMENTOS!$A:$N,12,FALSE)</f>
        <v>Gasolina</v>
      </c>
      <c r="G93" s="554" t="s">
        <v>415</v>
      </c>
      <c r="H93" s="560">
        <f>VLOOKUP(B93,EQUIPAMENTOS!$A:$N,13,FALSE)</f>
        <v>6.59</v>
      </c>
      <c r="I93" s="556">
        <f>VLOOKUP(B93,EQUIPAMENTOS!$A:$N,14,FALSE)</f>
        <v>3</v>
      </c>
      <c r="J93" s="505">
        <f>H93*I93*E74*F74</f>
        <v>0</v>
      </c>
      <c r="K93" s="471"/>
    </row>
    <row r="94" spans="1:11">
      <c r="A94" s="463"/>
      <c r="B94" s="550" t="str">
        <f>B75</f>
        <v>Retroescavadeira</v>
      </c>
      <c r="C94" s="531"/>
      <c r="D94" s="531"/>
      <c r="E94" s="500"/>
      <c r="F94" s="553" t="str">
        <f>VLOOKUP(B94,EQUIPAMENTOS!$A:$N,12,FALSE)</f>
        <v>Diesel S10</v>
      </c>
      <c r="G94" s="554" t="s">
        <v>415</v>
      </c>
      <c r="H94" s="560">
        <f>VLOOKUP(B94,EQUIPAMENTOS!$A:$N,13,FALSE)</f>
        <v>0</v>
      </c>
      <c r="I94" s="556">
        <f>VLOOKUP(B94,EQUIPAMENTOS!$A:$N,14,FALSE)</f>
        <v>16</v>
      </c>
      <c r="J94" s="505">
        <f>H94*I94*E75*F75</f>
        <v>0</v>
      </c>
      <c r="K94" s="471"/>
    </row>
    <row r="95" spans="1:11">
      <c r="A95" s="463"/>
      <c r="B95" s="530"/>
      <c r="C95" s="531"/>
      <c r="D95" s="531"/>
      <c r="E95" s="500"/>
      <c r="F95" s="501"/>
      <c r="G95" s="559"/>
      <c r="H95" s="560"/>
      <c r="I95" s="556"/>
      <c r="J95" s="505">
        <f>H95*I95*E76*F76</f>
        <v>0</v>
      </c>
      <c r="K95" s="471"/>
    </row>
    <row r="96" spans="1:11">
      <c r="A96" s="463"/>
      <c r="B96" s="530"/>
      <c r="C96" s="539"/>
      <c r="D96" s="539"/>
      <c r="E96" s="507"/>
      <c r="F96" s="501"/>
      <c r="G96" s="481"/>
      <c r="H96" s="560"/>
      <c r="I96" s="561"/>
      <c r="J96" s="505">
        <f>H96*I96*E77*F77</f>
        <v>0</v>
      </c>
      <c r="K96" s="471"/>
    </row>
    <row r="97" spans="1:12">
      <c r="A97" s="463"/>
      <c r="B97" s="563" t="s">
        <v>946</v>
      </c>
      <c r="C97" s="539"/>
      <c r="D97" s="539"/>
      <c r="E97" s="539"/>
      <c r="F97" s="536"/>
      <c r="G97" s="539"/>
      <c r="H97" s="564"/>
      <c r="I97" s="565" t="s">
        <v>175</v>
      </c>
      <c r="J97" s="514">
        <f>SUM(J93:J96)</f>
        <v>0</v>
      </c>
      <c r="K97" s="471"/>
      <c r="L97" s="6" t="e">
        <f>J97/E90</f>
        <v>#REF!</v>
      </c>
    </row>
    <row r="98" spans="1:12">
      <c r="A98" s="463"/>
      <c r="B98" s="566"/>
      <c r="C98" s="539"/>
      <c r="D98" s="539"/>
      <c r="E98" s="567"/>
      <c r="F98" s="568"/>
      <c r="G98" s="519"/>
      <c r="H98" s="519"/>
      <c r="I98" s="542"/>
      <c r="J98" s="567"/>
      <c r="K98" s="471"/>
    </row>
    <row r="99" spans="1:12" ht="20.399999999999999">
      <c r="A99" s="463"/>
      <c r="B99" s="1493" t="s">
        <v>955</v>
      </c>
      <c r="C99" s="1494"/>
      <c r="D99" s="1494"/>
      <c r="E99" s="1494"/>
      <c r="F99" s="1495"/>
      <c r="G99" s="569" t="s">
        <v>372</v>
      </c>
      <c r="H99" s="519" t="s">
        <v>956</v>
      </c>
      <c r="I99" s="570" t="s">
        <v>942</v>
      </c>
      <c r="J99" s="522" t="s">
        <v>363</v>
      </c>
      <c r="K99" s="471"/>
    </row>
    <row r="100" spans="1:12">
      <c r="A100" s="463"/>
      <c r="B100" s="571"/>
      <c r="C100" s="572"/>
      <c r="D100" s="573"/>
      <c r="E100" s="573"/>
      <c r="F100" s="574"/>
      <c r="G100" s="502"/>
      <c r="H100" s="502"/>
      <c r="I100" s="575"/>
      <c r="J100" s="505"/>
      <c r="K100" s="471"/>
    </row>
    <row r="101" spans="1:12">
      <c r="A101" s="463"/>
      <c r="B101" s="576"/>
      <c r="C101" s="577"/>
      <c r="D101" s="578"/>
      <c r="E101" s="578"/>
      <c r="F101" s="579"/>
      <c r="G101" s="502"/>
      <c r="H101" s="502"/>
      <c r="I101" s="575"/>
      <c r="J101" s="505"/>
      <c r="K101" s="471"/>
    </row>
    <row r="102" spans="1:12">
      <c r="A102" s="463"/>
      <c r="B102" s="1496" t="s">
        <v>175</v>
      </c>
      <c r="C102" s="1496"/>
      <c r="D102" s="1496"/>
      <c r="E102" s="1496"/>
      <c r="F102" s="1496"/>
      <c r="G102" s="1496"/>
      <c r="H102" s="1496"/>
      <c r="I102" s="1496"/>
      <c r="J102" s="514">
        <f>SUM(J100:J101)</f>
        <v>0</v>
      </c>
      <c r="K102" s="471"/>
    </row>
    <row r="103" spans="1:12">
      <c r="A103" s="463"/>
      <c r="B103" s="580"/>
      <c r="C103" s="524"/>
      <c r="D103" s="524"/>
      <c r="E103" s="581"/>
      <c r="F103" s="582"/>
      <c r="G103" s="583"/>
      <c r="H103" s="583"/>
      <c r="I103" s="584"/>
      <c r="J103" s="585"/>
      <c r="K103" s="471"/>
    </row>
    <row r="104" spans="1:12">
      <c r="A104" s="463"/>
      <c r="B104" s="586" t="s">
        <v>957</v>
      </c>
      <c r="C104" s="586"/>
      <c r="D104" s="563"/>
      <c r="E104" s="536"/>
      <c r="F104" s="536"/>
      <c r="G104" s="536"/>
      <c r="H104" s="587"/>
      <c r="I104" s="588"/>
      <c r="J104" s="514" t="e">
        <f>(J90+J97+J102)/E90</f>
        <v>#REF!</v>
      </c>
      <c r="K104" s="471"/>
    </row>
    <row r="105" spans="1:12">
      <c r="A105" s="463"/>
      <c r="B105" s="566"/>
      <c r="C105" s="539"/>
      <c r="D105" s="539"/>
      <c r="E105" s="567"/>
      <c r="F105" s="568"/>
      <c r="G105" s="519"/>
      <c r="H105" s="519"/>
      <c r="I105" s="542"/>
      <c r="J105" s="589"/>
      <c r="K105" s="471"/>
    </row>
    <row r="106" spans="1:12" ht="20.399999999999999">
      <c r="A106" s="463"/>
      <c r="B106" s="1493" t="s">
        <v>958</v>
      </c>
      <c r="C106" s="1494"/>
      <c r="D106" s="1494"/>
      <c r="E106" s="1494"/>
      <c r="F106" s="1495"/>
      <c r="G106" s="569" t="s">
        <v>372</v>
      </c>
      <c r="H106" s="519" t="s">
        <v>956</v>
      </c>
      <c r="I106" s="570" t="s">
        <v>942</v>
      </c>
      <c r="J106" s="522" t="s">
        <v>363</v>
      </c>
      <c r="K106" s="471"/>
    </row>
    <row r="107" spans="1:12">
      <c r="A107" s="463"/>
      <c r="B107" s="571" t="s">
        <v>1009</v>
      </c>
      <c r="C107" s="572"/>
      <c r="D107" s="573"/>
      <c r="E107" s="573"/>
      <c r="F107" s="574"/>
      <c r="G107" s="502">
        <v>1.05</v>
      </c>
      <c r="H107" s="502" t="s">
        <v>225</v>
      </c>
      <c r="I107" s="575"/>
      <c r="J107" s="505">
        <f>G107*I107</f>
        <v>0</v>
      </c>
      <c r="K107" s="471"/>
    </row>
    <row r="108" spans="1:12">
      <c r="A108" s="463"/>
      <c r="B108" s="576" t="s">
        <v>1002</v>
      </c>
      <c r="C108" s="577"/>
      <c r="D108" s="578"/>
      <c r="E108" s="578"/>
      <c r="F108" s="579"/>
      <c r="G108" s="502">
        <f>50/1000</f>
        <v>0.05</v>
      </c>
      <c r="H108" s="502" t="s">
        <v>990</v>
      </c>
      <c r="I108" s="575">
        <v>10</v>
      </c>
      <c r="J108" s="505">
        <f>G108*I108</f>
        <v>0.5</v>
      </c>
      <c r="K108" s="471"/>
    </row>
    <row r="109" spans="1:12">
      <c r="A109" s="463"/>
      <c r="B109" s="576"/>
      <c r="C109" s="577"/>
      <c r="D109" s="578"/>
      <c r="E109" s="578"/>
      <c r="F109" s="579"/>
      <c r="G109" s="502"/>
      <c r="H109" s="502"/>
      <c r="I109" s="575"/>
      <c r="J109" s="505"/>
      <c r="K109" s="471"/>
    </row>
    <row r="110" spans="1:12">
      <c r="A110" s="463"/>
      <c r="B110" s="590"/>
      <c r="C110" s="591"/>
      <c r="D110" s="592"/>
      <c r="E110" s="592"/>
      <c r="F110" s="593"/>
      <c r="G110" s="502"/>
      <c r="H110" s="502"/>
      <c r="I110" s="575"/>
      <c r="J110" s="505">
        <f>G110*I110</f>
        <v>0</v>
      </c>
      <c r="K110" s="471"/>
    </row>
    <row r="111" spans="1:12">
      <c r="A111" s="463"/>
      <c r="B111" s="594"/>
      <c r="C111" s="536"/>
      <c r="D111" s="536"/>
      <c r="E111" s="595"/>
      <c r="F111" s="596"/>
      <c r="G111" s="545"/>
      <c r="H111" s="545"/>
      <c r="I111" s="537" t="s">
        <v>175</v>
      </c>
      <c r="J111" s="514">
        <f>SUM(J107:J110)</f>
        <v>0.5</v>
      </c>
      <c r="K111" s="471"/>
    </row>
    <row r="112" spans="1:12">
      <c r="A112" s="463"/>
      <c r="B112" s="597"/>
      <c r="C112" s="536"/>
      <c r="D112" s="536"/>
      <c r="E112" s="595"/>
      <c r="F112" s="596"/>
      <c r="G112" s="545"/>
      <c r="H112" s="545"/>
      <c r="I112" s="537"/>
      <c r="J112" s="595"/>
      <c r="K112" s="471"/>
    </row>
    <row r="113" spans="1:11" ht="20.399999999999999">
      <c r="A113" s="463"/>
      <c r="B113" s="1493" t="s">
        <v>959</v>
      </c>
      <c r="C113" s="1494"/>
      <c r="D113" s="1494"/>
      <c r="E113" s="1494"/>
      <c r="F113" s="1495"/>
      <c r="G113" s="600" t="s">
        <v>372</v>
      </c>
      <c r="H113" s="519" t="s">
        <v>942</v>
      </c>
      <c r="I113" s="570"/>
      <c r="J113" s="522" t="s">
        <v>363</v>
      </c>
      <c r="K113" s="471"/>
    </row>
    <row r="114" spans="1:11">
      <c r="A114" s="463"/>
      <c r="B114" s="1734"/>
      <c r="C114" s="1735"/>
      <c r="D114" s="1735"/>
      <c r="E114" s="1735"/>
      <c r="F114" s="1736"/>
      <c r="G114" s="502"/>
      <c r="H114" s="1737"/>
      <c r="I114" s="1738"/>
      <c r="J114" s="505"/>
      <c r="K114" s="471"/>
    </row>
    <row r="115" spans="1:11">
      <c r="A115" s="463"/>
      <c r="B115" s="1739"/>
      <c r="C115" s="1740"/>
      <c r="D115" s="1740"/>
      <c r="E115" s="1740"/>
      <c r="F115" s="1741"/>
      <c r="G115" s="509"/>
      <c r="H115" s="1742"/>
      <c r="I115" s="1743"/>
      <c r="J115" s="505"/>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481" t="s">
        <v>961</v>
      </c>
      <c r="C118" s="1482"/>
      <c r="D118" s="1482"/>
      <c r="E118" s="1482"/>
      <c r="F118" s="1482"/>
      <c r="G118" s="1482"/>
      <c r="H118" s="1482"/>
      <c r="I118" s="1483"/>
      <c r="J118" s="586" t="e">
        <f>J116+J111+J104</f>
        <v>#REF!</v>
      </c>
      <c r="K118" s="471"/>
    </row>
    <row r="119" spans="1:11">
      <c r="A119" s="463"/>
      <c r="B119" s="536"/>
      <c r="C119" s="536"/>
      <c r="D119" s="536"/>
      <c r="E119" s="536"/>
      <c r="F119" s="536"/>
      <c r="G119" s="536"/>
      <c r="H119" s="536"/>
      <c r="I119" s="537"/>
      <c r="J119" s="536"/>
      <c r="K119" s="471"/>
    </row>
    <row r="120" spans="1:11">
      <c r="A120" s="463"/>
      <c r="B120" s="1481" t="s">
        <v>962</v>
      </c>
      <c r="C120" s="1482"/>
      <c r="D120" s="1482"/>
      <c r="E120" s="1482"/>
      <c r="F120" s="1482"/>
      <c r="G120" s="1482"/>
      <c r="H120" s="1482"/>
      <c r="I120" s="1483"/>
      <c r="J120" s="514" t="e">
        <f>J118*0</f>
        <v>#REF!</v>
      </c>
      <c r="K120" s="471"/>
    </row>
    <row r="121" spans="1:11">
      <c r="A121" s="463"/>
      <c r="B121" s="536"/>
      <c r="C121" s="536"/>
      <c r="D121" s="536"/>
      <c r="E121" s="536"/>
      <c r="F121" s="536"/>
      <c r="G121" s="536"/>
      <c r="H121" s="536"/>
      <c r="I121" s="537"/>
      <c r="J121" s="536"/>
      <c r="K121" s="471"/>
    </row>
    <row r="122" spans="1:11">
      <c r="A122" s="463"/>
      <c r="B122" s="1481" t="s">
        <v>963</v>
      </c>
      <c r="C122" s="1482"/>
      <c r="D122" s="1482"/>
      <c r="E122" s="1482"/>
      <c r="F122" s="1482"/>
      <c r="G122" s="1482"/>
      <c r="H122" s="1482"/>
      <c r="I122" s="1483"/>
      <c r="J122" s="586" t="e">
        <f>J118+J120</f>
        <v>#REF!</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484" t="s">
        <v>964</v>
      </c>
      <c r="H128" s="1485"/>
      <c r="I128" s="1485"/>
      <c r="J128" s="1486"/>
      <c r="K128" s="471"/>
    </row>
    <row r="129" spans="1:11">
      <c r="A129" s="463"/>
      <c r="B129" s="617"/>
      <c r="C129" s="618"/>
      <c r="D129" s="618"/>
      <c r="E129" s="618"/>
      <c r="F129" s="619"/>
      <c r="G129" s="620"/>
      <c r="H129" s="1487"/>
      <c r="I129" s="1488"/>
      <c r="J129" s="1489"/>
      <c r="K129" s="471"/>
    </row>
    <row r="130" spans="1:11" ht="15" thickBot="1">
      <c r="A130" s="621"/>
      <c r="B130" s="622"/>
      <c r="C130" s="622"/>
      <c r="D130" s="622"/>
      <c r="E130" s="622"/>
      <c r="F130" s="622"/>
      <c r="G130" s="622"/>
      <c r="H130" s="622"/>
      <c r="I130" s="622"/>
      <c r="J130" s="622"/>
      <c r="K130" s="623"/>
    </row>
    <row r="131" spans="1:11">
      <c r="A131" s="460"/>
      <c r="B131" s="461"/>
      <c r="C131" s="461"/>
      <c r="D131" s="461"/>
      <c r="E131" s="461"/>
      <c r="F131" s="461"/>
      <c r="G131" s="461"/>
      <c r="H131" s="461"/>
      <c r="I131" s="461"/>
      <c r="J131" s="461"/>
      <c r="K131" s="462"/>
    </row>
    <row r="132" spans="1:11">
      <c r="A132" s="463"/>
      <c r="B132" s="464" t="s">
        <v>178</v>
      </c>
      <c r="C132" s="465"/>
      <c r="D132" s="466" t="s">
        <v>936</v>
      </c>
      <c r="E132" s="467"/>
      <c r="F132" s="468"/>
      <c r="G132" s="468"/>
      <c r="H132" s="469"/>
      <c r="I132" s="469"/>
      <c r="J132" s="470"/>
      <c r="K132" s="471"/>
    </row>
    <row r="133" spans="1:11">
      <c r="A133" s="463"/>
      <c r="B133" s="472"/>
      <c r="C133" s="472"/>
      <c r="D133" s="472"/>
      <c r="E133" s="472"/>
      <c r="F133" s="472"/>
      <c r="G133" s="472"/>
      <c r="H133" s="472"/>
      <c r="I133" s="472"/>
      <c r="J133" s="472"/>
      <c r="K133" s="471"/>
    </row>
    <row r="134" spans="1:11">
      <c r="A134" s="463"/>
      <c r="B134" s="473" t="s">
        <v>688</v>
      </c>
      <c r="C134" s="474" t="s">
        <v>937</v>
      </c>
      <c r="D134" s="1497" t="s">
        <v>250</v>
      </c>
      <c r="E134" s="1498"/>
      <c r="F134" s="1498"/>
      <c r="G134" s="1498"/>
      <c r="H134" s="1498"/>
      <c r="I134" s="1499"/>
      <c r="J134" s="475" t="s">
        <v>267</v>
      </c>
      <c r="K134" s="471"/>
    </row>
    <row r="135" spans="1:11" ht="21" customHeight="1">
      <c r="A135" s="463"/>
      <c r="B135" s="476" t="s">
        <v>3</v>
      </c>
      <c r="C135" s="477">
        <f ca="1">PLANEJAMENTO!$F$4</f>
        <v>46140</v>
      </c>
      <c r="D135" s="1721" t="s">
        <v>1010</v>
      </c>
      <c r="E135" s="1722"/>
      <c r="F135" s="1722"/>
      <c r="G135" s="1722"/>
      <c r="H135" s="1722"/>
      <c r="I135" s="1723"/>
      <c r="J135" s="481" t="str">
        <f>F155</f>
        <v>m</v>
      </c>
      <c r="K135" s="471"/>
    </row>
    <row r="136" spans="1:11">
      <c r="A136" s="463"/>
      <c r="B136" s="482"/>
      <c r="C136" s="482"/>
      <c r="D136" s="482"/>
      <c r="E136" s="482"/>
      <c r="F136" s="482"/>
      <c r="G136" s="482"/>
      <c r="H136" s="482"/>
      <c r="I136" s="483"/>
      <c r="J136" s="484"/>
      <c r="K136" s="471"/>
    </row>
    <row r="137" spans="1:11">
      <c r="A137" s="463"/>
      <c r="B137" s="1484" t="s">
        <v>938</v>
      </c>
      <c r="C137" s="1486"/>
      <c r="D137" s="1502" t="s">
        <v>688</v>
      </c>
      <c r="E137" s="1504" t="s">
        <v>939</v>
      </c>
      <c r="F137" s="485" t="s">
        <v>940</v>
      </c>
      <c r="G137" s="486"/>
      <c r="H137" s="485" t="s">
        <v>941</v>
      </c>
      <c r="I137" s="486"/>
      <c r="J137" s="487" t="s">
        <v>942</v>
      </c>
      <c r="K137" s="471"/>
    </row>
    <row r="138" spans="1:11">
      <c r="A138" s="463"/>
      <c r="B138" s="1500"/>
      <c r="C138" s="1501"/>
      <c r="D138" s="1503"/>
      <c r="E138" s="1505"/>
      <c r="F138" s="488" t="s">
        <v>943</v>
      </c>
      <c r="G138" s="488" t="s">
        <v>944</v>
      </c>
      <c r="H138" s="488" t="s">
        <v>943</v>
      </c>
      <c r="I138" s="489" t="s">
        <v>944</v>
      </c>
      <c r="J138" s="490" t="s">
        <v>945</v>
      </c>
      <c r="K138" s="471"/>
    </row>
    <row r="139" spans="1:11">
      <c r="A139" s="463"/>
      <c r="B139" s="499" t="s">
        <v>659</v>
      </c>
      <c r="C139" s="500"/>
      <c r="D139" s="501"/>
      <c r="E139" s="502"/>
      <c r="F139" s="502">
        <v>1</v>
      </c>
      <c r="G139" s="502">
        <f>1-F139</f>
        <v>0</v>
      </c>
      <c r="H139" s="503">
        <f>VLOOKUP(B139,EQUIPAMENTOS!$A:$J,10,FALSE)</f>
        <v>10</v>
      </c>
      <c r="I139" s="504">
        <f>H139</f>
        <v>10</v>
      </c>
      <c r="J139" s="505">
        <f>H139*F139*E139+I139*G139*E139</f>
        <v>0</v>
      </c>
      <c r="K139" s="471"/>
    </row>
    <row r="140" spans="1:11">
      <c r="A140" s="463"/>
      <c r="B140" s="499" t="s">
        <v>651</v>
      </c>
      <c r="C140" s="500"/>
      <c r="D140" s="501"/>
      <c r="E140" s="502">
        <v>0.5</v>
      </c>
      <c r="F140" s="502">
        <v>1</v>
      </c>
      <c r="G140" s="502">
        <f>1-F140</f>
        <v>0</v>
      </c>
      <c r="H140" s="503">
        <f>VLOOKUP(B140,EQUIPAMENTOS!$A:$J,10,FALSE)</f>
        <v>63.777777777777779</v>
      </c>
      <c r="I140" s="504">
        <f>H140</f>
        <v>63.777777777777779</v>
      </c>
      <c r="J140" s="505">
        <f>H140*F140*E140+I140*G140*E140</f>
        <v>31.888888888888889</v>
      </c>
      <c r="K140" s="471"/>
    </row>
    <row r="141" spans="1:11">
      <c r="A141" s="463"/>
      <c r="B141" s="499"/>
      <c r="C141" s="500"/>
      <c r="D141" s="501"/>
      <c r="E141" s="502"/>
      <c r="F141" s="502"/>
      <c r="G141" s="502"/>
      <c r="H141" s="503"/>
      <c r="I141" s="504"/>
      <c r="J141" s="505">
        <f>H141*F141*E141+I141*G141*E141</f>
        <v>0</v>
      </c>
      <c r="K141" s="471"/>
    </row>
    <row r="142" spans="1:11">
      <c r="A142" s="463"/>
      <c r="B142" s="499"/>
      <c r="C142" s="500"/>
      <c r="D142" s="501"/>
      <c r="E142" s="502"/>
      <c r="F142" s="502"/>
      <c r="G142" s="502"/>
      <c r="H142" s="503"/>
      <c r="I142" s="504"/>
      <c r="J142" s="505">
        <f>H142*F142*E142+I142*G142*E142</f>
        <v>0</v>
      </c>
      <c r="K142" s="471"/>
    </row>
    <row r="143" spans="1:11">
      <c r="A143" s="463"/>
      <c r="B143" s="506"/>
      <c r="C143" s="507"/>
      <c r="D143" s="508"/>
      <c r="E143" s="509"/>
      <c r="F143" s="509"/>
      <c r="G143" s="509"/>
      <c r="H143" s="510"/>
      <c r="I143" s="511"/>
      <c r="J143" s="505">
        <f>H143*F143*E143+I143*G143*E143</f>
        <v>0</v>
      </c>
      <c r="K143" s="471"/>
    </row>
    <row r="144" spans="1:11">
      <c r="A144" s="463"/>
      <c r="B144" s="512" t="s">
        <v>946</v>
      </c>
      <c r="C144" s="482"/>
      <c r="D144" s="482"/>
      <c r="E144" s="482"/>
      <c r="F144" s="482"/>
      <c r="G144" s="482"/>
      <c r="H144" s="482"/>
      <c r="I144" s="513" t="s">
        <v>175</v>
      </c>
      <c r="J144" s="514">
        <f>SUM(J139:J143)</f>
        <v>31.888888888888889</v>
      </c>
      <c r="K144" s="471"/>
    </row>
    <row r="145" spans="1:11">
      <c r="A145" s="463"/>
      <c r="B145" s="515"/>
      <c r="C145" s="515"/>
      <c r="D145" s="515"/>
      <c r="E145" s="515"/>
      <c r="F145" s="515"/>
      <c r="G145" s="515"/>
      <c r="H145" s="515"/>
      <c r="I145" s="516"/>
      <c r="J145" s="517"/>
      <c r="K145" s="471"/>
    </row>
    <row r="146" spans="1:11" ht="20.399999999999999">
      <c r="A146" s="463"/>
      <c r="B146" s="1490" t="s">
        <v>947</v>
      </c>
      <c r="C146" s="1491"/>
      <c r="D146" s="1491"/>
      <c r="E146" s="1492"/>
      <c r="F146" s="518" t="s">
        <v>688</v>
      </c>
      <c r="G146" s="519"/>
      <c r="H146" s="520" t="s">
        <v>427</v>
      </c>
      <c r="I146" s="521" t="s">
        <v>948</v>
      </c>
      <c r="J146" s="522" t="s">
        <v>949</v>
      </c>
      <c r="K146" s="471"/>
    </row>
    <row r="147" spans="1:11">
      <c r="A147" s="463"/>
      <c r="B147" s="523"/>
      <c r="C147" s="524"/>
      <c r="D147" s="525"/>
      <c r="E147" s="526"/>
      <c r="F147" s="527"/>
      <c r="G147" s="528"/>
      <c r="H147" s="529"/>
      <c r="I147" s="497"/>
      <c r="J147" s="498"/>
      <c r="K147" s="471"/>
    </row>
    <row r="148" spans="1:11">
      <c r="A148" s="463"/>
      <c r="B148" s="530" t="s">
        <v>1000</v>
      </c>
      <c r="C148" s="531"/>
      <c r="D148" s="472"/>
      <c r="E148" s="500"/>
      <c r="F148" s="501"/>
      <c r="G148" s="532"/>
      <c r="H148" s="533">
        <v>1</v>
      </c>
      <c r="I148" s="534">
        <f>VLOOKUP(B148,'MÃO DE OBRA'!$A:$E,5,FALSE)/220</f>
        <v>19.055000000000003</v>
      </c>
      <c r="J148" s="505">
        <f>H148*I148</f>
        <v>19.055000000000003</v>
      </c>
      <c r="K148" s="471"/>
    </row>
    <row r="149" spans="1:11">
      <c r="A149" s="463"/>
      <c r="B149" s="530" t="s">
        <v>472</v>
      </c>
      <c r="C149" s="531"/>
      <c r="D149" s="472"/>
      <c r="E149" s="500"/>
      <c r="F149" s="501"/>
      <c r="G149" s="532"/>
      <c r="H149" s="533">
        <v>3</v>
      </c>
      <c r="I149" s="534">
        <f>VLOOKUP(B149,'MÃO DE OBRA'!$A:$E,5,FALSE)/220</f>
        <v>18.377072727272729</v>
      </c>
      <c r="J149" s="505">
        <f>H149*I149</f>
        <v>55.131218181818184</v>
      </c>
      <c r="K149" s="471"/>
    </row>
    <row r="150" spans="1:11">
      <c r="A150" s="463"/>
      <c r="B150" s="530" t="s">
        <v>1053</v>
      </c>
      <c r="C150" s="531"/>
      <c r="D150" s="472"/>
      <c r="E150" s="500"/>
      <c r="F150" s="501"/>
      <c r="G150" s="532"/>
      <c r="H150" s="533">
        <f>E140</f>
        <v>0.5</v>
      </c>
      <c r="I150" s="534">
        <f>VLOOKUP(B150,'MÃO DE OBRA'!$A:$E,5,FALSE)/220</f>
        <v>26.3474</v>
      </c>
      <c r="J150" s="505">
        <f>H150*I150</f>
        <v>13.1737</v>
      </c>
      <c r="K150" s="471"/>
    </row>
    <row r="151" spans="1:11">
      <c r="A151" s="463"/>
      <c r="B151" s="530"/>
      <c r="C151" s="531"/>
      <c r="D151" s="472"/>
      <c r="E151" s="500"/>
      <c r="F151" s="501"/>
      <c r="G151" s="532"/>
      <c r="H151" s="533"/>
      <c r="I151" s="504"/>
      <c r="J151" s="505"/>
      <c r="K151" s="471"/>
    </row>
    <row r="152" spans="1:11">
      <c r="A152" s="463"/>
      <c r="B152" s="530"/>
      <c r="C152" s="531"/>
      <c r="D152" s="472"/>
      <c r="E152" s="500"/>
      <c r="F152" s="501"/>
      <c r="G152" s="532"/>
      <c r="H152" s="533"/>
      <c r="I152" s="504"/>
      <c r="J152" s="505">
        <f>H152*I152</f>
        <v>0</v>
      </c>
      <c r="K152" s="471"/>
    </row>
    <row r="153" spans="1:11">
      <c r="A153" s="463"/>
      <c r="B153" s="512" t="s">
        <v>946</v>
      </c>
      <c r="C153" s="515"/>
      <c r="D153" s="515"/>
      <c r="E153" s="515"/>
      <c r="F153" s="515"/>
      <c r="G153" s="515"/>
      <c r="H153" s="515"/>
      <c r="I153" s="535" t="s">
        <v>175</v>
      </c>
      <c r="J153" s="514">
        <f>SUM(J147:J152)</f>
        <v>87.359918181818188</v>
      </c>
      <c r="K153" s="471"/>
    </row>
    <row r="154" spans="1:11">
      <c r="A154" s="463"/>
      <c r="B154" s="536"/>
      <c r="C154" s="536"/>
      <c r="D154" s="536"/>
      <c r="E154" s="536"/>
      <c r="F154" s="536"/>
      <c r="G154" s="536"/>
      <c r="H154" s="536"/>
      <c r="I154" s="537"/>
      <c r="J154" s="536"/>
      <c r="K154" s="471"/>
    </row>
    <row r="155" spans="1:11">
      <c r="A155" s="463"/>
      <c r="B155" s="538" t="s">
        <v>952</v>
      </c>
      <c r="C155" s="539"/>
      <c r="D155" s="536"/>
      <c r="E155" s="540" t="e">
        <f>PRODUÇÕES!#REF!</f>
        <v>#REF!</v>
      </c>
      <c r="F155" s="541" t="s">
        <v>225</v>
      </c>
      <c r="G155" s="519"/>
      <c r="H155" s="519"/>
      <c r="I155" s="542" t="s">
        <v>953</v>
      </c>
      <c r="J155" s="514">
        <f>J144+J153</f>
        <v>119.24880707070707</v>
      </c>
      <c r="K155" s="471"/>
    </row>
    <row r="156" spans="1:11">
      <c r="A156" s="463"/>
      <c r="B156" s="543"/>
      <c r="C156" s="536"/>
      <c r="D156" s="536"/>
      <c r="E156" s="544"/>
      <c r="F156" s="545"/>
      <c r="G156" s="545"/>
      <c r="H156" s="545"/>
      <c r="I156" s="537"/>
      <c r="J156" s="536"/>
      <c r="K156" s="471"/>
    </row>
    <row r="157" spans="1:11" ht="20.399999999999999">
      <c r="A157" s="463"/>
      <c r="B157" s="1493" t="s">
        <v>362</v>
      </c>
      <c r="C157" s="1494"/>
      <c r="D157" s="1494"/>
      <c r="E157" s="1495"/>
      <c r="F157" s="546" t="s">
        <v>688</v>
      </c>
      <c r="G157" s="547" t="s">
        <v>371</v>
      </c>
      <c r="H157" s="520" t="s">
        <v>942</v>
      </c>
      <c r="I157" s="548" t="s">
        <v>361</v>
      </c>
      <c r="J157" s="549" t="s">
        <v>363</v>
      </c>
      <c r="K157" s="471"/>
    </row>
    <row r="158" spans="1:11">
      <c r="A158" s="463"/>
      <c r="B158" s="550" t="str">
        <f>B139</f>
        <v>Sapo compactador</v>
      </c>
      <c r="C158" s="531"/>
      <c r="D158" s="531"/>
      <c r="E158" s="500"/>
      <c r="F158" s="553" t="str">
        <f>VLOOKUP(B158,EQUIPAMENTOS!$A:$N,12,FALSE)</f>
        <v>Gasolina</v>
      </c>
      <c r="G158" s="554" t="s">
        <v>415</v>
      </c>
      <c r="H158" s="560">
        <f>VLOOKUP(B158,EQUIPAMENTOS!$A:$N,13,FALSE)</f>
        <v>6.59</v>
      </c>
      <c r="I158" s="556">
        <f>VLOOKUP(B158,EQUIPAMENTOS!$A:$N,14,FALSE)</f>
        <v>3</v>
      </c>
      <c r="J158" s="505">
        <f>H158*I158*E139*F139</f>
        <v>0</v>
      </c>
      <c r="K158" s="471"/>
    </row>
    <row r="159" spans="1:11">
      <c r="A159" s="463"/>
      <c r="B159" s="550" t="str">
        <f>B140</f>
        <v>Retroescavadeira</v>
      </c>
      <c r="C159" s="531"/>
      <c r="D159" s="531"/>
      <c r="E159" s="500"/>
      <c r="F159" s="553" t="str">
        <f>VLOOKUP(B159,EQUIPAMENTOS!$A:$N,12,FALSE)</f>
        <v>Diesel S10</v>
      </c>
      <c r="G159" s="554" t="s">
        <v>415</v>
      </c>
      <c r="H159" s="560">
        <f>VLOOKUP(B159,EQUIPAMENTOS!$A:$N,13,FALSE)</f>
        <v>0</v>
      </c>
      <c r="I159" s="556">
        <f>VLOOKUP(B159,EQUIPAMENTOS!$A:$N,14,FALSE)</f>
        <v>16</v>
      </c>
      <c r="J159" s="505">
        <f>H159*I159*E140*F140</f>
        <v>0</v>
      </c>
      <c r="K159" s="471"/>
    </row>
    <row r="160" spans="1:11">
      <c r="A160" s="463"/>
      <c r="B160" s="530"/>
      <c r="C160" s="531"/>
      <c r="D160" s="531"/>
      <c r="E160" s="500"/>
      <c r="F160" s="501"/>
      <c r="G160" s="559"/>
      <c r="H160" s="560"/>
      <c r="I160" s="556"/>
      <c r="J160" s="505">
        <f>H160*I160*E141*F141</f>
        <v>0</v>
      </c>
      <c r="K160" s="471"/>
    </row>
    <row r="161" spans="1:12">
      <c r="A161" s="463"/>
      <c r="B161" s="530"/>
      <c r="C161" s="539"/>
      <c r="D161" s="539"/>
      <c r="E161" s="507"/>
      <c r="F161" s="501"/>
      <c r="G161" s="481"/>
      <c r="H161" s="560"/>
      <c r="I161" s="561"/>
      <c r="J161" s="505">
        <f>H161*I161*E142*F142</f>
        <v>0</v>
      </c>
      <c r="K161" s="471"/>
    </row>
    <row r="162" spans="1:12">
      <c r="A162" s="463"/>
      <c r="B162" s="563" t="s">
        <v>946</v>
      </c>
      <c r="C162" s="539"/>
      <c r="D162" s="539"/>
      <c r="E162" s="539"/>
      <c r="F162" s="536"/>
      <c r="G162" s="539"/>
      <c r="H162" s="564"/>
      <c r="I162" s="565" t="s">
        <v>175</v>
      </c>
      <c r="J162" s="514">
        <f>SUM(J158:J161)</f>
        <v>0</v>
      </c>
      <c r="K162" s="471"/>
      <c r="L162" s="6" t="e">
        <f>J162/E155</f>
        <v>#REF!</v>
      </c>
    </row>
    <row r="163" spans="1:12">
      <c r="A163" s="463"/>
      <c r="B163" s="566"/>
      <c r="C163" s="539"/>
      <c r="D163" s="539"/>
      <c r="E163" s="567"/>
      <c r="F163" s="568"/>
      <c r="G163" s="519"/>
      <c r="H163" s="519"/>
      <c r="I163" s="542"/>
      <c r="J163" s="567"/>
      <c r="K163" s="471"/>
    </row>
    <row r="164" spans="1:12" ht="20.399999999999999">
      <c r="A164" s="463"/>
      <c r="B164" s="1493" t="s">
        <v>955</v>
      </c>
      <c r="C164" s="1494"/>
      <c r="D164" s="1494"/>
      <c r="E164" s="1494"/>
      <c r="F164" s="1495"/>
      <c r="G164" s="569" t="s">
        <v>372</v>
      </c>
      <c r="H164" s="519" t="s">
        <v>956</v>
      </c>
      <c r="I164" s="570" t="s">
        <v>942</v>
      </c>
      <c r="J164" s="522" t="s">
        <v>363</v>
      </c>
      <c r="K164" s="471"/>
    </row>
    <row r="165" spans="1:12">
      <c r="A165" s="463"/>
      <c r="B165" s="571"/>
      <c r="C165" s="572"/>
      <c r="D165" s="573"/>
      <c r="E165" s="573"/>
      <c r="F165" s="574"/>
      <c r="G165" s="502"/>
      <c r="H165" s="502"/>
      <c r="I165" s="575"/>
      <c r="J165" s="505"/>
      <c r="K165" s="471"/>
    </row>
    <row r="166" spans="1:12">
      <c r="A166" s="463"/>
      <c r="B166" s="576"/>
      <c r="C166" s="577"/>
      <c r="D166" s="578"/>
      <c r="E166" s="578"/>
      <c r="F166" s="579"/>
      <c r="G166" s="502"/>
      <c r="H166" s="502"/>
      <c r="I166" s="575"/>
      <c r="J166" s="505"/>
      <c r="K166" s="471"/>
    </row>
    <row r="167" spans="1:12">
      <c r="A167" s="463"/>
      <c r="B167" s="1496" t="s">
        <v>175</v>
      </c>
      <c r="C167" s="1496"/>
      <c r="D167" s="1496"/>
      <c r="E167" s="1496"/>
      <c r="F167" s="1496"/>
      <c r="G167" s="1496"/>
      <c r="H167" s="1496"/>
      <c r="I167" s="1496"/>
      <c r="J167" s="514">
        <f>SUM(J165:J166)</f>
        <v>0</v>
      </c>
      <c r="K167" s="471"/>
    </row>
    <row r="168" spans="1:12">
      <c r="A168" s="463"/>
      <c r="B168" s="580"/>
      <c r="C168" s="524"/>
      <c r="D168" s="524"/>
      <c r="E168" s="581"/>
      <c r="F168" s="582"/>
      <c r="G168" s="583"/>
      <c r="H168" s="583"/>
      <c r="I168" s="584"/>
      <c r="J168" s="585"/>
      <c r="K168" s="471"/>
    </row>
    <row r="169" spans="1:12">
      <c r="A169" s="463"/>
      <c r="B169" s="586" t="s">
        <v>957</v>
      </c>
      <c r="C169" s="586"/>
      <c r="D169" s="563"/>
      <c r="E169" s="536"/>
      <c r="F169" s="536"/>
      <c r="G169" s="536"/>
      <c r="H169" s="587"/>
      <c r="I169" s="588"/>
      <c r="J169" s="647" t="e">
        <f>(J155+J162+J167)/E155</f>
        <v>#REF!</v>
      </c>
      <c r="K169" s="471"/>
    </row>
    <row r="170" spans="1:12">
      <c r="A170" s="463"/>
      <c r="B170" s="566"/>
      <c r="C170" s="539"/>
      <c r="D170" s="539"/>
      <c r="E170" s="567"/>
      <c r="F170" s="568"/>
      <c r="G170" s="519"/>
      <c r="H170" s="519"/>
      <c r="I170" s="542"/>
      <c r="J170" s="589"/>
      <c r="K170" s="471"/>
    </row>
    <row r="171" spans="1:12" ht="20.399999999999999">
      <c r="A171" s="463"/>
      <c r="B171" s="1493" t="s">
        <v>958</v>
      </c>
      <c r="C171" s="1494"/>
      <c r="D171" s="1494"/>
      <c r="E171" s="1494"/>
      <c r="F171" s="1495"/>
      <c r="G171" s="569" t="s">
        <v>372</v>
      </c>
      <c r="H171" s="519" t="s">
        <v>956</v>
      </c>
      <c r="I171" s="570" t="s">
        <v>942</v>
      </c>
      <c r="J171" s="522" t="s">
        <v>363</v>
      </c>
      <c r="K171" s="471"/>
    </row>
    <row r="172" spans="1:12">
      <c r="A172" s="463"/>
      <c r="B172" s="571" t="s">
        <v>1011</v>
      </c>
      <c r="C172" s="572"/>
      <c r="D172" s="573"/>
      <c r="E172" s="573"/>
      <c r="F172" s="574"/>
      <c r="G172" s="502">
        <v>1.05</v>
      </c>
      <c r="H172" s="502" t="s">
        <v>225</v>
      </c>
      <c r="I172" s="575"/>
      <c r="J172" s="505">
        <f>G172*I172</f>
        <v>0</v>
      </c>
      <c r="K172" s="471"/>
    </row>
    <row r="173" spans="1:12">
      <c r="A173" s="463"/>
      <c r="B173" s="576" t="s">
        <v>1002</v>
      </c>
      <c r="C173" s="577"/>
      <c r="D173" s="578"/>
      <c r="E173" s="578"/>
      <c r="F173" s="579"/>
      <c r="G173" s="502">
        <v>0.05</v>
      </c>
      <c r="H173" s="502" t="s">
        <v>990</v>
      </c>
      <c r="I173" s="575">
        <f>I108</f>
        <v>10</v>
      </c>
      <c r="J173" s="505">
        <f>G173*I173</f>
        <v>0.5</v>
      </c>
      <c r="K173" s="471"/>
    </row>
    <row r="174" spans="1:12">
      <c r="A174" s="463"/>
      <c r="B174" s="576"/>
      <c r="C174" s="577"/>
      <c r="D174" s="578"/>
      <c r="E174" s="578"/>
      <c r="F174" s="579"/>
      <c r="G174" s="502"/>
      <c r="H174" s="502"/>
      <c r="I174" s="575"/>
      <c r="J174" s="505">
        <f>G174*I174</f>
        <v>0</v>
      </c>
      <c r="K174" s="471"/>
    </row>
    <row r="175" spans="1:12">
      <c r="A175" s="463"/>
      <c r="B175" s="590"/>
      <c r="C175" s="591"/>
      <c r="D175" s="592"/>
      <c r="E175" s="592"/>
      <c r="F175" s="593"/>
      <c r="G175" s="502"/>
      <c r="H175" s="502"/>
      <c r="I175" s="575"/>
      <c r="J175" s="505">
        <f>G175*I175</f>
        <v>0</v>
      </c>
      <c r="K175" s="471"/>
    </row>
    <row r="176" spans="1:12">
      <c r="A176" s="463"/>
      <c r="B176" s="594"/>
      <c r="C176" s="536"/>
      <c r="D176" s="536"/>
      <c r="E176" s="595"/>
      <c r="F176" s="596"/>
      <c r="G176" s="545"/>
      <c r="H176" s="545"/>
      <c r="I176" s="537" t="s">
        <v>175</v>
      </c>
      <c r="J176" s="514">
        <f>SUM(J172:J175)</f>
        <v>0.5</v>
      </c>
      <c r="K176" s="471"/>
    </row>
    <row r="177" spans="1:11">
      <c r="A177" s="463"/>
      <c r="B177" s="597"/>
      <c r="C177" s="536"/>
      <c r="D177" s="536"/>
      <c r="E177" s="595"/>
      <c r="F177" s="596"/>
      <c r="G177" s="545"/>
      <c r="H177" s="545"/>
      <c r="I177" s="537"/>
      <c r="J177" s="595"/>
      <c r="K177" s="471"/>
    </row>
    <row r="178" spans="1:11" ht="20.399999999999999">
      <c r="A178" s="463"/>
      <c r="B178" s="1493" t="s">
        <v>959</v>
      </c>
      <c r="C178" s="1494"/>
      <c r="D178" s="1494"/>
      <c r="E178" s="1494"/>
      <c r="F178" s="1495"/>
      <c r="G178" s="600" t="s">
        <v>372</v>
      </c>
      <c r="H178" s="519" t="s">
        <v>942</v>
      </c>
      <c r="I178" s="570"/>
      <c r="J178" s="522" t="s">
        <v>363</v>
      </c>
      <c r="K178" s="471"/>
    </row>
    <row r="179" spans="1:11">
      <c r="A179" s="463"/>
      <c r="B179" s="1734"/>
      <c r="C179" s="1735"/>
      <c r="D179" s="1735"/>
      <c r="E179" s="1735"/>
      <c r="F179" s="1736"/>
      <c r="G179" s="502"/>
      <c r="H179" s="1737"/>
      <c r="I179" s="1738"/>
      <c r="J179" s="505"/>
      <c r="K179" s="471"/>
    </row>
    <row r="180" spans="1:11">
      <c r="A180" s="463"/>
      <c r="B180" s="1739"/>
      <c r="C180" s="1740"/>
      <c r="D180" s="1740"/>
      <c r="E180" s="1740"/>
      <c r="F180" s="1741"/>
      <c r="G180" s="509"/>
      <c r="H180" s="1742"/>
      <c r="I180" s="1743"/>
      <c r="J180" s="505"/>
      <c r="K180" s="471"/>
    </row>
    <row r="181" spans="1:11">
      <c r="A181" s="463"/>
      <c r="B181" s="594"/>
      <c r="C181" s="536"/>
      <c r="D181" s="536"/>
      <c r="E181" s="595"/>
      <c r="F181" s="596"/>
      <c r="G181" s="545"/>
      <c r="H181" s="545"/>
      <c r="I181" s="537" t="s">
        <v>175</v>
      </c>
      <c r="J181" s="514">
        <f>SUM(J179:J180)</f>
        <v>0</v>
      </c>
      <c r="K181" s="471"/>
    </row>
    <row r="182" spans="1:11">
      <c r="A182" s="463"/>
      <c r="B182" s="536"/>
      <c r="C182" s="536"/>
      <c r="D182" s="536"/>
      <c r="E182" s="536"/>
      <c r="F182" s="536"/>
      <c r="G182" s="536"/>
      <c r="H182" s="536"/>
      <c r="I182" s="537"/>
      <c r="J182" s="536"/>
      <c r="K182" s="471"/>
    </row>
    <row r="183" spans="1:11">
      <c r="A183" s="463"/>
      <c r="B183" s="1481" t="s">
        <v>961</v>
      </c>
      <c r="C183" s="1482"/>
      <c r="D183" s="1482"/>
      <c r="E183" s="1482"/>
      <c r="F183" s="1482"/>
      <c r="G183" s="1482"/>
      <c r="H183" s="1482"/>
      <c r="I183" s="1483"/>
      <c r="J183" s="586" t="e">
        <f>J181+J176+J169</f>
        <v>#REF!</v>
      </c>
      <c r="K183" s="471"/>
    </row>
    <row r="184" spans="1:11">
      <c r="A184" s="463"/>
      <c r="B184" s="536"/>
      <c r="C184" s="536"/>
      <c r="D184" s="536"/>
      <c r="E184" s="536"/>
      <c r="F184" s="536"/>
      <c r="G184" s="536"/>
      <c r="H184" s="536"/>
      <c r="I184" s="537"/>
      <c r="J184" s="536"/>
      <c r="K184" s="471"/>
    </row>
    <row r="185" spans="1:11">
      <c r="A185" s="463"/>
      <c r="B185" s="1481" t="s">
        <v>962</v>
      </c>
      <c r="C185" s="1482"/>
      <c r="D185" s="1482"/>
      <c r="E185" s="1482"/>
      <c r="F185" s="1482"/>
      <c r="G185" s="1482"/>
      <c r="H185" s="1482"/>
      <c r="I185" s="1483"/>
      <c r="J185" s="514" t="e">
        <f>J183*0</f>
        <v>#REF!</v>
      </c>
      <c r="K185" s="471"/>
    </row>
    <row r="186" spans="1:11">
      <c r="A186" s="463"/>
      <c r="B186" s="536"/>
      <c r="C186" s="536"/>
      <c r="D186" s="536"/>
      <c r="E186" s="536"/>
      <c r="F186" s="536"/>
      <c r="G186" s="536"/>
      <c r="H186" s="536"/>
      <c r="I186" s="537"/>
      <c r="J186" s="536"/>
      <c r="K186" s="471"/>
    </row>
    <row r="187" spans="1:11">
      <c r="A187" s="463"/>
      <c r="B187" s="1481" t="s">
        <v>963</v>
      </c>
      <c r="C187" s="1482"/>
      <c r="D187" s="1482"/>
      <c r="E187" s="1482"/>
      <c r="F187" s="1482"/>
      <c r="G187" s="1482"/>
      <c r="H187" s="1482"/>
      <c r="I187" s="1483"/>
      <c r="J187" s="586" t="e">
        <f>J183+J185</f>
        <v>#REF!</v>
      </c>
      <c r="K187" s="471"/>
    </row>
    <row r="188" spans="1:11">
      <c r="A188" s="463"/>
      <c r="B188" s="524"/>
      <c r="C188" s="524"/>
      <c r="D188" s="524"/>
      <c r="E188" s="524"/>
      <c r="F188" s="524"/>
      <c r="G188" s="524"/>
      <c r="H188" s="524"/>
      <c r="I188" s="584"/>
      <c r="J188" s="524"/>
      <c r="K188" s="471"/>
    </row>
    <row r="189" spans="1:11">
      <c r="A189" s="463"/>
      <c r="B189" s="602"/>
      <c r="C189" s="572"/>
      <c r="D189" s="572"/>
      <c r="E189" s="572"/>
      <c r="F189" s="572"/>
      <c r="G189" s="572"/>
      <c r="H189" s="572"/>
      <c r="I189" s="572"/>
      <c r="J189" s="603"/>
      <c r="K189" s="471"/>
    </row>
    <row r="190" spans="1:11">
      <c r="A190" s="463"/>
      <c r="B190" s="604"/>
      <c r="C190" s="605"/>
      <c r="D190" s="606"/>
      <c r="E190" s="606"/>
      <c r="F190" s="607" t="s">
        <v>946</v>
      </c>
      <c r="G190" s="608" t="s">
        <v>946</v>
      </c>
      <c r="H190" s="605"/>
      <c r="I190" s="605"/>
      <c r="J190" s="609"/>
      <c r="K190" s="471"/>
    </row>
    <row r="191" spans="1:11">
      <c r="A191" s="463"/>
      <c r="B191" s="472"/>
      <c r="C191" s="472"/>
      <c r="D191" s="472"/>
      <c r="E191" s="472"/>
      <c r="F191" s="472"/>
      <c r="G191" s="472"/>
      <c r="H191" s="472"/>
      <c r="I191" s="472"/>
      <c r="J191" s="472"/>
      <c r="K191" s="471"/>
    </row>
    <row r="192" spans="1:11">
      <c r="A192" s="463"/>
      <c r="B192" s="610" t="str">
        <f>PLANEJAMENTO!$F$2</f>
        <v>OPERAÇÃO DE SUPRESSÃO E SUMP</v>
      </c>
      <c r="C192" s="611"/>
      <c r="D192" s="611"/>
      <c r="E192" s="611"/>
      <c r="F192" s="612"/>
      <c r="G192" s="613" t="s">
        <v>363</v>
      </c>
      <c r="H192" s="515"/>
      <c r="I192" s="515"/>
      <c r="J192" s="518"/>
      <c r="K192" s="471"/>
    </row>
    <row r="193" spans="1:11">
      <c r="A193" s="463"/>
      <c r="B193" s="614" t="str">
        <f>PLANEJAMENTO!$F$3</f>
        <v>MARA ROSA</v>
      </c>
      <c r="C193" s="615"/>
      <c r="D193" s="615"/>
      <c r="E193" s="615"/>
      <c r="F193" s="616"/>
      <c r="G193" s="1484" t="s">
        <v>964</v>
      </c>
      <c r="H193" s="1485"/>
      <c r="I193" s="1485"/>
      <c r="J193" s="1486"/>
      <c r="K193" s="471"/>
    </row>
    <row r="194" spans="1:11">
      <c r="A194" s="463"/>
      <c r="B194" s="617"/>
      <c r="C194" s="618"/>
      <c r="D194" s="618"/>
      <c r="E194" s="618"/>
      <c r="F194" s="619"/>
      <c r="G194" s="620"/>
      <c r="H194" s="1487"/>
      <c r="I194" s="1488"/>
      <c r="J194" s="1489"/>
      <c r="K194" s="471"/>
    </row>
    <row r="195" spans="1:11" ht="15" thickBot="1">
      <c r="A195" s="621"/>
      <c r="B195" s="622"/>
      <c r="C195" s="622"/>
      <c r="D195" s="622"/>
      <c r="E195" s="622"/>
      <c r="F195" s="622"/>
      <c r="G195" s="622"/>
      <c r="H195" s="622"/>
      <c r="I195" s="622"/>
      <c r="J195" s="622"/>
      <c r="K195" s="623"/>
    </row>
    <row r="196" spans="1:11">
      <c r="A196" s="460"/>
      <c r="B196" s="461"/>
      <c r="C196" s="461"/>
      <c r="D196" s="461"/>
      <c r="E196" s="461"/>
      <c r="F196" s="461"/>
      <c r="G196" s="461"/>
      <c r="H196" s="461"/>
      <c r="I196" s="461"/>
      <c r="J196" s="461"/>
      <c r="K196" s="462"/>
    </row>
    <row r="197" spans="1:11">
      <c r="A197" s="463"/>
      <c r="B197" s="464" t="s">
        <v>178</v>
      </c>
      <c r="C197" s="465"/>
      <c r="D197" s="466" t="s">
        <v>936</v>
      </c>
      <c r="E197" s="467"/>
      <c r="F197" s="468"/>
      <c r="G197" s="468"/>
      <c r="H197" s="469"/>
      <c r="I197" s="469"/>
      <c r="J197" s="470"/>
      <c r="K197" s="471"/>
    </row>
    <row r="198" spans="1:11">
      <c r="A198" s="463"/>
      <c r="B198" s="472"/>
      <c r="C198" s="472"/>
      <c r="D198" s="472"/>
      <c r="E198" s="472"/>
      <c r="F198" s="472"/>
      <c r="G198" s="472"/>
      <c r="H198" s="472"/>
      <c r="I198" s="472"/>
      <c r="J198" s="472"/>
      <c r="K198" s="471"/>
    </row>
    <row r="199" spans="1:11">
      <c r="A199" s="463"/>
      <c r="B199" s="473" t="s">
        <v>688</v>
      </c>
      <c r="C199" s="474" t="s">
        <v>937</v>
      </c>
      <c r="D199" s="1497" t="s">
        <v>250</v>
      </c>
      <c r="E199" s="1498"/>
      <c r="F199" s="1498"/>
      <c r="G199" s="1498"/>
      <c r="H199" s="1498"/>
      <c r="I199" s="1499"/>
      <c r="J199" s="475" t="s">
        <v>267</v>
      </c>
      <c r="K199" s="471"/>
    </row>
    <row r="200" spans="1:11" ht="21.75" customHeight="1">
      <c r="A200" s="463"/>
      <c r="B200" s="476" t="s">
        <v>3</v>
      </c>
      <c r="C200" s="477">
        <f ca="1">PLANEJAMENTO!$F$4</f>
        <v>46140</v>
      </c>
      <c r="D200" s="1721" t="s">
        <v>1012</v>
      </c>
      <c r="E200" s="1722"/>
      <c r="F200" s="1722"/>
      <c r="G200" s="1722"/>
      <c r="H200" s="1722"/>
      <c r="I200" s="1723"/>
      <c r="J200" s="481" t="str">
        <f>F220</f>
        <v>m</v>
      </c>
      <c r="K200" s="471"/>
    </row>
    <row r="201" spans="1:11">
      <c r="A201" s="463"/>
      <c r="B201" s="482"/>
      <c r="C201" s="482"/>
      <c r="D201" s="482"/>
      <c r="E201" s="482"/>
      <c r="F201" s="482"/>
      <c r="G201" s="482"/>
      <c r="H201" s="482"/>
      <c r="I201" s="483"/>
      <c r="J201" s="484"/>
      <c r="K201" s="471"/>
    </row>
    <row r="202" spans="1:11">
      <c r="A202" s="463"/>
      <c r="B202" s="1484" t="s">
        <v>938</v>
      </c>
      <c r="C202" s="1486"/>
      <c r="D202" s="1502" t="s">
        <v>688</v>
      </c>
      <c r="E202" s="1504" t="s">
        <v>939</v>
      </c>
      <c r="F202" s="485" t="s">
        <v>940</v>
      </c>
      <c r="G202" s="486"/>
      <c r="H202" s="485" t="s">
        <v>941</v>
      </c>
      <c r="I202" s="486"/>
      <c r="J202" s="487" t="s">
        <v>942</v>
      </c>
      <c r="K202" s="471"/>
    </row>
    <row r="203" spans="1:11">
      <c r="A203" s="463"/>
      <c r="B203" s="1500"/>
      <c r="C203" s="1501"/>
      <c r="D203" s="1503"/>
      <c r="E203" s="1505"/>
      <c r="F203" s="488" t="s">
        <v>943</v>
      </c>
      <c r="G203" s="488" t="s">
        <v>944</v>
      </c>
      <c r="H203" s="488" t="s">
        <v>943</v>
      </c>
      <c r="I203" s="489" t="s">
        <v>944</v>
      </c>
      <c r="J203" s="490" t="s">
        <v>945</v>
      </c>
      <c r="K203" s="471"/>
    </row>
    <row r="204" spans="1:11">
      <c r="A204" s="463"/>
      <c r="B204" s="499" t="s">
        <v>659</v>
      </c>
      <c r="C204" s="500"/>
      <c r="D204" s="501"/>
      <c r="E204" s="502"/>
      <c r="F204" s="502">
        <v>1</v>
      </c>
      <c r="G204" s="502">
        <f>1-F204</f>
        <v>0</v>
      </c>
      <c r="H204" s="503">
        <f>VLOOKUP(B204,EQUIPAMENTOS!$A:$J,10,FALSE)</f>
        <v>10</v>
      </c>
      <c r="I204" s="504">
        <f>H204</f>
        <v>10</v>
      </c>
      <c r="J204" s="505">
        <f>H204*F204*E204+I204*G204*E204</f>
        <v>0</v>
      </c>
      <c r="K204" s="471"/>
    </row>
    <row r="205" spans="1:11">
      <c r="A205" s="463"/>
      <c r="B205" s="499" t="s">
        <v>651</v>
      </c>
      <c r="C205" s="500"/>
      <c r="D205" s="501"/>
      <c r="E205" s="502">
        <v>0.5</v>
      </c>
      <c r="F205" s="502">
        <v>1</v>
      </c>
      <c r="G205" s="502">
        <f>1-F205</f>
        <v>0</v>
      </c>
      <c r="H205" s="503">
        <f>VLOOKUP(B205,EQUIPAMENTOS!$A:$J,10,FALSE)</f>
        <v>63.777777777777779</v>
      </c>
      <c r="I205" s="504">
        <f>H205</f>
        <v>63.777777777777779</v>
      </c>
      <c r="J205" s="505">
        <f>H205*F205*E205+I205*G205*E205</f>
        <v>31.888888888888889</v>
      </c>
      <c r="K205" s="471"/>
    </row>
    <row r="206" spans="1:11">
      <c r="A206" s="463"/>
      <c r="B206" s="499"/>
      <c r="C206" s="500"/>
      <c r="D206" s="501"/>
      <c r="E206" s="502"/>
      <c r="F206" s="502"/>
      <c r="G206" s="502"/>
      <c r="H206" s="503"/>
      <c r="I206" s="504"/>
      <c r="J206" s="505">
        <f>H206*F206*E206+I206*G206*E206</f>
        <v>0</v>
      </c>
      <c r="K206" s="471"/>
    </row>
    <row r="207" spans="1:11">
      <c r="A207" s="463"/>
      <c r="B207" s="499"/>
      <c r="C207" s="500"/>
      <c r="D207" s="501"/>
      <c r="E207" s="502"/>
      <c r="F207" s="502"/>
      <c r="G207" s="502"/>
      <c r="H207" s="503"/>
      <c r="I207" s="504"/>
      <c r="J207" s="505">
        <f>H207*F207*E207+I207*G207*E207</f>
        <v>0</v>
      </c>
      <c r="K207" s="471"/>
    </row>
    <row r="208" spans="1:11">
      <c r="A208" s="463"/>
      <c r="B208" s="506"/>
      <c r="C208" s="507"/>
      <c r="D208" s="508"/>
      <c r="E208" s="509"/>
      <c r="F208" s="509"/>
      <c r="G208" s="509"/>
      <c r="H208" s="510"/>
      <c r="I208" s="511"/>
      <c r="J208" s="505">
        <f>H208*F208*E208+I208*G208*E208</f>
        <v>0</v>
      </c>
      <c r="K208" s="471"/>
    </row>
    <row r="209" spans="1:11">
      <c r="A209" s="463"/>
      <c r="B209" s="512" t="s">
        <v>946</v>
      </c>
      <c r="C209" s="482"/>
      <c r="D209" s="482"/>
      <c r="E209" s="482"/>
      <c r="F209" s="482"/>
      <c r="G209" s="482"/>
      <c r="H209" s="482"/>
      <c r="I209" s="513" t="s">
        <v>175</v>
      </c>
      <c r="J209" s="514">
        <f>SUM(J204:J208)</f>
        <v>31.888888888888889</v>
      </c>
      <c r="K209" s="471"/>
    </row>
    <row r="210" spans="1:11">
      <c r="A210" s="463"/>
      <c r="B210" s="515"/>
      <c r="C210" s="515"/>
      <c r="D210" s="515"/>
      <c r="E210" s="515"/>
      <c r="F210" s="515"/>
      <c r="G210" s="515"/>
      <c r="H210" s="515"/>
      <c r="I210" s="516"/>
      <c r="J210" s="517"/>
      <c r="K210" s="471"/>
    </row>
    <row r="211" spans="1:11" ht="20.399999999999999">
      <c r="A211" s="463"/>
      <c r="B211" s="1490" t="s">
        <v>947</v>
      </c>
      <c r="C211" s="1491"/>
      <c r="D211" s="1491"/>
      <c r="E211" s="1492"/>
      <c r="F211" s="518" t="s">
        <v>688</v>
      </c>
      <c r="G211" s="519"/>
      <c r="H211" s="520" t="s">
        <v>427</v>
      </c>
      <c r="I211" s="521" t="s">
        <v>948</v>
      </c>
      <c r="J211" s="522" t="s">
        <v>949</v>
      </c>
      <c r="K211" s="471"/>
    </row>
    <row r="212" spans="1:11">
      <c r="A212" s="463"/>
      <c r="B212" s="523"/>
      <c r="C212" s="524"/>
      <c r="D212" s="525"/>
      <c r="E212" s="526"/>
      <c r="F212" s="527"/>
      <c r="G212" s="528"/>
      <c r="H212" s="529"/>
      <c r="I212" s="497"/>
      <c r="J212" s="498"/>
      <c r="K212" s="471"/>
    </row>
    <row r="213" spans="1:11">
      <c r="A213" s="463"/>
      <c r="B213" s="530" t="s">
        <v>1000</v>
      </c>
      <c r="C213" s="531"/>
      <c r="D213" s="472"/>
      <c r="E213" s="500"/>
      <c r="F213" s="501"/>
      <c r="G213" s="532"/>
      <c r="H213" s="533">
        <v>1</v>
      </c>
      <c r="I213" s="534">
        <f>VLOOKUP(B213,'MÃO DE OBRA'!$A:$E,5,FALSE)/220</f>
        <v>19.055000000000003</v>
      </c>
      <c r="J213" s="505">
        <f>H213*I213</f>
        <v>19.055000000000003</v>
      </c>
      <c r="K213" s="471"/>
    </row>
    <row r="214" spans="1:11">
      <c r="A214" s="463"/>
      <c r="B214" s="530" t="s">
        <v>472</v>
      </c>
      <c r="C214" s="531"/>
      <c r="D214" s="472"/>
      <c r="E214" s="500"/>
      <c r="F214" s="501"/>
      <c r="G214" s="532"/>
      <c r="H214" s="533">
        <v>3</v>
      </c>
      <c r="I214" s="534">
        <f>VLOOKUP(B214,'MÃO DE OBRA'!$A:$E,5,FALSE)/220</f>
        <v>18.377072727272729</v>
      </c>
      <c r="J214" s="505">
        <f>H214*I214</f>
        <v>55.131218181818184</v>
      </c>
      <c r="K214" s="471"/>
    </row>
    <row r="215" spans="1:11">
      <c r="A215" s="463"/>
      <c r="B215" s="530" t="s">
        <v>1053</v>
      </c>
      <c r="C215" s="531"/>
      <c r="D215" s="472"/>
      <c r="E215" s="500"/>
      <c r="F215" s="501"/>
      <c r="G215" s="532"/>
      <c r="H215" s="533">
        <f>E205</f>
        <v>0.5</v>
      </c>
      <c r="I215" s="534">
        <f>VLOOKUP(B215,'MÃO DE OBRA'!$A:$E,5,FALSE)/220</f>
        <v>26.3474</v>
      </c>
      <c r="J215" s="505">
        <f>H215*I215</f>
        <v>13.1737</v>
      </c>
      <c r="K215" s="471"/>
    </row>
    <row r="216" spans="1:11">
      <c r="A216" s="463"/>
      <c r="B216" s="530"/>
      <c r="C216" s="531"/>
      <c r="D216" s="472"/>
      <c r="E216" s="500"/>
      <c r="F216" s="501"/>
      <c r="G216" s="532"/>
      <c r="H216" s="533"/>
      <c r="I216" s="504"/>
      <c r="J216" s="505"/>
      <c r="K216" s="471"/>
    </row>
    <row r="217" spans="1:11">
      <c r="A217" s="463"/>
      <c r="B217" s="530"/>
      <c r="C217" s="531"/>
      <c r="D217" s="472"/>
      <c r="E217" s="500"/>
      <c r="F217" s="501"/>
      <c r="G217" s="532"/>
      <c r="H217" s="533"/>
      <c r="I217" s="504"/>
      <c r="J217" s="505">
        <f>H217*I217</f>
        <v>0</v>
      </c>
      <c r="K217" s="471"/>
    </row>
    <row r="218" spans="1:11">
      <c r="A218" s="463"/>
      <c r="B218" s="512" t="s">
        <v>946</v>
      </c>
      <c r="C218" s="515"/>
      <c r="D218" s="515"/>
      <c r="E218" s="515"/>
      <c r="F218" s="515"/>
      <c r="G218" s="515"/>
      <c r="H218" s="515"/>
      <c r="I218" s="535" t="s">
        <v>175</v>
      </c>
      <c r="J218" s="514">
        <f>SUM(J212:J217)</f>
        <v>87.359918181818188</v>
      </c>
      <c r="K218" s="471"/>
    </row>
    <row r="219" spans="1:11">
      <c r="A219" s="463"/>
      <c r="B219" s="536"/>
      <c r="C219" s="536"/>
      <c r="D219" s="536"/>
      <c r="E219" s="536"/>
      <c r="F219" s="536"/>
      <c r="G219" s="536"/>
      <c r="H219" s="536"/>
      <c r="I219" s="537"/>
      <c r="J219" s="536"/>
      <c r="K219" s="471"/>
    </row>
    <row r="220" spans="1:11">
      <c r="A220" s="463"/>
      <c r="B220" s="538" t="s">
        <v>952</v>
      </c>
      <c r="C220" s="539"/>
      <c r="D220" s="536"/>
      <c r="E220" s="540" t="e">
        <f>PRODUÇÕES!#REF!</f>
        <v>#REF!</v>
      </c>
      <c r="F220" s="541" t="s">
        <v>225</v>
      </c>
      <c r="G220" s="519"/>
      <c r="H220" s="519"/>
      <c r="I220" s="542" t="s">
        <v>953</v>
      </c>
      <c r="J220" s="514">
        <f>J209+J218</f>
        <v>119.24880707070707</v>
      </c>
      <c r="K220" s="471"/>
    </row>
    <row r="221" spans="1:11">
      <c r="A221" s="463"/>
      <c r="B221" s="543"/>
      <c r="C221" s="536"/>
      <c r="D221" s="536"/>
      <c r="E221" s="544"/>
      <c r="F221" s="545"/>
      <c r="G221" s="545"/>
      <c r="H221" s="545"/>
      <c r="I221" s="537"/>
      <c r="J221" s="536"/>
      <c r="K221" s="471"/>
    </row>
    <row r="222" spans="1:11" ht="20.399999999999999">
      <c r="A222" s="463"/>
      <c r="B222" s="1493" t="s">
        <v>362</v>
      </c>
      <c r="C222" s="1494"/>
      <c r="D222" s="1494"/>
      <c r="E222" s="1495"/>
      <c r="F222" s="546" t="s">
        <v>688</v>
      </c>
      <c r="G222" s="547" t="s">
        <v>371</v>
      </c>
      <c r="H222" s="520" t="s">
        <v>942</v>
      </c>
      <c r="I222" s="548" t="s">
        <v>361</v>
      </c>
      <c r="J222" s="549" t="s">
        <v>363</v>
      </c>
      <c r="K222" s="471"/>
    </row>
    <row r="223" spans="1:11">
      <c r="A223" s="463"/>
      <c r="B223" s="550" t="str">
        <f>B204</f>
        <v>Sapo compactador</v>
      </c>
      <c r="C223" s="531"/>
      <c r="D223" s="531"/>
      <c r="E223" s="500"/>
      <c r="F223" s="553" t="str">
        <f>VLOOKUP(B223,EQUIPAMENTOS!$A:$N,12,FALSE)</f>
        <v>Gasolina</v>
      </c>
      <c r="G223" s="554" t="s">
        <v>415</v>
      </c>
      <c r="H223" s="560">
        <f>VLOOKUP(B223,EQUIPAMENTOS!$A:$N,13,FALSE)</f>
        <v>6.59</v>
      </c>
      <c r="I223" s="556">
        <f>VLOOKUP(B223,EQUIPAMENTOS!$A:$N,14,FALSE)</f>
        <v>3</v>
      </c>
      <c r="J223" s="505">
        <f>H223*I223*E204*F204</f>
        <v>0</v>
      </c>
      <c r="K223" s="471"/>
    </row>
    <row r="224" spans="1:11">
      <c r="A224" s="463"/>
      <c r="B224" s="550" t="str">
        <f>B205</f>
        <v>Retroescavadeira</v>
      </c>
      <c r="C224" s="531"/>
      <c r="D224" s="531"/>
      <c r="E224" s="500"/>
      <c r="F224" s="553" t="str">
        <f>VLOOKUP(B224,EQUIPAMENTOS!$A:$N,12,FALSE)</f>
        <v>Diesel S10</v>
      </c>
      <c r="G224" s="554" t="s">
        <v>415</v>
      </c>
      <c r="H224" s="560">
        <f>VLOOKUP(B224,EQUIPAMENTOS!$A:$N,13,FALSE)</f>
        <v>0</v>
      </c>
      <c r="I224" s="556">
        <f>VLOOKUP(B224,EQUIPAMENTOS!$A:$N,14,FALSE)</f>
        <v>16</v>
      </c>
      <c r="J224" s="505">
        <f>H224*I224*E205*F205</f>
        <v>0</v>
      </c>
      <c r="K224" s="471"/>
    </row>
    <row r="225" spans="1:12">
      <c r="A225" s="463"/>
      <c r="B225" s="530"/>
      <c r="C225" s="531"/>
      <c r="D225" s="531"/>
      <c r="E225" s="500"/>
      <c r="F225" s="501"/>
      <c r="G225" s="559"/>
      <c r="H225" s="560"/>
      <c r="I225" s="556"/>
      <c r="J225" s="505">
        <f>H225*I225*E206*F206</f>
        <v>0</v>
      </c>
      <c r="K225" s="471"/>
    </row>
    <row r="226" spans="1:12">
      <c r="A226" s="463"/>
      <c r="B226" s="530"/>
      <c r="C226" s="539"/>
      <c r="D226" s="539"/>
      <c r="E226" s="507"/>
      <c r="F226" s="501"/>
      <c r="G226" s="481"/>
      <c r="H226" s="560"/>
      <c r="I226" s="561"/>
      <c r="J226" s="505">
        <f>H226*I226*E207*F207</f>
        <v>0</v>
      </c>
      <c r="K226" s="471"/>
    </row>
    <row r="227" spans="1:12">
      <c r="A227" s="463"/>
      <c r="B227" s="563" t="s">
        <v>946</v>
      </c>
      <c r="C227" s="539"/>
      <c r="D227" s="539"/>
      <c r="E227" s="539"/>
      <c r="F227" s="536"/>
      <c r="G227" s="539"/>
      <c r="H227" s="564"/>
      <c r="I227" s="565" t="s">
        <v>175</v>
      </c>
      <c r="J227" s="514">
        <f>SUM(J223:J226)</f>
        <v>0</v>
      </c>
      <c r="K227" s="471"/>
      <c r="L227" s="6" t="e">
        <f>J227/E220</f>
        <v>#REF!</v>
      </c>
    </row>
    <row r="228" spans="1:12">
      <c r="A228" s="463"/>
      <c r="B228" s="566"/>
      <c r="C228" s="539"/>
      <c r="D228" s="539"/>
      <c r="E228" s="567"/>
      <c r="F228" s="568"/>
      <c r="G228" s="519"/>
      <c r="H228" s="519"/>
      <c r="I228" s="542"/>
      <c r="J228" s="567"/>
      <c r="K228" s="471"/>
    </row>
    <row r="229" spans="1:12" ht="20.399999999999999">
      <c r="A229" s="463"/>
      <c r="B229" s="1493" t="s">
        <v>955</v>
      </c>
      <c r="C229" s="1494"/>
      <c r="D229" s="1494"/>
      <c r="E229" s="1494"/>
      <c r="F229" s="1495"/>
      <c r="G229" s="569" t="s">
        <v>372</v>
      </c>
      <c r="H229" s="519" t="s">
        <v>956</v>
      </c>
      <c r="I229" s="570" t="s">
        <v>942</v>
      </c>
      <c r="J229" s="522" t="s">
        <v>363</v>
      </c>
      <c r="K229" s="471"/>
    </row>
    <row r="230" spans="1:12">
      <c r="A230" s="463"/>
      <c r="B230" s="571"/>
      <c r="C230" s="572"/>
      <c r="D230" s="573"/>
      <c r="E230" s="573"/>
      <c r="F230" s="574"/>
      <c r="G230" s="502"/>
      <c r="H230" s="502"/>
      <c r="I230" s="575"/>
      <c r="J230" s="505"/>
      <c r="K230" s="471"/>
    </row>
    <row r="231" spans="1:12">
      <c r="A231" s="463"/>
      <c r="B231" s="576"/>
      <c r="C231" s="577"/>
      <c r="D231" s="578"/>
      <c r="E231" s="578"/>
      <c r="F231" s="579"/>
      <c r="G231" s="502"/>
      <c r="H231" s="502"/>
      <c r="I231" s="575"/>
      <c r="J231" s="505"/>
      <c r="K231" s="471"/>
    </row>
    <row r="232" spans="1:12">
      <c r="A232" s="463"/>
      <c r="B232" s="1496" t="s">
        <v>175</v>
      </c>
      <c r="C232" s="1496"/>
      <c r="D232" s="1496"/>
      <c r="E232" s="1496"/>
      <c r="F232" s="1496"/>
      <c r="G232" s="1496"/>
      <c r="H232" s="1496"/>
      <c r="I232" s="1496"/>
      <c r="J232" s="514">
        <f>SUM(J230:J231)</f>
        <v>0</v>
      </c>
      <c r="K232" s="471"/>
    </row>
    <row r="233" spans="1:12">
      <c r="A233" s="463"/>
      <c r="B233" s="580"/>
      <c r="C233" s="524"/>
      <c r="D233" s="524"/>
      <c r="E233" s="581"/>
      <c r="F233" s="582"/>
      <c r="G233" s="583"/>
      <c r="H233" s="583"/>
      <c r="I233" s="584"/>
      <c r="J233" s="585"/>
      <c r="K233" s="471"/>
    </row>
    <row r="234" spans="1:12">
      <c r="A234" s="463"/>
      <c r="B234" s="586" t="s">
        <v>957</v>
      </c>
      <c r="C234" s="586"/>
      <c r="D234" s="563"/>
      <c r="E234" s="536"/>
      <c r="F234" s="536"/>
      <c r="G234" s="536"/>
      <c r="H234" s="587"/>
      <c r="I234" s="588"/>
      <c r="J234" s="647" t="e">
        <f>(J220+J227+J232)/E220</f>
        <v>#REF!</v>
      </c>
      <c r="K234" s="471"/>
    </row>
    <row r="235" spans="1:12">
      <c r="A235" s="463"/>
      <c r="B235" s="566"/>
      <c r="C235" s="539"/>
      <c r="D235" s="539"/>
      <c r="E235" s="567"/>
      <c r="F235" s="568"/>
      <c r="G235" s="519"/>
      <c r="H235" s="519"/>
      <c r="I235" s="542"/>
      <c r="J235" s="589"/>
      <c r="K235" s="471"/>
    </row>
    <row r="236" spans="1:12" ht="20.399999999999999">
      <c r="A236" s="463"/>
      <c r="B236" s="1493" t="s">
        <v>958</v>
      </c>
      <c r="C236" s="1494"/>
      <c r="D236" s="1494"/>
      <c r="E236" s="1494"/>
      <c r="F236" s="1495"/>
      <c r="G236" s="569" t="s">
        <v>372</v>
      </c>
      <c r="H236" s="519" t="s">
        <v>956</v>
      </c>
      <c r="I236" s="570" t="s">
        <v>942</v>
      </c>
      <c r="J236" s="522" t="s">
        <v>363</v>
      </c>
      <c r="K236" s="471"/>
    </row>
    <row r="237" spans="1:12">
      <c r="A237" s="463"/>
      <c r="B237" s="571" t="s">
        <v>1013</v>
      </c>
      <c r="C237" s="572"/>
      <c r="D237" s="573"/>
      <c r="E237" s="573"/>
      <c r="F237" s="574"/>
      <c r="G237" s="502">
        <v>1.05</v>
      </c>
      <c r="H237" s="502" t="s">
        <v>225</v>
      </c>
      <c r="I237" s="575"/>
      <c r="J237" s="505">
        <f>G237*I237</f>
        <v>0</v>
      </c>
      <c r="K237" s="471"/>
    </row>
    <row r="238" spans="1:12">
      <c r="A238" s="463"/>
      <c r="B238" s="576" t="s">
        <v>1002</v>
      </c>
      <c r="C238" s="577"/>
      <c r="D238" s="578"/>
      <c r="E238" s="578"/>
      <c r="F238" s="579"/>
      <c r="G238" s="502">
        <v>0.05</v>
      </c>
      <c r="H238" s="502" t="s">
        <v>990</v>
      </c>
      <c r="I238" s="575">
        <v>10</v>
      </c>
      <c r="J238" s="505">
        <f>G238*I238</f>
        <v>0.5</v>
      </c>
      <c r="K238" s="471"/>
    </row>
    <row r="239" spans="1:12">
      <c r="A239" s="463"/>
      <c r="B239" s="576"/>
      <c r="C239" s="577"/>
      <c r="D239" s="578"/>
      <c r="E239" s="578"/>
      <c r="F239" s="579"/>
      <c r="G239" s="502"/>
      <c r="H239" s="502"/>
      <c r="I239" s="575"/>
      <c r="J239" s="505"/>
      <c r="K239" s="471"/>
    </row>
    <row r="240" spans="1:12">
      <c r="A240" s="463"/>
      <c r="B240" s="590"/>
      <c r="C240" s="591"/>
      <c r="D240" s="592"/>
      <c r="E240" s="592"/>
      <c r="F240" s="593"/>
      <c r="G240" s="502"/>
      <c r="H240" s="502"/>
      <c r="I240" s="575"/>
      <c r="J240" s="505">
        <f>G240*I240</f>
        <v>0</v>
      </c>
      <c r="K240" s="471"/>
    </row>
    <row r="241" spans="1:11">
      <c r="A241" s="463"/>
      <c r="B241" s="594"/>
      <c r="C241" s="536"/>
      <c r="D241" s="536"/>
      <c r="E241" s="595"/>
      <c r="F241" s="596"/>
      <c r="G241" s="545"/>
      <c r="H241" s="545"/>
      <c r="I241" s="537" t="s">
        <v>175</v>
      </c>
      <c r="J241" s="514">
        <f>SUM(J237:J240)</f>
        <v>0.5</v>
      </c>
      <c r="K241" s="471"/>
    </row>
    <row r="242" spans="1:11">
      <c r="A242" s="463"/>
      <c r="B242" s="597"/>
      <c r="C242" s="536"/>
      <c r="D242" s="536"/>
      <c r="E242" s="595"/>
      <c r="F242" s="596"/>
      <c r="G242" s="545"/>
      <c r="H242" s="545"/>
      <c r="I242" s="537"/>
      <c r="J242" s="595"/>
      <c r="K242" s="471"/>
    </row>
    <row r="243" spans="1:11" ht="20.399999999999999">
      <c r="A243" s="463"/>
      <c r="B243" s="1493" t="s">
        <v>959</v>
      </c>
      <c r="C243" s="1494"/>
      <c r="D243" s="1494"/>
      <c r="E243" s="1494"/>
      <c r="F243" s="1495"/>
      <c r="G243" s="600" t="s">
        <v>372</v>
      </c>
      <c r="H243" s="519" t="s">
        <v>942</v>
      </c>
      <c r="I243" s="570"/>
      <c r="J243" s="522" t="s">
        <v>363</v>
      </c>
      <c r="K243" s="471"/>
    </row>
    <row r="244" spans="1:11">
      <c r="A244" s="463"/>
      <c r="B244" s="1734"/>
      <c r="C244" s="1735"/>
      <c r="D244" s="1735"/>
      <c r="E244" s="1735"/>
      <c r="F244" s="1736"/>
      <c r="G244" s="502"/>
      <c r="H244" s="1737"/>
      <c r="I244" s="1738"/>
      <c r="J244" s="505"/>
      <c r="K244" s="471"/>
    </row>
    <row r="245" spans="1:11">
      <c r="A245" s="463"/>
      <c r="B245" s="1739"/>
      <c r="C245" s="1740"/>
      <c r="D245" s="1740"/>
      <c r="E245" s="1740"/>
      <c r="F245" s="1741"/>
      <c r="G245" s="509"/>
      <c r="H245" s="1742"/>
      <c r="I245" s="1743"/>
      <c r="J245" s="505"/>
      <c r="K245" s="471"/>
    </row>
    <row r="246" spans="1:11">
      <c r="A246" s="463"/>
      <c r="B246" s="594"/>
      <c r="C246" s="536"/>
      <c r="D246" s="536"/>
      <c r="E246" s="595"/>
      <c r="F246" s="596"/>
      <c r="G246" s="545"/>
      <c r="H246" s="545"/>
      <c r="I246" s="537" t="s">
        <v>175</v>
      </c>
      <c r="J246" s="514">
        <f>SUM(J244:J245)</f>
        <v>0</v>
      </c>
      <c r="K246" s="471"/>
    </row>
    <row r="247" spans="1:11">
      <c r="A247" s="463"/>
      <c r="B247" s="536"/>
      <c r="C247" s="536"/>
      <c r="D247" s="536"/>
      <c r="E247" s="536"/>
      <c r="F247" s="536"/>
      <c r="G247" s="536"/>
      <c r="H247" s="536"/>
      <c r="I247" s="537"/>
      <c r="J247" s="536"/>
      <c r="K247" s="471"/>
    </row>
    <row r="248" spans="1:11">
      <c r="A248" s="463"/>
      <c r="B248" s="1481" t="s">
        <v>961</v>
      </c>
      <c r="C248" s="1482"/>
      <c r="D248" s="1482"/>
      <c r="E248" s="1482"/>
      <c r="F248" s="1482"/>
      <c r="G248" s="1482"/>
      <c r="H248" s="1482"/>
      <c r="I248" s="1483"/>
      <c r="J248" s="586" t="e">
        <f>J246+J241+J234</f>
        <v>#REF!</v>
      </c>
      <c r="K248" s="471"/>
    </row>
    <row r="249" spans="1:11">
      <c r="A249" s="463"/>
      <c r="B249" s="536"/>
      <c r="C249" s="536"/>
      <c r="D249" s="536"/>
      <c r="E249" s="536"/>
      <c r="F249" s="536"/>
      <c r="G249" s="536"/>
      <c r="H249" s="536"/>
      <c r="I249" s="537"/>
      <c r="J249" s="536"/>
      <c r="K249" s="471"/>
    </row>
    <row r="250" spans="1:11">
      <c r="A250" s="463"/>
      <c r="B250" s="1481" t="s">
        <v>962</v>
      </c>
      <c r="C250" s="1482"/>
      <c r="D250" s="1482"/>
      <c r="E250" s="1482"/>
      <c r="F250" s="1482"/>
      <c r="G250" s="1482"/>
      <c r="H250" s="1482"/>
      <c r="I250" s="1483"/>
      <c r="J250" s="514" t="e">
        <f>J248*0</f>
        <v>#REF!</v>
      </c>
      <c r="K250" s="471"/>
    </row>
    <row r="251" spans="1:11">
      <c r="A251" s="463"/>
      <c r="B251" s="536"/>
      <c r="C251" s="536"/>
      <c r="D251" s="536"/>
      <c r="E251" s="536"/>
      <c r="F251" s="536"/>
      <c r="G251" s="536"/>
      <c r="H251" s="536"/>
      <c r="I251" s="537"/>
      <c r="J251" s="536"/>
      <c r="K251" s="471"/>
    </row>
    <row r="252" spans="1:11">
      <c r="A252" s="463"/>
      <c r="B252" s="1481" t="s">
        <v>963</v>
      </c>
      <c r="C252" s="1482"/>
      <c r="D252" s="1482"/>
      <c r="E252" s="1482"/>
      <c r="F252" s="1482"/>
      <c r="G252" s="1482"/>
      <c r="H252" s="1482"/>
      <c r="I252" s="1483"/>
      <c r="J252" s="586" t="e">
        <f>J248+J250</f>
        <v>#REF!</v>
      </c>
      <c r="K252" s="471"/>
    </row>
    <row r="253" spans="1:11">
      <c r="A253" s="463"/>
      <c r="B253" s="524"/>
      <c r="C253" s="524"/>
      <c r="D253" s="524"/>
      <c r="E253" s="524"/>
      <c r="F253" s="524"/>
      <c r="G253" s="524"/>
      <c r="H253" s="524"/>
      <c r="I253" s="584"/>
      <c r="J253" s="524"/>
      <c r="K253" s="471"/>
    </row>
    <row r="254" spans="1:11">
      <c r="A254" s="463"/>
      <c r="B254" s="602"/>
      <c r="C254" s="572"/>
      <c r="D254" s="572"/>
      <c r="E254" s="572"/>
      <c r="F254" s="572"/>
      <c r="G254" s="572"/>
      <c r="H254" s="572"/>
      <c r="I254" s="572"/>
      <c r="J254" s="603"/>
      <c r="K254" s="471"/>
    </row>
    <row r="255" spans="1:11">
      <c r="A255" s="463"/>
      <c r="B255" s="604"/>
      <c r="C255" s="605"/>
      <c r="D255" s="606"/>
      <c r="E255" s="606"/>
      <c r="F255" s="607" t="s">
        <v>946</v>
      </c>
      <c r="G255" s="608" t="s">
        <v>946</v>
      </c>
      <c r="H255" s="605"/>
      <c r="I255" s="605"/>
      <c r="J255" s="609"/>
      <c r="K255" s="471"/>
    </row>
    <row r="256" spans="1:11">
      <c r="A256" s="463"/>
      <c r="B256" s="472"/>
      <c r="C256" s="472"/>
      <c r="D256" s="472"/>
      <c r="E256" s="472"/>
      <c r="F256" s="472"/>
      <c r="G256" s="472"/>
      <c r="H256" s="472"/>
      <c r="I256" s="472"/>
      <c r="J256" s="472"/>
      <c r="K256" s="471"/>
    </row>
    <row r="257" spans="1:11">
      <c r="A257" s="463"/>
      <c r="B257" s="610" t="str">
        <f>PLANEJAMENTO!$F$2</f>
        <v>OPERAÇÃO DE SUPRESSÃO E SUMP</v>
      </c>
      <c r="C257" s="611"/>
      <c r="D257" s="611"/>
      <c r="E257" s="611"/>
      <c r="F257" s="612"/>
      <c r="G257" s="613" t="s">
        <v>363</v>
      </c>
      <c r="H257" s="515"/>
      <c r="I257" s="515"/>
      <c r="J257" s="518"/>
      <c r="K257" s="471"/>
    </row>
    <row r="258" spans="1:11">
      <c r="A258" s="463"/>
      <c r="B258" s="614" t="str">
        <f>PLANEJAMENTO!$F$3</f>
        <v>MARA ROSA</v>
      </c>
      <c r="C258" s="615"/>
      <c r="D258" s="615"/>
      <c r="E258" s="615"/>
      <c r="F258" s="616"/>
      <c r="G258" s="1484" t="s">
        <v>964</v>
      </c>
      <c r="H258" s="1485"/>
      <c r="I258" s="1485"/>
      <c r="J258" s="1486"/>
      <c r="K258" s="471"/>
    </row>
    <row r="259" spans="1:11">
      <c r="A259" s="463"/>
      <c r="B259" s="617"/>
      <c r="C259" s="618"/>
      <c r="D259" s="618"/>
      <c r="E259" s="618"/>
      <c r="F259" s="619"/>
      <c r="G259" s="620"/>
      <c r="H259" s="1487"/>
      <c r="I259" s="1488"/>
      <c r="J259" s="1489"/>
      <c r="K259" s="471"/>
    </row>
    <row r="260" spans="1:11" ht="15" thickBot="1">
      <c r="A260" s="621"/>
      <c r="B260" s="622"/>
      <c r="C260" s="622"/>
      <c r="D260" s="622"/>
      <c r="E260" s="622"/>
      <c r="F260" s="622"/>
      <c r="G260" s="622"/>
      <c r="H260" s="622"/>
      <c r="I260" s="622"/>
      <c r="J260" s="622"/>
      <c r="K260" s="623"/>
    </row>
    <row r="261" spans="1:11" hidden="1">
      <c r="A261" s="460"/>
      <c r="B261" s="461"/>
      <c r="C261" s="461"/>
      <c r="D261" s="461"/>
      <c r="E261" s="461"/>
      <c r="F261" s="461"/>
      <c r="G261" s="461"/>
      <c r="H261" s="461"/>
      <c r="I261" s="461"/>
      <c r="J261" s="461"/>
      <c r="K261" s="462"/>
    </row>
    <row r="262" spans="1:11" hidden="1">
      <c r="A262" s="463"/>
      <c r="B262" s="464" t="s">
        <v>178</v>
      </c>
      <c r="C262" s="465"/>
      <c r="D262" s="466" t="s">
        <v>936</v>
      </c>
      <c r="E262" s="467"/>
      <c r="F262" s="468"/>
      <c r="G262" s="468"/>
      <c r="H262" s="469"/>
      <c r="I262" s="469"/>
      <c r="J262" s="470"/>
      <c r="K262" s="471"/>
    </row>
    <row r="263" spans="1:11" hidden="1">
      <c r="A263" s="463"/>
      <c r="B263" s="472"/>
      <c r="C263" s="472"/>
      <c r="D263" s="472"/>
      <c r="E263" s="472"/>
      <c r="F263" s="472"/>
      <c r="G263" s="472"/>
      <c r="H263" s="472"/>
      <c r="I263" s="472"/>
      <c r="J263" s="472"/>
      <c r="K263" s="471"/>
    </row>
    <row r="264" spans="1:11" hidden="1">
      <c r="A264" s="463"/>
      <c r="B264" s="473" t="s">
        <v>688</v>
      </c>
      <c r="C264" s="474" t="s">
        <v>937</v>
      </c>
      <c r="D264" s="1497" t="s">
        <v>250</v>
      </c>
      <c r="E264" s="1498"/>
      <c r="F264" s="1498"/>
      <c r="G264" s="1498"/>
      <c r="H264" s="1498"/>
      <c r="I264" s="1499"/>
      <c r="J264" s="475" t="s">
        <v>267</v>
      </c>
      <c r="K264" s="471"/>
    </row>
    <row r="265" spans="1:11" ht="22.5" hidden="1" customHeight="1">
      <c r="A265" s="463"/>
      <c r="B265" s="476" t="s">
        <v>3</v>
      </c>
      <c r="C265" s="477">
        <f ca="1">PLANEJAMENTO!$F$4</f>
        <v>46140</v>
      </c>
      <c r="D265" s="1721" t="s">
        <v>1014</v>
      </c>
      <c r="E265" s="1722"/>
      <c r="F265" s="1722"/>
      <c r="G265" s="1722"/>
      <c r="H265" s="1722"/>
      <c r="I265" s="1723"/>
      <c r="J265" s="481" t="str">
        <f>F285</f>
        <v>m</v>
      </c>
      <c r="K265" s="471"/>
    </row>
    <row r="266" spans="1:11" hidden="1">
      <c r="A266" s="463"/>
      <c r="B266" s="482"/>
      <c r="C266" s="482"/>
      <c r="D266" s="482"/>
      <c r="E266" s="482"/>
      <c r="F266" s="482"/>
      <c r="G266" s="482"/>
      <c r="H266" s="482"/>
      <c r="I266" s="483"/>
      <c r="J266" s="484"/>
      <c r="K266" s="471"/>
    </row>
    <row r="267" spans="1:11" hidden="1">
      <c r="A267" s="463"/>
      <c r="B267" s="1484" t="s">
        <v>938</v>
      </c>
      <c r="C267" s="1486"/>
      <c r="D267" s="1502" t="s">
        <v>688</v>
      </c>
      <c r="E267" s="1504" t="s">
        <v>939</v>
      </c>
      <c r="F267" s="485" t="s">
        <v>940</v>
      </c>
      <c r="G267" s="486"/>
      <c r="H267" s="485" t="s">
        <v>941</v>
      </c>
      <c r="I267" s="486"/>
      <c r="J267" s="487" t="s">
        <v>942</v>
      </c>
      <c r="K267" s="471"/>
    </row>
    <row r="268" spans="1:11" hidden="1">
      <c r="A268" s="463"/>
      <c r="B268" s="1500"/>
      <c r="C268" s="1501"/>
      <c r="D268" s="1503"/>
      <c r="E268" s="1505"/>
      <c r="F268" s="488" t="s">
        <v>943</v>
      </c>
      <c r="G268" s="488" t="s">
        <v>944</v>
      </c>
      <c r="H268" s="488" t="s">
        <v>943</v>
      </c>
      <c r="I268" s="489" t="s">
        <v>944</v>
      </c>
      <c r="J268" s="490" t="s">
        <v>945</v>
      </c>
      <c r="K268" s="471"/>
    </row>
    <row r="269" spans="1:11" hidden="1">
      <c r="A269" s="463"/>
      <c r="B269" s="499" t="s">
        <v>659</v>
      </c>
      <c r="C269" s="500"/>
      <c r="D269" s="501"/>
      <c r="E269" s="502">
        <v>1</v>
      </c>
      <c r="F269" s="502">
        <v>1</v>
      </c>
      <c r="G269" s="502">
        <f>1-F269</f>
        <v>0</v>
      </c>
      <c r="H269" s="503">
        <f>VLOOKUP(B269,EQUIPAMENTOS!$A:$J,10,FALSE)</f>
        <v>10</v>
      </c>
      <c r="I269" s="504">
        <f>H269</f>
        <v>10</v>
      </c>
      <c r="J269" s="505">
        <f>H269*F269*E269+I269*G269*E269</f>
        <v>10</v>
      </c>
      <c r="K269" s="471"/>
    </row>
    <row r="270" spans="1:11" hidden="1">
      <c r="A270" s="463"/>
      <c r="B270" s="499"/>
      <c r="C270" s="500"/>
      <c r="D270" s="501"/>
      <c r="E270" s="502"/>
      <c r="F270" s="502"/>
      <c r="G270" s="502"/>
      <c r="H270" s="503"/>
      <c r="I270" s="504"/>
      <c r="J270" s="505"/>
      <c r="K270" s="471"/>
    </row>
    <row r="271" spans="1:11" hidden="1">
      <c r="A271" s="463"/>
      <c r="B271" s="499"/>
      <c r="C271" s="500"/>
      <c r="D271" s="501"/>
      <c r="E271" s="502"/>
      <c r="F271" s="502"/>
      <c r="G271" s="502"/>
      <c r="H271" s="503"/>
      <c r="I271" s="504"/>
      <c r="J271" s="505">
        <f>H271*F271*E271+I271*G271*E271</f>
        <v>0</v>
      </c>
      <c r="K271" s="471"/>
    </row>
    <row r="272" spans="1:11" hidden="1">
      <c r="A272" s="463"/>
      <c r="B272" s="499"/>
      <c r="C272" s="500"/>
      <c r="D272" s="501"/>
      <c r="E272" s="502"/>
      <c r="F272" s="502"/>
      <c r="G272" s="502"/>
      <c r="H272" s="503"/>
      <c r="I272" s="504"/>
      <c r="J272" s="505">
        <f>H272*F272*E272+I272*G272*E272</f>
        <v>0</v>
      </c>
      <c r="K272" s="471"/>
    </row>
    <row r="273" spans="1:11" hidden="1">
      <c r="A273" s="463"/>
      <c r="B273" s="506"/>
      <c r="C273" s="507"/>
      <c r="D273" s="508"/>
      <c r="E273" s="509"/>
      <c r="F273" s="509"/>
      <c r="G273" s="509"/>
      <c r="H273" s="510"/>
      <c r="I273" s="511"/>
      <c r="J273" s="505">
        <f>H273*F273*E273+I273*G273*E273</f>
        <v>0</v>
      </c>
      <c r="K273" s="471"/>
    </row>
    <row r="274" spans="1:11" hidden="1">
      <c r="A274" s="463"/>
      <c r="B274" s="512" t="s">
        <v>946</v>
      </c>
      <c r="C274" s="482"/>
      <c r="D274" s="482"/>
      <c r="E274" s="482"/>
      <c r="F274" s="482"/>
      <c r="G274" s="482"/>
      <c r="H274" s="482"/>
      <c r="I274" s="513" t="s">
        <v>175</v>
      </c>
      <c r="J274" s="514">
        <f>SUM(J269:J273)</f>
        <v>10</v>
      </c>
      <c r="K274" s="471"/>
    </row>
    <row r="275" spans="1:11" hidden="1">
      <c r="A275" s="463"/>
      <c r="B275" s="515"/>
      <c r="C275" s="515"/>
      <c r="D275" s="515"/>
      <c r="E275" s="515"/>
      <c r="F275" s="515"/>
      <c r="G275" s="515"/>
      <c r="H275" s="515"/>
      <c r="I275" s="516"/>
      <c r="J275" s="517"/>
      <c r="K275" s="471"/>
    </row>
    <row r="276" spans="1:11" ht="20.399999999999999" hidden="1">
      <c r="A276" s="463"/>
      <c r="B276" s="1490" t="s">
        <v>947</v>
      </c>
      <c r="C276" s="1491"/>
      <c r="D276" s="1491"/>
      <c r="E276" s="1492"/>
      <c r="F276" s="518" t="s">
        <v>688</v>
      </c>
      <c r="G276" s="519"/>
      <c r="H276" s="520" t="s">
        <v>427</v>
      </c>
      <c r="I276" s="521" t="s">
        <v>948</v>
      </c>
      <c r="J276" s="522" t="s">
        <v>949</v>
      </c>
      <c r="K276" s="471"/>
    </row>
    <row r="277" spans="1:11" hidden="1">
      <c r="A277" s="463"/>
      <c r="B277" s="523" t="s">
        <v>980</v>
      </c>
      <c r="C277" s="524"/>
      <c r="D277" s="525"/>
      <c r="E277" s="526"/>
      <c r="F277" s="527"/>
      <c r="G277" s="528"/>
      <c r="H277" s="529"/>
      <c r="I277" s="497"/>
      <c r="J277" s="498">
        <f>SUM(J278:J280)*0.05</f>
        <v>3.7093109090909095</v>
      </c>
      <c r="K277" s="471"/>
    </row>
    <row r="278" spans="1:11" hidden="1">
      <c r="A278" s="463"/>
      <c r="B278" s="530" t="s">
        <v>1000</v>
      </c>
      <c r="C278" s="531"/>
      <c r="D278" s="472"/>
      <c r="E278" s="500"/>
      <c r="F278" s="501"/>
      <c r="G278" s="532"/>
      <c r="H278" s="533">
        <v>1</v>
      </c>
      <c r="I278" s="534">
        <f>VLOOKUP(B278,'MÃO DE OBRA'!$A:$E,5,FALSE)/220</f>
        <v>19.055000000000003</v>
      </c>
      <c r="J278" s="505">
        <f>H278*I278</f>
        <v>19.055000000000003</v>
      </c>
      <c r="K278" s="471"/>
    </row>
    <row r="279" spans="1:11" hidden="1">
      <c r="A279" s="463"/>
      <c r="B279" s="530" t="s">
        <v>472</v>
      </c>
      <c r="C279" s="531"/>
      <c r="D279" s="472"/>
      <c r="E279" s="500"/>
      <c r="F279" s="501"/>
      <c r="G279" s="532"/>
      <c r="H279" s="533">
        <v>3</v>
      </c>
      <c r="I279" s="534">
        <f>VLOOKUP(B279,'MÃO DE OBRA'!$A:$E,5,FALSE)/220</f>
        <v>18.377072727272729</v>
      </c>
      <c r="J279" s="505">
        <f>H279*I279</f>
        <v>55.131218181818184</v>
      </c>
      <c r="K279" s="471"/>
    </row>
    <row r="280" spans="1:11" hidden="1">
      <c r="A280" s="463"/>
      <c r="B280" s="530" t="s">
        <v>479</v>
      </c>
      <c r="C280" s="531"/>
      <c r="D280" s="472"/>
      <c r="E280" s="500"/>
      <c r="F280" s="501"/>
      <c r="G280" s="532"/>
      <c r="H280" s="533"/>
      <c r="I280" s="534">
        <f>VLOOKUP(B280,'MÃO DE OBRA'!$A:$E,5,FALSE)/220</f>
        <v>25.789327272727274</v>
      </c>
      <c r="J280" s="505">
        <f>H280*I280</f>
        <v>0</v>
      </c>
      <c r="K280" s="471"/>
    </row>
    <row r="281" spans="1:11" hidden="1">
      <c r="A281" s="463"/>
      <c r="B281" s="530" t="s">
        <v>981</v>
      </c>
      <c r="C281" s="531"/>
      <c r="D281" s="472"/>
      <c r="E281" s="500"/>
      <c r="F281" s="501"/>
      <c r="G281" s="532"/>
      <c r="H281" s="533"/>
      <c r="I281" s="504"/>
      <c r="J281" s="505"/>
      <c r="K281" s="471"/>
    </row>
    <row r="282" spans="1:11" hidden="1">
      <c r="A282" s="463"/>
      <c r="B282" s="530"/>
      <c r="C282" s="531"/>
      <c r="D282" s="472"/>
      <c r="E282" s="500"/>
      <c r="F282" s="501"/>
      <c r="G282" s="532"/>
      <c r="H282" s="533"/>
      <c r="I282" s="504"/>
      <c r="J282" s="505">
        <f>H282*I282</f>
        <v>0</v>
      </c>
      <c r="K282" s="471"/>
    </row>
    <row r="283" spans="1:11" hidden="1">
      <c r="A283" s="463"/>
      <c r="B283" s="512" t="s">
        <v>946</v>
      </c>
      <c r="C283" s="515"/>
      <c r="D283" s="515"/>
      <c r="E283" s="515"/>
      <c r="F283" s="515"/>
      <c r="G283" s="515"/>
      <c r="H283" s="515"/>
      <c r="I283" s="535" t="s">
        <v>175</v>
      </c>
      <c r="J283" s="514">
        <f>SUM(J277:J282)</f>
        <v>77.895529090909093</v>
      </c>
      <c r="K283" s="471"/>
    </row>
    <row r="284" spans="1:11" hidden="1">
      <c r="A284" s="463"/>
      <c r="B284" s="536"/>
      <c r="C284" s="536"/>
      <c r="D284" s="536"/>
      <c r="E284" s="536"/>
      <c r="F284" s="536"/>
      <c r="G284" s="536"/>
      <c r="H284" s="536"/>
      <c r="I284" s="537"/>
      <c r="J284" s="536"/>
      <c r="K284" s="471"/>
    </row>
    <row r="285" spans="1:11" hidden="1">
      <c r="A285" s="463"/>
      <c r="B285" s="538" t="s">
        <v>952</v>
      </c>
      <c r="C285" s="539"/>
      <c r="D285" s="536"/>
      <c r="E285" s="540" t="e">
        <f>PRODUÇÕES!#REF!</f>
        <v>#REF!</v>
      </c>
      <c r="F285" s="541" t="s">
        <v>225</v>
      </c>
      <c r="G285" s="519"/>
      <c r="H285" s="519"/>
      <c r="I285" s="542" t="s">
        <v>953</v>
      </c>
      <c r="J285" s="514">
        <f>J274+J283</f>
        <v>87.895529090909093</v>
      </c>
      <c r="K285" s="471"/>
    </row>
    <row r="286" spans="1:11" hidden="1">
      <c r="A286" s="463"/>
      <c r="B286" s="543"/>
      <c r="C286" s="536"/>
      <c r="D286" s="536"/>
      <c r="E286" s="544"/>
      <c r="F286" s="545"/>
      <c r="G286" s="545"/>
      <c r="H286" s="545"/>
      <c r="I286" s="537"/>
      <c r="J286" s="536"/>
      <c r="K286" s="471"/>
    </row>
    <row r="287" spans="1:11" ht="20.399999999999999" hidden="1">
      <c r="A287" s="463"/>
      <c r="B287" s="1493" t="s">
        <v>362</v>
      </c>
      <c r="C287" s="1494"/>
      <c r="D287" s="1494"/>
      <c r="E287" s="1495"/>
      <c r="F287" s="546" t="s">
        <v>688</v>
      </c>
      <c r="G287" s="547" t="s">
        <v>371</v>
      </c>
      <c r="H287" s="520" t="s">
        <v>942</v>
      </c>
      <c r="I287" s="548" t="s">
        <v>361</v>
      </c>
      <c r="J287" s="549" t="s">
        <v>363</v>
      </c>
      <c r="K287" s="471"/>
    </row>
    <row r="288" spans="1:11" hidden="1">
      <c r="A288" s="463"/>
      <c r="B288" s="550" t="str">
        <f>B269</f>
        <v>Sapo compactador</v>
      </c>
      <c r="C288" s="531"/>
      <c r="D288" s="531"/>
      <c r="E288" s="500"/>
      <c r="F288" s="553" t="str">
        <f>VLOOKUP(B288,EQUIPAMENTOS!$A:$N,12,FALSE)</f>
        <v>Gasolina</v>
      </c>
      <c r="G288" s="554" t="s">
        <v>415</v>
      </c>
      <c r="H288" s="560">
        <f>VLOOKUP(B288,EQUIPAMENTOS!$A:$N,13,FALSE)</f>
        <v>6.59</v>
      </c>
      <c r="I288" s="556">
        <f>VLOOKUP(B288,EQUIPAMENTOS!$A:$N,14,FALSE)</f>
        <v>3</v>
      </c>
      <c r="J288" s="505">
        <f>H288*I288*E269*F269</f>
        <v>19.77</v>
      </c>
      <c r="K288" s="471"/>
    </row>
    <row r="289" spans="1:11" hidden="1">
      <c r="A289" s="463"/>
      <c r="B289" s="550"/>
      <c r="C289" s="531"/>
      <c r="D289" s="531"/>
      <c r="E289" s="500"/>
      <c r="F289" s="553"/>
      <c r="G289" s="554"/>
      <c r="H289" s="560"/>
      <c r="I289" s="556"/>
      <c r="J289" s="505"/>
      <c r="K289" s="471"/>
    </row>
    <row r="290" spans="1:11" hidden="1">
      <c r="A290" s="463"/>
      <c r="B290" s="530"/>
      <c r="C290" s="531"/>
      <c r="D290" s="531"/>
      <c r="E290" s="500"/>
      <c r="F290" s="501"/>
      <c r="G290" s="559"/>
      <c r="H290" s="560"/>
      <c r="I290" s="556"/>
      <c r="J290" s="505">
        <f>H290*I290*E271*F271</f>
        <v>0</v>
      </c>
      <c r="K290" s="471"/>
    </row>
    <row r="291" spans="1:11" hidden="1">
      <c r="A291" s="463"/>
      <c r="B291" s="530"/>
      <c r="C291" s="539"/>
      <c r="D291" s="539"/>
      <c r="E291" s="507"/>
      <c r="F291" s="501"/>
      <c r="G291" s="481"/>
      <c r="H291" s="560"/>
      <c r="I291" s="561"/>
      <c r="J291" s="505">
        <f>H291*I291*E272*F272</f>
        <v>0</v>
      </c>
      <c r="K291" s="471"/>
    </row>
    <row r="292" spans="1:11" hidden="1">
      <c r="A292" s="463"/>
      <c r="B292" s="563" t="s">
        <v>946</v>
      </c>
      <c r="C292" s="539"/>
      <c r="D292" s="539"/>
      <c r="E292" s="539"/>
      <c r="F292" s="536"/>
      <c r="G292" s="539"/>
      <c r="H292" s="564"/>
      <c r="I292" s="565" t="s">
        <v>175</v>
      </c>
      <c r="J292" s="514">
        <f>SUM(J288:J291)</f>
        <v>19.77</v>
      </c>
      <c r="K292" s="471"/>
    </row>
    <row r="293" spans="1:11" hidden="1">
      <c r="A293" s="463"/>
      <c r="B293" s="566"/>
      <c r="C293" s="539"/>
      <c r="D293" s="539"/>
      <c r="E293" s="567"/>
      <c r="F293" s="568"/>
      <c r="G293" s="519"/>
      <c r="H293" s="519"/>
      <c r="I293" s="542"/>
      <c r="J293" s="567"/>
      <c r="K293" s="471"/>
    </row>
    <row r="294" spans="1:11" ht="20.399999999999999" hidden="1">
      <c r="A294" s="463"/>
      <c r="B294" s="1493" t="s">
        <v>955</v>
      </c>
      <c r="C294" s="1494"/>
      <c r="D294" s="1494"/>
      <c r="E294" s="1494"/>
      <c r="F294" s="1495"/>
      <c r="G294" s="569" t="s">
        <v>372</v>
      </c>
      <c r="H294" s="519" t="s">
        <v>956</v>
      </c>
      <c r="I294" s="570" t="s">
        <v>942</v>
      </c>
      <c r="J294" s="522" t="s">
        <v>363</v>
      </c>
      <c r="K294" s="471"/>
    </row>
    <row r="295" spans="1:11" hidden="1">
      <c r="A295" s="463"/>
      <c r="B295" s="571" t="s">
        <v>1006</v>
      </c>
      <c r="C295" s="572"/>
      <c r="D295" s="573"/>
      <c r="E295" s="573"/>
      <c r="F295" s="574"/>
      <c r="G295" s="502">
        <f>H278+H279+H280</f>
        <v>4</v>
      </c>
      <c r="H295" s="502" t="s">
        <v>1007</v>
      </c>
      <c r="I295" s="575">
        <f>DADOS!$M$38</f>
        <v>0</v>
      </c>
      <c r="J295" s="505">
        <f>G295*I295</f>
        <v>0</v>
      </c>
      <c r="K295" s="471"/>
    </row>
    <row r="296" spans="1:11" hidden="1">
      <c r="A296" s="463"/>
      <c r="B296" s="576" t="s">
        <v>1008</v>
      </c>
      <c r="C296" s="577"/>
      <c r="D296" s="578"/>
      <c r="E296" s="578"/>
      <c r="F296" s="579"/>
      <c r="G296" s="502">
        <f>G295</f>
        <v>4</v>
      </c>
      <c r="H296" s="502" t="s">
        <v>1007</v>
      </c>
      <c r="I296" s="575" t="e">
        <f>EPI+EXAME</f>
        <v>#REF!</v>
      </c>
      <c r="J296" s="505" t="e">
        <f>G296*I296</f>
        <v>#REF!</v>
      </c>
      <c r="K296" s="471"/>
    </row>
    <row r="297" spans="1:11" hidden="1">
      <c r="A297" s="463"/>
      <c r="B297" s="1496" t="s">
        <v>175</v>
      </c>
      <c r="C297" s="1496"/>
      <c r="D297" s="1496"/>
      <c r="E297" s="1496"/>
      <c r="F297" s="1496"/>
      <c r="G297" s="1496"/>
      <c r="H297" s="1496"/>
      <c r="I297" s="1496"/>
      <c r="J297" s="514" t="e">
        <f>SUM(J295:J296)</f>
        <v>#REF!</v>
      </c>
      <c r="K297" s="471"/>
    </row>
    <row r="298" spans="1:11" hidden="1">
      <c r="A298" s="463"/>
      <c r="B298" s="580"/>
      <c r="C298" s="524"/>
      <c r="D298" s="524"/>
      <c r="E298" s="581"/>
      <c r="F298" s="582"/>
      <c r="G298" s="583"/>
      <c r="H298" s="583"/>
      <c r="I298" s="584"/>
      <c r="J298" s="585"/>
      <c r="K298" s="471"/>
    </row>
    <row r="299" spans="1:11" hidden="1">
      <c r="A299" s="463"/>
      <c r="B299" s="586" t="s">
        <v>957</v>
      </c>
      <c r="C299" s="586"/>
      <c r="D299" s="563"/>
      <c r="E299" s="536"/>
      <c r="F299" s="536"/>
      <c r="G299" s="536"/>
      <c r="H299" s="587"/>
      <c r="I299" s="588"/>
      <c r="J299" s="647" t="e">
        <f>(J285+J292+J297)/E285</f>
        <v>#REF!</v>
      </c>
      <c r="K299" s="471"/>
    </row>
    <row r="300" spans="1:11" hidden="1">
      <c r="A300" s="463"/>
      <c r="B300" s="566"/>
      <c r="C300" s="539"/>
      <c r="D300" s="539"/>
      <c r="E300" s="567"/>
      <c r="F300" s="568"/>
      <c r="G300" s="519"/>
      <c r="H300" s="519"/>
      <c r="I300" s="542"/>
      <c r="J300" s="589"/>
      <c r="K300" s="471"/>
    </row>
    <row r="301" spans="1:11" ht="20.399999999999999" hidden="1">
      <c r="A301" s="463"/>
      <c r="B301" s="1493" t="s">
        <v>958</v>
      </c>
      <c r="C301" s="1494"/>
      <c r="D301" s="1494"/>
      <c r="E301" s="1494"/>
      <c r="F301" s="1495"/>
      <c r="G301" s="569" t="s">
        <v>372</v>
      </c>
      <c r="H301" s="519" t="s">
        <v>956</v>
      </c>
      <c r="I301" s="570" t="s">
        <v>942</v>
      </c>
      <c r="J301" s="522" t="s">
        <v>363</v>
      </c>
      <c r="K301" s="471"/>
    </row>
    <row r="302" spans="1:11" hidden="1">
      <c r="A302" s="463"/>
      <c r="B302" s="571" t="s">
        <v>1015</v>
      </c>
      <c r="C302" s="572"/>
      <c r="D302" s="573"/>
      <c r="E302" s="573"/>
      <c r="F302" s="574"/>
      <c r="G302" s="502">
        <v>1.05</v>
      </c>
      <c r="H302" s="502" t="s">
        <v>225</v>
      </c>
      <c r="I302" s="575"/>
      <c r="J302" s="505">
        <f>G302*I302</f>
        <v>0</v>
      </c>
      <c r="K302" s="471"/>
    </row>
    <row r="303" spans="1:11" hidden="1">
      <c r="A303" s="463"/>
      <c r="B303" s="576" t="s">
        <v>1002</v>
      </c>
      <c r="C303" s="577"/>
      <c r="D303" s="578"/>
      <c r="E303" s="578"/>
      <c r="F303" s="579"/>
      <c r="G303" s="502">
        <v>0.05</v>
      </c>
      <c r="H303" s="502" t="s">
        <v>990</v>
      </c>
      <c r="I303" s="575">
        <v>10</v>
      </c>
      <c r="J303" s="505">
        <f>G303*I303</f>
        <v>0.5</v>
      </c>
      <c r="K303" s="471"/>
    </row>
    <row r="304" spans="1:11" hidden="1">
      <c r="A304" s="463"/>
      <c r="B304" s="576"/>
      <c r="C304" s="577"/>
      <c r="D304" s="578"/>
      <c r="E304" s="578"/>
      <c r="F304" s="579"/>
      <c r="G304" s="502"/>
      <c r="H304" s="502"/>
      <c r="I304" s="575"/>
      <c r="J304" s="505"/>
      <c r="K304" s="471"/>
    </row>
    <row r="305" spans="1:11" hidden="1">
      <c r="A305" s="463"/>
      <c r="B305" s="590"/>
      <c r="C305" s="591"/>
      <c r="D305" s="592"/>
      <c r="E305" s="592"/>
      <c r="F305" s="593"/>
      <c r="G305" s="502"/>
      <c r="H305" s="502"/>
      <c r="I305" s="575"/>
      <c r="J305" s="505">
        <f>G305*I305</f>
        <v>0</v>
      </c>
      <c r="K305" s="471"/>
    </row>
    <row r="306" spans="1:11" hidden="1">
      <c r="A306" s="463"/>
      <c r="B306" s="594"/>
      <c r="C306" s="536"/>
      <c r="D306" s="536"/>
      <c r="E306" s="595"/>
      <c r="F306" s="596"/>
      <c r="G306" s="545"/>
      <c r="H306" s="545"/>
      <c r="I306" s="537" t="s">
        <v>175</v>
      </c>
      <c r="J306" s="514">
        <f>SUM(J302:J305)</f>
        <v>0.5</v>
      </c>
      <c r="K306" s="471"/>
    </row>
    <row r="307" spans="1:11" hidden="1">
      <c r="A307" s="463"/>
      <c r="B307" s="597"/>
      <c r="C307" s="536"/>
      <c r="D307" s="536"/>
      <c r="E307" s="595"/>
      <c r="F307" s="596"/>
      <c r="G307" s="545"/>
      <c r="H307" s="545"/>
      <c r="I307" s="537"/>
      <c r="J307" s="595"/>
      <c r="K307" s="471"/>
    </row>
    <row r="308" spans="1:11" ht="20.399999999999999" hidden="1">
      <c r="A308" s="463"/>
      <c r="B308" s="1493" t="s">
        <v>959</v>
      </c>
      <c r="C308" s="1494"/>
      <c r="D308" s="1494"/>
      <c r="E308" s="1494"/>
      <c r="F308" s="1495"/>
      <c r="G308" s="600" t="s">
        <v>372</v>
      </c>
      <c r="H308" s="519" t="s">
        <v>942</v>
      </c>
      <c r="I308" s="570"/>
      <c r="J308" s="522" t="s">
        <v>363</v>
      </c>
      <c r="K308" s="471"/>
    </row>
    <row r="309" spans="1:11" hidden="1">
      <c r="A309" s="463"/>
      <c r="B309" s="1734" t="s">
        <v>1003</v>
      </c>
      <c r="C309" s="1735"/>
      <c r="D309" s="1735"/>
      <c r="E309" s="1735"/>
      <c r="F309" s="1736"/>
      <c r="G309" s="502">
        <f>(1*0.6*1.5)</f>
        <v>0.89999999999999991</v>
      </c>
      <c r="H309" s="1737">
        <f>'ESCAVAÇÃO SAA-SES'!J65</f>
        <v>3.1543812222222223</v>
      </c>
      <c r="I309" s="1738"/>
      <c r="J309" s="505">
        <f>G309*H309</f>
        <v>2.8389430999999998</v>
      </c>
      <c r="K309" s="471"/>
    </row>
    <row r="310" spans="1:11" hidden="1">
      <c r="A310" s="463"/>
      <c r="B310" s="1739" t="s">
        <v>1004</v>
      </c>
      <c r="C310" s="1740"/>
      <c r="D310" s="1740"/>
      <c r="E310" s="1740" t="s">
        <v>946</v>
      </c>
      <c r="F310" s="1741"/>
      <c r="G310" s="509">
        <f>((PI()*0.21*0.21)/4)*0.21*1.3</f>
        <v>9.4556441085908976E-3</v>
      </c>
      <c r="H310" s="1742">
        <f>'BOTA FORA SAA-SES'!J65</f>
        <v>4.7307744166666668</v>
      </c>
      <c r="I310" s="1743"/>
      <c r="J310" s="505">
        <f>G310*H310</f>
        <v>4.473251924202671E-2</v>
      </c>
      <c r="K310" s="471"/>
    </row>
    <row r="311" spans="1:11" hidden="1">
      <c r="A311" s="463"/>
      <c r="B311" s="594"/>
      <c r="C311" s="536"/>
      <c r="D311" s="536"/>
      <c r="E311" s="595"/>
      <c r="F311" s="596"/>
      <c r="G311" s="545"/>
      <c r="H311" s="545"/>
      <c r="I311" s="537" t="s">
        <v>175</v>
      </c>
      <c r="J311" s="514">
        <f>SUM(J309:J310)</f>
        <v>2.8836756192420268</v>
      </c>
      <c r="K311" s="471"/>
    </row>
    <row r="312" spans="1:11" hidden="1">
      <c r="A312" s="463"/>
      <c r="B312" s="536"/>
      <c r="C312" s="536"/>
      <c r="D312" s="536"/>
      <c r="E312" s="536"/>
      <c r="F312" s="536"/>
      <c r="G312" s="536"/>
      <c r="H312" s="536"/>
      <c r="I312" s="537"/>
      <c r="J312" s="536"/>
      <c r="K312" s="471"/>
    </row>
    <row r="313" spans="1:11" hidden="1">
      <c r="A313" s="463"/>
      <c r="B313" s="1481" t="s">
        <v>961</v>
      </c>
      <c r="C313" s="1482"/>
      <c r="D313" s="1482"/>
      <c r="E313" s="1482"/>
      <c r="F313" s="1482"/>
      <c r="G313" s="1482"/>
      <c r="H313" s="1482"/>
      <c r="I313" s="1483"/>
      <c r="J313" s="586" t="e">
        <f>J311+J306+J299</f>
        <v>#REF!</v>
      </c>
      <c r="K313" s="471"/>
    </row>
    <row r="314" spans="1:11" hidden="1">
      <c r="A314" s="463"/>
      <c r="B314" s="536"/>
      <c r="C314" s="536"/>
      <c r="D314" s="536"/>
      <c r="E314" s="536"/>
      <c r="F314" s="536"/>
      <c r="G314" s="536"/>
      <c r="H314" s="536"/>
      <c r="I314" s="537"/>
      <c r="J314" s="536"/>
      <c r="K314" s="471"/>
    </row>
    <row r="315" spans="1:11" hidden="1">
      <c r="A315" s="463"/>
      <c r="B315" s="1481" t="s">
        <v>962</v>
      </c>
      <c r="C315" s="1482"/>
      <c r="D315" s="1482"/>
      <c r="E315" s="1482"/>
      <c r="F315" s="1482"/>
      <c r="G315" s="1482"/>
      <c r="H315" s="1482"/>
      <c r="I315" s="1483"/>
      <c r="J315" s="514" t="e">
        <f>J313*0</f>
        <v>#REF!</v>
      </c>
      <c r="K315" s="471"/>
    </row>
    <row r="316" spans="1:11" hidden="1">
      <c r="A316" s="463"/>
      <c r="B316" s="536"/>
      <c r="C316" s="536"/>
      <c r="D316" s="536"/>
      <c r="E316" s="536"/>
      <c r="F316" s="536"/>
      <c r="G316" s="536"/>
      <c r="H316" s="536"/>
      <c r="I316" s="537"/>
      <c r="J316" s="536"/>
      <c r="K316" s="471"/>
    </row>
    <row r="317" spans="1:11" hidden="1">
      <c r="A317" s="463"/>
      <c r="B317" s="1481" t="s">
        <v>963</v>
      </c>
      <c r="C317" s="1482"/>
      <c r="D317" s="1482"/>
      <c r="E317" s="1482"/>
      <c r="F317" s="1482"/>
      <c r="G317" s="1482"/>
      <c r="H317" s="1482"/>
      <c r="I317" s="1483"/>
      <c r="J317" s="586" t="e">
        <f>J313+J315</f>
        <v>#REF!</v>
      </c>
      <c r="K317" s="471"/>
    </row>
    <row r="318" spans="1:11" hidden="1">
      <c r="A318" s="463"/>
      <c r="B318" s="524"/>
      <c r="C318" s="524"/>
      <c r="D318" s="524"/>
      <c r="E318" s="524"/>
      <c r="F318" s="524"/>
      <c r="G318" s="524"/>
      <c r="H318" s="524"/>
      <c r="I318" s="584"/>
      <c r="J318" s="524"/>
      <c r="K318" s="471"/>
    </row>
    <row r="319" spans="1:11" hidden="1">
      <c r="A319" s="463"/>
      <c r="B319" s="602"/>
      <c r="C319" s="572"/>
      <c r="D319" s="572"/>
      <c r="E319" s="572"/>
      <c r="F319" s="572"/>
      <c r="G319" s="572"/>
      <c r="H319" s="572"/>
      <c r="I319" s="572"/>
      <c r="J319" s="603"/>
      <c r="K319" s="471"/>
    </row>
    <row r="320" spans="1:11" hidden="1">
      <c r="A320" s="463"/>
      <c r="B320" s="604"/>
      <c r="C320" s="605"/>
      <c r="D320" s="606"/>
      <c r="E320" s="606"/>
      <c r="F320" s="607" t="s">
        <v>946</v>
      </c>
      <c r="G320" s="608" t="s">
        <v>946</v>
      </c>
      <c r="H320" s="605"/>
      <c r="I320" s="605"/>
      <c r="J320" s="609"/>
      <c r="K320" s="471"/>
    </row>
    <row r="321" spans="1:11" hidden="1">
      <c r="A321" s="463"/>
      <c r="B321" s="472"/>
      <c r="C321" s="472"/>
      <c r="D321" s="472"/>
      <c r="E321" s="472"/>
      <c r="F321" s="472"/>
      <c r="G321" s="472"/>
      <c r="H321" s="472"/>
      <c r="I321" s="472"/>
      <c r="J321" s="472"/>
      <c r="K321" s="471"/>
    </row>
    <row r="322" spans="1:11" hidden="1">
      <c r="A322" s="463"/>
      <c r="B322" s="610" t="str">
        <f>PLANEJAMENTO!$F$2</f>
        <v>OPERAÇÃO DE SUPRESSÃO E SUMP</v>
      </c>
      <c r="C322" s="611"/>
      <c r="D322" s="611"/>
      <c r="E322" s="611"/>
      <c r="F322" s="612"/>
      <c r="G322" s="613" t="s">
        <v>363</v>
      </c>
      <c r="H322" s="515"/>
      <c r="I322" s="515"/>
      <c r="J322" s="518"/>
      <c r="K322" s="471"/>
    </row>
    <row r="323" spans="1:11" hidden="1">
      <c r="A323" s="463"/>
      <c r="B323" s="614" t="str">
        <f>PLANEJAMENTO!$F$3</f>
        <v>MARA ROSA</v>
      </c>
      <c r="C323" s="615"/>
      <c r="D323" s="615"/>
      <c r="E323" s="615"/>
      <c r="F323" s="616"/>
      <c r="G323" s="1484" t="s">
        <v>964</v>
      </c>
      <c r="H323" s="1485"/>
      <c r="I323" s="1485"/>
      <c r="J323" s="1486"/>
      <c r="K323" s="471"/>
    </row>
    <row r="324" spans="1:11" hidden="1">
      <c r="A324" s="463"/>
      <c r="B324" s="617"/>
      <c r="C324" s="618"/>
      <c r="D324" s="618"/>
      <c r="E324" s="618"/>
      <c r="F324" s="619"/>
      <c r="G324" s="620"/>
      <c r="H324" s="1487"/>
      <c r="I324" s="1488"/>
      <c r="J324" s="1489"/>
      <c r="K324" s="471"/>
    </row>
    <row r="325" spans="1:11" ht="15" hidden="1" thickBot="1">
      <c r="A325" s="621"/>
      <c r="B325" s="622"/>
      <c r="C325" s="622"/>
      <c r="D325" s="622"/>
      <c r="E325" s="622"/>
      <c r="F325" s="622"/>
      <c r="G325" s="622"/>
      <c r="H325" s="622"/>
      <c r="I325" s="622"/>
      <c r="J325" s="622"/>
      <c r="K325" s="623"/>
    </row>
    <row r="326" spans="1:11" hidden="1">
      <c r="A326" s="460"/>
      <c r="B326" s="461"/>
      <c r="C326" s="461"/>
      <c r="D326" s="461"/>
      <c r="E326" s="461"/>
      <c r="F326" s="461"/>
      <c r="G326" s="461"/>
      <c r="H326" s="461"/>
      <c r="I326" s="461"/>
      <c r="J326" s="461"/>
      <c r="K326" s="462"/>
    </row>
    <row r="327" spans="1:11" hidden="1">
      <c r="A327" s="463"/>
      <c r="B327" s="464" t="s">
        <v>178</v>
      </c>
      <c r="C327" s="465"/>
      <c r="D327" s="466" t="s">
        <v>936</v>
      </c>
      <c r="E327" s="467"/>
      <c r="F327" s="468"/>
      <c r="G327" s="468"/>
      <c r="H327" s="469"/>
      <c r="I327" s="469"/>
      <c r="J327" s="470"/>
      <c r="K327" s="471"/>
    </row>
    <row r="328" spans="1:11" hidden="1">
      <c r="A328" s="463"/>
      <c r="B328" s="472"/>
      <c r="C328" s="472"/>
      <c r="D328" s="472"/>
      <c r="E328" s="472"/>
      <c r="F328" s="472"/>
      <c r="G328" s="472"/>
      <c r="H328" s="472"/>
      <c r="I328" s="472"/>
      <c r="J328" s="472"/>
      <c r="K328" s="471"/>
    </row>
    <row r="329" spans="1:11" hidden="1">
      <c r="A329" s="463"/>
      <c r="B329" s="473" t="s">
        <v>688</v>
      </c>
      <c r="C329" s="474" t="s">
        <v>937</v>
      </c>
      <c r="D329" s="1497" t="s">
        <v>250</v>
      </c>
      <c r="E329" s="1498"/>
      <c r="F329" s="1498"/>
      <c r="G329" s="1498"/>
      <c r="H329" s="1498"/>
      <c r="I329" s="1499"/>
      <c r="J329" s="475" t="s">
        <v>267</v>
      </c>
      <c r="K329" s="471"/>
    </row>
    <row r="330" spans="1:11" ht="23.25" hidden="1" customHeight="1">
      <c r="A330" s="463"/>
      <c r="B330" s="476" t="s">
        <v>3</v>
      </c>
      <c r="C330" s="477">
        <f ca="1">PLANEJAMENTO!$F$4</f>
        <v>46140</v>
      </c>
      <c r="D330" s="1721" t="s">
        <v>1016</v>
      </c>
      <c r="E330" s="1722"/>
      <c r="F330" s="1722"/>
      <c r="G330" s="1722"/>
      <c r="H330" s="1722"/>
      <c r="I330" s="1723"/>
      <c r="J330" s="481" t="str">
        <f>F350</f>
        <v>m</v>
      </c>
      <c r="K330" s="471"/>
    </row>
    <row r="331" spans="1:11" hidden="1">
      <c r="A331" s="463"/>
      <c r="B331" s="482"/>
      <c r="C331" s="482"/>
      <c r="D331" s="482"/>
      <c r="E331" s="482"/>
      <c r="F331" s="482"/>
      <c r="G331" s="482"/>
      <c r="H331" s="482"/>
      <c r="I331" s="483"/>
      <c r="J331" s="484"/>
      <c r="K331" s="471"/>
    </row>
    <row r="332" spans="1:11" hidden="1">
      <c r="A332" s="463"/>
      <c r="B332" s="1484" t="s">
        <v>938</v>
      </c>
      <c r="C332" s="1486"/>
      <c r="D332" s="1502" t="s">
        <v>688</v>
      </c>
      <c r="E332" s="1504" t="s">
        <v>939</v>
      </c>
      <c r="F332" s="485" t="s">
        <v>940</v>
      </c>
      <c r="G332" s="486"/>
      <c r="H332" s="485" t="s">
        <v>941</v>
      </c>
      <c r="I332" s="486"/>
      <c r="J332" s="487" t="s">
        <v>942</v>
      </c>
      <c r="K332" s="471"/>
    </row>
    <row r="333" spans="1:11" hidden="1">
      <c r="A333" s="463"/>
      <c r="B333" s="1500"/>
      <c r="C333" s="1501"/>
      <c r="D333" s="1503"/>
      <c r="E333" s="1505"/>
      <c r="F333" s="488" t="s">
        <v>943</v>
      </c>
      <c r="G333" s="488" t="s">
        <v>944</v>
      </c>
      <c r="H333" s="488" t="s">
        <v>943</v>
      </c>
      <c r="I333" s="489" t="s">
        <v>944</v>
      </c>
      <c r="J333" s="490" t="s">
        <v>945</v>
      </c>
      <c r="K333" s="471"/>
    </row>
    <row r="334" spans="1:11" hidden="1">
      <c r="A334" s="463"/>
      <c r="B334" s="499" t="s">
        <v>659</v>
      </c>
      <c r="C334" s="500"/>
      <c r="D334" s="501"/>
      <c r="E334" s="502">
        <v>1</v>
      </c>
      <c r="F334" s="502">
        <v>1</v>
      </c>
      <c r="G334" s="502">
        <f>1-F334</f>
        <v>0</v>
      </c>
      <c r="H334" s="503">
        <f>VLOOKUP(B334,EQUIPAMENTOS!$A:$J,10,FALSE)</f>
        <v>10</v>
      </c>
      <c r="I334" s="504">
        <f>H334</f>
        <v>10</v>
      </c>
      <c r="J334" s="505">
        <f>H334*F334*E334+I334*G334*E334</f>
        <v>10</v>
      </c>
      <c r="K334" s="471"/>
    </row>
    <row r="335" spans="1:11" hidden="1">
      <c r="A335" s="463"/>
      <c r="B335" s="499"/>
      <c r="C335" s="500"/>
      <c r="D335" s="501"/>
      <c r="E335" s="502"/>
      <c r="F335" s="502"/>
      <c r="G335" s="502"/>
      <c r="H335" s="503"/>
      <c r="I335" s="504"/>
      <c r="J335" s="505"/>
      <c r="K335" s="471"/>
    </row>
    <row r="336" spans="1:11" hidden="1">
      <c r="A336" s="463"/>
      <c r="B336" s="499"/>
      <c r="C336" s="500"/>
      <c r="D336" s="501"/>
      <c r="E336" s="502"/>
      <c r="F336" s="502"/>
      <c r="G336" s="502"/>
      <c r="H336" s="503"/>
      <c r="I336" s="504"/>
      <c r="J336" s="505">
        <f>H336*F336*E336+I336*G336*E336</f>
        <v>0</v>
      </c>
      <c r="K336" s="471"/>
    </row>
    <row r="337" spans="1:11" hidden="1">
      <c r="A337" s="463"/>
      <c r="B337" s="499"/>
      <c r="C337" s="500"/>
      <c r="D337" s="501"/>
      <c r="E337" s="502"/>
      <c r="F337" s="502"/>
      <c r="G337" s="502"/>
      <c r="H337" s="503"/>
      <c r="I337" s="504"/>
      <c r="J337" s="505">
        <f>H337*F337*E337+I337*G337*E337</f>
        <v>0</v>
      </c>
      <c r="K337" s="471"/>
    </row>
    <row r="338" spans="1:11" hidden="1">
      <c r="A338" s="463"/>
      <c r="B338" s="506"/>
      <c r="C338" s="507"/>
      <c r="D338" s="508"/>
      <c r="E338" s="509"/>
      <c r="F338" s="509"/>
      <c r="G338" s="509"/>
      <c r="H338" s="510"/>
      <c r="I338" s="511"/>
      <c r="J338" s="505">
        <f>H338*F338*E338+I338*G338*E338</f>
        <v>0</v>
      </c>
      <c r="K338" s="471"/>
    </row>
    <row r="339" spans="1:11" hidden="1">
      <c r="A339" s="463"/>
      <c r="B339" s="512" t="s">
        <v>946</v>
      </c>
      <c r="C339" s="482"/>
      <c r="D339" s="482"/>
      <c r="E339" s="482"/>
      <c r="F339" s="482"/>
      <c r="G339" s="482"/>
      <c r="H339" s="482"/>
      <c r="I339" s="513" t="s">
        <v>175</v>
      </c>
      <c r="J339" s="514">
        <f>SUM(J334:J338)</f>
        <v>10</v>
      </c>
      <c r="K339" s="471"/>
    </row>
    <row r="340" spans="1:11" hidden="1">
      <c r="A340" s="463"/>
      <c r="B340" s="515"/>
      <c r="C340" s="515"/>
      <c r="D340" s="515"/>
      <c r="E340" s="515"/>
      <c r="F340" s="515"/>
      <c r="G340" s="515"/>
      <c r="H340" s="515"/>
      <c r="I340" s="516"/>
      <c r="J340" s="517"/>
      <c r="K340" s="471"/>
    </row>
    <row r="341" spans="1:11" ht="20.399999999999999" hidden="1">
      <c r="A341" s="463"/>
      <c r="B341" s="1490" t="s">
        <v>947</v>
      </c>
      <c r="C341" s="1491"/>
      <c r="D341" s="1491"/>
      <c r="E341" s="1492"/>
      <c r="F341" s="518" t="s">
        <v>688</v>
      </c>
      <c r="G341" s="519"/>
      <c r="H341" s="520" t="s">
        <v>427</v>
      </c>
      <c r="I341" s="521" t="s">
        <v>948</v>
      </c>
      <c r="J341" s="522" t="s">
        <v>949</v>
      </c>
      <c r="K341" s="471"/>
    </row>
    <row r="342" spans="1:11" hidden="1">
      <c r="A342" s="463"/>
      <c r="B342" s="523" t="s">
        <v>980</v>
      </c>
      <c r="C342" s="524"/>
      <c r="D342" s="525"/>
      <c r="E342" s="526"/>
      <c r="F342" s="527"/>
      <c r="G342" s="528"/>
      <c r="H342" s="529"/>
      <c r="I342" s="497"/>
      <c r="J342" s="498">
        <f>SUM(J343:J345)*0.05</f>
        <v>3.7093109090909095</v>
      </c>
      <c r="K342" s="471"/>
    </row>
    <row r="343" spans="1:11" hidden="1">
      <c r="A343" s="463"/>
      <c r="B343" s="530" t="s">
        <v>1000</v>
      </c>
      <c r="C343" s="531"/>
      <c r="D343" s="472"/>
      <c r="E343" s="500"/>
      <c r="F343" s="501"/>
      <c r="G343" s="532"/>
      <c r="H343" s="533">
        <v>1</v>
      </c>
      <c r="I343" s="534">
        <f>VLOOKUP(B343,'MÃO DE OBRA'!$A:$E,5,FALSE)/220</f>
        <v>19.055000000000003</v>
      </c>
      <c r="J343" s="505">
        <f>H343*I343</f>
        <v>19.055000000000003</v>
      </c>
      <c r="K343" s="471"/>
    </row>
    <row r="344" spans="1:11" hidden="1">
      <c r="A344" s="463"/>
      <c r="B344" s="530" t="s">
        <v>472</v>
      </c>
      <c r="C344" s="531"/>
      <c r="D344" s="472"/>
      <c r="E344" s="500"/>
      <c r="F344" s="501"/>
      <c r="G344" s="532"/>
      <c r="H344" s="533">
        <v>3</v>
      </c>
      <c r="I344" s="534">
        <f>VLOOKUP(B344,'MÃO DE OBRA'!$A:$E,5,FALSE)/220</f>
        <v>18.377072727272729</v>
      </c>
      <c r="J344" s="505">
        <f>H344*I344</f>
        <v>55.131218181818184</v>
      </c>
      <c r="K344" s="471"/>
    </row>
    <row r="345" spans="1:11" hidden="1">
      <c r="A345" s="463"/>
      <c r="B345" s="530" t="s">
        <v>479</v>
      </c>
      <c r="C345" s="531"/>
      <c r="D345" s="472"/>
      <c r="E345" s="500"/>
      <c r="F345" s="501"/>
      <c r="G345" s="532"/>
      <c r="H345" s="533"/>
      <c r="I345" s="534">
        <f>VLOOKUP(B345,'MÃO DE OBRA'!$A:$E,5,FALSE)/220</f>
        <v>25.789327272727274</v>
      </c>
      <c r="J345" s="505">
        <f>H345*I345</f>
        <v>0</v>
      </c>
      <c r="K345" s="471"/>
    </row>
    <row r="346" spans="1:11" hidden="1">
      <c r="A346" s="463"/>
      <c r="B346" s="530" t="s">
        <v>981</v>
      </c>
      <c r="C346" s="531"/>
      <c r="D346" s="472"/>
      <c r="E346" s="500"/>
      <c r="F346" s="501"/>
      <c r="G346" s="532"/>
      <c r="H346" s="533"/>
      <c r="I346" s="504"/>
      <c r="J346" s="505"/>
      <c r="K346" s="471"/>
    </row>
    <row r="347" spans="1:11" hidden="1">
      <c r="A347" s="463"/>
      <c r="B347" s="530"/>
      <c r="C347" s="531"/>
      <c r="D347" s="472"/>
      <c r="E347" s="500"/>
      <c r="F347" s="501"/>
      <c r="G347" s="532"/>
      <c r="H347" s="533"/>
      <c r="I347" s="504"/>
      <c r="J347" s="505">
        <f>H347*I347</f>
        <v>0</v>
      </c>
      <c r="K347" s="471"/>
    </row>
    <row r="348" spans="1:11" hidden="1">
      <c r="A348" s="463"/>
      <c r="B348" s="512" t="s">
        <v>946</v>
      </c>
      <c r="C348" s="515"/>
      <c r="D348" s="515"/>
      <c r="E348" s="515"/>
      <c r="F348" s="515"/>
      <c r="G348" s="515"/>
      <c r="H348" s="515"/>
      <c r="I348" s="535" t="s">
        <v>175</v>
      </c>
      <c r="J348" s="514">
        <f>SUM(J342:J347)</f>
        <v>77.895529090909093</v>
      </c>
      <c r="K348" s="471"/>
    </row>
    <row r="349" spans="1:11" hidden="1">
      <c r="A349" s="463"/>
      <c r="B349" s="536"/>
      <c r="C349" s="536"/>
      <c r="D349" s="536"/>
      <c r="E349" s="536"/>
      <c r="F349" s="536"/>
      <c r="G349" s="536"/>
      <c r="H349" s="536"/>
      <c r="I349" s="537"/>
      <c r="J349" s="536"/>
      <c r="K349" s="471"/>
    </row>
    <row r="350" spans="1:11" hidden="1">
      <c r="A350" s="463"/>
      <c r="B350" s="538" t="s">
        <v>952</v>
      </c>
      <c r="C350" s="539"/>
      <c r="D350" s="536"/>
      <c r="E350" s="540" t="e">
        <f>PRODUÇÕES!#REF!</f>
        <v>#REF!</v>
      </c>
      <c r="F350" s="541" t="s">
        <v>225</v>
      </c>
      <c r="G350" s="519"/>
      <c r="H350" s="519"/>
      <c r="I350" s="542" t="s">
        <v>953</v>
      </c>
      <c r="J350" s="514">
        <f>J339+J348</f>
        <v>87.895529090909093</v>
      </c>
      <c r="K350" s="471"/>
    </row>
    <row r="351" spans="1:11" hidden="1">
      <c r="A351" s="463"/>
      <c r="B351" s="543"/>
      <c r="C351" s="536"/>
      <c r="D351" s="536"/>
      <c r="E351" s="544"/>
      <c r="F351" s="545"/>
      <c r="G351" s="545"/>
      <c r="H351" s="545"/>
      <c r="I351" s="537"/>
      <c r="J351" s="536"/>
      <c r="K351" s="471"/>
    </row>
    <row r="352" spans="1:11" ht="20.399999999999999" hidden="1">
      <c r="A352" s="463"/>
      <c r="B352" s="1493" t="s">
        <v>362</v>
      </c>
      <c r="C352" s="1494"/>
      <c r="D352" s="1494"/>
      <c r="E352" s="1495"/>
      <c r="F352" s="546" t="s">
        <v>688</v>
      </c>
      <c r="G352" s="547" t="s">
        <v>371</v>
      </c>
      <c r="H352" s="520" t="s">
        <v>942</v>
      </c>
      <c r="I352" s="548" t="s">
        <v>361</v>
      </c>
      <c r="J352" s="549" t="s">
        <v>363</v>
      </c>
      <c r="K352" s="471"/>
    </row>
    <row r="353" spans="1:11" hidden="1">
      <c r="A353" s="463"/>
      <c r="B353" s="550" t="str">
        <f>B334</f>
        <v>Sapo compactador</v>
      </c>
      <c r="C353" s="531"/>
      <c r="D353" s="531"/>
      <c r="E353" s="500"/>
      <c r="F353" s="553" t="str">
        <f>VLOOKUP(B353,EQUIPAMENTOS!$A:$N,12,FALSE)</f>
        <v>Gasolina</v>
      </c>
      <c r="G353" s="554" t="s">
        <v>415</v>
      </c>
      <c r="H353" s="560">
        <f>VLOOKUP(B353,EQUIPAMENTOS!$A:$N,13,FALSE)</f>
        <v>6.59</v>
      </c>
      <c r="I353" s="556">
        <f>VLOOKUP(B353,EQUIPAMENTOS!$A:$N,14,FALSE)</f>
        <v>3</v>
      </c>
      <c r="J353" s="505">
        <f>H353*I353*E334*F334</f>
        <v>19.77</v>
      </c>
      <c r="K353" s="471"/>
    </row>
    <row r="354" spans="1:11" hidden="1">
      <c r="A354" s="463"/>
      <c r="B354" s="550"/>
      <c r="C354" s="531"/>
      <c r="D354" s="531"/>
      <c r="E354" s="500"/>
      <c r="F354" s="553"/>
      <c r="G354" s="554"/>
      <c r="H354" s="560"/>
      <c r="I354" s="556"/>
      <c r="J354" s="505"/>
      <c r="K354" s="471"/>
    </row>
    <row r="355" spans="1:11" hidden="1">
      <c r="A355" s="463"/>
      <c r="B355" s="550"/>
      <c r="C355" s="531"/>
      <c r="D355" s="531"/>
      <c r="E355" s="500"/>
      <c r="F355" s="553"/>
      <c r="G355" s="554"/>
      <c r="H355" s="560"/>
      <c r="I355" s="556"/>
      <c r="J355" s="505"/>
      <c r="K355" s="471"/>
    </row>
    <row r="356" spans="1:11" hidden="1">
      <c r="A356" s="463"/>
      <c r="B356" s="530"/>
      <c r="C356" s="531"/>
      <c r="D356" s="531"/>
      <c r="E356" s="500"/>
      <c r="F356" s="501"/>
      <c r="G356" s="559"/>
      <c r="H356" s="560"/>
      <c r="I356" s="556"/>
      <c r="J356" s="505">
        <f>H356*I356*E336*F336</f>
        <v>0</v>
      </c>
      <c r="K356" s="471"/>
    </row>
    <row r="357" spans="1:11" hidden="1">
      <c r="A357" s="463"/>
      <c r="B357" s="530"/>
      <c r="C357" s="539"/>
      <c r="D357" s="539"/>
      <c r="E357" s="507"/>
      <c r="F357" s="501"/>
      <c r="G357" s="481"/>
      <c r="H357" s="560"/>
      <c r="I357" s="561"/>
      <c r="J357" s="505">
        <f>H357*I357*E337*F337</f>
        <v>0</v>
      </c>
      <c r="K357" s="471"/>
    </row>
    <row r="358" spans="1:11" hidden="1">
      <c r="A358" s="463"/>
      <c r="B358" s="563" t="s">
        <v>946</v>
      </c>
      <c r="C358" s="539"/>
      <c r="D358" s="539"/>
      <c r="E358" s="539"/>
      <c r="F358" s="536"/>
      <c r="G358" s="539"/>
      <c r="H358" s="564"/>
      <c r="I358" s="565" t="s">
        <v>175</v>
      </c>
      <c r="J358" s="514">
        <f>SUM(J353:J357)</f>
        <v>19.77</v>
      </c>
      <c r="K358" s="471"/>
    </row>
    <row r="359" spans="1:11" hidden="1">
      <c r="A359" s="463"/>
      <c r="B359" s="566"/>
      <c r="C359" s="539"/>
      <c r="D359" s="539"/>
      <c r="E359" s="567"/>
      <c r="F359" s="568"/>
      <c r="G359" s="519"/>
      <c r="H359" s="519"/>
      <c r="I359" s="542"/>
      <c r="J359" s="567"/>
      <c r="K359" s="471"/>
    </row>
    <row r="360" spans="1:11" ht="20.399999999999999" hidden="1">
      <c r="A360" s="463"/>
      <c r="B360" s="1493" t="s">
        <v>955</v>
      </c>
      <c r="C360" s="1494"/>
      <c r="D360" s="1494"/>
      <c r="E360" s="1494"/>
      <c r="F360" s="1495"/>
      <c r="G360" s="569" t="s">
        <v>372</v>
      </c>
      <c r="H360" s="519" t="s">
        <v>956</v>
      </c>
      <c r="I360" s="570" t="s">
        <v>942</v>
      </c>
      <c r="J360" s="522" t="s">
        <v>363</v>
      </c>
      <c r="K360" s="471"/>
    </row>
    <row r="361" spans="1:11" hidden="1">
      <c r="A361" s="463"/>
      <c r="B361" s="571" t="s">
        <v>1006</v>
      </c>
      <c r="C361" s="572"/>
      <c r="D361" s="573"/>
      <c r="E361" s="573"/>
      <c r="F361" s="574"/>
      <c r="G361" s="502">
        <f>H343+H344+H345</f>
        <v>4</v>
      </c>
      <c r="H361" s="502" t="s">
        <v>1007</v>
      </c>
      <c r="I361" s="575">
        <f>DADOS!$M$38</f>
        <v>0</v>
      </c>
      <c r="J361" s="505">
        <f>G361*I361</f>
        <v>0</v>
      </c>
      <c r="K361" s="471"/>
    </row>
    <row r="362" spans="1:11" hidden="1">
      <c r="A362" s="463"/>
      <c r="B362" s="576" t="s">
        <v>1008</v>
      </c>
      <c r="C362" s="577"/>
      <c r="D362" s="578"/>
      <c r="E362" s="578"/>
      <c r="F362" s="579"/>
      <c r="G362" s="502">
        <f>G361</f>
        <v>4</v>
      </c>
      <c r="H362" s="502" t="s">
        <v>1007</v>
      </c>
      <c r="I362" s="575" t="e">
        <f>EPI+EXAME</f>
        <v>#REF!</v>
      </c>
      <c r="J362" s="505" t="e">
        <f>G362*I362</f>
        <v>#REF!</v>
      </c>
      <c r="K362" s="471"/>
    </row>
    <row r="363" spans="1:11" hidden="1">
      <c r="A363" s="463"/>
      <c r="B363" s="1496" t="s">
        <v>175</v>
      </c>
      <c r="C363" s="1496"/>
      <c r="D363" s="1496"/>
      <c r="E363" s="1496"/>
      <c r="F363" s="1496"/>
      <c r="G363" s="1496"/>
      <c r="H363" s="1496"/>
      <c r="I363" s="1496"/>
      <c r="J363" s="514" t="e">
        <f>SUM(J361:J362)</f>
        <v>#REF!</v>
      </c>
      <c r="K363" s="471"/>
    </row>
    <row r="364" spans="1:11" hidden="1">
      <c r="A364" s="463"/>
      <c r="B364" s="580"/>
      <c r="C364" s="524"/>
      <c r="D364" s="524"/>
      <c r="E364" s="581"/>
      <c r="F364" s="582"/>
      <c r="G364" s="583"/>
      <c r="H364" s="583"/>
      <c r="I364" s="584"/>
      <c r="J364" s="585"/>
      <c r="K364" s="471"/>
    </row>
    <row r="365" spans="1:11" hidden="1">
      <c r="A365" s="463"/>
      <c r="B365" s="586" t="s">
        <v>957</v>
      </c>
      <c r="C365" s="586"/>
      <c r="D365" s="563"/>
      <c r="E365" s="536"/>
      <c r="F365" s="536"/>
      <c r="G365" s="536"/>
      <c r="H365" s="587"/>
      <c r="I365" s="588"/>
      <c r="J365" s="647" t="e">
        <f>(J350+J358+J363)/E350</f>
        <v>#REF!</v>
      </c>
      <c r="K365" s="471"/>
    </row>
    <row r="366" spans="1:11" hidden="1">
      <c r="A366" s="463"/>
      <c r="B366" s="566"/>
      <c r="C366" s="539"/>
      <c r="D366" s="539"/>
      <c r="E366" s="567"/>
      <c r="F366" s="568"/>
      <c r="G366" s="519"/>
      <c r="H366" s="519"/>
      <c r="I366" s="542"/>
      <c r="J366" s="589"/>
      <c r="K366" s="471"/>
    </row>
    <row r="367" spans="1:11" ht="20.399999999999999" hidden="1">
      <c r="A367" s="463"/>
      <c r="B367" s="1493" t="s">
        <v>958</v>
      </c>
      <c r="C367" s="1494"/>
      <c r="D367" s="1494"/>
      <c r="E367" s="1494"/>
      <c r="F367" s="1495"/>
      <c r="G367" s="569" t="s">
        <v>372</v>
      </c>
      <c r="H367" s="519" t="s">
        <v>956</v>
      </c>
      <c r="I367" s="570" t="s">
        <v>942</v>
      </c>
      <c r="J367" s="522" t="s">
        <v>363</v>
      </c>
      <c r="K367" s="471"/>
    </row>
    <row r="368" spans="1:11" hidden="1">
      <c r="A368" s="463"/>
      <c r="B368" s="571" t="s">
        <v>1017</v>
      </c>
      <c r="C368" s="572"/>
      <c r="D368" s="573"/>
      <c r="E368" s="573"/>
      <c r="F368" s="574"/>
      <c r="G368" s="502">
        <v>1.05</v>
      </c>
      <c r="H368" s="502" t="s">
        <v>225</v>
      </c>
      <c r="I368" s="575">
        <f>'ESCAVAÇÃO SAA-SES'!J65</f>
        <v>3.1543812222222223</v>
      </c>
      <c r="J368" s="505">
        <f>G368*I368</f>
        <v>3.3121002833333337</v>
      </c>
      <c r="K368" s="471"/>
    </row>
    <row r="369" spans="1:11" hidden="1">
      <c r="A369" s="463"/>
      <c r="B369" s="576" t="s">
        <v>1002</v>
      </c>
      <c r="C369" s="577"/>
      <c r="D369" s="578"/>
      <c r="E369" s="578"/>
      <c r="F369" s="579"/>
      <c r="G369" s="502">
        <v>0.05</v>
      </c>
      <c r="H369" s="502" t="s">
        <v>990</v>
      </c>
      <c r="I369" s="575">
        <f>'BOTA FORA SAA-SES'!J65</f>
        <v>4.7307744166666668</v>
      </c>
      <c r="J369" s="505">
        <f>G369*I369</f>
        <v>0.23653872083333335</v>
      </c>
      <c r="K369" s="471"/>
    </row>
    <row r="370" spans="1:11" hidden="1">
      <c r="A370" s="463"/>
      <c r="B370" s="576"/>
      <c r="C370" s="577"/>
      <c r="D370" s="578"/>
      <c r="E370" s="578"/>
      <c r="F370" s="579"/>
      <c r="G370" s="502"/>
      <c r="H370" s="502"/>
      <c r="I370" s="575"/>
      <c r="J370" s="505">
        <f>G370*I370</f>
        <v>0</v>
      </c>
      <c r="K370" s="471"/>
    </row>
    <row r="371" spans="1:11" hidden="1">
      <c r="A371" s="463"/>
      <c r="B371" s="590"/>
      <c r="C371" s="591"/>
      <c r="D371" s="592"/>
      <c r="E371" s="592"/>
      <c r="F371" s="593"/>
      <c r="G371" s="502"/>
      <c r="H371" s="502"/>
      <c r="I371" s="575"/>
      <c r="J371" s="505">
        <f>G371*I371</f>
        <v>0</v>
      </c>
      <c r="K371" s="471"/>
    </row>
    <row r="372" spans="1:11" hidden="1">
      <c r="A372" s="463"/>
      <c r="B372" s="594"/>
      <c r="C372" s="536"/>
      <c r="D372" s="536"/>
      <c r="E372" s="595"/>
      <c r="F372" s="596"/>
      <c r="G372" s="545"/>
      <c r="H372" s="545"/>
      <c r="I372" s="537" t="s">
        <v>175</v>
      </c>
      <c r="J372" s="514">
        <f>SUM(J368:J371)</f>
        <v>3.5486390041666671</v>
      </c>
      <c r="K372" s="471"/>
    </row>
    <row r="373" spans="1:11" hidden="1">
      <c r="A373" s="463"/>
      <c r="B373" s="597"/>
      <c r="C373" s="536"/>
      <c r="D373" s="536"/>
      <c r="E373" s="595"/>
      <c r="F373" s="596"/>
      <c r="G373" s="545"/>
      <c r="H373" s="545"/>
      <c r="I373" s="537"/>
      <c r="J373" s="595"/>
      <c r="K373" s="471"/>
    </row>
    <row r="374" spans="1:11" ht="20.399999999999999" hidden="1">
      <c r="A374" s="463"/>
      <c r="B374" s="1493" t="s">
        <v>959</v>
      </c>
      <c r="C374" s="1494"/>
      <c r="D374" s="1494"/>
      <c r="E374" s="1494"/>
      <c r="F374" s="1495"/>
      <c r="G374" s="600" t="s">
        <v>372</v>
      </c>
      <c r="H374" s="519" t="s">
        <v>942</v>
      </c>
      <c r="I374" s="570"/>
      <c r="J374" s="522" t="s">
        <v>363</v>
      </c>
      <c r="K374" s="471"/>
    </row>
    <row r="375" spans="1:11" hidden="1">
      <c r="A375" s="463"/>
      <c r="B375" s="1734" t="s">
        <v>1003</v>
      </c>
      <c r="C375" s="1735"/>
      <c r="D375" s="1735"/>
      <c r="E375" s="1735"/>
      <c r="F375" s="1736"/>
      <c r="G375" s="502">
        <f>(1*0.6*1.5)</f>
        <v>0.89999999999999991</v>
      </c>
      <c r="H375" s="1737"/>
      <c r="I375" s="1738"/>
      <c r="J375" s="505">
        <f>G375*H375</f>
        <v>0</v>
      </c>
      <c r="K375" s="471"/>
    </row>
    <row r="376" spans="1:11" hidden="1">
      <c r="A376" s="463"/>
      <c r="B376" s="1739" t="s">
        <v>1004</v>
      </c>
      <c r="C376" s="1740"/>
      <c r="D376" s="1740"/>
      <c r="E376" s="1740" t="s">
        <v>946</v>
      </c>
      <c r="F376" s="1741"/>
      <c r="G376" s="509">
        <f>((PI()*0.26*0.26)/4)*0.26*1.3</f>
        <v>1.7945405555835618E-2</v>
      </c>
      <c r="H376" s="1742"/>
      <c r="I376" s="1743"/>
      <c r="J376" s="505">
        <f>G376*H376</f>
        <v>0</v>
      </c>
      <c r="K376" s="471"/>
    </row>
    <row r="377" spans="1:11" hidden="1">
      <c r="A377" s="463"/>
      <c r="B377" s="594"/>
      <c r="C377" s="536"/>
      <c r="D377" s="536"/>
      <c r="E377" s="595"/>
      <c r="F377" s="596"/>
      <c r="G377" s="545"/>
      <c r="H377" s="545"/>
      <c r="I377" s="537" t="s">
        <v>175</v>
      </c>
      <c r="J377" s="514">
        <f>SUM(J375:J376)</f>
        <v>0</v>
      </c>
      <c r="K377" s="471"/>
    </row>
    <row r="378" spans="1:11" hidden="1">
      <c r="A378" s="463"/>
      <c r="B378" s="536"/>
      <c r="C378" s="536"/>
      <c r="D378" s="536"/>
      <c r="E378" s="536"/>
      <c r="F378" s="536"/>
      <c r="G378" s="536"/>
      <c r="H378" s="536"/>
      <c r="I378" s="537"/>
      <c r="J378" s="536"/>
      <c r="K378" s="471"/>
    </row>
    <row r="379" spans="1:11" hidden="1">
      <c r="A379" s="463"/>
      <c r="B379" s="1481" t="s">
        <v>961</v>
      </c>
      <c r="C379" s="1482"/>
      <c r="D379" s="1482"/>
      <c r="E379" s="1482"/>
      <c r="F379" s="1482"/>
      <c r="G379" s="1482"/>
      <c r="H379" s="1482"/>
      <c r="I379" s="1483"/>
      <c r="J379" s="586" t="e">
        <f>J377+J372+J365</f>
        <v>#REF!</v>
      </c>
      <c r="K379" s="471"/>
    </row>
    <row r="380" spans="1:11" hidden="1">
      <c r="A380" s="463"/>
      <c r="B380" s="536"/>
      <c r="C380" s="536"/>
      <c r="D380" s="536"/>
      <c r="E380" s="536"/>
      <c r="F380" s="536"/>
      <c r="G380" s="536"/>
      <c r="H380" s="536"/>
      <c r="I380" s="537"/>
      <c r="J380" s="536"/>
      <c r="K380" s="471"/>
    </row>
    <row r="381" spans="1:11" hidden="1">
      <c r="A381" s="463"/>
      <c r="B381" s="1481" t="s">
        <v>962</v>
      </c>
      <c r="C381" s="1482"/>
      <c r="D381" s="1482"/>
      <c r="E381" s="1482"/>
      <c r="F381" s="1482"/>
      <c r="G381" s="1482"/>
      <c r="H381" s="1482"/>
      <c r="I381" s="1483"/>
      <c r="J381" s="514" t="e">
        <f>J379*0</f>
        <v>#REF!</v>
      </c>
      <c r="K381" s="471"/>
    </row>
    <row r="382" spans="1:11" hidden="1">
      <c r="A382" s="463"/>
      <c r="B382" s="536"/>
      <c r="C382" s="536"/>
      <c r="D382" s="536"/>
      <c r="E382" s="536"/>
      <c r="F382" s="536"/>
      <c r="G382" s="536"/>
      <c r="H382" s="536"/>
      <c r="I382" s="537"/>
      <c r="J382" s="536"/>
      <c r="K382" s="471"/>
    </row>
    <row r="383" spans="1:11" hidden="1">
      <c r="A383" s="463"/>
      <c r="B383" s="1481" t="s">
        <v>963</v>
      </c>
      <c r="C383" s="1482"/>
      <c r="D383" s="1482"/>
      <c r="E383" s="1482"/>
      <c r="F383" s="1482"/>
      <c r="G383" s="1482"/>
      <c r="H383" s="1482"/>
      <c r="I383" s="1483"/>
      <c r="J383" s="586" t="e">
        <f>J379+J381</f>
        <v>#REF!</v>
      </c>
      <c r="K383" s="471"/>
    </row>
    <row r="384" spans="1:11" hidden="1">
      <c r="A384" s="463"/>
      <c r="B384" s="524"/>
      <c r="C384" s="524"/>
      <c r="D384" s="524"/>
      <c r="E384" s="524"/>
      <c r="F384" s="524"/>
      <c r="G384" s="524"/>
      <c r="H384" s="524"/>
      <c r="I384" s="584"/>
      <c r="J384" s="524"/>
      <c r="K384" s="471"/>
    </row>
    <row r="385" spans="1:11" hidden="1">
      <c r="A385" s="463"/>
      <c r="B385" s="602"/>
      <c r="C385" s="572"/>
      <c r="D385" s="572"/>
      <c r="E385" s="572"/>
      <c r="F385" s="572"/>
      <c r="G385" s="572"/>
      <c r="H385" s="572"/>
      <c r="I385" s="572"/>
      <c r="J385" s="603"/>
      <c r="K385" s="471"/>
    </row>
    <row r="386" spans="1:11" hidden="1">
      <c r="A386" s="463"/>
      <c r="B386" s="604"/>
      <c r="C386" s="605"/>
      <c r="D386" s="606"/>
      <c r="E386" s="606"/>
      <c r="F386" s="607" t="s">
        <v>946</v>
      </c>
      <c r="G386" s="608" t="s">
        <v>946</v>
      </c>
      <c r="H386" s="605"/>
      <c r="I386" s="605"/>
      <c r="J386" s="609"/>
      <c r="K386" s="471"/>
    </row>
    <row r="387" spans="1:11" hidden="1">
      <c r="A387" s="463"/>
      <c r="B387" s="472"/>
      <c r="C387" s="472"/>
      <c r="D387" s="472"/>
      <c r="E387" s="472"/>
      <c r="F387" s="472"/>
      <c r="G387" s="472"/>
      <c r="H387" s="472"/>
      <c r="I387" s="472"/>
      <c r="J387" s="472"/>
      <c r="K387" s="471"/>
    </row>
    <row r="388" spans="1:11" hidden="1">
      <c r="A388" s="463"/>
      <c r="B388" s="610" t="str">
        <f>PLANEJAMENTO!$F$2</f>
        <v>OPERAÇÃO DE SUPRESSÃO E SUMP</v>
      </c>
      <c r="C388" s="611"/>
      <c r="D388" s="611"/>
      <c r="E388" s="611"/>
      <c r="F388" s="612"/>
      <c r="G388" s="613" t="s">
        <v>363</v>
      </c>
      <c r="H388" s="515"/>
      <c r="I388" s="515"/>
      <c r="J388" s="518"/>
      <c r="K388" s="471"/>
    </row>
    <row r="389" spans="1:11" hidden="1">
      <c r="A389" s="463"/>
      <c r="B389" s="614" t="str">
        <f>PLANEJAMENTO!$F$3</f>
        <v>MARA ROSA</v>
      </c>
      <c r="C389" s="615"/>
      <c r="D389" s="615"/>
      <c r="E389" s="615"/>
      <c r="F389" s="616"/>
      <c r="G389" s="1484" t="s">
        <v>964</v>
      </c>
      <c r="H389" s="1485"/>
      <c r="I389" s="1485"/>
      <c r="J389" s="1486"/>
      <c r="K389" s="471"/>
    </row>
    <row r="390" spans="1:11" hidden="1">
      <c r="A390" s="463"/>
      <c r="B390" s="617"/>
      <c r="C390" s="618"/>
      <c r="D390" s="618"/>
      <c r="E390" s="618"/>
      <c r="F390" s="619"/>
      <c r="G390" s="620"/>
      <c r="H390" s="1487"/>
      <c r="I390" s="1488"/>
      <c r="J390" s="1489"/>
      <c r="K390" s="471"/>
    </row>
    <row r="391" spans="1:11" ht="15" hidden="1" thickBot="1">
      <c r="A391" s="621"/>
      <c r="B391" s="622"/>
      <c r="C391" s="622"/>
      <c r="D391" s="622"/>
      <c r="E391" s="622"/>
      <c r="F391" s="622"/>
      <c r="G391" s="622"/>
      <c r="H391" s="622"/>
      <c r="I391" s="622"/>
      <c r="J391" s="622"/>
      <c r="K391" s="623"/>
    </row>
  </sheetData>
  <mergeCells count="121">
    <mergeCell ref="B383:I383"/>
    <mergeCell ref="G389:J389"/>
    <mergeCell ref="H390:J390"/>
    <mergeCell ref="B375:F375"/>
    <mergeCell ref="H375:I375"/>
    <mergeCell ref="B376:F376"/>
    <mergeCell ref="H376:I376"/>
    <mergeCell ref="B379:I379"/>
    <mergeCell ref="B381:I381"/>
    <mergeCell ref="B341:E341"/>
    <mergeCell ref="B352:E352"/>
    <mergeCell ref="B360:F360"/>
    <mergeCell ref="B363:I363"/>
    <mergeCell ref="B367:F367"/>
    <mergeCell ref="B374:F374"/>
    <mergeCell ref="B317:I317"/>
    <mergeCell ref="G323:J323"/>
    <mergeCell ref="H324:J324"/>
    <mergeCell ref="D329:I329"/>
    <mergeCell ref="D330:I330"/>
    <mergeCell ref="B332:C333"/>
    <mergeCell ref="D332:D333"/>
    <mergeCell ref="E332:E333"/>
    <mergeCell ref="B309:F309"/>
    <mergeCell ref="H309:I309"/>
    <mergeCell ref="B310:F310"/>
    <mergeCell ref="H310:I310"/>
    <mergeCell ref="B313:I313"/>
    <mergeCell ref="B315:I315"/>
    <mergeCell ref="B276:E276"/>
    <mergeCell ref="B287:E287"/>
    <mergeCell ref="B294:F294"/>
    <mergeCell ref="B297:I297"/>
    <mergeCell ref="B301:F301"/>
    <mergeCell ref="B308:F308"/>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179:F179"/>
    <mergeCell ref="H179:I179"/>
    <mergeCell ref="B180:F180"/>
    <mergeCell ref="H180:I180"/>
    <mergeCell ref="B183:I183"/>
    <mergeCell ref="B185:I185"/>
    <mergeCell ref="B146:E146"/>
    <mergeCell ref="B157:E157"/>
    <mergeCell ref="B164:F164"/>
    <mergeCell ref="B167:I167"/>
    <mergeCell ref="B171:F171"/>
    <mergeCell ref="B178:F178"/>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53:I53"/>
    <mergeCell ref="B55:I55"/>
    <mergeCell ref="B27:E27"/>
    <mergeCell ref="B34:F34"/>
    <mergeCell ref="B37:I37"/>
    <mergeCell ref="B41:F41"/>
    <mergeCell ref="B48:F48"/>
    <mergeCell ref="H48:I48"/>
    <mergeCell ref="B81:E81"/>
    <mergeCell ref="D4:I4"/>
    <mergeCell ref="D5:I5"/>
    <mergeCell ref="B7:C8"/>
    <mergeCell ref="D7:D8"/>
    <mergeCell ref="E7:E8"/>
    <mergeCell ref="B16:E16"/>
    <mergeCell ref="B49:F49"/>
    <mergeCell ref="H49:I49"/>
    <mergeCell ref="B50:F50"/>
    <mergeCell ref="H50:I50"/>
  </mergeCells>
  <pageMargins left="0.511811024" right="0.511811024" top="0.78740157499999996" bottom="0.78740157499999996" header="0.31496062000000002" footer="0.31496062000000002"/>
  <pageSetup paperSize="9" scale="65" orientation="portrait" r:id="rId1"/>
  <rowBreaks count="4" manualBreakCount="4">
    <brk id="65" max="10" man="1"/>
    <brk id="130" max="10" man="1"/>
    <brk id="195" max="10" man="1"/>
    <brk id="260" max="10"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E856-7366-4CB5-9D1C-FD7716416C81}">
  <sheetPr codeName="Planilha45">
    <tabColor rgb="FFFFFF66"/>
  </sheetPr>
  <dimension ref="A1:S396"/>
  <sheetViews>
    <sheetView view="pageBreakPreview" zoomScaleNormal="100" zoomScaleSheetLayoutView="100" workbookViewId="0">
      <selection activeCell="E74" sqref="E74"/>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 min="16" max="16" width="15.33203125" bestFit="1"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ht="24" customHeight="1">
      <c r="A5" s="463"/>
      <c r="B5" s="476" t="s">
        <v>3</v>
      </c>
      <c r="C5" s="477">
        <f ca="1">PLANEJAMENTO!F4</f>
        <v>46140</v>
      </c>
      <c r="D5" s="1721" t="s">
        <v>1018</v>
      </c>
      <c r="E5" s="1722"/>
      <c r="F5" s="1722"/>
      <c r="G5" s="1722"/>
      <c r="H5" s="1722"/>
      <c r="I5" s="1723"/>
      <c r="J5" s="481" t="str">
        <f>F25</f>
        <v>m</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659</v>
      </c>
      <c r="C9" s="500"/>
      <c r="D9" s="501"/>
      <c r="E9" s="502"/>
      <c r="F9" s="502">
        <v>1</v>
      </c>
      <c r="G9" s="502">
        <f>1-F9</f>
        <v>0</v>
      </c>
      <c r="H9" s="503">
        <f>VLOOKUP(B9,EQUIPAMENTOS!$A:$J,10,FALSE)</f>
        <v>10</v>
      </c>
      <c r="I9" s="504">
        <f>H9</f>
        <v>10</v>
      </c>
      <c r="J9" s="505">
        <f>H9*F9*E9+I9*G9*E9</f>
        <v>0</v>
      </c>
      <c r="K9" s="471"/>
    </row>
    <row r="10" spans="1:11">
      <c r="A10" s="463"/>
      <c r="B10" s="499" t="s">
        <v>651</v>
      </c>
      <c r="C10" s="500"/>
      <c r="D10" s="501"/>
      <c r="E10" s="502">
        <v>1</v>
      </c>
      <c r="F10" s="502">
        <v>1</v>
      </c>
      <c r="G10" s="502">
        <f>1-F10</f>
        <v>0</v>
      </c>
      <c r="H10" s="503">
        <f>VLOOKUP(B10,EQUIPAMENTOS!$A:$J,10,FALSE)</f>
        <v>63.777777777777779</v>
      </c>
      <c r="I10" s="504">
        <f>H10</f>
        <v>63.777777777777779</v>
      </c>
      <c r="J10" s="505">
        <f>H10*F10*E10+I10*G10*E10</f>
        <v>63.777777777777779</v>
      </c>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63.777777777777779</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2">
      <c r="A17" s="463"/>
      <c r="B17" s="523"/>
      <c r="C17" s="524"/>
      <c r="D17" s="525"/>
      <c r="E17" s="526"/>
      <c r="F17" s="527"/>
      <c r="G17" s="528"/>
      <c r="H17" s="529"/>
      <c r="I17" s="497"/>
      <c r="J17" s="498"/>
      <c r="K17" s="471"/>
    </row>
    <row r="18" spans="1:12">
      <c r="A18" s="463"/>
      <c r="B18" s="530" t="s">
        <v>1000</v>
      </c>
      <c r="C18" s="531"/>
      <c r="D18" s="472"/>
      <c r="E18" s="500"/>
      <c r="F18" s="501"/>
      <c r="G18" s="532"/>
      <c r="H18" s="533">
        <v>1</v>
      </c>
      <c r="I18" s="534">
        <f>VLOOKUP(B18,'MÃO DE OBRA'!$A:$E,5,FALSE)/220</f>
        <v>19.055000000000003</v>
      </c>
      <c r="J18" s="505">
        <f>H18*I18</f>
        <v>19.055000000000003</v>
      </c>
      <c r="K18" s="471"/>
    </row>
    <row r="19" spans="1:12">
      <c r="A19" s="463"/>
      <c r="B19" s="530" t="s">
        <v>472</v>
      </c>
      <c r="C19" s="531"/>
      <c r="D19" s="472"/>
      <c r="E19" s="500"/>
      <c r="F19" s="501"/>
      <c r="G19" s="532"/>
      <c r="H19" s="533">
        <v>3</v>
      </c>
      <c r="I19" s="534">
        <f>VLOOKUP(B19,'MÃO DE OBRA'!$A:$E,5,FALSE)/220</f>
        <v>18.377072727272729</v>
      </c>
      <c r="J19" s="505">
        <f>H19*I19</f>
        <v>55.131218181818184</v>
      </c>
      <c r="K19" s="471"/>
    </row>
    <row r="20" spans="1:12">
      <c r="A20" s="463"/>
      <c r="B20" s="530" t="s">
        <v>1053</v>
      </c>
      <c r="C20" s="531"/>
      <c r="D20" s="472"/>
      <c r="E20" s="500"/>
      <c r="F20" s="501"/>
      <c r="G20" s="532"/>
      <c r="H20" s="533">
        <f>E10</f>
        <v>1</v>
      </c>
      <c r="I20" s="534">
        <f>VLOOKUP(B20,'MÃO DE OBRA'!$A:$E,5,FALSE)/220</f>
        <v>26.3474</v>
      </c>
      <c r="J20" s="505">
        <f>H20*I20</f>
        <v>26.3474</v>
      </c>
      <c r="K20" s="471"/>
    </row>
    <row r="21" spans="1:12">
      <c r="A21" s="463"/>
      <c r="B21" s="530"/>
      <c r="C21" s="531"/>
      <c r="D21" s="472"/>
      <c r="E21" s="500"/>
      <c r="F21" s="501"/>
      <c r="G21" s="532"/>
      <c r="H21" s="533"/>
      <c r="I21" s="504"/>
      <c r="J21" s="505"/>
      <c r="K21" s="471"/>
    </row>
    <row r="22" spans="1:12">
      <c r="A22" s="463"/>
      <c r="B22" s="530"/>
      <c r="C22" s="531"/>
      <c r="D22" s="472"/>
      <c r="E22" s="500"/>
      <c r="F22" s="501"/>
      <c r="G22" s="532"/>
      <c r="H22" s="533"/>
      <c r="I22" s="504"/>
      <c r="J22" s="505">
        <f>H22*I22</f>
        <v>0</v>
      </c>
      <c r="K22" s="471"/>
    </row>
    <row r="23" spans="1:12">
      <c r="A23" s="463"/>
      <c r="B23" s="512" t="s">
        <v>946</v>
      </c>
      <c r="C23" s="515"/>
      <c r="D23" s="515"/>
      <c r="E23" s="515"/>
      <c r="F23" s="515"/>
      <c r="G23" s="515"/>
      <c r="H23" s="515"/>
      <c r="I23" s="535" t="s">
        <v>175</v>
      </c>
      <c r="J23" s="514">
        <f>SUM(J17:J22)</f>
        <v>100.53361818181818</v>
      </c>
      <c r="K23" s="471"/>
    </row>
    <row r="24" spans="1:12">
      <c r="A24" s="463"/>
      <c r="B24" s="536"/>
      <c r="C24" s="536"/>
      <c r="D24" s="536"/>
      <c r="E24" s="536"/>
      <c r="F24" s="536"/>
      <c r="G24" s="536"/>
      <c r="H24" s="536"/>
      <c r="I24" s="537"/>
      <c r="J24" s="536"/>
      <c r="K24" s="471"/>
    </row>
    <row r="25" spans="1:12">
      <c r="A25" s="463"/>
      <c r="B25" s="538" t="s">
        <v>952</v>
      </c>
      <c r="C25" s="539"/>
      <c r="D25" s="536"/>
      <c r="E25" s="540" t="e">
        <f>PRODUÇÕES!#REF!</f>
        <v>#REF!</v>
      </c>
      <c r="F25" s="541" t="s">
        <v>225</v>
      </c>
      <c r="G25" s="519"/>
      <c r="H25" s="519"/>
      <c r="I25" s="542" t="s">
        <v>953</v>
      </c>
      <c r="J25" s="514">
        <f>J14+J23</f>
        <v>164.31139595959596</v>
      </c>
      <c r="K25" s="471"/>
    </row>
    <row r="26" spans="1:12">
      <c r="A26" s="463"/>
      <c r="B26" s="543"/>
      <c r="C26" s="536"/>
      <c r="D26" s="536"/>
      <c r="E26" s="544"/>
      <c r="F26" s="545"/>
      <c r="G26" s="545"/>
      <c r="H26" s="545"/>
      <c r="I26" s="537"/>
      <c r="J26" s="536"/>
      <c r="K26" s="471"/>
    </row>
    <row r="27" spans="1:12" ht="20.399999999999999">
      <c r="A27" s="463"/>
      <c r="B27" s="1493" t="s">
        <v>362</v>
      </c>
      <c r="C27" s="1494"/>
      <c r="D27" s="1494"/>
      <c r="E27" s="1495"/>
      <c r="F27" s="546" t="s">
        <v>688</v>
      </c>
      <c r="G27" s="547" t="s">
        <v>371</v>
      </c>
      <c r="H27" s="520" t="s">
        <v>942</v>
      </c>
      <c r="I27" s="548" t="s">
        <v>361</v>
      </c>
      <c r="J27" s="549" t="s">
        <v>363</v>
      </c>
      <c r="K27" s="471"/>
    </row>
    <row r="28" spans="1:12">
      <c r="A28" s="463"/>
      <c r="B28" s="550" t="str">
        <f>B9</f>
        <v>Sapo compactador</v>
      </c>
      <c r="C28" s="531"/>
      <c r="D28" s="531"/>
      <c r="E28" s="500"/>
      <c r="F28" s="553" t="str">
        <f>VLOOKUP(B28,EQUIPAMENTOS!$A:$N,12,FALSE)</f>
        <v>Gasolina</v>
      </c>
      <c r="G28" s="554" t="s">
        <v>415</v>
      </c>
      <c r="H28" s="560">
        <f>VLOOKUP(B28,EQUIPAMENTOS!$A:$N,13,FALSE)</f>
        <v>6.59</v>
      </c>
      <c r="I28" s="556">
        <f>VLOOKUP(B28,EQUIPAMENTOS!$A:$N,14,FALSE)</f>
        <v>3</v>
      </c>
      <c r="J28" s="505">
        <f>H28*I28*E9*F9</f>
        <v>0</v>
      </c>
      <c r="K28" s="471"/>
    </row>
    <row r="29" spans="1:12">
      <c r="A29" s="463"/>
      <c r="B29" s="550" t="str">
        <f>B10</f>
        <v>Retroescavadeira</v>
      </c>
      <c r="C29" s="531"/>
      <c r="D29" s="531"/>
      <c r="E29" s="500"/>
      <c r="F29" s="553" t="str">
        <f>VLOOKUP(B29,EQUIPAMENTOS!$A:$N,12,FALSE)</f>
        <v>Diesel S10</v>
      </c>
      <c r="G29" s="554" t="s">
        <v>415</v>
      </c>
      <c r="H29" s="560">
        <f>VLOOKUP(B29,EQUIPAMENTOS!$A:$N,13,FALSE)</f>
        <v>0</v>
      </c>
      <c r="I29" s="556">
        <f>VLOOKUP(B29,EQUIPAMENTOS!$A:$N,14,FALSE)</f>
        <v>16</v>
      </c>
      <c r="J29" s="505">
        <f>H29*I29*E10*F10</f>
        <v>0</v>
      </c>
      <c r="K29" s="471"/>
    </row>
    <row r="30" spans="1:12">
      <c r="A30" s="463"/>
      <c r="B30" s="530"/>
      <c r="C30" s="531"/>
      <c r="D30" s="531"/>
      <c r="E30" s="500"/>
      <c r="F30" s="501"/>
      <c r="G30" s="559"/>
      <c r="H30" s="560"/>
      <c r="I30" s="556"/>
      <c r="J30" s="505">
        <f>H30*I30*E11*F11</f>
        <v>0</v>
      </c>
      <c r="K30" s="471"/>
    </row>
    <row r="31" spans="1:12">
      <c r="A31" s="463"/>
      <c r="B31" s="530"/>
      <c r="C31" s="539"/>
      <c r="D31" s="539"/>
      <c r="E31" s="507"/>
      <c r="F31" s="501"/>
      <c r="G31" s="481"/>
      <c r="H31" s="560"/>
      <c r="I31" s="561"/>
      <c r="J31" s="505">
        <f>H31*I31*E12*F12</f>
        <v>0</v>
      </c>
      <c r="K31" s="471"/>
    </row>
    <row r="32" spans="1:12">
      <c r="A32" s="463"/>
      <c r="B32" s="563" t="s">
        <v>946</v>
      </c>
      <c r="C32" s="539"/>
      <c r="D32" s="539"/>
      <c r="E32" s="539"/>
      <c r="F32" s="536"/>
      <c r="G32" s="539"/>
      <c r="H32" s="564"/>
      <c r="I32" s="565" t="s">
        <v>175</v>
      </c>
      <c r="J32" s="514">
        <f>SUM(J28:J31)</f>
        <v>0</v>
      </c>
      <c r="K32" s="471"/>
      <c r="L32" s="6" t="e">
        <f>J32/E25</f>
        <v>#REF!</v>
      </c>
    </row>
    <row r="33" spans="1:11">
      <c r="A33" s="463"/>
      <c r="B33" s="566"/>
      <c r="C33" s="539"/>
      <c r="D33" s="539"/>
      <c r="E33" s="567"/>
      <c r="F33" s="568"/>
      <c r="G33" s="519"/>
      <c r="H33" s="519"/>
      <c r="I33" s="542"/>
      <c r="J33" s="567"/>
      <c r="K33" s="471"/>
    </row>
    <row r="34" spans="1:11" ht="20.399999999999999">
      <c r="A34" s="463"/>
      <c r="B34" s="1493" t="s">
        <v>955</v>
      </c>
      <c r="C34" s="1494"/>
      <c r="D34" s="1494"/>
      <c r="E34" s="1494"/>
      <c r="F34" s="1495"/>
      <c r="G34" s="569" t="s">
        <v>372</v>
      </c>
      <c r="H34" s="519" t="s">
        <v>956</v>
      </c>
      <c r="I34" s="570" t="s">
        <v>942</v>
      </c>
      <c r="J34" s="522" t="s">
        <v>363</v>
      </c>
      <c r="K34" s="471"/>
    </row>
    <row r="35" spans="1:11">
      <c r="A35" s="463"/>
      <c r="B35" s="571"/>
      <c r="C35" s="572"/>
      <c r="D35" s="573"/>
      <c r="E35" s="573"/>
      <c r="F35" s="574"/>
      <c r="G35" s="502"/>
      <c r="H35" s="502"/>
      <c r="I35" s="575"/>
      <c r="J35" s="505"/>
      <c r="K35" s="471"/>
    </row>
    <row r="36" spans="1:11">
      <c r="A36" s="463"/>
      <c r="B36" s="576"/>
      <c r="C36" s="577"/>
      <c r="D36" s="578"/>
      <c r="E36" s="578"/>
      <c r="F36" s="579"/>
      <c r="G36" s="502"/>
      <c r="H36" s="502"/>
      <c r="I36" s="575"/>
      <c r="J36" s="505"/>
      <c r="K36" s="471"/>
    </row>
    <row r="37" spans="1:11">
      <c r="A37" s="463"/>
      <c r="B37" s="1496" t="s">
        <v>175</v>
      </c>
      <c r="C37" s="1496"/>
      <c r="D37" s="1496"/>
      <c r="E37" s="1496"/>
      <c r="F37" s="1496"/>
      <c r="G37" s="1496"/>
      <c r="H37" s="1496"/>
      <c r="I37" s="1496"/>
      <c r="J37" s="514">
        <f>SUM(J35:J36)</f>
        <v>0</v>
      </c>
      <c r="K37" s="471"/>
    </row>
    <row r="38" spans="1:11">
      <c r="A38" s="463"/>
      <c r="B38" s="580"/>
      <c r="C38" s="524"/>
      <c r="D38" s="524"/>
      <c r="E38" s="581"/>
      <c r="F38" s="582"/>
      <c r="G38" s="583"/>
      <c r="H38" s="583"/>
      <c r="I38" s="584"/>
      <c r="J38" s="585"/>
      <c r="K38" s="471"/>
    </row>
    <row r="39" spans="1:11">
      <c r="A39" s="463"/>
      <c r="B39" s="586" t="s">
        <v>957</v>
      </c>
      <c r="C39" s="586"/>
      <c r="D39" s="563"/>
      <c r="E39" s="536"/>
      <c r="F39" s="536"/>
      <c r="G39" s="536"/>
      <c r="H39" s="587"/>
      <c r="I39" s="588"/>
      <c r="J39" s="514" t="e">
        <f>(J25+J32+J37)/E25</f>
        <v>#REF!</v>
      </c>
      <c r="K39" s="471"/>
    </row>
    <row r="40" spans="1:11">
      <c r="A40" s="463"/>
      <c r="B40" s="566"/>
      <c r="C40" s="539"/>
      <c r="D40" s="539"/>
      <c r="E40" s="567"/>
      <c r="F40" s="568"/>
      <c r="G40" s="519"/>
      <c r="H40" s="519"/>
      <c r="I40" s="542"/>
      <c r="J40" s="589"/>
      <c r="K40" s="471"/>
    </row>
    <row r="41" spans="1:11" ht="20.399999999999999">
      <c r="A41" s="463"/>
      <c r="B41" s="1493" t="s">
        <v>958</v>
      </c>
      <c r="C41" s="1494"/>
      <c r="D41" s="1494"/>
      <c r="E41" s="1494"/>
      <c r="F41" s="1495"/>
      <c r="G41" s="569" t="s">
        <v>372</v>
      </c>
      <c r="H41" s="519" t="s">
        <v>956</v>
      </c>
      <c r="I41" s="570" t="s">
        <v>942</v>
      </c>
      <c r="J41" s="522" t="s">
        <v>363</v>
      </c>
      <c r="K41" s="471"/>
    </row>
    <row r="42" spans="1:11">
      <c r="A42" s="463"/>
      <c r="B42" s="571" t="s">
        <v>1019</v>
      </c>
      <c r="C42" s="572"/>
      <c r="D42" s="573"/>
      <c r="E42" s="573"/>
      <c r="F42" s="574"/>
      <c r="G42" s="502">
        <v>1.05</v>
      </c>
      <c r="H42" s="502" t="s">
        <v>225</v>
      </c>
      <c r="I42" s="575"/>
      <c r="J42" s="505">
        <f>G42*I42</f>
        <v>0</v>
      </c>
      <c r="K42" s="471"/>
    </row>
    <row r="43" spans="1:11">
      <c r="A43" s="463"/>
      <c r="B43" s="576" t="s">
        <v>1002</v>
      </c>
      <c r="C43" s="577"/>
      <c r="D43" s="578"/>
      <c r="E43" s="578"/>
      <c r="F43" s="579"/>
      <c r="G43" s="502">
        <f>50/1000</f>
        <v>0.05</v>
      </c>
      <c r="H43" s="502" t="s">
        <v>990</v>
      </c>
      <c r="I43" s="575">
        <v>10</v>
      </c>
      <c r="J43" s="505">
        <f>G43*I43</f>
        <v>0.5</v>
      </c>
      <c r="K43" s="471"/>
    </row>
    <row r="44" spans="1:11">
      <c r="A44" s="463"/>
      <c r="B44" s="576"/>
      <c r="C44" s="577"/>
      <c r="D44" s="578"/>
      <c r="E44" s="578"/>
      <c r="F44" s="579"/>
      <c r="G44" s="502"/>
      <c r="H44" s="502"/>
      <c r="I44" s="575"/>
      <c r="J44" s="505">
        <f>G44*I44</f>
        <v>0</v>
      </c>
      <c r="K44" s="471"/>
    </row>
    <row r="45" spans="1:11">
      <c r="A45" s="463"/>
      <c r="B45" s="590"/>
      <c r="C45" s="591"/>
      <c r="D45" s="592"/>
      <c r="E45" s="592"/>
      <c r="F45" s="593"/>
      <c r="G45" s="502"/>
      <c r="H45" s="502"/>
      <c r="I45" s="575"/>
      <c r="J45" s="505">
        <f>G45*I45</f>
        <v>0</v>
      </c>
      <c r="K45" s="471"/>
    </row>
    <row r="46" spans="1:11">
      <c r="A46" s="463"/>
      <c r="B46" s="594"/>
      <c r="C46" s="536"/>
      <c r="D46" s="536"/>
      <c r="E46" s="595"/>
      <c r="F46" s="596"/>
      <c r="G46" s="545"/>
      <c r="H46" s="545"/>
      <c r="I46" s="537" t="s">
        <v>175</v>
      </c>
      <c r="J46" s="514">
        <f>SUM(J42:J45)</f>
        <v>0.5</v>
      </c>
      <c r="K46" s="471"/>
    </row>
    <row r="47" spans="1:11">
      <c r="A47" s="463"/>
      <c r="B47" s="597"/>
      <c r="C47" s="536"/>
      <c r="D47" s="536"/>
      <c r="E47" s="595"/>
      <c r="F47" s="596"/>
      <c r="G47" s="545"/>
      <c r="H47" s="545"/>
      <c r="I47" s="537"/>
      <c r="J47" s="595"/>
      <c r="K47" s="471"/>
    </row>
    <row r="48" spans="1:11" ht="20.399999999999999">
      <c r="A48" s="463"/>
      <c r="B48" s="1493" t="s">
        <v>959</v>
      </c>
      <c r="C48" s="1494"/>
      <c r="D48" s="1494"/>
      <c r="E48" s="1494"/>
      <c r="F48" s="1495"/>
      <c r="G48" s="600" t="s">
        <v>372</v>
      </c>
      <c r="H48" s="1493" t="s">
        <v>942</v>
      </c>
      <c r="I48" s="1495"/>
      <c r="J48" s="522" t="s">
        <v>363</v>
      </c>
      <c r="K48" s="471"/>
    </row>
    <row r="49" spans="1:11">
      <c r="A49" s="463"/>
      <c r="B49" s="1734"/>
      <c r="C49" s="1735"/>
      <c r="D49" s="1735"/>
      <c r="E49" s="1735"/>
      <c r="F49" s="1736"/>
      <c r="G49" s="502"/>
      <c r="H49" s="1737"/>
      <c r="I49" s="1738"/>
      <c r="J49" s="505"/>
      <c r="K49" s="471"/>
    </row>
    <row r="50" spans="1:11">
      <c r="A50" s="463"/>
      <c r="B50" s="1739"/>
      <c r="C50" s="1740"/>
      <c r="D50" s="1740"/>
      <c r="E50" s="1740"/>
      <c r="F50" s="1741"/>
      <c r="G50" s="509"/>
      <c r="H50" s="1742"/>
      <c r="I50" s="1743"/>
      <c r="J50" s="505"/>
      <c r="K50" s="471"/>
    </row>
    <row r="51" spans="1:11">
      <c r="A51" s="463"/>
      <c r="B51" s="594"/>
      <c r="C51" s="536"/>
      <c r="D51" s="536"/>
      <c r="E51" s="595"/>
      <c r="F51" s="596"/>
      <c r="G51" s="545"/>
      <c r="H51" s="545"/>
      <c r="I51" s="537" t="s">
        <v>175</v>
      </c>
      <c r="J51" s="514">
        <f>SUM(J49:J50)</f>
        <v>0</v>
      </c>
      <c r="K51" s="471"/>
    </row>
    <row r="52" spans="1:11">
      <c r="A52" s="463"/>
      <c r="B52" s="536"/>
      <c r="C52" s="536"/>
      <c r="D52" s="536"/>
      <c r="E52" s="536"/>
      <c r="F52" s="536"/>
      <c r="G52" s="536"/>
      <c r="H52" s="536"/>
      <c r="I52" s="537"/>
      <c r="J52" s="536"/>
      <c r="K52" s="471"/>
    </row>
    <row r="53" spans="1:11">
      <c r="A53" s="463"/>
      <c r="B53" s="1481" t="s">
        <v>961</v>
      </c>
      <c r="C53" s="1482"/>
      <c r="D53" s="1482"/>
      <c r="E53" s="1482"/>
      <c r="F53" s="1482"/>
      <c r="G53" s="1482"/>
      <c r="H53" s="1482"/>
      <c r="I53" s="1483"/>
      <c r="J53" s="586" t="e">
        <f>J51+J46+J39</f>
        <v>#REF!</v>
      </c>
      <c r="K53" s="471"/>
    </row>
    <row r="54" spans="1:11">
      <c r="A54" s="463"/>
      <c r="B54" s="536"/>
      <c r="C54" s="536"/>
      <c r="D54" s="536"/>
      <c r="E54" s="536"/>
      <c r="F54" s="536"/>
      <c r="G54" s="536"/>
      <c r="H54" s="536"/>
      <c r="I54" s="537"/>
      <c r="J54" s="536"/>
      <c r="K54" s="471"/>
    </row>
    <row r="55" spans="1:11">
      <c r="A55" s="463"/>
      <c r="B55" s="1481" t="s">
        <v>962</v>
      </c>
      <c r="C55" s="1482"/>
      <c r="D55" s="1482"/>
      <c r="E55" s="1482"/>
      <c r="F55" s="1482"/>
      <c r="G55" s="1482"/>
      <c r="H55" s="1482"/>
      <c r="I55" s="1483"/>
      <c r="J55" s="514" t="e">
        <f>J53*0</f>
        <v>#REF!</v>
      </c>
      <c r="K55" s="471"/>
    </row>
    <row r="56" spans="1:11">
      <c r="A56" s="463"/>
      <c r="B56" s="536"/>
      <c r="C56" s="536"/>
      <c r="D56" s="536"/>
      <c r="E56" s="536"/>
      <c r="F56" s="536"/>
      <c r="G56" s="536"/>
      <c r="H56" s="536"/>
      <c r="I56" s="537"/>
      <c r="J56" s="536"/>
      <c r="K56" s="471"/>
    </row>
    <row r="57" spans="1:11">
      <c r="A57" s="463"/>
      <c r="B57" s="1481" t="s">
        <v>963</v>
      </c>
      <c r="C57" s="1482"/>
      <c r="D57" s="1482"/>
      <c r="E57" s="1482"/>
      <c r="F57" s="1482"/>
      <c r="G57" s="1482"/>
      <c r="H57" s="1482"/>
      <c r="I57" s="1483"/>
      <c r="J57" s="586" t="e">
        <f>J53+J55</f>
        <v>#REF!</v>
      </c>
      <c r="K57" s="471"/>
    </row>
    <row r="58" spans="1:11">
      <c r="A58" s="463"/>
      <c r="B58" s="524"/>
      <c r="C58" s="524"/>
      <c r="D58" s="524"/>
      <c r="E58" s="524"/>
      <c r="F58" s="524"/>
      <c r="G58" s="524"/>
      <c r="H58" s="524"/>
      <c r="I58" s="584"/>
      <c r="J58" s="524"/>
      <c r="K58" s="471"/>
    </row>
    <row r="59" spans="1:11">
      <c r="A59" s="463"/>
      <c r="B59" s="602"/>
      <c r="C59" s="572"/>
      <c r="D59" s="572"/>
      <c r="E59" s="572"/>
      <c r="F59" s="572"/>
      <c r="G59" s="572"/>
      <c r="H59" s="572"/>
      <c r="I59" s="572"/>
      <c r="J59" s="603"/>
      <c r="K59" s="471"/>
    </row>
    <row r="60" spans="1:11">
      <c r="A60" s="463"/>
      <c r="B60" s="604"/>
      <c r="C60" s="605"/>
      <c r="D60" s="606"/>
      <c r="E60" s="606"/>
      <c r="F60" s="607" t="s">
        <v>946</v>
      </c>
      <c r="G60" s="608" t="s">
        <v>946</v>
      </c>
      <c r="H60" s="605"/>
      <c r="I60" s="605"/>
      <c r="J60" s="609"/>
      <c r="K60" s="471"/>
    </row>
    <row r="61" spans="1:11">
      <c r="A61" s="463"/>
      <c r="B61" s="472"/>
      <c r="C61" s="472"/>
      <c r="D61" s="472"/>
      <c r="E61" s="472"/>
      <c r="F61" s="472"/>
      <c r="G61" s="472"/>
      <c r="H61" s="472"/>
      <c r="I61" s="472"/>
      <c r="J61" s="472"/>
      <c r="K61" s="471"/>
    </row>
    <row r="62" spans="1:11">
      <c r="A62" s="463"/>
      <c r="B62" s="610" t="str">
        <f>PLANEJAMENTO!$F$2</f>
        <v>OPERAÇÃO DE SUPRESSÃO E SUMP</v>
      </c>
      <c r="C62" s="611"/>
      <c r="D62" s="611"/>
      <c r="E62" s="611"/>
      <c r="F62" s="612"/>
      <c r="G62" s="613" t="s">
        <v>363</v>
      </c>
      <c r="H62" s="515"/>
      <c r="I62" s="515"/>
      <c r="J62" s="518"/>
      <c r="K62" s="471"/>
    </row>
    <row r="63" spans="1:11">
      <c r="A63" s="463"/>
      <c r="B63" s="614" t="str">
        <f>PLANEJAMENTO!$F$3</f>
        <v>MARA ROSA</v>
      </c>
      <c r="C63" s="615"/>
      <c r="D63" s="615"/>
      <c r="E63" s="615"/>
      <c r="F63" s="616"/>
      <c r="G63" s="1484" t="s">
        <v>964</v>
      </c>
      <c r="H63" s="1485"/>
      <c r="I63" s="1485"/>
      <c r="J63" s="1486"/>
      <c r="K63" s="471"/>
    </row>
    <row r="64" spans="1:11">
      <c r="A64" s="463"/>
      <c r="B64" s="617"/>
      <c r="C64" s="618"/>
      <c r="D64" s="618"/>
      <c r="E64" s="618"/>
      <c r="F64" s="619"/>
      <c r="G64" s="620"/>
      <c r="H64" s="1487"/>
      <c r="I64" s="1488"/>
      <c r="J64" s="1489"/>
      <c r="K64" s="471"/>
    </row>
    <row r="65" spans="1:11" ht="15" thickBot="1">
      <c r="A65" s="621"/>
      <c r="B65" s="622"/>
      <c r="C65" s="622"/>
      <c r="D65" s="622"/>
      <c r="E65" s="622"/>
      <c r="F65" s="622"/>
      <c r="G65" s="622"/>
      <c r="H65" s="622"/>
      <c r="I65" s="622"/>
      <c r="J65" s="622"/>
      <c r="K65" s="623"/>
    </row>
    <row r="66" spans="1:11">
      <c r="A66" s="460"/>
      <c r="B66" s="461"/>
      <c r="C66" s="461"/>
      <c r="D66" s="461"/>
      <c r="E66" s="461"/>
      <c r="F66" s="461"/>
      <c r="G66" s="461"/>
      <c r="H66" s="461"/>
      <c r="I66" s="461"/>
      <c r="J66" s="461"/>
      <c r="K66" s="462"/>
    </row>
    <row r="67" spans="1:11">
      <c r="A67" s="463"/>
      <c r="B67" s="464" t="s">
        <v>178</v>
      </c>
      <c r="C67" s="465"/>
      <c r="D67" s="466" t="s">
        <v>936</v>
      </c>
      <c r="E67" s="467"/>
      <c r="F67" s="468"/>
      <c r="G67" s="468"/>
      <c r="H67" s="469"/>
      <c r="I67" s="469"/>
      <c r="J67" s="470"/>
      <c r="K67" s="471"/>
    </row>
    <row r="68" spans="1:11">
      <c r="A68" s="463"/>
      <c r="B68" s="472"/>
      <c r="C68" s="472"/>
      <c r="D68" s="472"/>
      <c r="E68" s="472"/>
      <c r="F68" s="472"/>
      <c r="G68" s="472"/>
      <c r="H68" s="472"/>
      <c r="I68" s="472"/>
      <c r="J68" s="472"/>
      <c r="K68" s="471"/>
    </row>
    <row r="69" spans="1:11">
      <c r="A69" s="463"/>
      <c r="B69" s="473" t="s">
        <v>688</v>
      </c>
      <c r="C69" s="474" t="s">
        <v>937</v>
      </c>
      <c r="D69" s="1497" t="s">
        <v>250</v>
      </c>
      <c r="E69" s="1498"/>
      <c r="F69" s="1498"/>
      <c r="G69" s="1498"/>
      <c r="H69" s="1498"/>
      <c r="I69" s="1499"/>
      <c r="J69" s="475" t="s">
        <v>267</v>
      </c>
      <c r="K69" s="471"/>
    </row>
    <row r="70" spans="1:11" ht="22.5" customHeight="1">
      <c r="A70" s="463"/>
      <c r="B70" s="476" t="s">
        <v>3</v>
      </c>
      <c r="C70" s="477">
        <f ca="1">PLANEJAMENTO!$F$4</f>
        <v>46140</v>
      </c>
      <c r="D70" s="1721" t="s">
        <v>1020</v>
      </c>
      <c r="E70" s="1722"/>
      <c r="F70" s="1722"/>
      <c r="G70" s="1722"/>
      <c r="H70" s="1722"/>
      <c r="I70" s="1723"/>
      <c r="J70" s="481" t="str">
        <f>F90</f>
        <v>m</v>
      </c>
      <c r="K70" s="471"/>
    </row>
    <row r="71" spans="1:11" ht="13.5" customHeight="1">
      <c r="A71" s="463"/>
      <c r="B71" s="482"/>
      <c r="C71" s="482"/>
      <c r="D71" s="482"/>
      <c r="E71" s="482"/>
      <c r="F71" s="482"/>
      <c r="G71" s="482"/>
      <c r="H71" s="482"/>
      <c r="I71" s="483"/>
      <c r="J71" s="484"/>
      <c r="K71" s="471"/>
    </row>
    <row r="72" spans="1:11">
      <c r="A72" s="463"/>
      <c r="B72" s="1484" t="s">
        <v>938</v>
      </c>
      <c r="C72" s="1486"/>
      <c r="D72" s="1502" t="s">
        <v>688</v>
      </c>
      <c r="E72" s="1504" t="s">
        <v>939</v>
      </c>
      <c r="F72" s="485" t="s">
        <v>940</v>
      </c>
      <c r="G72" s="486"/>
      <c r="H72" s="485" t="s">
        <v>941</v>
      </c>
      <c r="I72" s="486"/>
      <c r="J72" s="487" t="s">
        <v>942</v>
      </c>
      <c r="K72" s="471"/>
    </row>
    <row r="73" spans="1:11">
      <c r="A73" s="463"/>
      <c r="B73" s="1500"/>
      <c r="C73" s="1501"/>
      <c r="D73" s="1503"/>
      <c r="E73" s="1505"/>
      <c r="F73" s="488" t="s">
        <v>943</v>
      </c>
      <c r="G73" s="488" t="s">
        <v>944</v>
      </c>
      <c r="H73" s="488" t="s">
        <v>943</v>
      </c>
      <c r="I73" s="489" t="s">
        <v>944</v>
      </c>
      <c r="J73" s="490" t="s">
        <v>945</v>
      </c>
      <c r="K73" s="471"/>
    </row>
    <row r="74" spans="1:11">
      <c r="A74" s="463"/>
      <c r="B74" s="499" t="s">
        <v>659</v>
      </c>
      <c r="C74" s="500"/>
      <c r="D74" s="501"/>
      <c r="E74" s="502"/>
      <c r="F74" s="502">
        <v>1</v>
      </c>
      <c r="G74" s="502">
        <f>1-F74</f>
        <v>0</v>
      </c>
      <c r="H74" s="503">
        <f>VLOOKUP(B74,EQUIPAMENTOS!$A:$J,10,FALSE)</f>
        <v>10</v>
      </c>
      <c r="I74" s="504">
        <f>H74</f>
        <v>10</v>
      </c>
      <c r="J74" s="505">
        <f>H74*F74*E74+I74*G74*E74</f>
        <v>0</v>
      </c>
      <c r="K74" s="471"/>
    </row>
    <row r="75" spans="1:11">
      <c r="A75" s="463"/>
      <c r="B75" s="499" t="s">
        <v>651</v>
      </c>
      <c r="C75" s="500"/>
      <c r="D75" s="501"/>
      <c r="E75" s="502">
        <v>1</v>
      </c>
      <c r="F75" s="502">
        <v>1</v>
      </c>
      <c r="G75" s="502">
        <f>1-F75</f>
        <v>0</v>
      </c>
      <c r="H75" s="503">
        <f>VLOOKUP(B75,EQUIPAMENTOS!$A:$J,10,FALSE)</f>
        <v>63.777777777777779</v>
      </c>
      <c r="I75" s="504">
        <f>H75</f>
        <v>63.777777777777779</v>
      </c>
      <c r="J75" s="505">
        <f>H75*F75*E75+I75*G75*E75</f>
        <v>63.777777777777779</v>
      </c>
      <c r="K75" s="471"/>
    </row>
    <row r="76" spans="1:11">
      <c r="A76" s="463"/>
      <c r="B76" s="499"/>
      <c r="C76" s="500"/>
      <c r="D76" s="501"/>
      <c r="E76" s="502"/>
      <c r="F76" s="502"/>
      <c r="G76" s="502"/>
      <c r="H76" s="503"/>
      <c r="I76" s="504"/>
      <c r="J76" s="505">
        <f>H76*F76*E76+I76*G76*E76</f>
        <v>0</v>
      </c>
      <c r="K76" s="471"/>
    </row>
    <row r="77" spans="1:11">
      <c r="A77" s="463"/>
      <c r="B77" s="499"/>
      <c r="C77" s="500"/>
      <c r="D77" s="501"/>
      <c r="E77" s="502"/>
      <c r="F77" s="502"/>
      <c r="G77" s="502"/>
      <c r="H77" s="503"/>
      <c r="I77" s="504"/>
      <c r="J77" s="505">
        <f>H77*F77*E77+I77*G77*E77</f>
        <v>0</v>
      </c>
      <c r="K77" s="471"/>
    </row>
    <row r="78" spans="1:11">
      <c r="A78" s="463"/>
      <c r="B78" s="506"/>
      <c r="C78" s="507"/>
      <c r="D78" s="508"/>
      <c r="E78" s="509"/>
      <c r="F78" s="509"/>
      <c r="G78" s="509"/>
      <c r="H78" s="510"/>
      <c r="I78" s="511"/>
      <c r="J78" s="505">
        <f>H78*F78*E78+I78*G78*E78</f>
        <v>0</v>
      </c>
      <c r="K78" s="471"/>
    </row>
    <row r="79" spans="1:11">
      <c r="A79" s="463"/>
      <c r="B79" s="512" t="s">
        <v>946</v>
      </c>
      <c r="C79" s="482"/>
      <c r="D79" s="482"/>
      <c r="E79" s="482"/>
      <c r="F79" s="482"/>
      <c r="G79" s="482"/>
      <c r="H79" s="482"/>
      <c r="I79" s="513" t="s">
        <v>175</v>
      </c>
      <c r="J79" s="514">
        <f>SUM(J74:J78)</f>
        <v>63.777777777777779</v>
      </c>
      <c r="K79" s="471"/>
    </row>
    <row r="80" spans="1:11">
      <c r="A80" s="463"/>
      <c r="B80" s="515"/>
      <c r="C80" s="515"/>
      <c r="D80" s="515"/>
      <c r="E80" s="515"/>
      <c r="F80" s="515"/>
      <c r="G80" s="515"/>
      <c r="H80" s="515"/>
      <c r="I80" s="516"/>
      <c r="J80" s="517"/>
      <c r="K80" s="471"/>
    </row>
    <row r="81" spans="1:11" ht="20.399999999999999">
      <c r="A81" s="463"/>
      <c r="B81" s="1490" t="s">
        <v>947</v>
      </c>
      <c r="C81" s="1491"/>
      <c r="D81" s="1491"/>
      <c r="E81" s="1492"/>
      <c r="F81" s="518" t="s">
        <v>688</v>
      </c>
      <c r="G81" s="519"/>
      <c r="H81" s="520" t="s">
        <v>427</v>
      </c>
      <c r="I81" s="521" t="s">
        <v>948</v>
      </c>
      <c r="J81" s="522" t="s">
        <v>949</v>
      </c>
      <c r="K81" s="471"/>
    </row>
    <row r="82" spans="1:11">
      <c r="A82" s="463"/>
      <c r="B82" s="523"/>
      <c r="C82" s="524"/>
      <c r="D82" s="525"/>
      <c r="E82" s="526"/>
      <c r="F82" s="527"/>
      <c r="G82" s="528"/>
      <c r="H82" s="529"/>
      <c r="I82" s="497"/>
      <c r="J82" s="498"/>
      <c r="K82" s="471"/>
    </row>
    <row r="83" spans="1:11">
      <c r="A83" s="463"/>
      <c r="B83" s="530" t="s">
        <v>1000</v>
      </c>
      <c r="C83" s="531"/>
      <c r="D83" s="472"/>
      <c r="E83" s="500"/>
      <c r="F83" s="501"/>
      <c r="G83" s="532"/>
      <c r="H83" s="533">
        <v>1</v>
      </c>
      <c r="I83" s="534">
        <f>VLOOKUP(B83,'MÃO DE OBRA'!$A:$E,5,FALSE)/220</f>
        <v>19.055000000000003</v>
      </c>
      <c r="J83" s="505">
        <f>H83*I83</f>
        <v>19.055000000000003</v>
      </c>
      <c r="K83" s="471"/>
    </row>
    <row r="84" spans="1:11">
      <c r="A84" s="463"/>
      <c r="B84" s="530" t="s">
        <v>472</v>
      </c>
      <c r="C84" s="531"/>
      <c r="D84" s="472"/>
      <c r="E84" s="500"/>
      <c r="F84" s="501"/>
      <c r="G84" s="532"/>
      <c r="H84" s="533">
        <v>3</v>
      </c>
      <c r="I84" s="534">
        <f>VLOOKUP(B84,'MÃO DE OBRA'!$A:$E,5,FALSE)/220</f>
        <v>18.377072727272729</v>
      </c>
      <c r="J84" s="505">
        <f>H84*I84</f>
        <v>55.131218181818184</v>
      </c>
      <c r="K84" s="471"/>
    </row>
    <row r="85" spans="1:11">
      <c r="A85" s="463"/>
      <c r="B85" s="530" t="s">
        <v>1053</v>
      </c>
      <c r="C85" s="531"/>
      <c r="D85" s="472"/>
      <c r="E85" s="500"/>
      <c r="F85" s="501"/>
      <c r="G85" s="532"/>
      <c r="H85" s="533">
        <f>E75</f>
        <v>1</v>
      </c>
      <c r="I85" s="534">
        <f>VLOOKUP(B85,'MÃO DE OBRA'!$A:$E,5,FALSE)/220</f>
        <v>26.3474</v>
      </c>
      <c r="J85" s="505">
        <f>H85*I85</f>
        <v>26.3474</v>
      </c>
      <c r="K85" s="471"/>
    </row>
    <row r="86" spans="1:11">
      <c r="A86" s="463"/>
      <c r="B86" s="530"/>
      <c r="C86" s="531"/>
      <c r="D86" s="472"/>
      <c r="E86" s="500"/>
      <c r="F86" s="501"/>
      <c r="G86" s="532"/>
      <c r="H86" s="533"/>
      <c r="I86" s="504"/>
      <c r="J86" s="505"/>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f>SUM(J82:J87)</f>
        <v>100.53361818181818</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225</v>
      </c>
      <c r="G90" s="519"/>
      <c r="H90" s="519"/>
      <c r="I90" s="542" t="s">
        <v>953</v>
      </c>
      <c r="J90" s="514">
        <f>J79+J88</f>
        <v>164.31139595959596</v>
      </c>
      <c r="K90" s="471"/>
    </row>
    <row r="91" spans="1:11">
      <c r="A91" s="463"/>
      <c r="B91" s="543"/>
      <c r="C91" s="536"/>
      <c r="D91" s="536"/>
      <c r="E91" s="544"/>
      <c r="F91" s="545"/>
      <c r="G91" s="545"/>
      <c r="H91" s="545"/>
      <c r="I91" s="537"/>
      <c r="J91" s="536"/>
      <c r="K91" s="471"/>
    </row>
    <row r="92" spans="1:11" ht="20.399999999999999">
      <c r="A92" s="463"/>
      <c r="B92" s="1493" t="s">
        <v>362</v>
      </c>
      <c r="C92" s="1494"/>
      <c r="D92" s="1494"/>
      <c r="E92" s="1495"/>
      <c r="F92" s="546" t="s">
        <v>688</v>
      </c>
      <c r="G92" s="547" t="s">
        <v>371</v>
      </c>
      <c r="H92" s="520" t="s">
        <v>942</v>
      </c>
      <c r="I92" s="548" t="s">
        <v>361</v>
      </c>
      <c r="J92" s="549" t="s">
        <v>363</v>
      </c>
      <c r="K92" s="471"/>
    </row>
    <row r="93" spans="1:11">
      <c r="A93" s="463"/>
      <c r="B93" s="550" t="str">
        <f>B74</f>
        <v>Sapo compactador</v>
      </c>
      <c r="C93" s="531"/>
      <c r="D93" s="531"/>
      <c r="E93" s="500"/>
      <c r="F93" s="553" t="str">
        <f>VLOOKUP(B93,EQUIPAMENTOS!$A:$N,12,FALSE)</f>
        <v>Gasolina</v>
      </c>
      <c r="G93" s="554" t="s">
        <v>415</v>
      </c>
      <c r="H93" s="560">
        <f>VLOOKUP(B93,EQUIPAMENTOS!$A:$N,13,FALSE)</f>
        <v>6.59</v>
      </c>
      <c r="I93" s="556">
        <f>VLOOKUP(B93,EQUIPAMENTOS!$A:$N,14,FALSE)</f>
        <v>3</v>
      </c>
      <c r="J93" s="505">
        <f>H93*I93*E74*F74</f>
        <v>0</v>
      </c>
      <c r="K93" s="471"/>
    </row>
    <row r="94" spans="1:11">
      <c r="A94" s="463"/>
      <c r="B94" s="550" t="str">
        <f>B75</f>
        <v>Retroescavadeira</v>
      </c>
      <c r="C94" s="531"/>
      <c r="D94" s="531"/>
      <c r="E94" s="500"/>
      <c r="F94" s="553" t="str">
        <f>VLOOKUP(B94,EQUIPAMENTOS!$A:$N,12,FALSE)</f>
        <v>Diesel S10</v>
      </c>
      <c r="G94" s="554" t="s">
        <v>415</v>
      </c>
      <c r="H94" s="560">
        <f>VLOOKUP(B94,EQUIPAMENTOS!$A:$N,13,FALSE)</f>
        <v>0</v>
      </c>
      <c r="I94" s="556">
        <f>VLOOKUP(B94,EQUIPAMENTOS!$A:$N,14,FALSE)</f>
        <v>16</v>
      </c>
      <c r="J94" s="505">
        <f>H94*I94*E75*F75</f>
        <v>0</v>
      </c>
      <c r="K94" s="471"/>
    </row>
    <row r="95" spans="1:11">
      <c r="A95" s="463"/>
      <c r="B95" s="530"/>
      <c r="C95" s="531"/>
      <c r="D95" s="531"/>
      <c r="E95" s="500"/>
      <c r="F95" s="501"/>
      <c r="G95" s="559"/>
      <c r="H95" s="560"/>
      <c r="I95" s="556"/>
      <c r="J95" s="505">
        <f>H95*I95*E76*F76</f>
        <v>0</v>
      </c>
      <c r="K95" s="471"/>
    </row>
    <row r="96" spans="1:11">
      <c r="A96" s="463"/>
      <c r="B96" s="530"/>
      <c r="C96" s="539"/>
      <c r="D96" s="539"/>
      <c r="E96" s="507"/>
      <c r="F96" s="501"/>
      <c r="G96" s="481"/>
      <c r="H96" s="560"/>
      <c r="I96" s="561"/>
      <c r="J96" s="505">
        <f>H96*I96*E77*F77</f>
        <v>0</v>
      </c>
      <c r="K96" s="471"/>
    </row>
    <row r="97" spans="1:12">
      <c r="A97" s="463"/>
      <c r="B97" s="563" t="s">
        <v>946</v>
      </c>
      <c r="C97" s="539"/>
      <c r="D97" s="539"/>
      <c r="E97" s="539"/>
      <c r="F97" s="536"/>
      <c r="G97" s="539"/>
      <c r="H97" s="564"/>
      <c r="I97" s="565" t="s">
        <v>175</v>
      </c>
      <c r="J97" s="514">
        <f>SUM(J93:J96)</f>
        <v>0</v>
      </c>
      <c r="K97" s="471"/>
      <c r="L97" s="6" t="e">
        <f>J97/E90</f>
        <v>#REF!</v>
      </c>
    </row>
    <row r="98" spans="1:12">
      <c r="A98" s="463"/>
      <c r="B98" s="566"/>
      <c r="C98" s="539"/>
      <c r="D98" s="539"/>
      <c r="E98" s="567"/>
      <c r="F98" s="568"/>
      <c r="G98" s="519"/>
      <c r="H98" s="519"/>
      <c r="I98" s="542"/>
      <c r="J98" s="567"/>
      <c r="K98" s="471"/>
    </row>
    <row r="99" spans="1:12" ht="20.399999999999999">
      <c r="A99" s="463"/>
      <c r="B99" s="1493" t="s">
        <v>955</v>
      </c>
      <c r="C99" s="1494"/>
      <c r="D99" s="1494"/>
      <c r="E99" s="1494"/>
      <c r="F99" s="1495"/>
      <c r="G99" s="569" t="s">
        <v>372</v>
      </c>
      <c r="H99" s="519" t="s">
        <v>956</v>
      </c>
      <c r="I99" s="570" t="s">
        <v>942</v>
      </c>
      <c r="J99" s="522" t="s">
        <v>363</v>
      </c>
      <c r="K99" s="471"/>
    </row>
    <row r="100" spans="1:12">
      <c r="A100" s="463"/>
      <c r="B100" s="571"/>
      <c r="C100" s="572"/>
      <c r="D100" s="573"/>
      <c r="E100" s="573"/>
      <c r="F100" s="574"/>
      <c r="G100" s="502"/>
      <c r="H100" s="502"/>
      <c r="I100" s="575"/>
      <c r="J100" s="505"/>
      <c r="K100" s="471"/>
    </row>
    <row r="101" spans="1:12">
      <c r="A101" s="463"/>
      <c r="B101" s="576"/>
      <c r="C101" s="577"/>
      <c r="D101" s="578"/>
      <c r="E101" s="578"/>
      <c r="F101" s="579"/>
      <c r="G101" s="502"/>
      <c r="H101" s="502"/>
      <c r="I101" s="575"/>
      <c r="J101" s="505"/>
      <c r="K101" s="471"/>
    </row>
    <row r="102" spans="1:12">
      <c r="A102" s="463"/>
      <c r="B102" s="1496" t="s">
        <v>175</v>
      </c>
      <c r="C102" s="1496"/>
      <c r="D102" s="1496"/>
      <c r="E102" s="1496"/>
      <c r="F102" s="1496"/>
      <c r="G102" s="1496"/>
      <c r="H102" s="1496"/>
      <c r="I102" s="1496"/>
      <c r="J102" s="514">
        <f>SUM(J100:J101)</f>
        <v>0</v>
      </c>
      <c r="K102" s="471"/>
    </row>
    <row r="103" spans="1:12">
      <c r="A103" s="463"/>
      <c r="B103" s="580"/>
      <c r="C103" s="524"/>
      <c r="D103" s="524"/>
      <c r="E103" s="581"/>
      <c r="F103" s="582"/>
      <c r="G103" s="583"/>
      <c r="H103" s="583"/>
      <c r="I103" s="584"/>
      <c r="J103" s="585"/>
      <c r="K103" s="471"/>
    </row>
    <row r="104" spans="1:12">
      <c r="A104" s="463"/>
      <c r="B104" s="586" t="s">
        <v>957</v>
      </c>
      <c r="C104" s="586"/>
      <c r="D104" s="563"/>
      <c r="E104" s="536"/>
      <c r="F104" s="536"/>
      <c r="G104" s="536"/>
      <c r="H104" s="587"/>
      <c r="I104" s="588"/>
      <c r="J104" s="514" t="e">
        <f>(J90+J97+J102)/E90</f>
        <v>#REF!</v>
      </c>
      <c r="K104" s="471"/>
    </row>
    <row r="105" spans="1:12">
      <c r="A105" s="463"/>
      <c r="B105" s="566"/>
      <c r="C105" s="539"/>
      <c r="D105" s="539"/>
      <c r="E105" s="567"/>
      <c r="F105" s="568"/>
      <c r="G105" s="519"/>
      <c r="H105" s="519"/>
      <c r="I105" s="542"/>
      <c r="J105" s="589"/>
      <c r="K105" s="471"/>
    </row>
    <row r="106" spans="1:12" ht="20.399999999999999">
      <c r="A106" s="463"/>
      <c r="B106" s="1493" t="s">
        <v>958</v>
      </c>
      <c r="C106" s="1494"/>
      <c r="D106" s="1494"/>
      <c r="E106" s="1494"/>
      <c r="F106" s="1495"/>
      <c r="G106" s="569" t="s">
        <v>372</v>
      </c>
      <c r="H106" s="519" t="s">
        <v>956</v>
      </c>
      <c r="I106" s="570" t="s">
        <v>942</v>
      </c>
      <c r="J106" s="522" t="s">
        <v>363</v>
      </c>
      <c r="K106" s="471"/>
    </row>
    <row r="107" spans="1:12">
      <c r="A107" s="463"/>
      <c r="B107" s="571" t="s">
        <v>1021</v>
      </c>
      <c r="C107" s="572"/>
      <c r="D107" s="573"/>
      <c r="E107" s="573"/>
      <c r="F107" s="574"/>
      <c r="G107" s="502">
        <v>1.05</v>
      </c>
      <c r="H107" s="502" t="s">
        <v>225</v>
      </c>
      <c r="I107" s="575"/>
      <c r="J107" s="505">
        <f>G107*I107</f>
        <v>0</v>
      </c>
      <c r="K107" s="471"/>
    </row>
    <row r="108" spans="1:12">
      <c r="A108" s="463"/>
      <c r="B108" s="576" t="s">
        <v>1002</v>
      </c>
      <c r="C108" s="577"/>
      <c r="D108" s="578"/>
      <c r="E108" s="578"/>
      <c r="F108" s="579"/>
      <c r="G108" s="502">
        <f>50/1000</f>
        <v>0.05</v>
      </c>
      <c r="H108" s="502" t="s">
        <v>990</v>
      </c>
      <c r="I108" s="575">
        <v>10</v>
      </c>
      <c r="J108" s="505">
        <f>G108*I108</f>
        <v>0.5</v>
      </c>
      <c r="K108" s="471"/>
    </row>
    <row r="109" spans="1:12">
      <c r="A109" s="463"/>
      <c r="B109" s="576"/>
      <c r="C109" s="577"/>
      <c r="D109" s="578"/>
      <c r="E109" s="578"/>
      <c r="F109" s="579"/>
      <c r="G109" s="502"/>
      <c r="H109" s="502"/>
      <c r="I109" s="575"/>
      <c r="J109" s="505"/>
      <c r="K109" s="471"/>
    </row>
    <row r="110" spans="1:12">
      <c r="A110" s="463"/>
      <c r="B110" s="590"/>
      <c r="C110" s="591"/>
      <c r="D110" s="592"/>
      <c r="E110" s="592"/>
      <c r="F110" s="593"/>
      <c r="G110" s="502"/>
      <c r="H110" s="502"/>
      <c r="I110" s="575"/>
      <c r="J110" s="505">
        <f>G110*I110</f>
        <v>0</v>
      </c>
      <c r="K110" s="471"/>
    </row>
    <row r="111" spans="1:12">
      <c r="A111" s="463"/>
      <c r="B111" s="594"/>
      <c r="C111" s="536"/>
      <c r="D111" s="536"/>
      <c r="E111" s="595"/>
      <c r="F111" s="596"/>
      <c r="G111" s="545"/>
      <c r="H111" s="545"/>
      <c r="I111" s="537" t="s">
        <v>175</v>
      </c>
      <c r="J111" s="514">
        <f>SUM(J107:J110)</f>
        <v>0.5</v>
      </c>
      <c r="K111" s="471"/>
    </row>
    <row r="112" spans="1:12">
      <c r="A112" s="463"/>
      <c r="B112" s="597"/>
      <c r="C112" s="536"/>
      <c r="D112" s="536"/>
      <c r="E112" s="595"/>
      <c r="F112" s="596"/>
      <c r="G112" s="545"/>
      <c r="H112" s="545"/>
      <c r="I112" s="537"/>
      <c r="J112" s="595"/>
      <c r="K112" s="471"/>
    </row>
    <row r="113" spans="1:11" ht="20.399999999999999">
      <c r="A113" s="463"/>
      <c r="B113" s="1493" t="s">
        <v>959</v>
      </c>
      <c r="C113" s="1494"/>
      <c r="D113" s="1494"/>
      <c r="E113" s="1494"/>
      <c r="F113" s="1495"/>
      <c r="G113" s="600" t="s">
        <v>372</v>
      </c>
      <c r="H113" s="519" t="s">
        <v>942</v>
      </c>
      <c r="I113" s="570"/>
      <c r="J113" s="522" t="s">
        <v>363</v>
      </c>
      <c r="K113" s="471"/>
    </row>
    <row r="114" spans="1:11">
      <c r="A114" s="463"/>
      <c r="B114" s="1734"/>
      <c r="C114" s="1735"/>
      <c r="D114" s="1735"/>
      <c r="E114" s="1735"/>
      <c r="F114" s="1736"/>
      <c r="G114" s="502"/>
      <c r="H114" s="1737"/>
      <c r="I114" s="1738"/>
      <c r="J114" s="505"/>
      <c r="K114" s="471"/>
    </row>
    <row r="115" spans="1:11">
      <c r="A115" s="463"/>
      <c r="B115" s="1739"/>
      <c r="C115" s="1740"/>
      <c r="D115" s="1740"/>
      <c r="E115" s="1740"/>
      <c r="F115" s="1741"/>
      <c r="G115" s="509"/>
      <c r="H115" s="1742"/>
      <c r="I115" s="1743"/>
      <c r="J115" s="505"/>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481" t="s">
        <v>961</v>
      </c>
      <c r="C118" s="1482"/>
      <c r="D118" s="1482"/>
      <c r="E118" s="1482"/>
      <c r="F118" s="1482"/>
      <c r="G118" s="1482"/>
      <c r="H118" s="1482"/>
      <c r="I118" s="1483"/>
      <c r="J118" s="586" t="e">
        <f>J116+J111+J104</f>
        <v>#REF!</v>
      </c>
      <c r="K118" s="471"/>
    </row>
    <row r="119" spans="1:11">
      <c r="A119" s="463"/>
      <c r="B119" s="536"/>
      <c r="C119" s="536"/>
      <c r="D119" s="536"/>
      <c r="E119" s="536"/>
      <c r="F119" s="536"/>
      <c r="G119" s="536"/>
      <c r="H119" s="536"/>
      <c r="I119" s="537"/>
      <c r="J119" s="536"/>
      <c r="K119" s="471"/>
    </row>
    <row r="120" spans="1:11">
      <c r="A120" s="463"/>
      <c r="B120" s="1481" t="s">
        <v>962</v>
      </c>
      <c r="C120" s="1482"/>
      <c r="D120" s="1482"/>
      <c r="E120" s="1482"/>
      <c r="F120" s="1482"/>
      <c r="G120" s="1482"/>
      <c r="H120" s="1482"/>
      <c r="I120" s="1483"/>
      <c r="J120" s="514" t="e">
        <f>J118*0</f>
        <v>#REF!</v>
      </c>
      <c r="K120" s="471"/>
    </row>
    <row r="121" spans="1:11">
      <c r="A121" s="463"/>
      <c r="B121" s="536"/>
      <c r="C121" s="536"/>
      <c r="D121" s="536"/>
      <c r="E121" s="536"/>
      <c r="F121" s="536"/>
      <c r="G121" s="536"/>
      <c r="H121" s="536"/>
      <c r="I121" s="537"/>
      <c r="J121" s="536"/>
      <c r="K121" s="471"/>
    </row>
    <row r="122" spans="1:11">
      <c r="A122" s="463"/>
      <c r="B122" s="1481" t="s">
        <v>963</v>
      </c>
      <c r="C122" s="1482"/>
      <c r="D122" s="1482"/>
      <c r="E122" s="1482"/>
      <c r="F122" s="1482"/>
      <c r="G122" s="1482"/>
      <c r="H122" s="1482"/>
      <c r="I122" s="1483"/>
      <c r="J122" s="586" t="e">
        <f>J118+J120</f>
        <v>#REF!</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484" t="s">
        <v>964</v>
      </c>
      <c r="H128" s="1485"/>
      <c r="I128" s="1485"/>
      <c r="J128" s="1486"/>
      <c r="K128" s="471"/>
    </row>
    <row r="129" spans="1:11">
      <c r="A129" s="463"/>
      <c r="B129" s="617"/>
      <c r="C129" s="618"/>
      <c r="D129" s="618"/>
      <c r="E129" s="618"/>
      <c r="F129" s="619"/>
      <c r="G129" s="620"/>
      <c r="H129" s="1487"/>
      <c r="I129" s="1488"/>
      <c r="J129" s="1489"/>
      <c r="K129" s="471"/>
    </row>
    <row r="130" spans="1:11" ht="15" thickBot="1">
      <c r="A130" s="621"/>
      <c r="B130" s="622"/>
      <c r="C130" s="622"/>
      <c r="D130" s="622"/>
      <c r="E130" s="622"/>
      <c r="F130" s="622"/>
      <c r="G130" s="622"/>
      <c r="H130" s="622"/>
      <c r="I130" s="622"/>
      <c r="J130" s="622"/>
      <c r="K130" s="623"/>
    </row>
    <row r="131" spans="1:11" hidden="1">
      <c r="A131" s="460"/>
      <c r="B131" s="461"/>
      <c r="C131" s="461"/>
      <c r="D131" s="461"/>
      <c r="E131" s="461"/>
      <c r="F131" s="461"/>
      <c r="G131" s="461"/>
      <c r="H131" s="461"/>
      <c r="I131" s="461"/>
      <c r="J131" s="461"/>
      <c r="K131" s="462"/>
    </row>
    <row r="132" spans="1:11" hidden="1">
      <c r="A132" s="463"/>
      <c r="B132" s="464" t="s">
        <v>178</v>
      </c>
      <c r="C132" s="465"/>
      <c r="D132" s="466" t="s">
        <v>936</v>
      </c>
      <c r="E132" s="467"/>
      <c r="F132" s="468"/>
      <c r="G132" s="468"/>
      <c r="H132" s="469"/>
      <c r="I132" s="469"/>
      <c r="J132" s="470"/>
      <c r="K132" s="471"/>
    </row>
    <row r="133" spans="1:11" hidden="1">
      <c r="A133" s="463"/>
      <c r="B133" s="472"/>
      <c r="C133" s="472"/>
      <c r="D133" s="472"/>
      <c r="E133" s="472"/>
      <c r="F133" s="472"/>
      <c r="G133" s="472"/>
      <c r="H133" s="472"/>
      <c r="I133" s="472"/>
      <c r="J133" s="472"/>
      <c r="K133" s="471"/>
    </row>
    <row r="134" spans="1:11" hidden="1">
      <c r="A134" s="463"/>
      <c r="B134" s="473" t="s">
        <v>688</v>
      </c>
      <c r="C134" s="474" t="s">
        <v>937</v>
      </c>
      <c r="D134" s="1497" t="s">
        <v>250</v>
      </c>
      <c r="E134" s="1498"/>
      <c r="F134" s="1498"/>
      <c r="G134" s="1498"/>
      <c r="H134" s="1498"/>
      <c r="I134" s="1499"/>
      <c r="J134" s="475" t="s">
        <v>267</v>
      </c>
      <c r="K134" s="471"/>
    </row>
    <row r="135" spans="1:11" ht="21" hidden="1" customHeight="1">
      <c r="A135" s="463"/>
      <c r="B135" s="476" t="s">
        <v>3</v>
      </c>
      <c r="C135" s="477">
        <f ca="1">PLANEJAMENTO!$F$4</f>
        <v>46140</v>
      </c>
      <c r="D135" s="1721" t="s">
        <v>1022</v>
      </c>
      <c r="E135" s="1722"/>
      <c r="F135" s="1722"/>
      <c r="G135" s="1722"/>
      <c r="H135" s="1722"/>
      <c r="I135" s="1723"/>
      <c r="J135" s="481" t="str">
        <f>F155</f>
        <v>m</v>
      </c>
      <c r="K135" s="471"/>
    </row>
    <row r="136" spans="1:11" hidden="1">
      <c r="A136" s="463"/>
      <c r="B136" s="482"/>
      <c r="C136" s="482"/>
      <c r="D136" s="482"/>
      <c r="E136" s="482"/>
      <c r="F136" s="482"/>
      <c r="G136" s="482"/>
      <c r="H136" s="482"/>
      <c r="I136" s="483"/>
      <c r="J136" s="484"/>
      <c r="K136" s="471"/>
    </row>
    <row r="137" spans="1:11" hidden="1">
      <c r="A137" s="463"/>
      <c r="B137" s="1484" t="s">
        <v>938</v>
      </c>
      <c r="C137" s="1486"/>
      <c r="D137" s="1502" t="s">
        <v>688</v>
      </c>
      <c r="E137" s="1504" t="s">
        <v>939</v>
      </c>
      <c r="F137" s="485" t="s">
        <v>940</v>
      </c>
      <c r="G137" s="486"/>
      <c r="H137" s="485" t="s">
        <v>941</v>
      </c>
      <c r="I137" s="486"/>
      <c r="J137" s="487" t="s">
        <v>942</v>
      </c>
      <c r="K137" s="471"/>
    </row>
    <row r="138" spans="1:11" hidden="1">
      <c r="A138" s="463"/>
      <c r="B138" s="1500"/>
      <c r="C138" s="1501"/>
      <c r="D138" s="1503"/>
      <c r="E138" s="1505"/>
      <c r="F138" s="488" t="s">
        <v>943</v>
      </c>
      <c r="G138" s="488" t="s">
        <v>944</v>
      </c>
      <c r="H138" s="488" t="s">
        <v>943</v>
      </c>
      <c r="I138" s="489" t="s">
        <v>944</v>
      </c>
      <c r="J138" s="490" t="s">
        <v>945</v>
      </c>
      <c r="K138" s="471"/>
    </row>
    <row r="139" spans="1:11" hidden="1">
      <c r="A139" s="463"/>
      <c r="B139" s="499" t="s">
        <v>659</v>
      </c>
      <c r="C139" s="500"/>
      <c r="D139" s="501"/>
      <c r="E139" s="502">
        <v>1</v>
      </c>
      <c r="F139" s="502">
        <v>1</v>
      </c>
      <c r="G139" s="502">
        <f>1-F139</f>
        <v>0</v>
      </c>
      <c r="H139" s="503">
        <f>VLOOKUP(B139,EQUIPAMENTOS!$A:$J,10,FALSE)</f>
        <v>10</v>
      </c>
      <c r="I139" s="504">
        <f>H139</f>
        <v>10</v>
      </c>
      <c r="J139" s="505">
        <f>H139*F139*E139+I139*G139*E139</f>
        <v>10</v>
      </c>
      <c r="K139" s="471"/>
    </row>
    <row r="140" spans="1:11" hidden="1">
      <c r="A140" s="463"/>
      <c r="B140" s="499"/>
      <c r="C140" s="500"/>
      <c r="D140" s="501"/>
      <c r="E140" s="502"/>
      <c r="F140" s="502"/>
      <c r="G140" s="502"/>
      <c r="H140" s="503"/>
      <c r="I140" s="504"/>
      <c r="J140" s="505"/>
      <c r="K140" s="471"/>
    </row>
    <row r="141" spans="1:11" hidden="1">
      <c r="A141" s="463"/>
      <c r="B141" s="499"/>
      <c r="C141" s="500"/>
      <c r="D141" s="501"/>
      <c r="E141" s="502"/>
      <c r="F141" s="502"/>
      <c r="G141" s="502"/>
      <c r="H141" s="503"/>
      <c r="I141" s="504"/>
      <c r="J141" s="505">
        <f>H141*F141*E141+I141*G141*E141</f>
        <v>0</v>
      </c>
      <c r="K141" s="471"/>
    </row>
    <row r="142" spans="1:11" hidden="1">
      <c r="A142" s="463"/>
      <c r="B142" s="499"/>
      <c r="C142" s="500"/>
      <c r="D142" s="501"/>
      <c r="E142" s="502"/>
      <c r="F142" s="502"/>
      <c r="G142" s="502"/>
      <c r="H142" s="503"/>
      <c r="I142" s="504"/>
      <c r="J142" s="505">
        <f>H142*F142*E142+I142*G142*E142</f>
        <v>0</v>
      </c>
      <c r="K142" s="471"/>
    </row>
    <row r="143" spans="1:11" hidden="1">
      <c r="A143" s="463"/>
      <c r="B143" s="506"/>
      <c r="C143" s="507"/>
      <c r="D143" s="508"/>
      <c r="E143" s="509"/>
      <c r="F143" s="509"/>
      <c r="G143" s="509"/>
      <c r="H143" s="510"/>
      <c r="I143" s="511"/>
      <c r="J143" s="505">
        <f>H143*F143*E143+I143*G143*E143</f>
        <v>0</v>
      </c>
      <c r="K143" s="471"/>
    </row>
    <row r="144" spans="1:11" hidden="1">
      <c r="A144" s="463"/>
      <c r="B144" s="512" t="s">
        <v>946</v>
      </c>
      <c r="C144" s="482"/>
      <c r="D144" s="482"/>
      <c r="E144" s="482"/>
      <c r="F144" s="482"/>
      <c r="G144" s="482"/>
      <c r="H144" s="482"/>
      <c r="I144" s="513" t="s">
        <v>175</v>
      </c>
      <c r="J144" s="514">
        <f>SUM(J139:J143)</f>
        <v>10</v>
      </c>
      <c r="K144" s="471"/>
    </row>
    <row r="145" spans="1:11" hidden="1">
      <c r="A145" s="463"/>
      <c r="B145" s="515"/>
      <c r="C145" s="515"/>
      <c r="D145" s="515"/>
      <c r="E145" s="515"/>
      <c r="F145" s="515"/>
      <c r="G145" s="515"/>
      <c r="H145" s="515"/>
      <c r="I145" s="516"/>
      <c r="J145" s="517"/>
      <c r="K145" s="471"/>
    </row>
    <row r="146" spans="1:11" ht="20.399999999999999" hidden="1">
      <c r="A146" s="463"/>
      <c r="B146" s="1490" t="s">
        <v>947</v>
      </c>
      <c r="C146" s="1491"/>
      <c r="D146" s="1491"/>
      <c r="E146" s="1492"/>
      <c r="F146" s="518" t="s">
        <v>688</v>
      </c>
      <c r="G146" s="519"/>
      <c r="H146" s="520" t="s">
        <v>427</v>
      </c>
      <c r="I146" s="521" t="s">
        <v>948</v>
      </c>
      <c r="J146" s="522" t="s">
        <v>949</v>
      </c>
      <c r="K146" s="471"/>
    </row>
    <row r="147" spans="1:11" hidden="1">
      <c r="A147" s="463"/>
      <c r="B147" s="523" t="s">
        <v>980</v>
      </c>
      <c r="C147" s="524"/>
      <c r="D147" s="525"/>
      <c r="E147" s="526"/>
      <c r="F147" s="527"/>
      <c r="G147" s="528"/>
      <c r="H147" s="529"/>
      <c r="I147" s="497"/>
      <c r="J147" s="498">
        <f>SUM(J148:J150)*0.05</f>
        <v>3.7093109090909095</v>
      </c>
      <c r="K147" s="471"/>
    </row>
    <row r="148" spans="1:11" hidden="1">
      <c r="A148" s="463"/>
      <c r="B148" s="530" t="s">
        <v>1000</v>
      </c>
      <c r="C148" s="531"/>
      <c r="D148" s="472"/>
      <c r="E148" s="500"/>
      <c r="F148" s="501"/>
      <c r="G148" s="532"/>
      <c r="H148" s="533">
        <v>1</v>
      </c>
      <c r="I148" s="534">
        <f>VLOOKUP(B148,'MÃO DE OBRA'!$A:$E,5,FALSE)/220</f>
        <v>19.055000000000003</v>
      </c>
      <c r="J148" s="505">
        <f>H148*I148</f>
        <v>19.055000000000003</v>
      </c>
      <c r="K148" s="471"/>
    </row>
    <row r="149" spans="1:11" hidden="1">
      <c r="A149" s="463"/>
      <c r="B149" s="530" t="s">
        <v>472</v>
      </c>
      <c r="C149" s="531"/>
      <c r="D149" s="472"/>
      <c r="E149" s="500"/>
      <c r="F149" s="501"/>
      <c r="G149" s="532"/>
      <c r="H149" s="533">
        <v>3</v>
      </c>
      <c r="I149" s="534">
        <f>VLOOKUP(B149,'MÃO DE OBRA'!$A:$E,5,FALSE)/220</f>
        <v>18.377072727272729</v>
      </c>
      <c r="J149" s="505">
        <f>H149*I149</f>
        <v>55.131218181818184</v>
      </c>
      <c r="K149" s="471"/>
    </row>
    <row r="150" spans="1:11" hidden="1">
      <c r="A150" s="463"/>
      <c r="B150" s="530" t="s">
        <v>479</v>
      </c>
      <c r="C150" s="531"/>
      <c r="D150" s="472"/>
      <c r="E150" s="500"/>
      <c r="F150" s="501"/>
      <c r="G150" s="532"/>
      <c r="H150" s="533"/>
      <c r="I150" s="534">
        <f>VLOOKUP(B150,'MÃO DE OBRA'!$A:$E,5,FALSE)/220</f>
        <v>25.789327272727274</v>
      </c>
      <c r="J150" s="505">
        <f>H150*I150</f>
        <v>0</v>
      </c>
      <c r="K150" s="471"/>
    </row>
    <row r="151" spans="1:11" hidden="1">
      <c r="A151" s="463"/>
      <c r="B151" s="530" t="s">
        <v>981</v>
      </c>
      <c r="C151" s="531"/>
      <c r="D151" s="472"/>
      <c r="E151" s="500"/>
      <c r="F151" s="501"/>
      <c r="G151" s="532"/>
      <c r="H151" s="533"/>
      <c r="I151" s="504"/>
      <c r="J151" s="505"/>
      <c r="K151" s="471"/>
    </row>
    <row r="152" spans="1:11" hidden="1">
      <c r="A152" s="463"/>
      <c r="B152" s="530"/>
      <c r="C152" s="531"/>
      <c r="D152" s="472"/>
      <c r="E152" s="500"/>
      <c r="F152" s="501"/>
      <c r="G152" s="532"/>
      <c r="H152" s="533"/>
      <c r="I152" s="504"/>
      <c r="J152" s="505">
        <f>H152*I152</f>
        <v>0</v>
      </c>
      <c r="K152" s="471"/>
    </row>
    <row r="153" spans="1:11" hidden="1">
      <c r="A153" s="463"/>
      <c r="B153" s="512" t="s">
        <v>946</v>
      </c>
      <c r="C153" s="515"/>
      <c r="D153" s="515"/>
      <c r="E153" s="515"/>
      <c r="F153" s="515"/>
      <c r="G153" s="515"/>
      <c r="H153" s="515"/>
      <c r="I153" s="535" t="s">
        <v>175</v>
      </c>
      <c r="J153" s="514">
        <f>SUM(J147:J152)</f>
        <v>77.895529090909093</v>
      </c>
      <c r="K153" s="471"/>
    </row>
    <row r="154" spans="1:11" hidden="1">
      <c r="A154" s="463"/>
      <c r="B154" s="536"/>
      <c r="C154" s="536"/>
      <c r="D154" s="536"/>
      <c r="E154" s="536"/>
      <c r="F154" s="536"/>
      <c r="G154" s="536"/>
      <c r="H154" s="536"/>
      <c r="I154" s="537"/>
      <c r="J154" s="536"/>
      <c r="K154" s="471"/>
    </row>
    <row r="155" spans="1:11" hidden="1">
      <c r="A155" s="463"/>
      <c r="B155" s="538" t="s">
        <v>952</v>
      </c>
      <c r="C155" s="539"/>
      <c r="D155" s="536"/>
      <c r="E155" s="540" t="e">
        <f>PRODUÇÕES!#REF!</f>
        <v>#REF!</v>
      </c>
      <c r="F155" s="541" t="s">
        <v>225</v>
      </c>
      <c r="G155" s="519"/>
      <c r="H155" s="519"/>
      <c r="I155" s="542" t="s">
        <v>953</v>
      </c>
      <c r="J155" s="514">
        <f>J144+J153</f>
        <v>87.895529090909093</v>
      </c>
      <c r="K155" s="471"/>
    </row>
    <row r="156" spans="1:11" hidden="1">
      <c r="A156" s="463"/>
      <c r="B156" s="543"/>
      <c r="C156" s="536"/>
      <c r="D156" s="536"/>
      <c r="E156" s="544"/>
      <c r="F156" s="545"/>
      <c r="G156" s="545"/>
      <c r="H156" s="545"/>
      <c r="I156" s="537"/>
      <c r="J156" s="536"/>
      <c r="K156" s="471"/>
    </row>
    <row r="157" spans="1:11" ht="20.399999999999999" hidden="1">
      <c r="A157" s="463"/>
      <c r="B157" s="1493" t="s">
        <v>362</v>
      </c>
      <c r="C157" s="1494"/>
      <c r="D157" s="1494"/>
      <c r="E157" s="1495"/>
      <c r="F157" s="546" t="s">
        <v>688</v>
      </c>
      <c r="G157" s="547" t="s">
        <v>371</v>
      </c>
      <c r="H157" s="520" t="s">
        <v>942</v>
      </c>
      <c r="I157" s="548" t="s">
        <v>361</v>
      </c>
      <c r="J157" s="549" t="s">
        <v>363</v>
      </c>
      <c r="K157" s="471"/>
    </row>
    <row r="158" spans="1:11" hidden="1">
      <c r="A158" s="463"/>
      <c r="B158" s="550" t="str">
        <f>B139</f>
        <v>Sapo compactador</v>
      </c>
      <c r="C158" s="531"/>
      <c r="D158" s="531"/>
      <c r="E158" s="500"/>
      <c r="F158" s="553" t="str">
        <f>VLOOKUP(B158,EQUIPAMENTOS!$A:$N,12,FALSE)</f>
        <v>Gasolina</v>
      </c>
      <c r="G158" s="554" t="s">
        <v>415</v>
      </c>
      <c r="H158" s="560">
        <f>VLOOKUP(B158,EQUIPAMENTOS!$A:$N,13,FALSE)</f>
        <v>6.59</v>
      </c>
      <c r="I158" s="556">
        <f>VLOOKUP(B158,EQUIPAMENTOS!$A:$N,14,FALSE)</f>
        <v>3</v>
      </c>
      <c r="J158" s="505">
        <f>H158*I158*E139*F139</f>
        <v>19.77</v>
      </c>
      <c r="K158" s="471"/>
    </row>
    <row r="159" spans="1:11" hidden="1">
      <c r="A159" s="463"/>
      <c r="B159" s="550"/>
      <c r="C159" s="531"/>
      <c r="D159" s="531"/>
      <c r="E159" s="500"/>
      <c r="F159" s="553"/>
      <c r="G159" s="554"/>
      <c r="H159" s="560"/>
      <c r="I159" s="556"/>
      <c r="J159" s="505"/>
      <c r="K159" s="471"/>
    </row>
    <row r="160" spans="1:11" hidden="1">
      <c r="A160" s="463"/>
      <c r="B160" s="530"/>
      <c r="C160" s="531"/>
      <c r="D160" s="531"/>
      <c r="E160" s="500"/>
      <c r="F160" s="501"/>
      <c r="G160" s="559"/>
      <c r="H160" s="560"/>
      <c r="I160" s="556"/>
      <c r="J160" s="505">
        <f>H160*I160*E141*F141</f>
        <v>0</v>
      </c>
      <c r="K160" s="471"/>
    </row>
    <row r="161" spans="1:11" hidden="1">
      <c r="A161" s="463"/>
      <c r="B161" s="530"/>
      <c r="C161" s="539"/>
      <c r="D161" s="539"/>
      <c r="E161" s="507"/>
      <c r="F161" s="501"/>
      <c r="G161" s="481"/>
      <c r="H161" s="560"/>
      <c r="I161" s="561"/>
      <c r="J161" s="505">
        <f>H161*I161*E142*F142</f>
        <v>0</v>
      </c>
      <c r="K161" s="471"/>
    </row>
    <row r="162" spans="1:11" hidden="1">
      <c r="A162" s="463"/>
      <c r="B162" s="563" t="s">
        <v>946</v>
      </c>
      <c r="C162" s="539"/>
      <c r="D162" s="539"/>
      <c r="E162" s="539"/>
      <c r="F162" s="536"/>
      <c r="G162" s="539"/>
      <c r="H162" s="564"/>
      <c r="I162" s="565" t="s">
        <v>175</v>
      </c>
      <c r="J162" s="514">
        <f>SUM(J158:J161)</f>
        <v>19.77</v>
      </c>
      <c r="K162" s="471"/>
    </row>
    <row r="163" spans="1:11" hidden="1">
      <c r="A163" s="463"/>
      <c r="B163" s="566"/>
      <c r="C163" s="539"/>
      <c r="D163" s="539"/>
      <c r="E163" s="567"/>
      <c r="F163" s="568"/>
      <c r="G163" s="519"/>
      <c r="H163" s="519"/>
      <c r="I163" s="542"/>
      <c r="J163" s="567"/>
      <c r="K163" s="471"/>
    </row>
    <row r="164" spans="1:11" ht="20.399999999999999" hidden="1">
      <c r="A164" s="463"/>
      <c r="B164" s="1493" t="s">
        <v>955</v>
      </c>
      <c r="C164" s="1494"/>
      <c r="D164" s="1494"/>
      <c r="E164" s="1494"/>
      <c r="F164" s="1495"/>
      <c r="G164" s="569" t="s">
        <v>372</v>
      </c>
      <c r="H164" s="519" t="s">
        <v>956</v>
      </c>
      <c r="I164" s="570" t="s">
        <v>942</v>
      </c>
      <c r="J164" s="522" t="s">
        <v>363</v>
      </c>
      <c r="K164" s="471"/>
    </row>
    <row r="165" spans="1:11" hidden="1">
      <c r="A165" s="463"/>
      <c r="B165" s="571"/>
      <c r="C165" s="572"/>
      <c r="D165" s="573"/>
      <c r="E165" s="573"/>
      <c r="F165" s="574"/>
      <c r="G165" s="502"/>
      <c r="H165" s="502"/>
      <c r="I165" s="575"/>
      <c r="J165" s="505"/>
      <c r="K165" s="471"/>
    </row>
    <row r="166" spans="1:11" hidden="1">
      <c r="A166" s="463"/>
      <c r="B166" s="576"/>
      <c r="C166" s="577"/>
      <c r="D166" s="578"/>
      <c r="E166" s="578"/>
      <c r="F166" s="579"/>
      <c r="G166" s="502"/>
      <c r="H166" s="502"/>
      <c r="I166" s="575"/>
      <c r="J166" s="505"/>
      <c r="K166" s="471"/>
    </row>
    <row r="167" spans="1:11" hidden="1">
      <c r="A167" s="463"/>
      <c r="B167" s="1496" t="s">
        <v>175</v>
      </c>
      <c r="C167" s="1496"/>
      <c r="D167" s="1496"/>
      <c r="E167" s="1496"/>
      <c r="F167" s="1496"/>
      <c r="G167" s="1496"/>
      <c r="H167" s="1496"/>
      <c r="I167" s="1496"/>
      <c r="J167" s="514">
        <f>SUM(J165:J166)</f>
        <v>0</v>
      </c>
      <c r="K167" s="471"/>
    </row>
    <row r="168" spans="1:11" hidden="1">
      <c r="A168" s="463"/>
      <c r="B168" s="580"/>
      <c r="C168" s="524"/>
      <c r="D168" s="524"/>
      <c r="E168" s="581"/>
      <c r="F168" s="582"/>
      <c r="G168" s="583"/>
      <c r="H168" s="583"/>
      <c r="I168" s="584"/>
      <c r="J168" s="585"/>
      <c r="K168" s="471"/>
    </row>
    <row r="169" spans="1:11" hidden="1">
      <c r="A169" s="463"/>
      <c r="B169" s="586" t="s">
        <v>957</v>
      </c>
      <c r="C169" s="586"/>
      <c r="D169" s="563"/>
      <c r="E169" s="536"/>
      <c r="F169" s="536"/>
      <c r="G169" s="536"/>
      <c r="H169" s="587"/>
      <c r="I169" s="588"/>
      <c r="J169" s="647" t="e">
        <f>(J155+J162+J167)/E155</f>
        <v>#REF!</v>
      </c>
      <c r="K169" s="471"/>
    </row>
    <row r="170" spans="1:11" hidden="1">
      <c r="A170" s="463"/>
      <c r="B170" s="566"/>
      <c r="C170" s="539"/>
      <c r="D170" s="539"/>
      <c r="E170" s="567"/>
      <c r="F170" s="568"/>
      <c r="G170" s="519"/>
      <c r="H170" s="519"/>
      <c r="I170" s="542"/>
      <c r="J170" s="589"/>
      <c r="K170" s="471"/>
    </row>
    <row r="171" spans="1:11" ht="20.399999999999999" hidden="1">
      <c r="A171" s="463"/>
      <c r="B171" s="1493" t="s">
        <v>958</v>
      </c>
      <c r="C171" s="1494"/>
      <c r="D171" s="1494"/>
      <c r="E171" s="1494"/>
      <c r="F171" s="1495"/>
      <c r="G171" s="569" t="s">
        <v>372</v>
      </c>
      <c r="H171" s="519" t="s">
        <v>956</v>
      </c>
      <c r="I171" s="570" t="s">
        <v>942</v>
      </c>
      <c r="J171" s="522" t="s">
        <v>363</v>
      </c>
      <c r="K171" s="471"/>
    </row>
    <row r="172" spans="1:11" hidden="1">
      <c r="A172" s="463"/>
      <c r="B172" s="571" t="s">
        <v>1023</v>
      </c>
      <c r="C172" s="572"/>
      <c r="D172" s="573"/>
      <c r="E172" s="573"/>
      <c r="F172" s="574"/>
      <c r="G172" s="502">
        <v>1.05</v>
      </c>
      <c r="H172" s="502" t="s">
        <v>225</v>
      </c>
      <c r="I172" s="575"/>
      <c r="J172" s="505">
        <f>G172*I172</f>
        <v>0</v>
      </c>
      <c r="K172" s="471"/>
    </row>
    <row r="173" spans="1:11" hidden="1">
      <c r="A173" s="463"/>
      <c r="B173" s="576" t="s">
        <v>1002</v>
      </c>
      <c r="C173" s="577"/>
      <c r="D173" s="578"/>
      <c r="E173" s="578"/>
      <c r="F173" s="579"/>
      <c r="G173" s="502">
        <v>0.05</v>
      </c>
      <c r="H173" s="502" t="s">
        <v>990</v>
      </c>
      <c r="I173" s="575"/>
      <c r="J173" s="505">
        <f>G173*I173</f>
        <v>0</v>
      </c>
      <c r="K173" s="471"/>
    </row>
    <row r="174" spans="1:11" hidden="1">
      <c r="A174" s="463"/>
      <c r="B174" s="576"/>
      <c r="C174" s="577"/>
      <c r="D174" s="578"/>
      <c r="E174" s="578"/>
      <c r="F174" s="579"/>
      <c r="G174" s="502"/>
      <c r="H174" s="502"/>
      <c r="I174" s="575"/>
      <c r="J174" s="505">
        <f>G174*I174</f>
        <v>0</v>
      </c>
      <c r="K174" s="471"/>
    </row>
    <row r="175" spans="1:11" hidden="1">
      <c r="A175" s="463"/>
      <c r="B175" s="590"/>
      <c r="C175" s="591"/>
      <c r="D175" s="592"/>
      <c r="E175" s="592"/>
      <c r="F175" s="593"/>
      <c r="G175" s="502"/>
      <c r="H175" s="502"/>
      <c r="I175" s="575"/>
      <c r="J175" s="505">
        <f>G175*I175</f>
        <v>0</v>
      </c>
      <c r="K175" s="471"/>
    </row>
    <row r="176" spans="1:11" hidden="1">
      <c r="A176" s="463"/>
      <c r="B176" s="594"/>
      <c r="C176" s="536"/>
      <c r="D176" s="536"/>
      <c r="E176" s="595"/>
      <c r="F176" s="596"/>
      <c r="G176" s="545"/>
      <c r="H176" s="545"/>
      <c r="I176" s="537" t="s">
        <v>175</v>
      </c>
      <c r="J176" s="514">
        <f>SUM(J172:J175)</f>
        <v>0</v>
      </c>
      <c r="K176" s="471"/>
    </row>
    <row r="177" spans="1:11" hidden="1">
      <c r="A177" s="463"/>
      <c r="B177" s="597"/>
      <c r="C177" s="536"/>
      <c r="D177" s="536"/>
      <c r="E177" s="595"/>
      <c r="F177" s="596"/>
      <c r="G177" s="545"/>
      <c r="H177" s="545"/>
      <c r="I177" s="537"/>
      <c r="J177" s="595"/>
      <c r="K177" s="471"/>
    </row>
    <row r="178" spans="1:11" ht="20.399999999999999" hidden="1">
      <c r="A178" s="463"/>
      <c r="B178" s="1493" t="s">
        <v>959</v>
      </c>
      <c r="C178" s="1494"/>
      <c r="D178" s="1494"/>
      <c r="E178" s="1494"/>
      <c r="F178" s="1495"/>
      <c r="G178" s="600" t="s">
        <v>372</v>
      </c>
      <c r="H178" s="519" t="s">
        <v>942</v>
      </c>
      <c r="I178" s="570"/>
      <c r="J178" s="522" t="s">
        <v>363</v>
      </c>
      <c r="K178" s="471"/>
    </row>
    <row r="179" spans="1:11" hidden="1">
      <c r="A179" s="463"/>
      <c r="B179" s="1734" t="s">
        <v>1003</v>
      </c>
      <c r="C179" s="1735"/>
      <c r="D179" s="1735"/>
      <c r="E179" s="1735"/>
      <c r="F179" s="1736"/>
      <c r="G179" s="502">
        <f>(1*0.6*1.5)</f>
        <v>0.89999999999999991</v>
      </c>
      <c r="H179" s="1737">
        <f>'ESCAVAÇÃO SAA-SES'!J65</f>
        <v>3.1543812222222223</v>
      </c>
      <c r="I179" s="1738"/>
      <c r="J179" s="505">
        <f>G179*H179</f>
        <v>2.8389430999999998</v>
      </c>
      <c r="K179" s="471"/>
    </row>
    <row r="180" spans="1:11" hidden="1">
      <c r="A180" s="463"/>
      <c r="B180" s="1739" t="s">
        <v>1004</v>
      </c>
      <c r="C180" s="1740"/>
      <c r="D180" s="1740"/>
      <c r="E180" s="1740" t="s">
        <v>946</v>
      </c>
      <c r="F180" s="1741"/>
      <c r="G180" s="509">
        <f>((PI()*0.21*0.21)/4)*0.21*1.3</f>
        <v>9.4556441085908976E-3</v>
      </c>
      <c r="H180" s="1742">
        <f>'BOTA FORA SAA-SES'!J65</f>
        <v>4.7307744166666668</v>
      </c>
      <c r="I180" s="1743"/>
      <c r="J180" s="505">
        <f>G180*H180</f>
        <v>4.473251924202671E-2</v>
      </c>
      <c r="K180" s="471"/>
    </row>
    <row r="181" spans="1:11" hidden="1">
      <c r="A181" s="463"/>
      <c r="B181" s="594"/>
      <c r="C181" s="536"/>
      <c r="D181" s="536"/>
      <c r="E181" s="595"/>
      <c r="F181" s="596"/>
      <c r="G181" s="545"/>
      <c r="H181" s="545"/>
      <c r="I181" s="537" t="s">
        <v>175</v>
      </c>
      <c r="J181" s="514">
        <f>SUM(J179:J180)</f>
        <v>2.8836756192420268</v>
      </c>
      <c r="K181" s="471"/>
    </row>
    <row r="182" spans="1:11" hidden="1">
      <c r="A182" s="463"/>
      <c r="B182" s="536"/>
      <c r="C182" s="536"/>
      <c r="D182" s="536"/>
      <c r="E182" s="536"/>
      <c r="F182" s="536"/>
      <c r="G182" s="536"/>
      <c r="H182" s="536"/>
      <c r="I182" s="537"/>
      <c r="J182" s="536"/>
      <c r="K182" s="471"/>
    </row>
    <row r="183" spans="1:11" hidden="1">
      <c r="A183" s="463"/>
      <c r="B183" s="1481" t="s">
        <v>961</v>
      </c>
      <c r="C183" s="1482"/>
      <c r="D183" s="1482"/>
      <c r="E183" s="1482"/>
      <c r="F183" s="1482"/>
      <c r="G183" s="1482"/>
      <c r="H183" s="1482"/>
      <c r="I183" s="1483"/>
      <c r="J183" s="586" t="e">
        <f>J181+J176+J169</f>
        <v>#REF!</v>
      </c>
      <c r="K183" s="471"/>
    </row>
    <row r="184" spans="1:11" hidden="1">
      <c r="A184" s="463"/>
      <c r="B184" s="536"/>
      <c r="C184" s="536"/>
      <c r="D184" s="536"/>
      <c r="E184" s="536"/>
      <c r="F184" s="536"/>
      <c r="G184" s="536"/>
      <c r="H184" s="536"/>
      <c r="I184" s="537"/>
      <c r="J184" s="536"/>
      <c r="K184" s="471"/>
    </row>
    <row r="185" spans="1:11" hidden="1">
      <c r="A185" s="463"/>
      <c r="B185" s="1481" t="s">
        <v>962</v>
      </c>
      <c r="C185" s="1482"/>
      <c r="D185" s="1482"/>
      <c r="E185" s="1482"/>
      <c r="F185" s="1482"/>
      <c r="G185" s="1482"/>
      <c r="H185" s="1482"/>
      <c r="I185" s="1483"/>
      <c r="J185" s="514" t="e">
        <f>J183*0</f>
        <v>#REF!</v>
      </c>
      <c r="K185" s="471"/>
    </row>
    <row r="186" spans="1:11" hidden="1">
      <c r="A186" s="463"/>
      <c r="B186" s="536"/>
      <c r="C186" s="536"/>
      <c r="D186" s="536"/>
      <c r="E186" s="536"/>
      <c r="F186" s="536"/>
      <c r="G186" s="536"/>
      <c r="H186" s="536"/>
      <c r="I186" s="537"/>
      <c r="J186" s="536"/>
      <c r="K186" s="471"/>
    </row>
    <row r="187" spans="1:11" hidden="1">
      <c r="A187" s="463"/>
      <c r="B187" s="1481" t="s">
        <v>963</v>
      </c>
      <c r="C187" s="1482"/>
      <c r="D187" s="1482"/>
      <c r="E187" s="1482"/>
      <c r="F187" s="1482"/>
      <c r="G187" s="1482"/>
      <c r="H187" s="1482"/>
      <c r="I187" s="1483"/>
      <c r="J187" s="586" t="e">
        <f>J183+J185</f>
        <v>#REF!</v>
      </c>
      <c r="K187" s="471"/>
    </row>
    <row r="188" spans="1:11" hidden="1">
      <c r="A188" s="463"/>
      <c r="B188" s="524"/>
      <c r="C188" s="524"/>
      <c r="D188" s="524"/>
      <c r="E188" s="524"/>
      <c r="F188" s="524"/>
      <c r="G188" s="524"/>
      <c r="H188" s="524"/>
      <c r="I188" s="584"/>
      <c r="J188" s="524"/>
      <c r="K188" s="471"/>
    </row>
    <row r="189" spans="1:11" hidden="1">
      <c r="A189" s="463"/>
      <c r="B189" s="602"/>
      <c r="C189" s="572"/>
      <c r="D189" s="572"/>
      <c r="E189" s="572"/>
      <c r="F189" s="572"/>
      <c r="G189" s="572"/>
      <c r="H189" s="572"/>
      <c r="I189" s="572"/>
      <c r="J189" s="603"/>
      <c r="K189" s="471"/>
    </row>
    <row r="190" spans="1:11" hidden="1">
      <c r="A190" s="463"/>
      <c r="B190" s="604"/>
      <c r="C190" s="605"/>
      <c r="D190" s="606"/>
      <c r="E190" s="606"/>
      <c r="F190" s="607" t="s">
        <v>946</v>
      </c>
      <c r="G190" s="608" t="s">
        <v>946</v>
      </c>
      <c r="H190" s="605"/>
      <c r="I190" s="605"/>
      <c r="J190" s="609"/>
      <c r="K190" s="471"/>
    </row>
    <row r="191" spans="1:11" hidden="1">
      <c r="A191" s="463"/>
      <c r="B191" s="472"/>
      <c r="C191" s="472"/>
      <c r="D191" s="472"/>
      <c r="E191" s="472"/>
      <c r="F191" s="472"/>
      <c r="G191" s="472"/>
      <c r="H191" s="472"/>
      <c r="I191" s="472"/>
      <c r="J191" s="472"/>
      <c r="K191" s="471"/>
    </row>
    <row r="192" spans="1:11" hidden="1">
      <c r="A192" s="463"/>
      <c r="B192" s="610" t="str">
        <f>PLANEJAMENTO!$F$2</f>
        <v>OPERAÇÃO DE SUPRESSÃO E SUMP</v>
      </c>
      <c r="C192" s="611"/>
      <c r="D192" s="611"/>
      <c r="E192" s="611"/>
      <c r="F192" s="612"/>
      <c r="G192" s="613" t="s">
        <v>363</v>
      </c>
      <c r="H192" s="515"/>
      <c r="I192" s="515"/>
      <c r="J192" s="518"/>
      <c r="K192" s="471"/>
    </row>
    <row r="193" spans="1:11" hidden="1">
      <c r="A193" s="463"/>
      <c r="B193" s="614" t="str">
        <f>PLANEJAMENTO!$F$3</f>
        <v>MARA ROSA</v>
      </c>
      <c r="C193" s="615"/>
      <c r="D193" s="615"/>
      <c r="E193" s="615"/>
      <c r="F193" s="616"/>
      <c r="G193" s="1484" t="s">
        <v>964</v>
      </c>
      <c r="H193" s="1485"/>
      <c r="I193" s="1485"/>
      <c r="J193" s="1486"/>
      <c r="K193" s="471"/>
    </row>
    <row r="194" spans="1:11" hidden="1">
      <c r="A194" s="463"/>
      <c r="B194" s="617"/>
      <c r="C194" s="618"/>
      <c r="D194" s="618"/>
      <c r="E194" s="618"/>
      <c r="F194" s="619"/>
      <c r="G194" s="620"/>
      <c r="H194" s="1487"/>
      <c r="I194" s="1488"/>
      <c r="J194" s="1489"/>
      <c r="K194" s="471"/>
    </row>
    <row r="195" spans="1:11" ht="15" hidden="1" thickBot="1">
      <c r="A195" s="621"/>
      <c r="B195" s="622"/>
      <c r="C195" s="622"/>
      <c r="D195" s="622"/>
      <c r="E195" s="622"/>
      <c r="F195" s="622"/>
      <c r="G195" s="622"/>
      <c r="H195" s="622"/>
      <c r="I195" s="622"/>
      <c r="J195" s="622"/>
      <c r="K195" s="623"/>
    </row>
    <row r="196" spans="1:11" hidden="1">
      <c r="A196" s="460"/>
      <c r="B196" s="461"/>
      <c r="C196" s="461"/>
      <c r="D196" s="461"/>
      <c r="E196" s="461"/>
      <c r="F196" s="461"/>
      <c r="G196" s="461"/>
      <c r="H196" s="461"/>
      <c r="I196" s="461"/>
      <c r="J196" s="461"/>
      <c r="K196" s="462"/>
    </row>
    <row r="197" spans="1:11" hidden="1">
      <c r="A197" s="463"/>
      <c r="B197" s="464" t="s">
        <v>178</v>
      </c>
      <c r="C197" s="465"/>
      <c r="D197" s="466" t="s">
        <v>936</v>
      </c>
      <c r="E197" s="467"/>
      <c r="F197" s="468"/>
      <c r="G197" s="468"/>
      <c r="H197" s="469"/>
      <c r="I197" s="469"/>
      <c r="J197" s="470"/>
      <c r="K197" s="471"/>
    </row>
    <row r="198" spans="1:11" hidden="1">
      <c r="A198" s="463"/>
      <c r="B198" s="472"/>
      <c r="C198" s="472"/>
      <c r="D198" s="472"/>
      <c r="E198" s="472"/>
      <c r="F198" s="472"/>
      <c r="G198" s="472"/>
      <c r="H198" s="472"/>
      <c r="I198" s="472"/>
      <c r="J198" s="472"/>
      <c r="K198" s="471"/>
    </row>
    <row r="199" spans="1:11" hidden="1">
      <c r="A199" s="463"/>
      <c r="B199" s="473" t="s">
        <v>688</v>
      </c>
      <c r="C199" s="474" t="s">
        <v>937</v>
      </c>
      <c r="D199" s="1497" t="s">
        <v>250</v>
      </c>
      <c r="E199" s="1498"/>
      <c r="F199" s="1498"/>
      <c r="G199" s="1498"/>
      <c r="H199" s="1498"/>
      <c r="I199" s="1499"/>
      <c r="J199" s="475" t="s">
        <v>267</v>
      </c>
      <c r="K199" s="471"/>
    </row>
    <row r="200" spans="1:11" ht="21.75" hidden="1" customHeight="1">
      <c r="A200" s="463"/>
      <c r="B200" s="476" t="s">
        <v>3</v>
      </c>
      <c r="C200" s="477">
        <f ca="1">PLANEJAMENTO!$F$4</f>
        <v>46140</v>
      </c>
      <c r="D200" s="1721" t="s">
        <v>1024</v>
      </c>
      <c r="E200" s="1722"/>
      <c r="F200" s="1722"/>
      <c r="G200" s="1722"/>
      <c r="H200" s="1722"/>
      <c r="I200" s="1723"/>
      <c r="J200" s="481" t="str">
        <f>F220</f>
        <v>m</v>
      </c>
      <c r="K200" s="471"/>
    </row>
    <row r="201" spans="1:11" hidden="1">
      <c r="A201" s="463"/>
      <c r="B201" s="482"/>
      <c r="C201" s="482"/>
      <c r="D201" s="482"/>
      <c r="E201" s="482"/>
      <c r="F201" s="482"/>
      <c r="G201" s="482"/>
      <c r="H201" s="482"/>
      <c r="I201" s="483"/>
      <c r="J201" s="484"/>
      <c r="K201" s="471"/>
    </row>
    <row r="202" spans="1:11" hidden="1">
      <c r="A202" s="463"/>
      <c r="B202" s="1484" t="s">
        <v>938</v>
      </c>
      <c r="C202" s="1486"/>
      <c r="D202" s="1502" t="s">
        <v>688</v>
      </c>
      <c r="E202" s="1504" t="s">
        <v>939</v>
      </c>
      <c r="F202" s="485" t="s">
        <v>940</v>
      </c>
      <c r="G202" s="486"/>
      <c r="H202" s="485" t="s">
        <v>941</v>
      </c>
      <c r="I202" s="486"/>
      <c r="J202" s="487" t="s">
        <v>942</v>
      </c>
      <c r="K202" s="471"/>
    </row>
    <row r="203" spans="1:11" hidden="1">
      <c r="A203" s="463"/>
      <c r="B203" s="1500"/>
      <c r="C203" s="1501"/>
      <c r="D203" s="1503"/>
      <c r="E203" s="1505"/>
      <c r="F203" s="488" t="s">
        <v>943</v>
      </c>
      <c r="G203" s="488" t="s">
        <v>944</v>
      </c>
      <c r="H203" s="488" t="s">
        <v>943</v>
      </c>
      <c r="I203" s="489" t="s">
        <v>944</v>
      </c>
      <c r="J203" s="490" t="s">
        <v>945</v>
      </c>
      <c r="K203" s="471"/>
    </row>
    <row r="204" spans="1:11" hidden="1">
      <c r="A204" s="463"/>
      <c r="B204" s="499" t="s">
        <v>659</v>
      </c>
      <c r="C204" s="500"/>
      <c r="D204" s="501"/>
      <c r="E204" s="502">
        <v>1</v>
      </c>
      <c r="F204" s="502">
        <v>1</v>
      </c>
      <c r="G204" s="502">
        <f>1-F204</f>
        <v>0</v>
      </c>
      <c r="H204" s="503">
        <f>VLOOKUP(B204,EQUIPAMENTOS!$A:$J,10,FALSE)</f>
        <v>10</v>
      </c>
      <c r="I204" s="504">
        <f>H204</f>
        <v>10</v>
      </c>
      <c r="J204" s="505">
        <f>H204*F204*E204+I204*G204*E204</f>
        <v>10</v>
      </c>
      <c r="K204" s="471"/>
    </row>
    <row r="205" spans="1:11" hidden="1">
      <c r="A205" s="463"/>
      <c r="B205" s="499"/>
      <c r="C205" s="500"/>
      <c r="D205" s="501"/>
      <c r="E205" s="502"/>
      <c r="F205" s="502"/>
      <c r="G205" s="502"/>
      <c r="H205" s="503"/>
      <c r="I205" s="504"/>
      <c r="J205" s="505"/>
      <c r="K205" s="471"/>
    </row>
    <row r="206" spans="1:11" hidden="1">
      <c r="A206" s="463"/>
      <c r="B206" s="499"/>
      <c r="C206" s="500"/>
      <c r="D206" s="501"/>
      <c r="E206" s="502"/>
      <c r="F206" s="502"/>
      <c r="G206" s="502"/>
      <c r="H206" s="503"/>
      <c r="I206" s="504"/>
      <c r="J206" s="505">
        <f>H206*F206*E206+I206*G206*E206</f>
        <v>0</v>
      </c>
      <c r="K206" s="471"/>
    </row>
    <row r="207" spans="1:11" hidden="1">
      <c r="A207" s="463"/>
      <c r="B207" s="499"/>
      <c r="C207" s="500"/>
      <c r="D207" s="501"/>
      <c r="E207" s="502"/>
      <c r="F207" s="502"/>
      <c r="G207" s="502"/>
      <c r="H207" s="503"/>
      <c r="I207" s="504"/>
      <c r="J207" s="505">
        <f>H207*F207*E207+I207*G207*E207</f>
        <v>0</v>
      </c>
      <c r="K207" s="471"/>
    </row>
    <row r="208" spans="1:11" hidden="1">
      <c r="A208" s="463"/>
      <c r="B208" s="506"/>
      <c r="C208" s="507"/>
      <c r="D208" s="508"/>
      <c r="E208" s="509"/>
      <c r="F208" s="509"/>
      <c r="G208" s="509"/>
      <c r="H208" s="510"/>
      <c r="I208" s="511"/>
      <c r="J208" s="505">
        <f>H208*F208*E208+I208*G208*E208</f>
        <v>0</v>
      </c>
      <c r="K208" s="471"/>
    </row>
    <row r="209" spans="1:11" hidden="1">
      <c r="A209" s="463"/>
      <c r="B209" s="512" t="s">
        <v>946</v>
      </c>
      <c r="C209" s="482"/>
      <c r="D209" s="482"/>
      <c r="E209" s="482"/>
      <c r="F209" s="482"/>
      <c r="G209" s="482"/>
      <c r="H209" s="482"/>
      <c r="I209" s="513" t="s">
        <v>175</v>
      </c>
      <c r="J209" s="514">
        <f>SUM(J204:J208)</f>
        <v>10</v>
      </c>
      <c r="K209" s="471"/>
    </row>
    <row r="210" spans="1:11" hidden="1">
      <c r="A210" s="463"/>
      <c r="B210" s="515"/>
      <c r="C210" s="515"/>
      <c r="D210" s="515"/>
      <c r="E210" s="515"/>
      <c r="F210" s="515"/>
      <c r="G210" s="515"/>
      <c r="H210" s="515"/>
      <c r="I210" s="516"/>
      <c r="J210" s="517"/>
      <c r="K210" s="471"/>
    </row>
    <row r="211" spans="1:11" ht="20.399999999999999" hidden="1">
      <c r="A211" s="463"/>
      <c r="B211" s="1490" t="s">
        <v>947</v>
      </c>
      <c r="C211" s="1491"/>
      <c r="D211" s="1491"/>
      <c r="E211" s="1492"/>
      <c r="F211" s="518" t="s">
        <v>688</v>
      </c>
      <c r="G211" s="519"/>
      <c r="H211" s="520" t="s">
        <v>427</v>
      </c>
      <c r="I211" s="521" t="s">
        <v>948</v>
      </c>
      <c r="J211" s="522" t="s">
        <v>949</v>
      </c>
      <c r="K211" s="471"/>
    </row>
    <row r="212" spans="1:11" hidden="1">
      <c r="A212" s="463"/>
      <c r="B212" s="523" t="s">
        <v>980</v>
      </c>
      <c r="C212" s="524"/>
      <c r="D212" s="525"/>
      <c r="E212" s="526"/>
      <c r="F212" s="527"/>
      <c r="G212" s="528"/>
      <c r="H212" s="529"/>
      <c r="I212" s="497"/>
      <c r="J212" s="498">
        <f>SUM(J213:J215)*0.05</f>
        <v>3.7093109090909095</v>
      </c>
      <c r="K212" s="471"/>
    </row>
    <row r="213" spans="1:11" hidden="1">
      <c r="A213" s="463"/>
      <c r="B213" s="530" t="s">
        <v>1000</v>
      </c>
      <c r="C213" s="531"/>
      <c r="D213" s="472"/>
      <c r="E213" s="500"/>
      <c r="F213" s="501"/>
      <c r="G213" s="532"/>
      <c r="H213" s="533">
        <v>1</v>
      </c>
      <c r="I213" s="534">
        <f>VLOOKUP(B213,'MÃO DE OBRA'!$A:$E,5,FALSE)/220</f>
        <v>19.055000000000003</v>
      </c>
      <c r="J213" s="505">
        <f>H213*I213</f>
        <v>19.055000000000003</v>
      </c>
      <c r="K213" s="471"/>
    </row>
    <row r="214" spans="1:11" hidden="1">
      <c r="A214" s="463"/>
      <c r="B214" s="530" t="s">
        <v>472</v>
      </c>
      <c r="C214" s="531"/>
      <c r="D214" s="472"/>
      <c r="E214" s="500"/>
      <c r="F214" s="501"/>
      <c r="G214" s="532"/>
      <c r="H214" s="533">
        <v>3</v>
      </c>
      <c r="I214" s="534">
        <f>VLOOKUP(B214,'MÃO DE OBRA'!$A:$E,5,FALSE)/220</f>
        <v>18.377072727272729</v>
      </c>
      <c r="J214" s="505">
        <f>H214*I214</f>
        <v>55.131218181818184</v>
      </c>
      <c r="K214" s="471"/>
    </row>
    <row r="215" spans="1:11" hidden="1">
      <c r="A215" s="463"/>
      <c r="B215" s="530" t="s">
        <v>479</v>
      </c>
      <c r="C215" s="531"/>
      <c r="D215" s="472"/>
      <c r="E215" s="500"/>
      <c r="F215" s="501"/>
      <c r="G215" s="532"/>
      <c r="H215" s="533"/>
      <c r="I215" s="534">
        <f>VLOOKUP(B215,'MÃO DE OBRA'!$A:$E,5,FALSE)/220</f>
        <v>25.789327272727274</v>
      </c>
      <c r="J215" s="505">
        <f>H215*I215</f>
        <v>0</v>
      </c>
      <c r="K215" s="471"/>
    </row>
    <row r="216" spans="1:11" hidden="1">
      <c r="A216" s="463"/>
      <c r="B216" s="530" t="s">
        <v>981</v>
      </c>
      <c r="C216" s="531"/>
      <c r="D216" s="472"/>
      <c r="E216" s="500"/>
      <c r="F216" s="501"/>
      <c r="G216" s="532"/>
      <c r="H216" s="533"/>
      <c r="I216" s="504"/>
      <c r="J216" s="505"/>
      <c r="K216" s="471"/>
    </row>
    <row r="217" spans="1:11" hidden="1">
      <c r="A217" s="463"/>
      <c r="B217" s="530"/>
      <c r="C217" s="531"/>
      <c r="D217" s="472"/>
      <c r="E217" s="500"/>
      <c r="F217" s="501"/>
      <c r="G217" s="532"/>
      <c r="H217" s="533"/>
      <c r="I217" s="504"/>
      <c r="J217" s="505">
        <f>H217*I217</f>
        <v>0</v>
      </c>
      <c r="K217" s="471"/>
    </row>
    <row r="218" spans="1:11" hidden="1">
      <c r="A218" s="463"/>
      <c r="B218" s="512" t="s">
        <v>946</v>
      </c>
      <c r="C218" s="515"/>
      <c r="D218" s="515"/>
      <c r="E218" s="515"/>
      <c r="F218" s="515"/>
      <c r="G218" s="515"/>
      <c r="H218" s="515"/>
      <c r="I218" s="535" t="s">
        <v>175</v>
      </c>
      <c r="J218" s="514">
        <f>SUM(J212:J217)</f>
        <v>77.895529090909093</v>
      </c>
      <c r="K218" s="471"/>
    </row>
    <row r="219" spans="1:11" hidden="1">
      <c r="A219" s="463"/>
      <c r="B219" s="536"/>
      <c r="C219" s="536"/>
      <c r="D219" s="536"/>
      <c r="E219" s="536"/>
      <c r="F219" s="536"/>
      <c r="G219" s="536"/>
      <c r="H219" s="536"/>
      <c r="I219" s="537"/>
      <c r="J219" s="536"/>
      <c r="K219" s="471"/>
    </row>
    <row r="220" spans="1:11" hidden="1">
      <c r="A220" s="463"/>
      <c r="B220" s="538" t="s">
        <v>952</v>
      </c>
      <c r="C220" s="539"/>
      <c r="D220" s="536"/>
      <c r="E220" s="540" t="e">
        <f>PRODUÇÕES!#REF!</f>
        <v>#REF!</v>
      </c>
      <c r="F220" s="541" t="s">
        <v>225</v>
      </c>
      <c r="G220" s="519"/>
      <c r="H220" s="519"/>
      <c r="I220" s="542" t="s">
        <v>953</v>
      </c>
      <c r="J220" s="514">
        <f>J209+J218</f>
        <v>87.895529090909093</v>
      </c>
      <c r="K220" s="471"/>
    </row>
    <row r="221" spans="1:11" hidden="1">
      <c r="A221" s="463"/>
      <c r="B221" s="543"/>
      <c r="C221" s="536"/>
      <c r="D221" s="536"/>
      <c r="E221" s="544"/>
      <c r="F221" s="545"/>
      <c r="G221" s="545"/>
      <c r="H221" s="545"/>
      <c r="I221" s="537"/>
      <c r="J221" s="536"/>
      <c r="K221" s="471"/>
    </row>
    <row r="222" spans="1:11" ht="20.399999999999999" hidden="1">
      <c r="A222" s="463"/>
      <c r="B222" s="1493" t="s">
        <v>362</v>
      </c>
      <c r="C222" s="1494"/>
      <c r="D222" s="1494"/>
      <c r="E222" s="1495"/>
      <c r="F222" s="546" t="s">
        <v>688</v>
      </c>
      <c r="G222" s="547" t="s">
        <v>371</v>
      </c>
      <c r="H222" s="520" t="s">
        <v>942</v>
      </c>
      <c r="I222" s="548" t="s">
        <v>361</v>
      </c>
      <c r="J222" s="549" t="s">
        <v>363</v>
      </c>
      <c r="K222" s="471"/>
    </row>
    <row r="223" spans="1:11" hidden="1">
      <c r="A223" s="463"/>
      <c r="B223" s="550" t="str">
        <f>B204</f>
        <v>Sapo compactador</v>
      </c>
      <c r="C223" s="531"/>
      <c r="D223" s="531"/>
      <c r="E223" s="500"/>
      <c r="F223" s="553" t="str">
        <f>VLOOKUP(B223,EQUIPAMENTOS!$A:$N,12,FALSE)</f>
        <v>Gasolina</v>
      </c>
      <c r="G223" s="554" t="s">
        <v>415</v>
      </c>
      <c r="H223" s="560">
        <f>VLOOKUP(B223,EQUIPAMENTOS!$A:$N,13,FALSE)</f>
        <v>6.59</v>
      </c>
      <c r="I223" s="556">
        <f>VLOOKUP(B223,EQUIPAMENTOS!$A:$N,14,FALSE)</f>
        <v>3</v>
      </c>
      <c r="J223" s="505">
        <f>H223*I223*E204*F204</f>
        <v>19.77</v>
      </c>
      <c r="K223" s="471"/>
    </row>
    <row r="224" spans="1:11" hidden="1">
      <c r="A224" s="463"/>
      <c r="B224" s="550"/>
      <c r="C224" s="531"/>
      <c r="D224" s="531"/>
      <c r="E224" s="500"/>
      <c r="F224" s="553"/>
      <c r="G224" s="554"/>
      <c r="H224" s="560"/>
      <c r="I224" s="556"/>
      <c r="J224" s="505"/>
      <c r="K224" s="471"/>
    </row>
    <row r="225" spans="1:11" hidden="1">
      <c r="A225" s="463"/>
      <c r="B225" s="530"/>
      <c r="C225" s="531"/>
      <c r="D225" s="531"/>
      <c r="E225" s="500"/>
      <c r="F225" s="501"/>
      <c r="G225" s="559"/>
      <c r="H225" s="560"/>
      <c r="I225" s="556"/>
      <c r="J225" s="505">
        <f>H225*I225*E206*F206</f>
        <v>0</v>
      </c>
      <c r="K225" s="471"/>
    </row>
    <row r="226" spans="1:11" hidden="1">
      <c r="A226" s="463"/>
      <c r="B226" s="530"/>
      <c r="C226" s="539"/>
      <c r="D226" s="539"/>
      <c r="E226" s="507"/>
      <c r="F226" s="501"/>
      <c r="G226" s="481"/>
      <c r="H226" s="560"/>
      <c r="I226" s="561"/>
      <c r="J226" s="505">
        <f>H226*I226*E207*F207</f>
        <v>0</v>
      </c>
      <c r="K226" s="471"/>
    </row>
    <row r="227" spans="1:11" hidden="1">
      <c r="A227" s="463"/>
      <c r="B227" s="563" t="s">
        <v>946</v>
      </c>
      <c r="C227" s="539"/>
      <c r="D227" s="539"/>
      <c r="E227" s="539"/>
      <c r="F227" s="536"/>
      <c r="G227" s="539"/>
      <c r="H227" s="564"/>
      <c r="I227" s="565" t="s">
        <v>175</v>
      </c>
      <c r="J227" s="514">
        <f>SUM(J223:J226)</f>
        <v>19.77</v>
      </c>
      <c r="K227" s="471"/>
    </row>
    <row r="228" spans="1:11" hidden="1">
      <c r="A228" s="463"/>
      <c r="B228" s="566"/>
      <c r="C228" s="539"/>
      <c r="D228" s="539"/>
      <c r="E228" s="567"/>
      <c r="F228" s="568"/>
      <c r="G228" s="519"/>
      <c r="H228" s="519"/>
      <c r="I228" s="542"/>
      <c r="J228" s="567"/>
      <c r="K228" s="471"/>
    </row>
    <row r="229" spans="1:11" ht="20.399999999999999" hidden="1">
      <c r="A229" s="463"/>
      <c r="B229" s="1493" t="s">
        <v>955</v>
      </c>
      <c r="C229" s="1494"/>
      <c r="D229" s="1494"/>
      <c r="E229" s="1494"/>
      <c r="F229" s="1495"/>
      <c r="G229" s="569" t="s">
        <v>372</v>
      </c>
      <c r="H229" s="519" t="s">
        <v>956</v>
      </c>
      <c r="I229" s="570" t="s">
        <v>942</v>
      </c>
      <c r="J229" s="522" t="s">
        <v>363</v>
      </c>
      <c r="K229" s="471"/>
    </row>
    <row r="230" spans="1:11" hidden="1">
      <c r="A230" s="463"/>
      <c r="B230" s="571"/>
      <c r="C230" s="572"/>
      <c r="D230" s="573"/>
      <c r="E230" s="573"/>
      <c r="F230" s="574"/>
      <c r="G230" s="502"/>
      <c r="H230" s="502"/>
      <c r="I230" s="575"/>
      <c r="J230" s="505"/>
      <c r="K230" s="471"/>
    </row>
    <row r="231" spans="1:11" hidden="1">
      <c r="A231" s="463"/>
      <c r="B231" s="576"/>
      <c r="C231" s="577"/>
      <c r="D231" s="578"/>
      <c r="E231" s="578"/>
      <c r="F231" s="579"/>
      <c r="G231" s="502"/>
      <c r="H231" s="502"/>
      <c r="I231" s="575"/>
      <c r="J231" s="505"/>
      <c r="K231" s="471"/>
    </row>
    <row r="232" spans="1:11" hidden="1">
      <c r="A232" s="463"/>
      <c r="B232" s="1496" t="s">
        <v>175</v>
      </c>
      <c r="C232" s="1496"/>
      <c r="D232" s="1496"/>
      <c r="E232" s="1496"/>
      <c r="F232" s="1496"/>
      <c r="G232" s="1496"/>
      <c r="H232" s="1496"/>
      <c r="I232" s="1496"/>
      <c r="J232" s="514">
        <f>SUM(J230:J231)</f>
        <v>0</v>
      </c>
      <c r="K232" s="471"/>
    </row>
    <row r="233" spans="1:11" hidden="1">
      <c r="A233" s="463"/>
      <c r="B233" s="580"/>
      <c r="C233" s="524"/>
      <c r="D233" s="524"/>
      <c r="E233" s="581"/>
      <c r="F233" s="582"/>
      <c r="G233" s="583"/>
      <c r="H233" s="583"/>
      <c r="I233" s="584"/>
      <c r="J233" s="585"/>
      <c r="K233" s="471"/>
    </row>
    <row r="234" spans="1:11" hidden="1">
      <c r="A234" s="463"/>
      <c r="B234" s="586" t="s">
        <v>957</v>
      </c>
      <c r="C234" s="586"/>
      <c r="D234" s="563"/>
      <c r="E234" s="536"/>
      <c r="F234" s="536"/>
      <c r="G234" s="536"/>
      <c r="H234" s="587"/>
      <c r="I234" s="588"/>
      <c r="J234" s="647" t="e">
        <f>(J220+J227+J232)/E220</f>
        <v>#REF!</v>
      </c>
      <c r="K234" s="471"/>
    </row>
    <row r="235" spans="1:11" hidden="1">
      <c r="A235" s="463"/>
      <c r="B235" s="566"/>
      <c r="C235" s="539"/>
      <c r="D235" s="539"/>
      <c r="E235" s="567"/>
      <c r="F235" s="568"/>
      <c r="G235" s="519"/>
      <c r="H235" s="519"/>
      <c r="I235" s="542"/>
      <c r="J235" s="589"/>
      <c r="K235" s="471"/>
    </row>
    <row r="236" spans="1:11" ht="20.399999999999999" hidden="1">
      <c r="A236" s="463"/>
      <c r="B236" s="1493" t="s">
        <v>958</v>
      </c>
      <c r="C236" s="1494"/>
      <c r="D236" s="1494"/>
      <c r="E236" s="1494"/>
      <c r="F236" s="1495"/>
      <c r="G236" s="569" t="s">
        <v>372</v>
      </c>
      <c r="H236" s="519" t="s">
        <v>956</v>
      </c>
      <c r="I236" s="570" t="s">
        <v>942</v>
      </c>
      <c r="J236" s="522" t="s">
        <v>363</v>
      </c>
      <c r="K236" s="471"/>
    </row>
    <row r="237" spans="1:11" hidden="1">
      <c r="A237" s="463"/>
      <c r="B237" s="571" t="s">
        <v>1025</v>
      </c>
      <c r="C237" s="572"/>
      <c r="D237" s="573"/>
      <c r="E237" s="573"/>
      <c r="F237" s="574"/>
      <c r="G237" s="502">
        <v>1.05</v>
      </c>
      <c r="H237" s="502" t="s">
        <v>225</v>
      </c>
      <c r="I237" s="575"/>
      <c r="J237" s="505">
        <f>G237*I237</f>
        <v>0</v>
      </c>
      <c r="K237" s="471"/>
    </row>
    <row r="238" spans="1:11" hidden="1">
      <c r="A238" s="463"/>
      <c r="B238" s="576" t="s">
        <v>1002</v>
      </c>
      <c r="C238" s="577"/>
      <c r="D238" s="578"/>
      <c r="E238" s="578"/>
      <c r="F238" s="579"/>
      <c r="G238" s="502">
        <v>0.05</v>
      </c>
      <c r="H238" s="502" t="s">
        <v>990</v>
      </c>
      <c r="I238" s="575">
        <v>10</v>
      </c>
      <c r="J238" s="505">
        <f>G238*I238</f>
        <v>0.5</v>
      </c>
      <c r="K238" s="471"/>
    </row>
    <row r="239" spans="1:11" hidden="1">
      <c r="A239" s="463"/>
      <c r="B239" s="576"/>
      <c r="C239" s="577"/>
      <c r="D239" s="578"/>
      <c r="E239" s="578"/>
      <c r="F239" s="579"/>
      <c r="G239" s="502"/>
      <c r="H239" s="502"/>
      <c r="I239" s="575"/>
      <c r="J239" s="505"/>
      <c r="K239" s="471"/>
    </row>
    <row r="240" spans="1:11" hidden="1">
      <c r="A240" s="463"/>
      <c r="B240" s="590"/>
      <c r="C240" s="591"/>
      <c r="D240" s="592"/>
      <c r="E240" s="592"/>
      <c r="F240" s="593"/>
      <c r="G240" s="502"/>
      <c r="H240" s="502"/>
      <c r="I240" s="575"/>
      <c r="J240" s="505">
        <f>G240*I240</f>
        <v>0</v>
      </c>
      <c r="K240" s="471"/>
    </row>
    <row r="241" spans="1:11" hidden="1">
      <c r="A241" s="463"/>
      <c r="B241" s="594"/>
      <c r="C241" s="536"/>
      <c r="D241" s="536"/>
      <c r="E241" s="595"/>
      <c r="F241" s="596"/>
      <c r="G241" s="545"/>
      <c r="H241" s="545"/>
      <c r="I241" s="537" t="s">
        <v>175</v>
      </c>
      <c r="J241" s="514">
        <f>SUM(J237:J240)</f>
        <v>0.5</v>
      </c>
      <c r="K241" s="471"/>
    </row>
    <row r="242" spans="1:11" hidden="1">
      <c r="A242" s="463"/>
      <c r="B242" s="597"/>
      <c r="C242" s="536"/>
      <c r="D242" s="536"/>
      <c r="E242" s="595"/>
      <c r="F242" s="596"/>
      <c r="G242" s="545"/>
      <c r="H242" s="545"/>
      <c r="I242" s="537"/>
      <c r="J242" s="595"/>
      <c r="K242" s="471"/>
    </row>
    <row r="243" spans="1:11" ht="20.399999999999999" hidden="1">
      <c r="A243" s="463"/>
      <c r="B243" s="1493" t="s">
        <v>959</v>
      </c>
      <c r="C243" s="1494"/>
      <c r="D243" s="1494"/>
      <c r="E243" s="1494"/>
      <c r="F243" s="1495"/>
      <c r="G243" s="600" t="s">
        <v>372</v>
      </c>
      <c r="H243" s="519" t="s">
        <v>942</v>
      </c>
      <c r="I243" s="570"/>
      <c r="J243" s="522" t="s">
        <v>363</v>
      </c>
      <c r="K243" s="471"/>
    </row>
    <row r="244" spans="1:11" hidden="1">
      <c r="A244" s="463"/>
      <c r="B244" s="1734" t="s">
        <v>1003</v>
      </c>
      <c r="C244" s="1735"/>
      <c r="D244" s="1735"/>
      <c r="E244" s="1735"/>
      <c r="F244" s="1736"/>
      <c r="G244" s="502">
        <f>(1*0.6*1.5)</f>
        <v>0.89999999999999991</v>
      </c>
      <c r="H244" s="1737">
        <f>'ESCAVAÇÃO SAA-SES'!J65</f>
        <v>3.1543812222222223</v>
      </c>
      <c r="I244" s="1738"/>
      <c r="J244" s="505">
        <f>G244*H244</f>
        <v>2.8389430999999998</v>
      </c>
      <c r="K244" s="471"/>
    </row>
    <row r="245" spans="1:11" hidden="1">
      <c r="A245" s="463"/>
      <c r="B245" s="1739" t="s">
        <v>1004</v>
      </c>
      <c r="C245" s="1740"/>
      <c r="D245" s="1740"/>
      <c r="E245" s="1740" t="s">
        <v>946</v>
      </c>
      <c r="F245" s="1741"/>
      <c r="G245" s="509">
        <f>((PI()*0.26*0.26)/4)*0.26*1.3</f>
        <v>1.7945405555835618E-2</v>
      </c>
      <c r="H245" s="1742">
        <f>'BOTA FORA SAA-SES'!J65</f>
        <v>4.7307744166666668</v>
      </c>
      <c r="I245" s="1743"/>
      <c r="J245" s="505">
        <f>G245*H245</f>
        <v>8.4895665500255013E-2</v>
      </c>
      <c r="K245" s="471"/>
    </row>
    <row r="246" spans="1:11" hidden="1">
      <c r="A246" s="463"/>
      <c r="B246" s="594"/>
      <c r="C246" s="536"/>
      <c r="D246" s="536"/>
      <c r="E246" s="595"/>
      <c r="F246" s="596"/>
      <c r="G246" s="545"/>
      <c r="H246" s="545"/>
      <c r="I246" s="537" t="s">
        <v>175</v>
      </c>
      <c r="J246" s="514">
        <f>SUM(J244:J245)</f>
        <v>2.9238387655002547</v>
      </c>
      <c r="K246" s="471"/>
    </row>
    <row r="247" spans="1:11" hidden="1">
      <c r="A247" s="463"/>
      <c r="B247" s="536"/>
      <c r="C247" s="536"/>
      <c r="D247" s="536"/>
      <c r="E247" s="536"/>
      <c r="F247" s="536"/>
      <c r="G247" s="536"/>
      <c r="H247" s="536"/>
      <c r="I247" s="537"/>
      <c r="J247" s="536"/>
      <c r="K247" s="471"/>
    </row>
    <row r="248" spans="1:11" hidden="1">
      <c r="A248" s="463"/>
      <c r="B248" s="1481" t="s">
        <v>961</v>
      </c>
      <c r="C248" s="1482"/>
      <c r="D248" s="1482"/>
      <c r="E248" s="1482"/>
      <c r="F248" s="1482"/>
      <c r="G248" s="1482"/>
      <c r="H248" s="1482"/>
      <c r="I248" s="1483"/>
      <c r="J248" s="586" t="e">
        <f>J246+J241+J234</f>
        <v>#REF!</v>
      </c>
      <c r="K248" s="471"/>
    </row>
    <row r="249" spans="1:11" hidden="1">
      <c r="A249" s="463"/>
      <c r="B249" s="536"/>
      <c r="C249" s="536"/>
      <c r="D249" s="536"/>
      <c r="E249" s="536"/>
      <c r="F249" s="536"/>
      <c r="G249" s="536"/>
      <c r="H249" s="536"/>
      <c r="I249" s="537"/>
      <c r="J249" s="536"/>
      <c r="K249" s="471"/>
    </row>
    <row r="250" spans="1:11" hidden="1">
      <c r="A250" s="463"/>
      <c r="B250" s="1481" t="s">
        <v>962</v>
      </c>
      <c r="C250" s="1482"/>
      <c r="D250" s="1482"/>
      <c r="E250" s="1482"/>
      <c r="F250" s="1482"/>
      <c r="G250" s="1482"/>
      <c r="H250" s="1482"/>
      <c r="I250" s="1483"/>
      <c r="J250" s="514" t="e">
        <f>J248*0</f>
        <v>#REF!</v>
      </c>
      <c r="K250" s="471"/>
    </row>
    <row r="251" spans="1:11" hidden="1">
      <c r="A251" s="463"/>
      <c r="B251" s="536"/>
      <c r="C251" s="536"/>
      <c r="D251" s="536"/>
      <c r="E251" s="536"/>
      <c r="F251" s="536"/>
      <c r="G251" s="536"/>
      <c r="H251" s="536"/>
      <c r="I251" s="537"/>
      <c r="J251" s="536"/>
      <c r="K251" s="471"/>
    </row>
    <row r="252" spans="1:11" hidden="1">
      <c r="A252" s="463"/>
      <c r="B252" s="1481" t="s">
        <v>963</v>
      </c>
      <c r="C252" s="1482"/>
      <c r="D252" s="1482"/>
      <c r="E252" s="1482"/>
      <c r="F252" s="1482"/>
      <c r="G252" s="1482"/>
      <c r="H252" s="1482"/>
      <c r="I252" s="1483"/>
      <c r="J252" s="586" t="e">
        <f>J248+J250</f>
        <v>#REF!</v>
      </c>
      <c r="K252" s="471"/>
    </row>
    <row r="253" spans="1:11" hidden="1">
      <c r="A253" s="463"/>
      <c r="B253" s="524"/>
      <c r="C253" s="524"/>
      <c r="D253" s="524"/>
      <c r="E253" s="524"/>
      <c r="F253" s="524"/>
      <c r="G253" s="524"/>
      <c r="H253" s="524"/>
      <c r="I253" s="584"/>
      <c r="J253" s="524"/>
      <c r="K253" s="471"/>
    </row>
    <row r="254" spans="1:11" hidden="1">
      <c r="A254" s="463"/>
      <c r="B254" s="602"/>
      <c r="C254" s="572"/>
      <c r="D254" s="572"/>
      <c r="E254" s="572"/>
      <c r="F254" s="572"/>
      <c r="G254" s="572"/>
      <c r="H254" s="572"/>
      <c r="I254" s="572"/>
      <c r="J254" s="603"/>
      <c r="K254" s="471"/>
    </row>
    <row r="255" spans="1:11" hidden="1">
      <c r="A255" s="463"/>
      <c r="B255" s="604"/>
      <c r="C255" s="605"/>
      <c r="D255" s="606"/>
      <c r="E255" s="606"/>
      <c r="F255" s="607" t="s">
        <v>946</v>
      </c>
      <c r="G255" s="608" t="s">
        <v>946</v>
      </c>
      <c r="H255" s="605"/>
      <c r="I255" s="605"/>
      <c r="J255" s="609"/>
      <c r="K255" s="471"/>
    </row>
    <row r="256" spans="1:11" hidden="1">
      <c r="A256" s="463"/>
      <c r="B256" s="472"/>
      <c r="C256" s="472"/>
      <c r="D256" s="472"/>
      <c r="E256" s="472"/>
      <c r="F256" s="472"/>
      <c r="G256" s="472"/>
      <c r="H256" s="472"/>
      <c r="I256" s="472"/>
      <c r="J256" s="472"/>
      <c r="K256" s="471"/>
    </row>
    <row r="257" spans="1:11" hidden="1">
      <c r="A257" s="463"/>
      <c r="B257" s="610" t="str">
        <f>PLANEJAMENTO!$F$2</f>
        <v>OPERAÇÃO DE SUPRESSÃO E SUMP</v>
      </c>
      <c r="C257" s="611"/>
      <c r="D257" s="611"/>
      <c r="E257" s="611"/>
      <c r="F257" s="612"/>
      <c r="G257" s="613" t="s">
        <v>363</v>
      </c>
      <c r="H257" s="515"/>
      <c r="I257" s="515"/>
      <c r="J257" s="518"/>
      <c r="K257" s="471"/>
    </row>
    <row r="258" spans="1:11" hidden="1">
      <c r="A258" s="463"/>
      <c r="B258" s="614" t="str">
        <f>PLANEJAMENTO!$F$3</f>
        <v>MARA ROSA</v>
      </c>
      <c r="C258" s="615"/>
      <c r="D258" s="615"/>
      <c r="E258" s="615"/>
      <c r="F258" s="616"/>
      <c r="G258" s="1484" t="s">
        <v>964</v>
      </c>
      <c r="H258" s="1485"/>
      <c r="I258" s="1485"/>
      <c r="J258" s="1486"/>
      <c r="K258" s="471"/>
    </row>
    <row r="259" spans="1:11" hidden="1">
      <c r="A259" s="463"/>
      <c r="B259" s="617"/>
      <c r="C259" s="618"/>
      <c r="D259" s="618"/>
      <c r="E259" s="618"/>
      <c r="F259" s="619"/>
      <c r="G259" s="620"/>
      <c r="H259" s="1487"/>
      <c r="I259" s="1488"/>
      <c r="J259" s="1489"/>
      <c r="K259" s="471"/>
    </row>
    <row r="260" spans="1:11" ht="15" hidden="1" thickBot="1">
      <c r="A260" s="621"/>
      <c r="B260" s="622"/>
      <c r="C260" s="622"/>
      <c r="D260" s="622"/>
      <c r="E260" s="622"/>
      <c r="F260" s="622"/>
      <c r="G260" s="622"/>
      <c r="H260" s="622"/>
      <c r="I260" s="622"/>
      <c r="J260" s="622"/>
      <c r="K260" s="623"/>
    </row>
    <row r="261" spans="1:11" hidden="1">
      <c r="A261" s="460"/>
      <c r="B261" s="461"/>
      <c r="C261" s="461"/>
      <c r="D261" s="461"/>
      <c r="E261" s="461"/>
      <c r="F261" s="461"/>
      <c r="G261" s="461"/>
      <c r="H261" s="461"/>
      <c r="I261" s="461"/>
      <c r="J261" s="461"/>
      <c r="K261" s="462"/>
    </row>
    <row r="262" spans="1:11" hidden="1">
      <c r="A262" s="463"/>
      <c r="B262" s="464" t="s">
        <v>178</v>
      </c>
      <c r="C262" s="465"/>
      <c r="D262" s="466" t="s">
        <v>936</v>
      </c>
      <c r="E262" s="467"/>
      <c r="F262" s="468"/>
      <c r="G262" s="468"/>
      <c r="H262" s="469"/>
      <c r="I262" s="469"/>
      <c r="J262" s="470"/>
      <c r="K262" s="471"/>
    </row>
    <row r="263" spans="1:11" hidden="1">
      <c r="A263" s="463"/>
      <c r="B263" s="472"/>
      <c r="C263" s="472"/>
      <c r="D263" s="472"/>
      <c r="E263" s="472"/>
      <c r="F263" s="472"/>
      <c r="G263" s="472"/>
      <c r="H263" s="472"/>
      <c r="I263" s="472"/>
      <c r="J263" s="472"/>
      <c r="K263" s="471"/>
    </row>
    <row r="264" spans="1:11" hidden="1">
      <c r="A264" s="463"/>
      <c r="B264" s="473" t="s">
        <v>688</v>
      </c>
      <c r="C264" s="474" t="s">
        <v>937</v>
      </c>
      <c r="D264" s="1497" t="s">
        <v>250</v>
      </c>
      <c r="E264" s="1498"/>
      <c r="F264" s="1498"/>
      <c r="G264" s="1498"/>
      <c r="H264" s="1498"/>
      <c r="I264" s="1499"/>
      <c r="J264" s="475" t="s">
        <v>267</v>
      </c>
      <c r="K264" s="471"/>
    </row>
    <row r="265" spans="1:11" ht="22.5" hidden="1" customHeight="1">
      <c r="A265" s="463"/>
      <c r="B265" s="476" t="s">
        <v>3</v>
      </c>
      <c r="C265" s="477">
        <f ca="1">PLANEJAMENTO!$F$4</f>
        <v>46140</v>
      </c>
      <c r="D265" s="1721" t="s">
        <v>1026</v>
      </c>
      <c r="E265" s="1722"/>
      <c r="F265" s="1722"/>
      <c r="G265" s="1722"/>
      <c r="H265" s="1722"/>
      <c r="I265" s="1723"/>
      <c r="J265" s="481" t="str">
        <f>F285</f>
        <v>m</v>
      </c>
      <c r="K265" s="471"/>
    </row>
    <row r="266" spans="1:11" hidden="1">
      <c r="A266" s="463"/>
      <c r="B266" s="482"/>
      <c r="C266" s="482"/>
      <c r="D266" s="482"/>
      <c r="E266" s="482"/>
      <c r="F266" s="482"/>
      <c r="G266" s="482"/>
      <c r="H266" s="482"/>
      <c r="I266" s="483"/>
      <c r="J266" s="484"/>
      <c r="K266" s="471"/>
    </row>
    <row r="267" spans="1:11" hidden="1">
      <c r="A267" s="463"/>
      <c r="B267" s="1484" t="s">
        <v>938</v>
      </c>
      <c r="C267" s="1486"/>
      <c r="D267" s="1502" t="s">
        <v>688</v>
      </c>
      <c r="E267" s="1504" t="s">
        <v>939</v>
      </c>
      <c r="F267" s="485" t="s">
        <v>940</v>
      </c>
      <c r="G267" s="486"/>
      <c r="H267" s="485" t="s">
        <v>941</v>
      </c>
      <c r="I267" s="486"/>
      <c r="J267" s="487" t="s">
        <v>942</v>
      </c>
      <c r="K267" s="471"/>
    </row>
    <row r="268" spans="1:11" hidden="1">
      <c r="A268" s="463"/>
      <c r="B268" s="1500"/>
      <c r="C268" s="1501"/>
      <c r="D268" s="1503"/>
      <c r="E268" s="1505"/>
      <c r="F268" s="488" t="s">
        <v>943</v>
      </c>
      <c r="G268" s="488" t="s">
        <v>944</v>
      </c>
      <c r="H268" s="488" t="s">
        <v>943</v>
      </c>
      <c r="I268" s="489" t="s">
        <v>944</v>
      </c>
      <c r="J268" s="490" t="s">
        <v>945</v>
      </c>
      <c r="K268" s="471"/>
    </row>
    <row r="269" spans="1:11" hidden="1">
      <c r="A269" s="463"/>
      <c r="B269" s="499" t="s">
        <v>659</v>
      </c>
      <c r="C269" s="500"/>
      <c r="D269" s="501"/>
      <c r="E269" s="502">
        <v>1</v>
      </c>
      <c r="F269" s="502">
        <v>1</v>
      </c>
      <c r="G269" s="502">
        <f>1-F269</f>
        <v>0</v>
      </c>
      <c r="H269" s="503">
        <f>VLOOKUP(B269,EQUIPAMENTOS!$A:$J,10,FALSE)</f>
        <v>10</v>
      </c>
      <c r="I269" s="504">
        <f>H269</f>
        <v>10</v>
      </c>
      <c r="J269" s="505">
        <f>H269*F269*E269+I269*G269*E269</f>
        <v>10</v>
      </c>
      <c r="K269" s="471"/>
    </row>
    <row r="270" spans="1:11" hidden="1">
      <c r="A270" s="463"/>
      <c r="B270" s="499"/>
      <c r="C270" s="500"/>
      <c r="D270" s="501"/>
      <c r="E270" s="502"/>
      <c r="F270" s="502"/>
      <c r="G270" s="502"/>
      <c r="H270" s="503"/>
      <c r="I270" s="504"/>
      <c r="J270" s="505"/>
      <c r="K270" s="471"/>
    </row>
    <row r="271" spans="1:11" hidden="1">
      <c r="A271" s="463"/>
      <c r="B271" s="499"/>
      <c r="C271" s="500"/>
      <c r="D271" s="501"/>
      <c r="E271" s="502"/>
      <c r="F271" s="502"/>
      <c r="G271" s="502"/>
      <c r="H271" s="503"/>
      <c r="I271" s="504"/>
      <c r="J271" s="505">
        <f>H271*F271*E271+I271*G271*E271</f>
        <v>0</v>
      </c>
      <c r="K271" s="471"/>
    </row>
    <row r="272" spans="1:11" hidden="1">
      <c r="A272" s="463"/>
      <c r="B272" s="499"/>
      <c r="C272" s="500"/>
      <c r="D272" s="501"/>
      <c r="E272" s="502"/>
      <c r="F272" s="502"/>
      <c r="G272" s="502"/>
      <c r="H272" s="503"/>
      <c r="I272" s="504"/>
      <c r="J272" s="505">
        <f>H272*F272*E272+I272*G272*E272</f>
        <v>0</v>
      </c>
      <c r="K272" s="471"/>
    </row>
    <row r="273" spans="1:11" hidden="1">
      <c r="A273" s="463"/>
      <c r="B273" s="506"/>
      <c r="C273" s="507"/>
      <c r="D273" s="508"/>
      <c r="E273" s="509"/>
      <c r="F273" s="509"/>
      <c r="G273" s="509"/>
      <c r="H273" s="510"/>
      <c r="I273" s="511"/>
      <c r="J273" s="505">
        <f>H273*F273*E273+I273*G273*E273</f>
        <v>0</v>
      </c>
      <c r="K273" s="471"/>
    </row>
    <row r="274" spans="1:11" hidden="1">
      <c r="A274" s="463"/>
      <c r="B274" s="512" t="s">
        <v>946</v>
      </c>
      <c r="C274" s="482"/>
      <c r="D274" s="482"/>
      <c r="E274" s="482"/>
      <c r="F274" s="482"/>
      <c r="G274" s="482"/>
      <c r="H274" s="482"/>
      <c r="I274" s="513" t="s">
        <v>175</v>
      </c>
      <c r="J274" s="514">
        <f>SUM(J269:J273)</f>
        <v>10</v>
      </c>
      <c r="K274" s="471"/>
    </row>
    <row r="275" spans="1:11" hidden="1">
      <c r="A275" s="463"/>
      <c r="B275" s="515"/>
      <c r="C275" s="515"/>
      <c r="D275" s="515"/>
      <c r="E275" s="515"/>
      <c r="F275" s="515"/>
      <c r="G275" s="515"/>
      <c r="H275" s="515"/>
      <c r="I275" s="516"/>
      <c r="J275" s="517"/>
      <c r="K275" s="471"/>
    </row>
    <row r="276" spans="1:11" ht="20.399999999999999" hidden="1">
      <c r="A276" s="463"/>
      <c r="B276" s="1490" t="s">
        <v>947</v>
      </c>
      <c r="C276" s="1491"/>
      <c r="D276" s="1491"/>
      <c r="E276" s="1492"/>
      <c r="F276" s="518" t="s">
        <v>688</v>
      </c>
      <c r="G276" s="519"/>
      <c r="H276" s="520" t="s">
        <v>427</v>
      </c>
      <c r="I276" s="521" t="s">
        <v>948</v>
      </c>
      <c r="J276" s="522" t="s">
        <v>949</v>
      </c>
      <c r="K276" s="471"/>
    </row>
    <row r="277" spans="1:11" hidden="1">
      <c r="A277" s="463"/>
      <c r="B277" s="523" t="s">
        <v>980</v>
      </c>
      <c r="C277" s="524"/>
      <c r="D277" s="525"/>
      <c r="E277" s="526"/>
      <c r="F277" s="527"/>
      <c r="G277" s="528"/>
      <c r="H277" s="529"/>
      <c r="I277" s="497"/>
      <c r="J277" s="498">
        <f>SUM(J278:J280)*0.05</f>
        <v>3.7093109090909095</v>
      </c>
      <c r="K277" s="471"/>
    </row>
    <row r="278" spans="1:11" hidden="1">
      <c r="A278" s="463"/>
      <c r="B278" s="530" t="s">
        <v>1000</v>
      </c>
      <c r="C278" s="531"/>
      <c r="D278" s="472"/>
      <c r="E278" s="500"/>
      <c r="F278" s="501"/>
      <c r="G278" s="532"/>
      <c r="H278" s="533">
        <v>1</v>
      </c>
      <c r="I278" s="534">
        <f>VLOOKUP(B278,'MÃO DE OBRA'!$A:$E,5,FALSE)/220</f>
        <v>19.055000000000003</v>
      </c>
      <c r="J278" s="505">
        <f>H278*I278</f>
        <v>19.055000000000003</v>
      </c>
      <c r="K278" s="471"/>
    </row>
    <row r="279" spans="1:11" hidden="1">
      <c r="A279" s="463"/>
      <c r="B279" s="530" t="s">
        <v>472</v>
      </c>
      <c r="C279" s="531"/>
      <c r="D279" s="472"/>
      <c r="E279" s="500"/>
      <c r="F279" s="501"/>
      <c r="G279" s="532"/>
      <c r="H279" s="533">
        <v>3</v>
      </c>
      <c r="I279" s="534">
        <f>VLOOKUP(B279,'MÃO DE OBRA'!$A:$E,5,FALSE)/220</f>
        <v>18.377072727272729</v>
      </c>
      <c r="J279" s="505">
        <f>H279*I279</f>
        <v>55.131218181818184</v>
      </c>
      <c r="K279" s="471"/>
    </row>
    <row r="280" spans="1:11" hidden="1">
      <c r="A280" s="463"/>
      <c r="B280" s="530" t="s">
        <v>479</v>
      </c>
      <c r="C280" s="531"/>
      <c r="D280" s="472"/>
      <c r="E280" s="500"/>
      <c r="F280" s="501"/>
      <c r="G280" s="532"/>
      <c r="H280" s="533"/>
      <c r="I280" s="534">
        <f>VLOOKUP(B280,'MÃO DE OBRA'!$A:$E,5,FALSE)/220</f>
        <v>25.789327272727274</v>
      </c>
      <c r="J280" s="505">
        <f>H280*I280</f>
        <v>0</v>
      </c>
      <c r="K280" s="471"/>
    </row>
    <row r="281" spans="1:11" hidden="1">
      <c r="A281" s="463"/>
      <c r="B281" s="530" t="s">
        <v>981</v>
      </c>
      <c r="C281" s="531"/>
      <c r="D281" s="472"/>
      <c r="E281" s="500"/>
      <c r="F281" s="501"/>
      <c r="G281" s="532"/>
      <c r="H281" s="533"/>
      <c r="I281" s="504"/>
      <c r="J281" s="505"/>
      <c r="K281" s="471"/>
    </row>
    <row r="282" spans="1:11" hidden="1">
      <c r="A282" s="463"/>
      <c r="B282" s="530"/>
      <c r="C282" s="531"/>
      <c r="D282" s="472"/>
      <c r="E282" s="500"/>
      <c r="F282" s="501"/>
      <c r="G282" s="532"/>
      <c r="H282" s="533"/>
      <c r="I282" s="504"/>
      <c r="J282" s="505">
        <f>H282*I282</f>
        <v>0</v>
      </c>
      <c r="K282" s="471"/>
    </row>
    <row r="283" spans="1:11" hidden="1">
      <c r="A283" s="463"/>
      <c r="B283" s="512" t="s">
        <v>946</v>
      </c>
      <c r="C283" s="515"/>
      <c r="D283" s="515"/>
      <c r="E283" s="515"/>
      <c r="F283" s="515"/>
      <c r="G283" s="515"/>
      <c r="H283" s="515"/>
      <c r="I283" s="535" t="s">
        <v>175</v>
      </c>
      <c r="J283" s="514">
        <f>SUM(J277:J282)</f>
        <v>77.895529090909093</v>
      </c>
      <c r="K283" s="471"/>
    </row>
    <row r="284" spans="1:11" hidden="1">
      <c r="A284" s="463"/>
      <c r="B284" s="536"/>
      <c r="C284" s="536"/>
      <c r="D284" s="536"/>
      <c r="E284" s="536"/>
      <c r="F284" s="536"/>
      <c r="G284" s="536"/>
      <c r="H284" s="536"/>
      <c r="I284" s="537"/>
      <c r="J284" s="536"/>
      <c r="K284" s="471"/>
    </row>
    <row r="285" spans="1:11" hidden="1">
      <c r="A285" s="463"/>
      <c r="B285" s="538" t="s">
        <v>952</v>
      </c>
      <c r="C285" s="539"/>
      <c r="D285" s="536"/>
      <c r="E285" s="540">
        <f>15/8</f>
        <v>1.875</v>
      </c>
      <c r="F285" s="541" t="s">
        <v>225</v>
      </c>
      <c r="G285" s="519"/>
      <c r="H285" s="519"/>
      <c r="I285" s="542" t="s">
        <v>953</v>
      </c>
      <c r="J285" s="514">
        <f>J274+J283</f>
        <v>87.895529090909093</v>
      </c>
      <c r="K285" s="471"/>
    </row>
    <row r="286" spans="1:11" hidden="1">
      <c r="A286" s="463"/>
      <c r="B286" s="543"/>
      <c r="C286" s="536"/>
      <c r="D286" s="536"/>
      <c r="E286" s="544"/>
      <c r="F286" s="545"/>
      <c r="G286" s="545"/>
      <c r="H286" s="545"/>
      <c r="I286" s="537"/>
      <c r="J286" s="536"/>
      <c r="K286" s="471"/>
    </row>
    <row r="287" spans="1:11" ht="20.399999999999999" hidden="1">
      <c r="A287" s="463"/>
      <c r="B287" s="1493" t="s">
        <v>362</v>
      </c>
      <c r="C287" s="1494"/>
      <c r="D287" s="1494"/>
      <c r="E287" s="1495"/>
      <c r="F287" s="546" t="s">
        <v>688</v>
      </c>
      <c r="G287" s="547" t="s">
        <v>371</v>
      </c>
      <c r="H287" s="520" t="s">
        <v>942</v>
      </c>
      <c r="I287" s="548" t="s">
        <v>361</v>
      </c>
      <c r="J287" s="549" t="s">
        <v>363</v>
      </c>
      <c r="K287" s="471"/>
    </row>
    <row r="288" spans="1:11" hidden="1">
      <c r="A288" s="463"/>
      <c r="B288" s="550" t="str">
        <f>B269</f>
        <v>Sapo compactador</v>
      </c>
      <c r="C288" s="531"/>
      <c r="D288" s="531"/>
      <c r="E288" s="500"/>
      <c r="F288" s="553" t="str">
        <f>VLOOKUP(B288,EQUIPAMENTOS!$A:$N,12,FALSE)</f>
        <v>Gasolina</v>
      </c>
      <c r="G288" s="554" t="s">
        <v>415</v>
      </c>
      <c r="H288" s="560">
        <f>VLOOKUP(B288,EQUIPAMENTOS!$A:$N,13,FALSE)</f>
        <v>6.59</v>
      </c>
      <c r="I288" s="556">
        <f>VLOOKUP(B288,EQUIPAMENTOS!$A:$N,14,FALSE)</f>
        <v>3</v>
      </c>
      <c r="J288" s="505">
        <f>H288*I288*E269*F269</f>
        <v>19.77</v>
      </c>
      <c r="K288" s="471"/>
    </row>
    <row r="289" spans="1:11" hidden="1">
      <c r="A289" s="463"/>
      <c r="B289" s="550"/>
      <c r="C289" s="531"/>
      <c r="D289" s="531"/>
      <c r="E289" s="500"/>
      <c r="F289" s="553"/>
      <c r="G289" s="554"/>
      <c r="H289" s="560"/>
      <c r="I289" s="556"/>
      <c r="J289" s="505"/>
      <c r="K289" s="471"/>
    </row>
    <row r="290" spans="1:11" hidden="1">
      <c r="A290" s="463"/>
      <c r="B290" s="530"/>
      <c r="C290" s="531"/>
      <c r="D290" s="531"/>
      <c r="E290" s="500"/>
      <c r="F290" s="501"/>
      <c r="G290" s="559"/>
      <c r="H290" s="560"/>
      <c r="I290" s="556"/>
      <c r="J290" s="505">
        <f>H290*I290*E271*F271</f>
        <v>0</v>
      </c>
      <c r="K290" s="471"/>
    </row>
    <row r="291" spans="1:11" hidden="1">
      <c r="A291" s="463"/>
      <c r="B291" s="530"/>
      <c r="C291" s="539"/>
      <c r="D291" s="539"/>
      <c r="E291" s="507"/>
      <c r="F291" s="501"/>
      <c r="G291" s="481"/>
      <c r="H291" s="560"/>
      <c r="I291" s="561"/>
      <c r="J291" s="505">
        <f>H291*I291*E272*F272</f>
        <v>0</v>
      </c>
      <c r="K291" s="471"/>
    </row>
    <row r="292" spans="1:11" hidden="1">
      <c r="A292" s="463"/>
      <c r="B292" s="563" t="s">
        <v>946</v>
      </c>
      <c r="C292" s="539"/>
      <c r="D292" s="539"/>
      <c r="E292" s="539"/>
      <c r="F292" s="536"/>
      <c r="G292" s="539"/>
      <c r="H292" s="564"/>
      <c r="I292" s="565" t="s">
        <v>175</v>
      </c>
      <c r="J292" s="514">
        <f>SUM(J288:J291)</f>
        <v>19.77</v>
      </c>
      <c r="K292" s="471"/>
    </row>
    <row r="293" spans="1:11" hidden="1">
      <c r="A293" s="463"/>
      <c r="B293" s="566"/>
      <c r="C293" s="539"/>
      <c r="D293" s="539"/>
      <c r="E293" s="567"/>
      <c r="F293" s="568"/>
      <c r="G293" s="519"/>
      <c r="H293" s="519"/>
      <c r="I293" s="542"/>
      <c r="J293" s="567"/>
      <c r="K293" s="471"/>
    </row>
    <row r="294" spans="1:11" ht="20.399999999999999" hidden="1">
      <c r="A294" s="463"/>
      <c r="B294" s="1493" t="s">
        <v>955</v>
      </c>
      <c r="C294" s="1494"/>
      <c r="D294" s="1494"/>
      <c r="E294" s="1494"/>
      <c r="F294" s="1495"/>
      <c r="G294" s="569" t="s">
        <v>372</v>
      </c>
      <c r="H294" s="519" t="s">
        <v>956</v>
      </c>
      <c r="I294" s="570" t="s">
        <v>942</v>
      </c>
      <c r="J294" s="522" t="s">
        <v>363</v>
      </c>
      <c r="K294" s="471"/>
    </row>
    <row r="295" spans="1:11" hidden="1">
      <c r="A295" s="463"/>
      <c r="B295" s="571"/>
      <c r="C295" s="572"/>
      <c r="D295" s="573"/>
      <c r="E295" s="573"/>
      <c r="F295" s="574"/>
      <c r="G295" s="502"/>
      <c r="H295" s="502"/>
      <c r="I295" s="575"/>
      <c r="J295" s="505"/>
      <c r="K295" s="471"/>
    </row>
    <row r="296" spans="1:11" hidden="1">
      <c r="A296" s="463"/>
      <c r="B296" s="576"/>
      <c r="C296" s="577"/>
      <c r="D296" s="578"/>
      <c r="E296" s="578"/>
      <c r="F296" s="579"/>
      <c r="G296" s="502"/>
      <c r="H296" s="502"/>
      <c r="I296" s="575"/>
      <c r="J296" s="505"/>
      <c r="K296" s="471"/>
    </row>
    <row r="297" spans="1:11" hidden="1">
      <c r="A297" s="463"/>
      <c r="B297" s="1496" t="s">
        <v>175</v>
      </c>
      <c r="C297" s="1496"/>
      <c r="D297" s="1496"/>
      <c r="E297" s="1496"/>
      <c r="F297" s="1496"/>
      <c r="G297" s="1496"/>
      <c r="H297" s="1496"/>
      <c r="I297" s="1496"/>
      <c r="J297" s="514">
        <f>SUM(J295:J296)</f>
        <v>0</v>
      </c>
      <c r="K297" s="471"/>
    </row>
    <row r="298" spans="1:11" hidden="1">
      <c r="A298" s="463"/>
      <c r="B298" s="580"/>
      <c r="C298" s="524"/>
      <c r="D298" s="524"/>
      <c r="E298" s="581"/>
      <c r="F298" s="582"/>
      <c r="G298" s="583"/>
      <c r="H298" s="583"/>
      <c r="I298" s="584"/>
      <c r="J298" s="585"/>
      <c r="K298" s="471"/>
    </row>
    <row r="299" spans="1:11" hidden="1">
      <c r="A299" s="463"/>
      <c r="B299" s="586" t="s">
        <v>957</v>
      </c>
      <c r="C299" s="586"/>
      <c r="D299" s="563"/>
      <c r="E299" s="536"/>
      <c r="F299" s="536"/>
      <c r="G299" s="536"/>
      <c r="H299" s="587"/>
      <c r="I299" s="588"/>
      <c r="J299" s="647">
        <f>(J285+J292+J297)/E285</f>
        <v>57.421615515151515</v>
      </c>
      <c r="K299" s="471"/>
    </row>
    <row r="300" spans="1:11" hidden="1">
      <c r="A300" s="463"/>
      <c r="B300" s="566"/>
      <c r="C300" s="539"/>
      <c r="D300" s="539"/>
      <c r="E300" s="567"/>
      <c r="F300" s="568"/>
      <c r="G300" s="519"/>
      <c r="H300" s="519"/>
      <c r="I300" s="542"/>
      <c r="J300" s="589"/>
      <c r="K300" s="471"/>
    </row>
    <row r="301" spans="1:11" ht="20.399999999999999" hidden="1">
      <c r="A301" s="463"/>
      <c r="B301" s="1493" t="s">
        <v>958</v>
      </c>
      <c r="C301" s="1494"/>
      <c r="D301" s="1494"/>
      <c r="E301" s="1494"/>
      <c r="F301" s="1495"/>
      <c r="G301" s="569" t="s">
        <v>372</v>
      </c>
      <c r="H301" s="519" t="s">
        <v>956</v>
      </c>
      <c r="I301" s="570" t="s">
        <v>942</v>
      </c>
      <c r="J301" s="522" t="s">
        <v>363</v>
      </c>
      <c r="K301" s="471"/>
    </row>
    <row r="302" spans="1:11" hidden="1">
      <c r="A302" s="463"/>
      <c r="B302" s="571" t="s">
        <v>1021</v>
      </c>
      <c r="C302" s="572"/>
      <c r="D302" s="573"/>
      <c r="E302" s="573"/>
      <c r="F302" s="574"/>
      <c r="G302" s="502">
        <v>1.05</v>
      </c>
      <c r="H302" s="502" t="s">
        <v>225</v>
      </c>
      <c r="I302" s="575"/>
      <c r="J302" s="505">
        <f>G302*I302</f>
        <v>0</v>
      </c>
      <c r="K302" s="471"/>
    </row>
    <row r="303" spans="1:11" hidden="1">
      <c r="A303" s="463"/>
      <c r="B303" s="576" t="s">
        <v>1002</v>
      </c>
      <c r="C303" s="577"/>
      <c r="D303" s="578"/>
      <c r="E303" s="578"/>
      <c r="F303" s="579"/>
      <c r="G303" s="502">
        <v>0.05</v>
      </c>
      <c r="H303" s="502" t="s">
        <v>990</v>
      </c>
      <c r="I303" s="575">
        <v>10</v>
      </c>
      <c r="J303" s="505">
        <f>G303*I303</f>
        <v>0.5</v>
      </c>
      <c r="K303" s="471"/>
    </row>
    <row r="304" spans="1:11" hidden="1">
      <c r="A304" s="463"/>
      <c r="B304" s="576"/>
      <c r="C304" s="577"/>
      <c r="D304" s="578"/>
      <c r="E304" s="578"/>
      <c r="F304" s="579"/>
      <c r="G304" s="502"/>
      <c r="H304" s="502"/>
      <c r="I304" s="575"/>
      <c r="J304" s="505"/>
      <c r="K304" s="471"/>
    </row>
    <row r="305" spans="1:19" hidden="1">
      <c r="A305" s="463"/>
      <c r="B305" s="590"/>
      <c r="C305" s="591"/>
      <c r="D305" s="592"/>
      <c r="E305" s="592"/>
      <c r="F305" s="593"/>
      <c r="G305" s="502"/>
      <c r="H305" s="502"/>
      <c r="I305" s="575"/>
      <c r="J305" s="505">
        <f>G305*I305</f>
        <v>0</v>
      </c>
      <c r="K305" s="471"/>
    </row>
    <row r="306" spans="1:19" hidden="1">
      <c r="A306" s="463"/>
      <c r="B306" s="594"/>
      <c r="C306" s="536"/>
      <c r="D306" s="536"/>
      <c r="E306" s="595"/>
      <c r="F306" s="596"/>
      <c r="G306" s="545"/>
      <c r="H306" s="545"/>
      <c r="I306" s="537" t="s">
        <v>175</v>
      </c>
      <c r="J306" s="514">
        <f>SUM(J302:J305)</f>
        <v>0.5</v>
      </c>
      <c r="K306" s="471"/>
    </row>
    <row r="307" spans="1:19" hidden="1">
      <c r="A307" s="463"/>
      <c r="B307" s="597"/>
      <c r="C307" s="536"/>
      <c r="D307" s="536"/>
      <c r="E307" s="595"/>
      <c r="F307" s="596"/>
      <c r="G307" s="545"/>
      <c r="H307" s="545"/>
      <c r="I307" s="537"/>
      <c r="J307" s="595"/>
      <c r="K307" s="471"/>
    </row>
    <row r="308" spans="1:19" ht="20.399999999999999" hidden="1">
      <c r="A308" s="463"/>
      <c r="B308" s="654" t="s">
        <v>959</v>
      </c>
      <c r="C308" s="524"/>
      <c r="D308" s="524"/>
      <c r="E308" s="524"/>
      <c r="F308" s="651" t="s">
        <v>372</v>
      </c>
      <c r="G308" s="651" t="s">
        <v>271</v>
      </c>
      <c r="H308" s="652" t="s">
        <v>942</v>
      </c>
      <c r="I308" s="653"/>
      <c r="J308" s="522" t="s">
        <v>363</v>
      </c>
      <c r="K308" s="471"/>
      <c r="P308" s="659" t="s">
        <v>183</v>
      </c>
      <c r="Q308" s="659" t="s">
        <v>1027</v>
      </c>
      <c r="R308" s="659" t="s">
        <v>863</v>
      </c>
      <c r="S308" s="659" t="s">
        <v>691</v>
      </c>
    </row>
    <row r="309" spans="1:19" hidden="1">
      <c r="A309" s="463"/>
      <c r="B309" s="571" t="s">
        <v>1003</v>
      </c>
      <c r="C309" s="655"/>
      <c r="D309" s="655"/>
      <c r="E309" s="655"/>
      <c r="F309" s="529">
        <v>20</v>
      </c>
      <c r="G309" s="529" t="s">
        <v>208</v>
      </c>
      <c r="H309" s="1744">
        <f>'ESCAVAÇÃO SAA-SES'!J65</f>
        <v>3.1543812222222223</v>
      </c>
      <c r="I309" s="1738"/>
      <c r="J309" s="650">
        <f>F309*H309</f>
        <v>63.087624444444444</v>
      </c>
      <c r="K309" s="471"/>
      <c r="M309" s="659">
        <f>2740/137</f>
        <v>20</v>
      </c>
      <c r="P309" s="659" t="s">
        <v>1028</v>
      </c>
      <c r="Q309" s="659">
        <v>4</v>
      </c>
      <c r="R309" s="659">
        <v>3600</v>
      </c>
      <c r="S309" s="659">
        <f>Q309*R309</f>
        <v>14400</v>
      </c>
    </row>
    <row r="310" spans="1:19" hidden="1">
      <c r="A310" s="463"/>
      <c r="B310" s="576" t="s">
        <v>1004</v>
      </c>
      <c r="C310" s="657"/>
      <c r="D310" s="657"/>
      <c r="E310" s="657" t="s">
        <v>946</v>
      </c>
      <c r="F310" s="533">
        <f>F309-M310</f>
        <v>1.7664233576642374E-2</v>
      </c>
      <c r="G310" s="533" t="s">
        <v>208</v>
      </c>
      <c r="H310" s="1745">
        <f>'BOTA FORA SAA-SES'!J65</f>
        <v>4.7307744166666668</v>
      </c>
      <c r="I310" s="1746"/>
      <c r="J310" s="650">
        <f>F310*H310</f>
        <v>8.3565504294404069E-2</v>
      </c>
      <c r="K310" s="471"/>
      <c r="M310" s="659">
        <f>2737.58/137</f>
        <v>19.982335766423358</v>
      </c>
      <c r="P310" s="659" t="s">
        <v>1029</v>
      </c>
      <c r="Q310" s="659">
        <v>1</v>
      </c>
      <c r="R310" s="659">
        <v>5900</v>
      </c>
      <c r="S310" s="659">
        <f>Q310*R310</f>
        <v>5900</v>
      </c>
    </row>
    <row r="311" spans="1:19" hidden="1">
      <c r="A311" s="463"/>
      <c r="B311" s="576" t="s">
        <v>1030</v>
      </c>
      <c r="C311" s="657"/>
      <c r="D311" s="657"/>
      <c r="E311" s="657"/>
      <c r="F311" s="533">
        <v>1</v>
      </c>
      <c r="G311" s="533" t="s">
        <v>225</v>
      </c>
      <c r="H311" s="1745">
        <f>S313</f>
        <v>53.831041257367389</v>
      </c>
      <c r="I311" s="1746"/>
      <c r="J311" s="650">
        <f>F311*H311</f>
        <v>53.831041257367389</v>
      </c>
      <c r="K311" s="471"/>
      <c r="P311" s="659" t="s">
        <v>1031</v>
      </c>
      <c r="Q311" s="659">
        <v>1</v>
      </c>
      <c r="R311" s="659">
        <v>6400</v>
      </c>
      <c r="S311" s="659">
        <f>Q311*R311</f>
        <v>6400</v>
      </c>
    </row>
    <row r="312" spans="1:19" hidden="1">
      <c r="A312" s="463"/>
      <c r="B312" s="590"/>
      <c r="C312" s="658"/>
      <c r="D312" s="658"/>
      <c r="E312" s="658"/>
      <c r="F312" s="649"/>
      <c r="G312" s="649"/>
      <c r="H312" s="1747"/>
      <c r="I312" s="1743"/>
      <c r="J312" s="650"/>
      <c r="K312" s="471"/>
      <c r="P312" s="659" t="s">
        <v>1032</v>
      </c>
      <c r="Q312" s="659">
        <v>2</v>
      </c>
      <c r="R312" s="659">
        <v>350</v>
      </c>
      <c r="S312" s="659">
        <f>Q312*R312</f>
        <v>700</v>
      </c>
    </row>
    <row r="313" spans="1:19" hidden="1">
      <c r="A313" s="463"/>
      <c r="B313" s="648"/>
      <c r="C313" s="539"/>
      <c r="D313" s="539"/>
      <c r="E313" s="567"/>
      <c r="F313" s="568"/>
      <c r="G313" s="519"/>
      <c r="H313" s="519"/>
      <c r="I313" s="542" t="s">
        <v>175</v>
      </c>
      <c r="J313" s="514">
        <f>SUM(J309:J312)</f>
        <v>117.00223120610625</v>
      </c>
      <c r="K313" s="471"/>
      <c r="P313" s="659"/>
      <c r="Q313" s="659"/>
      <c r="R313" s="659"/>
      <c r="S313" s="659">
        <f>SUM(S309:S312)/509</f>
        <v>53.831041257367389</v>
      </c>
    </row>
    <row r="314" spans="1:19" hidden="1">
      <c r="A314" s="463"/>
      <c r="B314" s="536"/>
      <c r="C314" s="536"/>
      <c r="D314" s="536"/>
      <c r="E314" s="536"/>
      <c r="F314" s="536"/>
      <c r="G314" s="536"/>
      <c r="H314" s="536"/>
      <c r="I314" s="537"/>
      <c r="J314" s="536"/>
      <c r="K314" s="471"/>
      <c r="P314" s="659"/>
      <c r="Q314" s="659"/>
      <c r="R314" s="659"/>
      <c r="S314" s="659"/>
    </row>
    <row r="315" spans="1:19" hidden="1">
      <c r="A315" s="463"/>
      <c r="B315" s="1481" t="s">
        <v>961</v>
      </c>
      <c r="C315" s="1482"/>
      <c r="D315" s="1482"/>
      <c r="E315" s="1482"/>
      <c r="F315" s="1482"/>
      <c r="G315" s="1482"/>
      <c r="H315" s="1482"/>
      <c r="I315" s="1483"/>
      <c r="J315" s="586">
        <f>J313+J306+J299</f>
        <v>174.92384672125775</v>
      </c>
      <c r="K315" s="471"/>
    </row>
    <row r="316" spans="1:19" hidden="1">
      <c r="A316" s="463"/>
      <c r="B316" s="536"/>
      <c r="C316" s="536"/>
      <c r="D316" s="536"/>
      <c r="E316" s="536"/>
      <c r="F316" s="536"/>
      <c r="G316" s="536"/>
      <c r="H316" s="536"/>
      <c r="I316" s="537"/>
      <c r="J316" s="536"/>
      <c r="K316" s="471"/>
    </row>
    <row r="317" spans="1:19" hidden="1">
      <c r="A317" s="463"/>
      <c r="B317" s="1481" t="s">
        <v>962</v>
      </c>
      <c r="C317" s="1482"/>
      <c r="D317" s="1482"/>
      <c r="E317" s="1482"/>
      <c r="F317" s="1482"/>
      <c r="G317" s="1482"/>
      <c r="H317" s="1482"/>
      <c r="I317" s="1483"/>
      <c r="J317" s="514">
        <f>J315*0</f>
        <v>0</v>
      </c>
      <c r="K317" s="471"/>
    </row>
    <row r="318" spans="1:19" hidden="1">
      <c r="A318" s="463"/>
      <c r="B318" s="536"/>
      <c r="C318" s="536"/>
      <c r="D318" s="536"/>
      <c r="E318" s="536"/>
      <c r="F318" s="536"/>
      <c r="G318" s="536"/>
      <c r="H318" s="536"/>
      <c r="I318" s="537"/>
      <c r="J318" s="536"/>
      <c r="K318" s="471"/>
    </row>
    <row r="319" spans="1:19" hidden="1">
      <c r="A319" s="463"/>
      <c r="B319" s="1481" t="s">
        <v>963</v>
      </c>
      <c r="C319" s="1482"/>
      <c r="D319" s="1482"/>
      <c r="E319" s="1482"/>
      <c r="F319" s="1482"/>
      <c r="G319" s="1482"/>
      <c r="H319" s="1482"/>
      <c r="I319" s="1483"/>
      <c r="J319" s="586">
        <f>J315+J317</f>
        <v>174.92384672125775</v>
      </c>
      <c r="K319" s="471"/>
    </row>
    <row r="320" spans="1:19" hidden="1">
      <c r="A320" s="463"/>
      <c r="B320" s="524"/>
      <c r="C320" s="524"/>
      <c r="D320" s="524"/>
      <c r="E320" s="524"/>
      <c r="F320" s="524"/>
      <c r="G320" s="524"/>
      <c r="H320" s="524"/>
      <c r="I320" s="584"/>
      <c r="J320" s="524"/>
      <c r="K320" s="471"/>
    </row>
    <row r="321" spans="1:11" hidden="1">
      <c r="A321" s="463"/>
      <c r="B321" s="602"/>
      <c r="C321" s="572"/>
      <c r="D321" s="572"/>
      <c r="E321" s="572"/>
      <c r="F321" s="572"/>
      <c r="G321" s="572"/>
      <c r="H321" s="572"/>
      <c r="I321" s="572"/>
      <c r="J321" s="603"/>
      <c r="K321" s="471"/>
    </row>
    <row r="322" spans="1:11" hidden="1">
      <c r="A322" s="463"/>
      <c r="B322" s="604"/>
      <c r="C322" s="605"/>
      <c r="D322" s="606"/>
      <c r="E322" s="606"/>
      <c r="F322" s="607" t="s">
        <v>946</v>
      </c>
      <c r="G322" s="608" t="s">
        <v>946</v>
      </c>
      <c r="H322" s="605"/>
      <c r="I322" s="605"/>
      <c r="J322" s="609"/>
      <c r="K322" s="471"/>
    </row>
    <row r="323" spans="1:11" hidden="1">
      <c r="A323" s="463"/>
      <c r="B323" s="472"/>
      <c r="C323" s="472"/>
      <c r="D323" s="472"/>
      <c r="E323" s="472"/>
      <c r="F323" s="472"/>
      <c r="G323" s="472"/>
      <c r="H323" s="472"/>
      <c r="I323" s="472"/>
      <c r="J323" s="472"/>
      <c r="K323" s="471"/>
    </row>
    <row r="324" spans="1:11" hidden="1">
      <c r="A324" s="463"/>
      <c r="B324" s="610" t="str">
        <f>PLANEJAMENTO!$F$2</f>
        <v>OPERAÇÃO DE SUPRESSÃO E SUMP</v>
      </c>
      <c r="C324" s="611"/>
      <c r="D324" s="611"/>
      <c r="E324" s="611"/>
      <c r="F324" s="612"/>
      <c r="G324" s="613" t="s">
        <v>363</v>
      </c>
      <c r="H324" s="515"/>
      <c r="I324" s="515"/>
      <c r="J324" s="518"/>
      <c r="K324" s="471"/>
    </row>
    <row r="325" spans="1:11" hidden="1">
      <c r="A325" s="463"/>
      <c r="B325" s="614" t="str">
        <f>PLANEJAMENTO!$F$3</f>
        <v>MARA ROSA</v>
      </c>
      <c r="C325" s="615"/>
      <c r="D325" s="615"/>
      <c r="E325" s="615"/>
      <c r="F325" s="616"/>
      <c r="G325" s="1484" t="s">
        <v>964</v>
      </c>
      <c r="H325" s="1485"/>
      <c r="I325" s="1485"/>
      <c r="J325" s="1486"/>
      <c r="K325" s="471"/>
    </row>
    <row r="326" spans="1:11" hidden="1">
      <c r="A326" s="463"/>
      <c r="B326" s="617"/>
      <c r="C326" s="618"/>
      <c r="D326" s="618"/>
      <c r="E326" s="618"/>
      <c r="F326" s="619"/>
      <c r="G326" s="620"/>
      <c r="H326" s="1487"/>
      <c r="I326" s="1488"/>
      <c r="J326" s="1489"/>
      <c r="K326" s="471"/>
    </row>
    <row r="327" spans="1:11" ht="15" hidden="1" thickBot="1">
      <c r="A327" s="621"/>
      <c r="B327" s="622"/>
      <c r="C327" s="622"/>
      <c r="D327" s="622"/>
      <c r="E327" s="622"/>
      <c r="F327" s="622"/>
      <c r="G327" s="622"/>
      <c r="H327" s="622"/>
      <c r="I327" s="622"/>
      <c r="J327" s="622"/>
      <c r="K327" s="623"/>
    </row>
    <row r="328" spans="1:11" hidden="1">
      <c r="A328" s="460"/>
      <c r="B328" s="461"/>
      <c r="C328" s="461"/>
      <c r="D328" s="461"/>
      <c r="E328" s="461"/>
      <c r="F328" s="461"/>
      <c r="G328" s="461"/>
      <c r="H328" s="461"/>
      <c r="I328" s="461"/>
      <c r="J328" s="461"/>
      <c r="K328" s="462"/>
    </row>
    <row r="329" spans="1:11" hidden="1">
      <c r="A329" s="463"/>
      <c r="B329" s="464" t="s">
        <v>178</v>
      </c>
      <c r="C329" s="465"/>
      <c r="D329" s="466" t="s">
        <v>936</v>
      </c>
      <c r="E329" s="467"/>
      <c r="F329" s="468"/>
      <c r="G329" s="468"/>
      <c r="H329" s="469"/>
      <c r="I329" s="469"/>
      <c r="J329" s="470"/>
      <c r="K329" s="471"/>
    </row>
    <row r="330" spans="1:11" hidden="1">
      <c r="A330" s="463"/>
      <c r="B330" s="472"/>
      <c r="C330" s="472"/>
      <c r="D330" s="472"/>
      <c r="E330" s="472"/>
      <c r="F330" s="472"/>
      <c r="G330" s="472"/>
      <c r="H330" s="472"/>
      <c r="I330" s="472"/>
      <c r="J330" s="472"/>
      <c r="K330" s="471"/>
    </row>
    <row r="331" spans="1:11" hidden="1">
      <c r="A331" s="463"/>
      <c r="B331" s="473" t="s">
        <v>688</v>
      </c>
      <c r="C331" s="474" t="s">
        <v>937</v>
      </c>
      <c r="D331" s="1497" t="s">
        <v>250</v>
      </c>
      <c r="E331" s="1498"/>
      <c r="F331" s="1498"/>
      <c r="G331" s="1498"/>
      <c r="H331" s="1498"/>
      <c r="I331" s="1499"/>
      <c r="J331" s="475" t="s">
        <v>267</v>
      </c>
      <c r="K331" s="471"/>
    </row>
    <row r="332" spans="1:11" ht="23.25" hidden="1" customHeight="1">
      <c r="A332" s="463"/>
      <c r="B332" s="476" t="s">
        <v>3</v>
      </c>
      <c r="C332" s="477">
        <f ca="1">PLANEJAMENTO!$F$4</f>
        <v>46140</v>
      </c>
      <c r="D332" s="1721" t="s">
        <v>1033</v>
      </c>
      <c r="E332" s="1722"/>
      <c r="F332" s="1722"/>
      <c r="G332" s="1722"/>
      <c r="H332" s="1722"/>
      <c r="I332" s="1723"/>
      <c r="J332" s="481" t="str">
        <f>F352</f>
        <v>m</v>
      </c>
      <c r="K332" s="471"/>
    </row>
    <row r="333" spans="1:11" hidden="1">
      <c r="A333" s="463"/>
      <c r="B333" s="482"/>
      <c r="C333" s="482"/>
      <c r="D333" s="482"/>
      <c r="E333" s="482"/>
      <c r="F333" s="482"/>
      <c r="G333" s="482"/>
      <c r="H333" s="482"/>
      <c r="I333" s="483"/>
      <c r="J333" s="484"/>
      <c r="K333" s="471"/>
    </row>
    <row r="334" spans="1:11" hidden="1">
      <c r="A334" s="463"/>
      <c r="B334" s="1484" t="s">
        <v>938</v>
      </c>
      <c r="C334" s="1486"/>
      <c r="D334" s="1502" t="s">
        <v>688</v>
      </c>
      <c r="E334" s="1504" t="s">
        <v>939</v>
      </c>
      <c r="F334" s="485" t="s">
        <v>940</v>
      </c>
      <c r="G334" s="486"/>
      <c r="H334" s="485" t="s">
        <v>941</v>
      </c>
      <c r="I334" s="486"/>
      <c r="J334" s="487" t="s">
        <v>942</v>
      </c>
      <c r="K334" s="471"/>
    </row>
    <row r="335" spans="1:11" hidden="1">
      <c r="A335" s="463"/>
      <c r="B335" s="1500"/>
      <c r="C335" s="1501"/>
      <c r="D335" s="1503"/>
      <c r="E335" s="1505"/>
      <c r="F335" s="488" t="s">
        <v>943</v>
      </c>
      <c r="G335" s="488" t="s">
        <v>944</v>
      </c>
      <c r="H335" s="488" t="s">
        <v>943</v>
      </c>
      <c r="I335" s="489" t="s">
        <v>944</v>
      </c>
      <c r="J335" s="490" t="s">
        <v>945</v>
      </c>
      <c r="K335" s="471"/>
    </row>
    <row r="336" spans="1:11" hidden="1">
      <c r="A336" s="463"/>
      <c r="B336" s="499" t="s">
        <v>659</v>
      </c>
      <c r="C336" s="500"/>
      <c r="D336" s="501"/>
      <c r="E336" s="502">
        <v>1</v>
      </c>
      <c r="F336" s="502">
        <v>1</v>
      </c>
      <c r="G336" s="502">
        <f>1-F336</f>
        <v>0</v>
      </c>
      <c r="H336" s="503">
        <f>VLOOKUP(B336,EQUIPAMENTOS!$A:$J,10,FALSE)</f>
        <v>10</v>
      </c>
      <c r="I336" s="504">
        <f>H336</f>
        <v>10</v>
      </c>
      <c r="J336" s="505">
        <f>H336*F336*E336+I336*G336*E336</f>
        <v>10</v>
      </c>
      <c r="K336" s="471"/>
    </row>
    <row r="337" spans="1:11" hidden="1">
      <c r="A337" s="463"/>
      <c r="B337" s="499"/>
      <c r="C337" s="500"/>
      <c r="D337" s="501"/>
      <c r="E337" s="502"/>
      <c r="F337" s="502"/>
      <c r="G337" s="502"/>
      <c r="H337" s="503"/>
      <c r="I337" s="504"/>
      <c r="J337" s="505"/>
      <c r="K337" s="471"/>
    </row>
    <row r="338" spans="1:11" hidden="1">
      <c r="A338" s="463"/>
      <c r="B338" s="499"/>
      <c r="C338" s="500"/>
      <c r="D338" s="501"/>
      <c r="E338" s="502"/>
      <c r="F338" s="502"/>
      <c r="G338" s="502"/>
      <c r="H338" s="503"/>
      <c r="I338" s="504"/>
      <c r="J338" s="505">
        <f>H338*F338*E338+I338*G338*E338</f>
        <v>0</v>
      </c>
      <c r="K338" s="471"/>
    </row>
    <row r="339" spans="1:11" hidden="1">
      <c r="A339" s="463"/>
      <c r="B339" s="499"/>
      <c r="C339" s="500"/>
      <c r="D339" s="501"/>
      <c r="E339" s="502"/>
      <c r="F339" s="502"/>
      <c r="G339" s="502"/>
      <c r="H339" s="503"/>
      <c r="I339" s="504"/>
      <c r="J339" s="505">
        <f>H339*F339*E339+I339*G339*E339</f>
        <v>0</v>
      </c>
      <c r="K339" s="471"/>
    </row>
    <row r="340" spans="1:11" hidden="1">
      <c r="A340" s="463"/>
      <c r="B340" s="506"/>
      <c r="C340" s="507"/>
      <c r="D340" s="508"/>
      <c r="E340" s="509"/>
      <c r="F340" s="509"/>
      <c r="G340" s="509"/>
      <c r="H340" s="510"/>
      <c r="I340" s="511"/>
      <c r="J340" s="505">
        <f>H340*F340*E340+I340*G340*E340</f>
        <v>0</v>
      </c>
      <c r="K340" s="471"/>
    </row>
    <row r="341" spans="1:11" hidden="1">
      <c r="A341" s="463"/>
      <c r="B341" s="512" t="s">
        <v>946</v>
      </c>
      <c r="C341" s="482"/>
      <c r="D341" s="482"/>
      <c r="E341" s="482"/>
      <c r="F341" s="482"/>
      <c r="G341" s="482"/>
      <c r="H341" s="482"/>
      <c r="I341" s="513" t="s">
        <v>175</v>
      </c>
      <c r="J341" s="514">
        <f>SUM(J336:J340)</f>
        <v>10</v>
      </c>
      <c r="K341" s="471"/>
    </row>
    <row r="342" spans="1:11" hidden="1">
      <c r="A342" s="463"/>
      <c r="B342" s="515"/>
      <c r="C342" s="515"/>
      <c r="D342" s="515"/>
      <c r="E342" s="515"/>
      <c r="F342" s="515"/>
      <c r="G342" s="515"/>
      <c r="H342" s="515"/>
      <c r="I342" s="516"/>
      <c r="J342" s="517"/>
      <c r="K342" s="471"/>
    </row>
    <row r="343" spans="1:11" ht="20.399999999999999" hidden="1">
      <c r="A343" s="463"/>
      <c r="B343" s="1490" t="s">
        <v>947</v>
      </c>
      <c r="C343" s="1491"/>
      <c r="D343" s="1491"/>
      <c r="E343" s="1492"/>
      <c r="F343" s="518" t="s">
        <v>688</v>
      </c>
      <c r="G343" s="519"/>
      <c r="H343" s="520" t="s">
        <v>427</v>
      </c>
      <c r="I343" s="521" t="s">
        <v>948</v>
      </c>
      <c r="J343" s="522" t="s">
        <v>949</v>
      </c>
      <c r="K343" s="471"/>
    </row>
    <row r="344" spans="1:11" hidden="1">
      <c r="A344" s="463"/>
      <c r="B344" s="523" t="s">
        <v>980</v>
      </c>
      <c r="C344" s="524"/>
      <c r="D344" s="525"/>
      <c r="E344" s="526"/>
      <c r="F344" s="527"/>
      <c r="G344" s="528"/>
      <c r="H344" s="529"/>
      <c r="I344" s="497"/>
      <c r="J344" s="498">
        <f>SUM(J345:J347)*0.05</f>
        <v>3.7093109090909095</v>
      </c>
      <c r="K344" s="471"/>
    </row>
    <row r="345" spans="1:11" hidden="1">
      <c r="A345" s="463"/>
      <c r="B345" s="530" t="s">
        <v>1000</v>
      </c>
      <c r="C345" s="531"/>
      <c r="D345" s="472"/>
      <c r="E345" s="500"/>
      <c r="F345" s="501"/>
      <c r="G345" s="532"/>
      <c r="H345" s="533">
        <v>1</v>
      </c>
      <c r="I345" s="534">
        <f>VLOOKUP(B345,'MÃO DE OBRA'!$A:$E,5,FALSE)/220</f>
        <v>19.055000000000003</v>
      </c>
      <c r="J345" s="505">
        <f>H345*I345</f>
        <v>19.055000000000003</v>
      </c>
      <c r="K345" s="471"/>
    </row>
    <row r="346" spans="1:11" hidden="1">
      <c r="A346" s="463"/>
      <c r="B346" s="530" t="s">
        <v>472</v>
      </c>
      <c r="C346" s="531"/>
      <c r="D346" s="472"/>
      <c r="E346" s="500"/>
      <c r="F346" s="501"/>
      <c r="G346" s="532"/>
      <c r="H346" s="533">
        <v>3</v>
      </c>
      <c r="I346" s="534">
        <f>VLOOKUP(B346,'MÃO DE OBRA'!$A:$E,5,FALSE)/220</f>
        <v>18.377072727272729</v>
      </c>
      <c r="J346" s="505">
        <f>H346*I346</f>
        <v>55.131218181818184</v>
      </c>
      <c r="K346" s="471"/>
    </row>
    <row r="347" spans="1:11" hidden="1">
      <c r="A347" s="463"/>
      <c r="B347" s="530" t="s">
        <v>479</v>
      </c>
      <c r="C347" s="531"/>
      <c r="D347" s="472"/>
      <c r="E347" s="500"/>
      <c r="F347" s="501"/>
      <c r="G347" s="532"/>
      <c r="H347" s="533"/>
      <c r="I347" s="534">
        <f>VLOOKUP(B347,'MÃO DE OBRA'!$A:$E,5,FALSE)/220</f>
        <v>25.789327272727274</v>
      </c>
      <c r="J347" s="505">
        <f>H347*I347</f>
        <v>0</v>
      </c>
      <c r="K347" s="471"/>
    </row>
    <row r="348" spans="1:11" hidden="1">
      <c r="A348" s="463"/>
      <c r="B348" s="530" t="s">
        <v>981</v>
      </c>
      <c r="C348" s="531"/>
      <c r="D348" s="472"/>
      <c r="E348" s="500"/>
      <c r="F348" s="501"/>
      <c r="G348" s="532"/>
      <c r="H348" s="533"/>
      <c r="I348" s="504"/>
      <c r="J348" s="505"/>
      <c r="K348" s="471"/>
    </row>
    <row r="349" spans="1:11" hidden="1">
      <c r="A349" s="463"/>
      <c r="B349" s="530"/>
      <c r="C349" s="531"/>
      <c r="D349" s="472"/>
      <c r="E349" s="500"/>
      <c r="F349" s="501"/>
      <c r="G349" s="532"/>
      <c r="H349" s="533"/>
      <c r="I349" s="504"/>
      <c r="J349" s="505">
        <f>H349*I349</f>
        <v>0</v>
      </c>
      <c r="K349" s="471"/>
    </row>
    <row r="350" spans="1:11" hidden="1">
      <c r="A350" s="463"/>
      <c r="B350" s="512" t="s">
        <v>946</v>
      </c>
      <c r="C350" s="515"/>
      <c r="D350" s="515"/>
      <c r="E350" s="515"/>
      <c r="F350" s="515"/>
      <c r="G350" s="515"/>
      <c r="H350" s="515"/>
      <c r="I350" s="535" t="s">
        <v>175</v>
      </c>
      <c r="J350" s="514">
        <f>SUM(J344:J349)</f>
        <v>77.895529090909093</v>
      </c>
      <c r="K350" s="471"/>
    </row>
    <row r="351" spans="1:11" hidden="1">
      <c r="A351" s="463"/>
      <c r="B351" s="536"/>
      <c r="C351" s="536"/>
      <c r="D351" s="536"/>
      <c r="E351" s="536"/>
      <c r="F351" s="536"/>
      <c r="G351" s="536"/>
      <c r="H351" s="536"/>
      <c r="I351" s="537"/>
      <c r="J351" s="536"/>
      <c r="K351" s="471"/>
    </row>
    <row r="352" spans="1:11" hidden="1">
      <c r="A352" s="463"/>
      <c r="B352" s="538" t="s">
        <v>952</v>
      </c>
      <c r="C352" s="539"/>
      <c r="D352" s="536"/>
      <c r="E352" s="540">
        <f>25/8</f>
        <v>3.125</v>
      </c>
      <c r="F352" s="541" t="s">
        <v>225</v>
      </c>
      <c r="G352" s="519"/>
      <c r="H352" s="519"/>
      <c r="I352" s="542" t="s">
        <v>953</v>
      </c>
      <c r="J352" s="514">
        <f>J341+J350</f>
        <v>87.895529090909093</v>
      </c>
      <c r="K352" s="471"/>
    </row>
    <row r="353" spans="1:11" hidden="1">
      <c r="A353" s="463"/>
      <c r="B353" s="543"/>
      <c r="C353" s="536"/>
      <c r="D353" s="536"/>
      <c r="E353" s="544"/>
      <c r="F353" s="545"/>
      <c r="G353" s="545"/>
      <c r="H353" s="545"/>
      <c r="I353" s="537"/>
      <c r="J353" s="536"/>
      <c r="K353" s="471"/>
    </row>
    <row r="354" spans="1:11" ht="20.399999999999999" hidden="1">
      <c r="A354" s="463"/>
      <c r="B354" s="1493" t="s">
        <v>362</v>
      </c>
      <c r="C354" s="1494"/>
      <c r="D354" s="1494"/>
      <c r="E354" s="1495"/>
      <c r="F354" s="546" t="s">
        <v>688</v>
      </c>
      <c r="G354" s="547" t="s">
        <v>371</v>
      </c>
      <c r="H354" s="520" t="s">
        <v>942</v>
      </c>
      <c r="I354" s="548" t="s">
        <v>361</v>
      </c>
      <c r="J354" s="549" t="s">
        <v>363</v>
      </c>
      <c r="K354" s="471"/>
    </row>
    <row r="355" spans="1:11" hidden="1">
      <c r="A355" s="463"/>
      <c r="B355" s="550" t="str">
        <f>B336</f>
        <v>Sapo compactador</v>
      </c>
      <c r="C355" s="531"/>
      <c r="D355" s="531"/>
      <c r="E355" s="500"/>
      <c r="F355" s="553" t="str">
        <f>VLOOKUP(B355,EQUIPAMENTOS!$A:$N,12,FALSE)</f>
        <v>Gasolina</v>
      </c>
      <c r="G355" s="554" t="s">
        <v>415</v>
      </c>
      <c r="H355" s="560">
        <f>VLOOKUP(B355,EQUIPAMENTOS!$A:$N,13,FALSE)</f>
        <v>6.59</v>
      </c>
      <c r="I355" s="556">
        <f>VLOOKUP(B355,EQUIPAMENTOS!$A:$N,14,FALSE)</f>
        <v>3</v>
      </c>
      <c r="J355" s="505">
        <f>H355*I355*E336*F336</f>
        <v>19.77</v>
      </c>
      <c r="K355" s="471"/>
    </row>
    <row r="356" spans="1:11" hidden="1">
      <c r="A356" s="463"/>
      <c r="B356" s="550"/>
      <c r="C356" s="531"/>
      <c r="D356" s="531"/>
      <c r="E356" s="500"/>
      <c r="F356" s="553"/>
      <c r="G356" s="554"/>
      <c r="H356" s="560"/>
      <c r="I356" s="556"/>
      <c r="J356" s="505"/>
      <c r="K356" s="471"/>
    </row>
    <row r="357" spans="1:11" hidden="1">
      <c r="A357" s="463"/>
      <c r="B357" s="550"/>
      <c r="C357" s="531"/>
      <c r="D357" s="531"/>
      <c r="E357" s="500"/>
      <c r="F357" s="553"/>
      <c r="G357" s="554"/>
      <c r="H357" s="560"/>
      <c r="I357" s="556"/>
      <c r="J357" s="505"/>
      <c r="K357" s="471"/>
    </row>
    <row r="358" spans="1:11" hidden="1">
      <c r="A358" s="463"/>
      <c r="B358" s="530"/>
      <c r="C358" s="531"/>
      <c r="D358" s="531"/>
      <c r="E358" s="500"/>
      <c r="F358" s="501"/>
      <c r="G358" s="559"/>
      <c r="H358" s="560"/>
      <c r="I358" s="556"/>
      <c r="J358" s="505">
        <f>H358*I358*E338*F338</f>
        <v>0</v>
      </c>
      <c r="K358" s="471"/>
    </row>
    <row r="359" spans="1:11" hidden="1">
      <c r="A359" s="463"/>
      <c r="B359" s="530"/>
      <c r="C359" s="539"/>
      <c r="D359" s="539"/>
      <c r="E359" s="507"/>
      <c r="F359" s="501"/>
      <c r="G359" s="481"/>
      <c r="H359" s="560"/>
      <c r="I359" s="561"/>
      <c r="J359" s="505">
        <f>H359*I359*E339*F339</f>
        <v>0</v>
      </c>
      <c r="K359" s="471"/>
    </row>
    <row r="360" spans="1:11" hidden="1">
      <c r="A360" s="463"/>
      <c r="B360" s="563" t="s">
        <v>946</v>
      </c>
      <c r="C360" s="539"/>
      <c r="D360" s="539"/>
      <c r="E360" s="539"/>
      <c r="F360" s="536"/>
      <c r="G360" s="539"/>
      <c r="H360" s="564"/>
      <c r="I360" s="565" t="s">
        <v>175</v>
      </c>
      <c r="J360" s="514">
        <f>SUM(J355:J359)</f>
        <v>19.77</v>
      </c>
      <c r="K360" s="471"/>
    </row>
    <row r="361" spans="1:11" hidden="1">
      <c r="A361" s="463"/>
      <c r="B361" s="566"/>
      <c r="C361" s="539"/>
      <c r="D361" s="539"/>
      <c r="E361" s="567"/>
      <c r="F361" s="568"/>
      <c r="G361" s="519"/>
      <c r="H361" s="519"/>
      <c r="I361" s="542"/>
      <c r="J361" s="567"/>
      <c r="K361" s="471"/>
    </row>
    <row r="362" spans="1:11" ht="20.399999999999999" hidden="1">
      <c r="A362" s="463"/>
      <c r="B362" s="1493" t="s">
        <v>955</v>
      </c>
      <c r="C362" s="1494"/>
      <c r="D362" s="1494"/>
      <c r="E362" s="1494"/>
      <c r="F362" s="1495"/>
      <c r="G362" s="569" t="s">
        <v>372</v>
      </c>
      <c r="H362" s="519" t="s">
        <v>956</v>
      </c>
      <c r="I362" s="570" t="s">
        <v>942</v>
      </c>
      <c r="J362" s="522" t="s">
        <v>363</v>
      </c>
      <c r="K362" s="471"/>
    </row>
    <row r="363" spans="1:11" hidden="1">
      <c r="A363" s="463"/>
      <c r="B363" s="571"/>
      <c r="C363" s="572"/>
      <c r="D363" s="573"/>
      <c r="E363" s="573"/>
      <c r="F363" s="574"/>
      <c r="G363" s="502"/>
      <c r="H363" s="502"/>
      <c r="I363" s="575"/>
      <c r="J363" s="505"/>
      <c r="K363" s="471"/>
    </row>
    <row r="364" spans="1:11" hidden="1">
      <c r="A364" s="463"/>
      <c r="B364" s="576"/>
      <c r="C364" s="577"/>
      <c r="D364" s="578"/>
      <c r="E364" s="578"/>
      <c r="F364" s="579"/>
      <c r="G364" s="502"/>
      <c r="H364" s="502"/>
      <c r="I364" s="575"/>
      <c r="J364" s="505"/>
      <c r="K364" s="471"/>
    </row>
    <row r="365" spans="1:11" hidden="1">
      <c r="A365" s="463"/>
      <c r="B365" s="1496" t="s">
        <v>175</v>
      </c>
      <c r="C365" s="1496"/>
      <c r="D365" s="1496"/>
      <c r="E365" s="1496"/>
      <c r="F365" s="1496"/>
      <c r="G365" s="1496"/>
      <c r="H365" s="1496"/>
      <c r="I365" s="1496"/>
      <c r="J365" s="514">
        <f>SUM(J363:J364)</f>
        <v>0</v>
      </c>
      <c r="K365" s="471"/>
    </row>
    <row r="366" spans="1:11" hidden="1">
      <c r="A366" s="463"/>
      <c r="B366" s="580"/>
      <c r="C366" s="524"/>
      <c r="D366" s="524"/>
      <c r="E366" s="581"/>
      <c r="F366" s="582"/>
      <c r="G366" s="583"/>
      <c r="H366" s="583"/>
      <c r="I366" s="584"/>
      <c r="J366" s="585"/>
      <c r="K366" s="471"/>
    </row>
    <row r="367" spans="1:11" hidden="1">
      <c r="A367" s="463"/>
      <c r="B367" s="586" t="s">
        <v>957</v>
      </c>
      <c r="C367" s="586"/>
      <c r="D367" s="563"/>
      <c r="E367" s="536"/>
      <c r="F367" s="536"/>
      <c r="G367" s="536"/>
      <c r="H367" s="587"/>
      <c r="I367" s="588"/>
      <c r="J367" s="647">
        <f>(J352+J360+J365)/E352</f>
        <v>34.452969309090911</v>
      </c>
      <c r="K367" s="471"/>
    </row>
    <row r="368" spans="1:11" hidden="1">
      <c r="A368" s="463"/>
      <c r="B368" s="566"/>
      <c r="C368" s="539"/>
      <c r="D368" s="539"/>
      <c r="E368" s="567"/>
      <c r="F368" s="568"/>
      <c r="G368" s="519"/>
      <c r="H368" s="519"/>
      <c r="I368" s="542"/>
      <c r="J368" s="589"/>
      <c r="K368" s="471"/>
    </row>
    <row r="369" spans="1:13" ht="20.399999999999999" hidden="1">
      <c r="A369" s="463"/>
      <c r="B369" s="1493" t="s">
        <v>958</v>
      </c>
      <c r="C369" s="1494"/>
      <c r="D369" s="1494"/>
      <c r="E369" s="1494"/>
      <c r="F369" s="1495"/>
      <c r="G369" s="569" t="s">
        <v>372</v>
      </c>
      <c r="H369" s="519" t="s">
        <v>956</v>
      </c>
      <c r="I369" s="570" t="s">
        <v>942</v>
      </c>
      <c r="J369" s="522" t="s">
        <v>363</v>
      </c>
      <c r="K369" s="471"/>
    </row>
    <row r="370" spans="1:13" hidden="1">
      <c r="A370" s="463"/>
      <c r="B370" s="571" t="s">
        <v>1021</v>
      </c>
      <c r="C370" s="572"/>
      <c r="D370" s="573"/>
      <c r="E370" s="573"/>
      <c r="F370" s="574"/>
      <c r="G370" s="502">
        <v>1.05</v>
      </c>
      <c r="H370" s="502" t="s">
        <v>225</v>
      </c>
      <c r="I370" s="575"/>
      <c r="J370" s="505">
        <f>G370*I370</f>
        <v>0</v>
      </c>
      <c r="K370" s="471"/>
    </row>
    <row r="371" spans="1:13" hidden="1">
      <c r="A371" s="463"/>
      <c r="B371" s="576" t="s">
        <v>1002</v>
      </c>
      <c r="C371" s="577"/>
      <c r="D371" s="578"/>
      <c r="E371" s="578"/>
      <c r="F371" s="579"/>
      <c r="G371" s="502">
        <v>0.05</v>
      </c>
      <c r="H371" s="502" t="s">
        <v>990</v>
      </c>
      <c r="I371" s="575"/>
      <c r="J371" s="505">
        <f>G371*I371</f>
        <v>0</v>
      </c>
      <c r="K371" s="471"/>
    </row>
    <row r="372" spans="1:13" hidden="1">
      <c r="A372" s="463"/>
      <c r="B372" s="576"/>
      <c r="C372" s="577"/>
      <c r="D372" s="578"/>
      <c r="E372" s="578"/>
      <c r="F372" s="579"/>
      <c r="G372" s="502"/>
      <c r="H372" s="502"/>
      <c r="I372" s="575"/>
      <c r="J372" s="505">
        <f>G372*I372</f>
        <v>0</v>
      </c>
      <c r="K372" s="471"/>
    </row>
    <row r="373" spans="1:13" hidden="1">
      <c r="A373" s="463"/>
      <c r="B373" s="590"/>
      <c r="C373" s="591"/>
      <c r="D373" s="592"/>
      <c r="E373" s="592"/>
      <c r="F373" s="593"/>
      <c r="G373" s="502"/>
      <c r="H373" s="502"/>
      <c r="I373" s="575"/>
      <c r="J373" s="505">
        <f>G373*I373</f>
        <v>0</v>
      </c>
      <c r="K373" s="471"/>
    </row>
    <row r="374" spans="1:13" hidden="1">
      <c r="A374" s="463"/>
      <c r="B374" s="594"/>
      <c r="C374" s="536"/>
      <c r="D374" s="536"/>
      <c r="E374" s="595"/>
      <c r="F374" s="596"/>
      <c r="G374" s="545"/>
      <c r="H374" s="545"/>
      <c r="I374" s="537" t="s">
        <v>175</v>
      </c>
      <c r="J374" s="514">
        <f>SUM(J370:J373)</f>
        <v>0</v>
      </c>
      <c r="K374" s="471"/>
    </row>
    <row r="375" spans="1:13" hidden="1">
      <c r="A375" s="463"/>
      <c r="B375" s="597"/>
      <c r="C375" s="536"/>
      <c r="D375" s="536"/>
      <c r="E375" s="595"/>
      <c r="F375" s="596"/>
      <c r="G375" s="545"/>
      <c r="H375" s="545"/>
      <c r="I375" s="537"/>
      <c r="J375" s="595"/>
      <c r="K375" s="471"/>
    </row>
    <row r="376" spans="1:13" ht="20.399999999999999" hidden="1">
      <c r="A376" s="463"/>
      <c r="B376" s="654" t="s">
        <v>959</v>
      </c>
      <c r="C376" s="524"/>
      <c r="D376" s="524"/>
      <c r="E376" s="524"/>
      <c r="F376" s="651" t="s">
        <v>372</v>
      </c>
      <c r="G376" s="651" t="s">
        <v>271</v>
      </c>
      <c r="H376" s="652" t="s">
        <v>942</v>
      </c>
      <c r="I376" s="653"/>
      <c r="J376" s="522" t="s">
        <v>363</v>
      </c>
      <c r="K376" s="471"/>
    </row>
    <row r="377" spans="1:13" hidden="1">
      <c r="A377" s="463"/>
      <c r="B377" s="571" t="s">
        <v>1003</v>
      </c>
      <c r="C377" s="655"/>
      <c r="D377" s="655"/>
      <c r="E377" s="655"/>
      <c r="F377" s="529">
        <v>11.25</v>
      </c>
      <c r="G377" s="529" t="s">
        <v>208</v>
      </c>
      <c r="H377" s="1744">
        <f>'ESCAVAÇÃO SAA-SES'!J65</f>
        <v>3.1543812222222223</v>
      </c>
      <c r="I377" s="1738"/>
      <c r="J377" s="650">
        <f>F377*H377</f>
        <v>35.486788750000002</v>
      </c>
      <c r="K377" s="471"/>
      <c r="M377" s="659">
        <f>4185/372</f>
        <v>11.25</v>
      </c>
    </row>
    <row r="378" spans="1:13" hidden="1">
      <c r="A378" s="463"/>
      <c r="B378" s="576" t="s">
        <v>1004</v>
      </c>
      <c r="C378" s="657"/>
      <c r="D378" s="657"/>
      <c r="E378" s="657" t="s">
        <v>946</v>
      </c>
      <c r="F378" s="533">
        <f>F377-M378</f>
        <v>1.766129032258057E-2</v>
      </c>
      <c r="G378" s="533" t="s">
        <v>208</v>
      </c>
      <c r="H378" s="1748">
        <f>'BOTA FORA SAA-SES'!J65</f>
        <v>4.7307744166666668</v>
      </c>
      <c r="I378" s="1746"/>
      <c r="J378" s="650">
        <f>F378*H378</f>
        <v>8.3551580423386743E-2</v>
      </c>
      <c r="K378" s="471"/>
      <c r="M378" s="659">
        <f>4178.43/372</f>
        <v>11.232338709677419</v>
      </c>
    </row>
    <row r="379" spans="1:13" hidden="1">
      <c r="A379" s="463"/>
      <c r="B379" s="576" t="s">
        <v>1030</v>
      </c>
      <c r="C379" s="656"/>
      <c r="D379" s="656"/>
      <c r="E379" s="656"/>
      <c r="F379" s="533">
        <v>1</v>
      </c>
      <c r="G379" s="533" t="s">
        <v>225</v>
      </c>
      <c r="H379" s="1748">
        <f>H311</f>
        <v>53.831041257367389</v>
      </c>
      <c r="I379" s="1746"/>
      <c r="J379" s="650">
        <f>F379*H379</f>
        <v>53.831041257367389</v>
      </c>
      <c r="K379" s="471"/>
      <c r="M379" s="659"/>
    </row>
    <row r="380" spans="1:13" hidden="1">
      <c r="A380" s="463"/>
      <c r="B380" s="660"/>
      <c r="C380" s="646"/>
      <c r="D380" s="646"/>
      <c r="E380" s="646"/>
      <c r="F380" s="649"/>
      <c r="G380" s="649"/>
      <c r="H380" s="601"/>
      <c r="I380" s="509"/>
      <c r="J380" s="650"/>
      <c r="K380" s="471"/>
    </row>
    <row r="381" spans="1:13" hidden="1">
      <c r="A381" s="463"/>
      <c r="B381" s="648"/>
      <c r="C381" s="539"/>
      <c r="D381" s="539"/>
      <c r="E381" s="567"/>
      <c r="F381" s="568"/>
      <c r="G381" s="519"/>
      <c r="H381" s="519"/>
      <c r="I381" s="542" t="s">
        <v>175</v>
      </c>
      <c r="J381" s="514">
        <f>SUM(J377:J380)</f>
        <v>89.40138158779078</v>
      </c>
      <c r="K381" s="471"/>
    </row>
    <row r="382" spans="1:13" hidden="1">
      <c r="A382" s="463"/>
      <c r="B382" s="536"/>
      <c r="C382" s="536"/>
      <c r="D382" s="536"/>
      <c r="E382" s="536"/>
      <c r="F382" s="536"/>
      <c r="G382" s="536"/>
      <c r="H382" s="536"/>
      <c r="I382" s="537"/>
      <c r="J382" s="536"/>
      <c r="K382" s="471"/>
    </row>
    <row r="383" spans="1:13" hidden="1">
      <c r="A383" s="463"/>
      <c r="B383" s="1481" t="s">
        <v>961</v>
      </c>
      <c r="C383" s="1482"/>
      <c r="D383" s="1482"/>
      <c r="E383" s="1482"/>
      <c r="F383" s="1482"/>
      <c r="G383" s="1482"/>
      <c r="H383" s="1482"/>
      <c r="I383" s="1483"/>
      <c r="J383" s="586">
        <f>J381+J374+J367</f>
        <v>123.8543508968817</v>
      </c>
      <c r="K383" s="471"/>
    </row>
    <row r="384" spans="1:13" hidden="1">
      <c r="A384" s="463"/>
      <c r="B384" s="536"/>
      <c r="C384" s="536"/>
      <c r="D384" s="536"/>
      <c r="E384" s="536"/>
      <c r="F384" s="536"/>
      <c r="G384" s="536"/>
      <c r="H384" s="536"/>
      <c r="I384" s="537"/>
      <c r="J384" s="536"/>
      <c r="K384" s="471"/>
    </row>
    <row r="385" spans="1:11" hidden="1">
      <c r="A385" s="463"/>
      <c r="B385" s="1481" t="s">
        <v>962</v>
      </c>
      <c r="C385" s="1482"/>
      <c r="D385" s="1482"/>
      <c r="E385" s="1482"/>
      <c r="F385" s="1482"/>
      <c r="G385" s="1482"/>
      <c r="H385" s="1482"/>
      <c r="I385" s="1483"/>
      <c r="J385" s="514">
        <f>J383*0</f>
        <v>0</v>
      </c>
      <c r="K385" s="471"/>
    </row>
    <row r="386" spans="1:11" hidden="1">
      <c r="A386" s="463"/>
      <c r="B386" s="536"/>
      <c r="C386" s="536"/>
      <c r="D386" s="536"/>
      <c r="E386" s="536"/>
      <c r="F386" s="536"/>
      <c r="G386" s="536"/>
      <c r="H386" s="536"/>
      <c r="I386" s="537"/>
      <c r="J386" s="536"/>
      <c r="K386" s="471"/>
    </row>
    <row r="387" spans="1:11" hidden="1">
      <c r="A387" s="463"/>
      <c r="B387" s="1481" t="s">
        <v>963</v>
      </c>
      <c r="C387" s="1482"/>
      <c r="D387" s="1482"/>
      <c r="E387" s="1482"/>
      <c r="F387" s="1482"/>
      <c r="G387" s="1482"/>
      <c r="H387" s="1482"/>
      <c r="I387" s="1483"/>
      <c r="J387" s="586">
        <f>J383+J385</f>
        <v>123.8543508968817</v>
      </c>
      <c r="K387" s="471"/>
    </row>
    <row r="388" spans="1:11" hidden="1">
      <c r="A388" s="463"/>
      <c r="B388" s="524"/>
      <c r="C388" s="524"/>
      <c r="D388" s="524"/>
      <c r="E388" s="524"/>
      <c r="F388" s="524"/>
      <c r="G388" s="524"/>
      <c r="H388" s="524"/>
      <c r="I388" s="584"/>
      <c r="J388" s="524"/>
      <c r="K388" s="471"/>
    </row>
    <row r="389" spans="1:11" hidden="1">
      <c r="A389" s="463"/>
      <c r="B389" s="602"/>
      <c r="C389" s="572"/>
      <c r="D389" s="572"/>
      <c r="E389" s="572"/>
      <c r="F389" s="572"/>
      <c r="G389" s="572"/>
      <c r="H389" s="572"/>
      <c r="I389" s="572"/>
      <c r="J389" s="603"/>
      <c r="K389" s="471"/>
    </row>
    <row r="390" spans="1:11" hidden="1">
      <c r="A390" s="463"/>
      <c r="B390" s="604"/>
      <c r="C390" s="605"/>
      <c r="D390" s="606"/>
      <c r="E390" s="606"/>
      <c r="F390" s="607" t="s">
        <v>946</v>
      </c>
      <c r="G390" s="608" t="s">
        <v>946</v>
      </c>
      <c r="H390" s="605"/>
      <c r="I390" s="605"/>
      <c r="J390" s="609"/>
      <c r="K390" s="471"/>
    </row>
    <row r="391" spans="1:11" hidden="1">
      <c r="A391" s="463"/>
      <c r="B391" s="472"/>
      <c r="C391" s="472"/>
      <c r="D391" s="472"/>
      <c r="E391" s="472"/>
      <c r="F391" s="472"/>
      <c r="G391" s="472"/>
      <c r="H391" s="472"/>
      <c r="I391" s="472"/>
      <c r="J391" s="472"/>
      <c r="K391" s="471"/>
    </row>
    <row r="392" spans="1:11" hidden="1">
      <c r="A392" s="463"/>
      <c r="B392" s="610" t="str">
        <f>PLANEJAMENTO!$F$2</f>
        <v>OPERAÇÃO DE SUPRESSÃO E SUMP</v>
      </c>
      <c r="C392" s="611"/>
      <c r="D392" s="611"/>
      <c r="E392" s="611"/>
      <c r="F392" s="612"/>
      <c r="G392" s="613" t="s">
        <v>363</v>
      </c>
      <c r="H392" s="515"/>
      <c r="I392" s="515"/>
      <c r="J392" s="518"/>
      <c r="K392" s="471"/>
    </row>
    <row r="393" spans="1:11" hidden="1">
      <c r="A393" s="463"/>
      <c r="B393" s="614" t="str">
        <f>PLANEJAMENTO!$F$3</f>
        <v>MARA ROSA</v>
      </c>
      <c r="C393" s="615"/>
      <c r="D393" s="615"/>
      <c r="E393" s="615"/>
      <c r="F393" s="616"/>
      <c r="G393" s="1484" t="s">
        <v>964</v>
      </c>
      <c r="H393" s="1485"/>
      <c r="I393" s="1485"/>
      <c r="J393" s="1486"/>
      <c r="K393" s="471"/>
    </row>
    <row r="394" spans="1:11" hidden="1">
      <c r="A394" s="463"/>
      <c r="B394" s="617"/>
      <c r="C394" s="618"/>
      <c r="D394" s="618"/>
      <c r="E394" s="618"/>
      <c r="F394" s="619"/>
      <c r="G394" s="620"/>
      <c r="H394" s="1487"/>
      <c r="I394" s="1488"/>
      <c r="J394" s="1489"/>
      <c r="K394" s="471"/>
    </row>
    <row r="395" spans="1:11" ht="15" hidden="1" thickBot="1">
      <c r="A395" s="621"/>
      <c r="B395" s="622"/>
      <c r="C395" s="622"/>
      <c r="D395" s="622"/>
      <c r="E395" s="622"/>
      <c r="F395" s="622"/>
      <c r="G395" s="622"/>
      <c r="H395" s="622"/>
      <c r="I395" s="622"/>
      <c r="J395" s="622"/>
      <c r="K395" s="623"/>
    </row>
    <row r="396" spans="1:11" hidden="1"/>
  </sheetData>
  <mergeCells count="118">
    <mergeCell ref="B387:I387"/>
    <mergeCell ref="G393:J393"/>
    <mergeCell ref="H394:J394"/>
    <mergeCell ref="H311:I311"/>
    <mergeCell ref="H312:I312"/>
    <mergeCell ref="H379:I379"/>
    <mergeCell ref="H377:I377"/>
    <mergeCell ref="H378:I378"/>
    <mergeCell ref="B383:I383"/>
    <mergeCell ref="B385:I385"/>
    <mergeCell ref="B343:E343"/>
    <mergeCell ref="B354:E354"/>
    <mergeCell ref="B362:F362"/>
    <mergeCell ref="B365:I365"/>
    <mergeCell ref="B369:F369"/>
    <mergeCell ref="B319:I319"/>
    <mergeCell ref="G325:J325"/>
    <mergeCell ref="H326:J326"/>
    <mergeCell ref="D331:I331"/>
    <mergeCell ref="D332:I332"/>
    <mergeCell ref="B334:C335"/>
    <mergeCell ref="D334:D335"/>
    <mergeCell ref="E334:E335"/>
    <mergeCell ref="H309:I309"/>
    <mergeCell ref="H310:I310"/>
    <mergeCell ref="B315:I315"/>
    <mergeCell ref="B317:I317"/>
    <mergeCell ref="B276:E276"/>
    <mergeCell ref="B287:E287"/>
    <mergeCell ref="B294:F294"/>
    <mergeCell ref="B297:I297"/>
    <mergeCell ref="B301:F301"/>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179:F179"/>
    <mergeCell ref="H179:I179"/>
    <mergeCell ref="B180:F180"/>
    <mergeCell ref="H180:I180"/>
    <mergeCell ref="B183:I183"/>
    <mergeCell ref="B185:I185"/>
    <mergeCell ref="B146:E146"/>
    <mergeCell ref="B157:E157"/>
    <mergeCell ref="B164:F164"/>
    <mergeCell ref="B167:I167"/>
    <mergeCell ref="B171:F171"/>
    <mergeCell ref="B178:F178"/>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53:I53"/>
    <mergeCell ref="B55:I55"/>
    <mergeCell ref="B27:E27"/>
    <mergeCell ref="B34:F34"/>
    <mergeCell ref="B37:I37"/>
    <mergeCell ref="B41:F41"/>
    <mergeCell ref="B48:F48"/>
    <mergeCell ref="H48:I48"/>
    <mergeCell ref="B81:E81"/>
    <mergeCell ref="D4:I4"/>
    <mergeCell ref="D5:I5"/>
    <mergeCell ref="B7:C8"/>
    <mergeCell ref="D7:D8"/>
    <mergeCell ref="E7:E8"/>
    <mergeCell ref="B16:E16"/>
    <mergeCell ref="B49:F49"/>
    <mergeCell ref="H49:I49"/>
    <mergeCell ref="B50:F50"/>
    <mergeCell ref="H50:I50"/>
  </mergeCells>
  <pageMargins left="0.511811024" right="0.511811024" top="0.78740157499999996" bottom="0.78740157499999996" header="0.31496062000000002" footer="0.31496062000000002"/>
  <pageSetup paperSize="9" scale="65" orientation="portrait" r:id="rId1"/>
  <rowBreaks count="2" manualBreakCount="2">
    <brk id="65" max="10" man="1"/>
    <brk id="130" max="10" man="1"/>
  </rowBreak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EFA42-F1CA-4655-B38B-D7D6382EB6D7}">
  <sheetPr codeName="Planilha52">
    <tabColor rgb="FFFFFF66"/>
  </sheetPr>
  <dimension ref="A1:K145"/>
  <sheetViews>
    <sheetView view="pageBreakPreview" topLeftCell="A56" zoomScaleNormal="100" zoomScaleSheetLayoutView="100" workbookViewId="0">
      <selection activeCell="D5" sqref="D5"/>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237</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hidden="1">
      <c r="A10" s="463"/>
      <c r="B10" s="499" t="s">
        <v>667</v>
      </c>
      <c r="C10" s="500"/>
      <c r="D10" s="501"/>
      <c r="E10" s="502"/>
      <c r="F10" s="502">
        <v>1</v>
      </c>
      <c r="G10" s="502">
        <f>1-F10</f>
        <v>0</v>
      </c>
      <c r="H10" s="503">
        <f>VLOOKUP(B10,EQUIPAMENTOS!$A:$J,10,FALSE)</f>
        <v>134.05277777777778</v>
      </c>
      <c r="I10" s="504">
        <f>H10</f>
        <v>134.05277777777778</v>
      </c>
      <c r="J10" s="505">
        <f t="shared" si="0"/>
        <v>0</v>
      </c>
      <c r="K10" s="471"/>
    </row>
    <row r="11" spans="1:11" hidden="1">
      <c r="A11" s="463"/>
      <c r="B11" s="499" t="s">
        <v>986</v>
      </c>
      <c r="C11" s="500"/>
      <c r="D11" s="501"/>
      <c r="E11" s="502"/>
      <c r="F11" s="502">
        <v>1</v>
      </c>
      <c r="G11" s="502">
        <f>1-F11</f>
        <v>0</v>
      </c>
      <c r="H11" s="503">
        <f>VLOOKUP(B11,EQUIPAMENTOS!$A:$J,10,FALSE)</f>
        <v>145</v>
      </c>
      <c r="I11" s="504">
        <f>H11</f>
        <v>145</v>
      </c>
      <c r="J11" s="505">
        <f t="shared" si="0"/>
        <v>0</v>
      </c>
      <c r="K11" s="471"/>
    </row>
    <row r="12" spans="1:11">
      <c r="A12" s="463"/>
      <c r="B12" s="499" t="str">
        <f>EQUIPAMENTOS!A4</f>
        <v>Caminhão basculante 14 m³</v>
      </c>
      <c r="C12" s="500"/>
      <c r="D12" s="501"/>
      <c r="E12" s="502">
        <v>1</v>
      </c>
      <c r="F12" s="502">
        <v>1</v>
      </c>
      <c r="G12" s="502">
        <f>1-F12</f>
        <v>0</v>
      </c>
      <c r="H12" s="503">
        <f>VLOOKUP(B12,EQUIPAMENTOS!$A:$J,10,FALSE)</f>
        <v>125</v>
      </c>
      <c r="I12" s="504">
        <f>H12</f>
        <v>125</v>
      </c>
      <c r="J12" s="505">
        <f t="shared" si="0"/>
        <v>125</v>
      </c>
      <c r="K12" s="471"/>
    </row>
    <row r="13" spans="1:11">
      <c r="A13" s="463"/>
      <c r="B13" s="499" t="s">
        <v>971</v>
      </c>
      <c r="C13" s="500"/>
      <c r="D13" s="501"/>
      <c r="E13" s="502">
        <v>1</v>
      </c>
      <c r="F13" s="502">
        <v>1</v>
      </c>
      <c r="G13" s="502">
        <f>1-F13</f>
        <v>0</v>
      </c>
      <c r="H13" s="503">
        <f>VLOOKUP(B13,EQUIPAMENTOS!$A:$J,10,FALSE)</f>
        <v>175</v>
      </c>
      <c r="I13" s="504">
        <f>H13</f>
        <v>175</v>
      </c>
      <c r="J13" s="505">
        <f t="shared" si="0"/>
        <v>175</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490</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H20*I20</f>
        <v>35.988199999999999</v>
      </c>
      <c r="K20" s="471"/>
    </row>
    <row r="21" spans="1:11">
      <c r="A21" s="463"/>
      <c r="B21" s="530" t="s">
        <v>472</v>
      </c>
      <c r="C21" s="531"/>
      <c r="D21" s="472"/>
      <c r="E21" s="500"/>
      <c r="F21" s="501"/>
      <c r="G21" s="532"/>
      <c r="H21" s="533">
        <v>4</v>
      </c>
      <c r="I21" s="534">
        <f>VLOOKUP(B21,'MÃO DE OBRA'!$A:$E,5,FALSE)/220</f>
        <v>18.377072727272729</v>
      </c>
      <c r="J21" s="505">
        <f>H21*I21</f>
        <v>73.508290909090917</v>
      </c>
      <c r="K21" s="471"/>
    </row>
    <row r="22" spans="1:11">
      <c r="A22" s="463"/>
      <c r="B22" s="530" t="s">
        <v>1036</v>
      </c>
      <c r="C22" s="531"/>
      <c r="D22" s="472"/>
      <c r="E22" s="500"/>
      <c r="F22" s="501"/>
      <c r="G22" s="532"/>
      <c r="H22" s="533">
        <v>1</v>
      </c>
      <c r="I22" s="534">
        <f>VLOOKUP(B22,'MÃO DE OBRA'!$A:$E,5,FALSE)/220</f>
        <v>23.69</v>
      </c>
      <c r="J22" s="505">
        <f>H22*I22</f>
        <v>23.69</v>
      </c>
      <c r="K22" s="471"/>
    </row>
    <row r="23" spans="1:11">
      <c r="A23" s="463"/>
      <c r="B23" s="530" t="s">
        <v>974</v>
      </c>
      <c r="C23" s="531"/>
      <c r="D23" s="472"/>
      <c r="E23" s="500"/>
      <c r="F23" s="501"/>
      <c r="G23" s="532"/>
      <c r="H23" s="533">
        <f>E13</f>
        <v>1</v>
      </c>
      <c r="I23" s="534">
        <f>VLOOKUP(B23,'MÃO DE OBRA'!$A:$E,5,FALSE)/220</f>
        <v>35.988199999999999</v>
      </c>
      <c r="J23" s="505">
        <f>H23*I23</f>
        <v>35.988199999999999</v>
      </c>
      <c r="K23" s="471"/>
    </row>
    <row r="24" spans="1:11">
      <c r="A24" s="463"/>
      <c r="B24" s="530"/>
      <c r="C24" s="531"/>
      <c r="D24" s="472"/>
      <c r="E24" s="500"/>
      <c r="F24" s="501"/>
      <c r="G24" s="532"/>
      <c r="H24" s="533"/>
      <c r="I24" s="504"/>
      <c r="J24" s="505"/>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169.17469090909091</v>
      </c>
      <c r="K26" s="471"/>
    </row>
    <row r="27" spans="1:11">
      <c r="A27" s="463"/>
      <c r="B27" s="536"/>
      <c r="C27" s="536"/>
      <c r="D27" s="536"/>
      <c r="E27" s="536"/>
      <c r="F27" s="536"/>
      <c r="G27" s="536"/>
      <c r="H27" s="536"/>
      <c r="I27" s="537"/>
      <c r="J27" s="536"/>
      <c r="K27" s="471"/>
    </row>
    <row r="28" spans="1:11">
      <c r="A28" s="463"/>
      <c r="B28" s="538" t="s">
        <v>952</v>
      </c>
      <c r="C28" s="539"/>
      <c r="D28" s="536"/>
      <c r="E28" s="540">
        <v>76</v>
      </c>
      <c r="F28" s="541" t="s">
        <v>208</v>
      </c>
      <c r="G28" s="519"/>
      <c r="H28" s="519"/>
      <c r="I28" s="542" t="s">
        <v>953</v>
      </c>
      <c r="J28" s="514">
        <f>J16+J26</f>
        <v>659.17469090909094</v>
      </c>
      <c r="K28" s="471"/>
    </row>
    <row r="29" spans="1:11">
      <c r="A29" s="463"/>
      <c r="B29" s="543"/>
      <c r="C29" s="536"/>
      <c r="D29" s="536"/>
      <c r="E29" s="544"/>
      <c r="F29" s="545"/>
      <c r="G29" s="545"/>
      <c r="H29" s="545"/>
      <c r="I29" s="537"/>
      <c r="J29" s="536"/>
      <c r="K29" s="471"/>
    </row>
    <row r="30" spans="1:11" ht="20.399999999999999">
      <c r="A30" s="463"/>
      <c r="B30" s="1493" t="s">
        <v>362</v>
      </c>
      <c r="C30" s="1494"/>
      <c r="D30" s="1494"/>
      <c r="E30" s="1495"/>
      <c r="F30" s="546" t="s">
        <v>688</v>
      </c>
      <c r="G30" s="547" t="s">
        <v>371</v>
      </c>
      <c r="H30" s="520" t="s">
        <v>942</v>
      </c>
      <c r="I30" s="548" t="s">
        <v>361</v>
      </c>
      <c r="J30" s="549" t="s">
        <v>363</v>
      </c>
      <c r="K30" s="471"/>
    </row>
    <row r="31" spans="1:11">
      <c r="A31" s="463"/>
      <c r="B31" s="550" t="str">
        <f>B9</f>
        <v>Motoniveladora 140K</v>
      </c>
      <c r="C31" s="551"/>
      <c r="D31" s="551"/>
      <c r="E31" s="552"/>
      <c r="F31" s="553" t="str">
        <f>VLOOKUP(B31,EQUIPAMENTOS!$A:$N,12,FALSE)</f>
        <v>Diesel S10</v>
      </c>
      <c r="G31" s="554" t="s">
        <v>415</v>
      </c>
      <c r="H31" s="560">
        <f>VLOOKUP(B31,EQUIPAMENTOS!$A:$N,13,FALSE)</f>
        <v>0</v>
      </c>
      <c r="I31" s="556">
        <f>VLOOKUP(B31,EQUIPAMENTOS!$A:$N,14,FALSE)</f>
        <v>28</v>
      </c>
      <c r="J31" s="505">
        <f>H31*I31*E9*F9</f>
        <v>0</v>
      </c>
      <c r="K31" s="471"/>
    </row>
    <row r="32" spans="1:11" hidden="1">
      <c r="A32" s="463"/>
      <c r="B32" s="550" t="str">
        <f>B10</f>
        <v>Trator de pneus com grade</v>
      </c>
      <c r="C32" s="531"/>
      <c r="D32" s="531"/>
      <c r="E32" s="500"/>
      <c r="F32" s="553" t="str">
        <f>VLOOKUP(B32,EQUIPAMENTOS!$A:$N,12,FALSE)</f>
        <v>Diesel S10</v>
      </c>
      <c r="G32" s="554" t="s">
        <v>415</v>
      </c>
      <c r="H32" s="560">
        <f>VLOOKUP(B32,EQUIPAMENTOS!$A:$N,13,FALSE)</f>
        <v>0</v>
      </c>
      <c r="I32" s="556">
        <f>VLOOKUP(B32,EQUIPAMENTOS!$A:$N,14,FALSE)</f>
        <v>18</v>
      </c>
      <c r="J32" s="505">
        <f>H32*I32*E10*F10</f>
        <v>0</v>
      </c>
      <c r="K32" s="471"/>
    </row>
    <row r="33" spans="1:11" hidden="1">
      <c r="A33" s="463"/>
      <c r="B33" s="550" t="str">
        <f>B11</f>
        <v>Rolo compactador pé de carneiro 10t</v>
      </c>
      <c r="C33" s="531"/>
      <c r="D33" s="531"/>
      <c r="E33" s="500"/>
      <c r="F33" s="553" t="str">
        <f>VLOOKUP(B33,EQUIPAMENTOS!$A:$N,12,FALSE)</f>
        <v>Diesel S10</v>
      </c>
      <c r="G33" s="554" t="s">
        <v>415</v>
      </c>
      <c r="H33" s="560">
        <f>VLOOKUP(B33,EQUIPAMENTOS!$A:$N,13,FALSE)</f>
        <v>0</v>
      </c>
      <c r="I33" s="556">
        <f>VLOOKUP(B33,EQUIPAMENTOS!$A:$N,14,FALSE)</f>
        <v>16</v>
      </c>
      <c r="J33" s="505">
        <f>H33*I33*E11*F11</f>
        <v>0</v>
      </c>
      <c r="K33" s="471"/>
    </row>
    <row r="34" spans="1:11">
      <c r="A34" s="463"/>
      <c r="B34" s="550" t="str">
        <f>B12</f>
        <v>Caminhão basculante 14 m³</v>
      </c>
      <c r="C34" s="531"/>
      <c r="D34" s="531"/>
      <c r="E34" s="500"/>
      <c r="F34" s="553" t="str">
        <f>VLOOKUP(B34,EQUIPAMENTOS!$A:$N,12,FALSE)</f>
        <v>Diesel S10</v>
      </c>
      <c r="G34" s="554" t="s">
        <v>415</v>
      </c>
      <c r="H34" s="560">
        <f>VLOOKUP(B34,EQUIPAMENTOS!$A:$N,13,FALSE)</f>
        <v>0</v>
      </c>
      <c r="I34" s="556">
        <f>VLOOKUP(B34,EQUIPAMENTOS!$A:$N,14,FALSE)</f>
        <v>2.5</v>
      </c>
      <c r="J34" s="505">
        <f>H34*I34*E12*F12</f>
        <v>0</v>
      </c>
      <c r="K34" s="471"/>
    </row>
    <row r="35" spans="1:11">
      <c r="A35" s="463"/>
      <c r="B35" s="550" t="str">
        <f>B13</f>
        <v>Escavadeira Hidráulica sobre esteira 22T</v>
      </c>
      <c r="C35" s="531"/>
      <c r="D35" s="531"/>
      <c r="E35" s="500"/>
      <c r="F35" s="553" t="str">
        <f>VLOOKUP(B35,EQUIPAMENTOS!$A:$N,12,FALSE)</f>
        <v>Diesel S10</v>
      </c>
      <c r="G35" s="554" t="s">
        <v>415</v>
      </c>
      <c r="H35" s="560">
        <f>VLOOKUP(B35,EQUIPAMENTOS!$A:$N,13,FALSE)</f>
        <v>0</v>
      </c>
      <c r="I35" s="556">
        <f>VLOOKUP(B35,EQUIPAMENTOS!$A:$N,14,FALSE)</f>
        <v>22</v>
      </c>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8.6733511961722485</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c r="C47" s="572"/>
      <c r="D47" s="573"/>
      <c r="E47" s="573"/>
      <c r="F47" s="574"/>
      <c r="G47" s="502"/>
      <c r="H47" s="502"/>
      <c r="I47" s="575"/>
      <c r="J47" s="505"/>
      <c r="K47" s="471"/>
    </row>
    <row r="48" spans="1:11">
      <c r="A48" s="463"/>
      <c r="B48" s="576"/>
      <c r="C48" s="577"/>
      <c r="D48" s="578"/>
      <c r="E48" s="578"/>
      <c r="F48" s="579"/>
      <c r="G48" s="502"/>
      <c r="H48" s="502"/>
      <c r="I48" s="575"/>
      <c r="J48" s="505"/>
      <c r="K48" s="471"/>
    </row>
    <row r="49" spans="1:11">
      <c r="A49" s="463"/>
      <c r="B49" s="576"/>
      <c r="C49" s="577"/>
      <c r="D49" s="578"/>
      <c r="E49" s="578"/>
      <c r="F49" s="579"/>
      <c r="G49" s="502"/>
      <c r="H49" s="502"/>
      <c r="I49" s="575"/>
      <c r="J49" s="505"/>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c r="C54" s="577"/>
      <c r="D54" s="578"/>
      <c r="E54" s="579"/>
      <c r="F54" s="502"/>
      <c r="G54" s="502"/>
      <c r="H54" s="502"/>
      <c r="I54" s="575"/>
      <c r="J54" s="505"/>
      <c r="K54" s="471"/>
    </row>
    <row r="55" spans="1:11">
      <c r="A55" s="463"/>
      <c r="B55" s="576"/>
      <c r="C55" s="577"/>
      <c r="D55" s="578"/>
      <c r="E55" s="579"/>
      <c r="F55" s="502"/>
      <c r="G55" s="502"/>
      <c r="H55" s="502"/>
      <c r="I55" s="575"/>
      <c r="J55" s="505"/>
      <c r="K55" s="471"/>
    </row>
    <row r="56" spans="1:11">
      <c r="A56" s="463"/>
      <c r="B56" s="590"/>
      <c r="C56" s="591"/>
      <c r="D56" s="592"/>
      <c r="E56" s="593"/>
      <c r="F56" s="509"/>
      <c r="G56" s="509"/>
      <c r="H56" s="509"/>
      <c r="I56" s="601"/>
      <c r="J56" s="505"/>
      <c r="K56" s="471"/>
    </row>
    <row r="57" spans="1:11">
      <c r="A57" s="463"/>
      <c r="B57" s="594"/>
      <c r="C57" s="536"/>
      <c r="D57" s="536"/>
      <c r="E57" s="595"/>
      <c r="F57" s="596"/>
      <c r="G57" s="545"/>
      <c r="H57" s="545"/>
      <c r="I57" s="537" t="s">
        <v>175</v>
      </c>
      <c r="J57" s="514">
        <f>SUM(J54:J56)</f>
        <v>0</v>
      </c>
      <c r="K57" s="471"/>
    </row>
    <row r="58" spans="1:11">
      <c r="A58" s="463"/>
      <c r="B58" s="536"/>
      <c r="C58" s="536"/>
      <c r="D58" s="536"/>
      <c r="E58" s="536"/>
      <c r="F58" s="536"/>
      <c r="G58" s="536"/>
      <c r="H58" s="536"/>
      <c r="I58" s="537"/>
      <c r="J58" s="536"/>
      <c r="K58" s="471"/>
    </row>
    <row r="59" spans="1:11">
      <c r="A59" s="463"/>
      <c r="B59" s="1481" t="s">
        <v>961</v>
      </c>
      <c r="C59" s="1482"/>
      <c r="D59" s="1482"/>
      <c r="E59" s="1482"/>
      <c r="F59" s="1482"/>
      <c r="G59" s="1482"/>
      <c r="H59" s="1482"/>
      <c r="I59" s="1483"/>
      <c r="J59" s="586">
        <f>J57+J51+J44</f>
        <v>8.6733511961722485</v>
      </c>
      <c r="K59" s="471"/>
    </row>
    <row r="60" spans="1:11">
      <c r="A60" s="463"/>
      <c r="B60" s="536"/>
      <c r="C60" s="536"/>
      <c r="D60" s="536"/>
      <c r="E60" s="536"/>
      <c r="F60" s="536"/>
      <c r="G60" s="536"/>
      <c r="H60" s="536"/>
      <c r="I60" s="537"/>
      <c r="J60" s="536"/>
      <c r="K60" s="471"/>
    </row>
    <row r="61" spans="1:11">
      <c r="A61" s="463"/>
      <c r="B61" s="1481" t="s">
        <v>962</v>
      </c>
      <c r="C61" s="1482"/>
      <c r="D61" s="1482"/>
      <c r="E61" s="1482"/>
      <c r="F61" s="1482"/>
      <c r="G61" s="1482"/>
      <c r="H61" s="1482"/>
      <c r="I61" s="1483"/>
      <c r="J61" s="514">
        <f>J59*0</f>
        <v>0</v>
      </c>
      <c r="K61" s="471"/>
    </row>
    <row r="62" spans="1:11">
      <c r="A62" s="463"/>
      <c r="B62" s="536"/>
      <c r="C62" s="536"/>
      <c r="D62" s="536"/>
      <c r="E62" s="536"/>
      <c r="F62" s="536"/>
      <c r="G62" s="536"/>
      <c r="H62" s="536"/>
      <c r="I62" s="537"/>
      <c r="J62" s="536"/>
      <c r="K62" s="471"/>
    </row>
    <row r="63" spans="1:11">
      <c r="A63" s="463"/>
      <c r="B63" s="1481" t="s">
        <v>963</v>
      </c>
      <c r="C63" s="1482"/>
      <c r="D63" s="1482"/>
      <c r="E63" s="1482"/>
      <c r="F63" s="1482"/>
      <c r="G63" s="1482"/>
      <c r="H63" s="1482"/>
      <c r="I63" s="1483"/>
      <c r="J63" s="586">
        <f>J59+J61</f>
        <v>8.6733511961722485</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484" t="s">
        <v>964</v>
      </c>
      <c r="H69" s="1485"/>
      <c r="I69" s="1485"/>
      <c r="J69" s="1486"/>
      <c r="K69" s="471"/>
    </row>
    <row r="70" spans="1:11">
      <c r="A70" s="463"/>
      <c r="B70" s="617"/>
      <c r="C70" s="618"/>
      <c r="D70" s="618"/>
      <c r="E70" s="618"/>
      <c r="F70" s="619"/>
      <c r="G70" s="620"/>
      <c r="H70" s="1487"/>
      <c r="I70" s="1488"/>
      <c r="J70" s="1489"/>
      <c r="K70" s="471"/>
    </row>
    <row r="71" spans="1:11" ht="15" thickBot="1">
      <c r="A71" s="621"/>
      <c r="B71" s="622"/>
      <c r="C71" s="622"/>
      <c r="D71" s="622"/>
      <c r="E71" s="622"/>
      <c r="F71" s="622"/>
      <c r="G71" s="622"/>
      <c r="H71" s="622"/>
      <c r="I71" s="622"/>
      <c r="J71" s="622"/>
      <c r="K71" s="623"/>
    </row>
    <row r="72" spans="1:11" hidden="1">
      <c r="A72" s="460"/>
      <c r="B72" s="461"/>
      <c r="C72" s="461"/>
      <c r="D72" s="461"/>
      <c r="E72" s="461"/>
      <c r="F72" s="461"/>
      <c r="G72" s="461"/>
      <c r="H72" s="461"/>
      <c r="I72" s="461"/>
      <c r="J72" s="461"/>
      <c r="K72" s="462"/>
    </row>
    <row r="73" spans="1:11" hidden="1">
      <c r="A73" s="463"/>
      <c r="B73" s="464" t="s">
        <v>178</v>
      </c>
      <c r="C73" s="465"/>
      <c r="D73" s="466" t="s">
        <v>936</v>
      </c>
      <c r="E73" s="467"/>
      <c r="F73" s="468"/>
      <c r="G73" s="468"/>
      <c r="H73" s="469"/>
      <c r="I73" s="469"/>
      <c r="J73" s="470"/>
      <c r="K73" s="471"/>
    </row>
    <row r="74" spans="1:11" hidden="1">
      <c r="A74" s="463"/>
      <c r="B74" s="472"/>
      <c r="C74" s="472"/>
      <c r="D74" s="472"/>
      <c r="E74" s="472"/>
      <c r="F74" s="472"/>
      <c r="G74" s="472"/>
      <c r="H74" s="472"/>
      <c r="I74" s="472"/>
      <c r="J74" s="472"/>
      <c r="K74" s="471"/>
    </row>
    <row r="75" spans="1:11" hidden="1">
      <c r="A75" s="463"/>
      <c r="B75" s="473" t="s">
        <v>688</v>
      </c>
      <c r="C75" s="474" t="s">
        <v>937</v>
      </c>
      <c r="D75" s="1497" t="s">
        <v>250</v>
      </c>
      <c r="E75" s="1498"/>
      <c r="F75" s="1498"/>
      <c r="G75" s="1498"/>
      <c r="H75" s="1498"/>
      <c r="I75" s="1499"/>
      <c r="J75" s="475" t="s">
        <v>267</v>
      </c>
      <c r="K75" s="471"/>
    </row>
    <row r="76" spans="1:11" hidden="1">
      <c r="A76" s="463"/>
      <c r="B76" s="476" t="s">
        <v>3</v>
      </c>
      <c r="C76" s="477"/>
      <c r="D76" s="478"/>
      <c r="E76" s="479"/>
      <c r="F76" s="479"/>
      <c r="G76" s="479"/>
      <c r="H76" s="479"/>
      <c r="I76" s="480"/>
      <c r="J76" s="481" t="str">
        <f>F102</f>
        <v>m3</v>
      </c>
      <c r="K76" s="471"/>
    </row>
    <row r="77" spans="1:11" hidden="1">
      <c r="A77" s="463"/>
      <c r="B77" s="482"/>
      <c r="C77" s="482"/>
      <c r="D77" s="482"/>
      <c r="E77" s="482"/>
      <c r="F77" s="482"/>
      <c r="G77" s="482"/>
      <c r="H77" s="482"/>
      <c r="I77" s="483"/>
      <c r="J77" s="484"/>
      <c r="K77" s="471"/>
    </row>
    <row r="78" spans="1:11" hidden="1">
      <c r="A78" s="463"/>
      <c r="B78" s="1484" t="s">
        <v>938</v>
      </c>
      <c r="C78" s="1486"/>
      <c r="D78" s="1502" t="s">
        <v>688</v>
      </c>
      <c r="E78" s="1504" t="s">
        <v>939</v>
      </c>
      <c r="F78" s="485" t="s">
        <v>940</v>
      </c>
      <c r="G78" s="486"/>
      <c r="H78" s="485" t="s">
        <v>941</v>
      </c>
      <c r="I78" s="486"/>
      <c r="J78" s="487" t="s">
        <v>942</v>
      </c>
      <c r="K78" s="471"/>
    </row>
    <row r="79" spans="1:11" hidden="1">
      <c r="A79" s="463"/>
      <c r="B79" s="1500"/>
      <c r="C79" s="1501"/>
      <c r="D79" s="1503"/>
      <c r="E79" s="1505"/>
      <c r="F79" s="488" t="s">
        <v>943</v>
      </c>
      <c r="G79" s="488" t="s">
        <v>944</v>
      </c>
      <c r="H79" s="488" t="s">
        <v>943</v>
      </c>
      <c r="I79" s="489" t="s">
        <v>944</v>
      </c>
      <c r="J79" s="490" t="s">
        <v>945</v>
      </c>
      <c r="K79" s="471"/>
    </row>
    <row r="80" spans="1:11" hidden="1">
      <c r="A80" s="463"/>
      <c r="B80" s="499" t="s">
        <v>640</v>
      </c>
      <c r="C80" s="492"/>
      <c r="D80" s="493"/>
      <c r="E80" s="494">
        <v>1</v>
      </c>
      <c r="F80" s="494">
        <v>1</v>
      </c>
      <c r="G80" s="495">
        <f>1-F80</f>
        <v>0</v>
      </c>
      <c r="H80" s="503">
        <f>VLOOKUP(B80,EQUIPAMENTOS!$A:$J,10,FALSE)</f>
        <v>163</v>
      </c>
      <c r="I80" s="497">
        <f>H80</f>
        <v>163</v>
      </c>
      <c r="J80" s="498">
        <f t="shared" ref="J80:J86" si="1">H80*F80*E80+I80*G80*E80</f>
        <v>163</v>
      </c>
      <c r="K80" s="471"/>
    </row>
    <row r="81" spans="1:11" hidden="1">
      <c r="A81" s="463"/>
      <c r="B81" s="499" t="s">
        <v>667</v>
      </c>
      <c r="C81" s="500"/>
      <c r="D81" s="501"/>
      <c r="E81" s="502">
        <v>1</v>
      </c>
      <c r="F81" s="502">
        <v>1</v>
      </c>
      <c r="G81" s="502">
        <f>1-F81</f>
        <v>0</v>
      </c>
      <c r="H81" s="503">
        <f>VLOOKUP(B81,EQUIPAMENTOS!$A:$J,10,FALSE)</f>
        <v>134.05277777777778</v>
      </c>
      <c r="I81" s="504">
        <f>H81</f>
        <v>134.05277777777778</v>
      </c>
      <c r="J81" s="505">
        <f t="shared" si="1"/>
        <v>134.05277777777778</v>
      </c>
      <c r="K81" s="471"/>
    </row>
    <row r="82" spans="1:11" hidden="1">
      <c r="A82" s="463"/>
      <c r="B82" s="499" t="s">
        <v>986</v>
      </c>
      <c r="C82" s="500"/>
      <c r="D82" s="501"/>
      <c r="E82" s="502">
        <v>2</v>
      </c>
      <c r="F82" s="502">
        <v>1</v>
      </c>
      <c r="G82" s="502">
        <f>1-F82</f>
        <v>0</v>
      </c>
      <c r="H82" s="503">
        <f>VLOOKUP(B82,EQUIPAMENTOS!$A:$J,10,FALSE)</f>
        <v>145</v>
      </c>
      <c r="I82" s="504">
        <f>H82</f>
        <v>145</v>
      </c>
      <c r="J82" s="505">
        <f t="shared" si="1"/>
        <v>290</v>
      </c>
      <c r="K82" s="471"/>
    </row>
    <row r="83" spans="1:11" hidden="1">
      <c r="A83" s="463"/>
      <c r="B83" s="499" t="s">
        <v>627</v>
      </c>
      <c r="C83" s="500"/>
      <c r="D83" s="501"/>
      <c r="E83" s="502">
        <v>2</v>
      </c>
      <c r="F83" s="502">
        <v>1</v>
      </c>
      <c r="G83" s="502">
        <f>1-F83</f>
        <v>0</v>
      </c>
      <c r="H83" s="503">
        <f>VLOOKUP(B83,EQUIPAMENTOS!$A:$J,10,FALSE)</f>
        <v>100</v>
      </c>
      <c r="I83" s="504">
        <f>H83</f>
        <v>100</v>
      </c>
      <c r="J83" s="505">
        <f t="shared" si="1"/>
        <v>200</v>
      </c>
      <c r="K83" s="471"/>
    </row>
    <row r="84" spans="1:11" hidden="1">
      <c r="A84" s="463"/>
      <c r="B84" s="499"/>
      <c r="C84" s="500"/>
      <c r="D84" s="501"/>
      <c r="E84" s="502"/>
      <c r="F84" s="502"/>
      <c r="G84" s="502"/>
      <c r="H84" s="503"/>
      <c r="I84" s="504"/>
      <c r="J84" s="505">
        <f t="shared" si="1"/>
        <v>0</v>
      </c>
      <c r="K84" s="471"/>
    </row>
    <row r="85" spans="1:11" hidden="1">
      <c r="A85" s="463"/>
      <c r="B85" s="499"/>
      <c r="C85" s="500"/>
      <c r="D85" s="501"/>
      <c r="E85" s="502"/>
      <c r="F85" s="502"/>
      <c r="G85" s="502"/>
      <c r="H85" s="503"/>
      <c r="I85" s="504"/>
      <c r="J85" s="505">
        <f t="shared" si="1"/>
        <v>0</v>
      </c>
      <c r="K85" s="471"/>
    </row>
    <row r="86" spans="1:11" hidden="1">
      <c r="A86" s="463"/>
      <c r="B86" s="506"/>
      <c r="C86" s="507"/>
      <c r="D86" s="508"/>
      <c r="E86" s="509"/>
      <c r="F86" s="509"/>
      <c r="G86" s="509"/>
      <c r="H86" s="510"/>
      <c r="I86" s="511"/>
      <c r="J86" s="505">
        <f t="shared" si="1"/>
        <v>0</v>
      </c>
      <c r="K86" s="471"/>
    </row>
    <row r="87" spans="1:11" hidden="1">
      <c r="A87" s="463"/>
      <c r="B87" s="512" t="s">
        <v>946</v>
      </c>
      <c r="C87" s="482"/>
      <c r="D87" s="482"/>
      <c r="E87" s="482"/>
      <c r="F87" s="482"/>
      <c r="G87" s="482"/>
      <c r="H87" s="482"/>
      <c r="I87" s="513" t="s">
        <v>175</v>
      </c>
      <c r="J87" s="514">
        <f>SUM(J80:J86)</f>
        <v>787.05277777777781</v>
      </c>
      <c r="K87" s="471"/>
    </row>
    <row r="88" spans="1:11" hidden="1">
      <c r="A88" s="463"/>
      <c r="B88" s="515"/>
      <c r="C88" s="515"/>
      <c r="D88" s="515"/>
      <c r="E88" s="515"/>
      <c r="F88" s="515"/>
      <c r="G88" s="515"/>
      <c r="H88" s="515"/>
      <c r="I88" s="516"/>
      <c r="J88" s="517"/>
      <c r="K88" s="471"/>
    </row>
    <row r="89" spans="1:11" ht="20.399999999999999" hidden="1">
      <c r="A89" s="463"/>
      <c r="B89" s="1490" t="s">
        <v>947</v>
      </c>
      <c r="C89" s="1491"/>
      <c r="D89" s="1491"/>
      <c r="E89" s="1492"/>
      <c r="F89" s="518" t="s">
        <v>688</v>
      </c>
      <c r="G89" s="519"/>
      <c r="H89" s="520" t="s">
        <v>427</v>
      </c>
      <c r="I89" s="521" t="s">
        <v>948</v>
      </c>
      <c r="J89" s="522" t="s">
        <v>949</v>
      </c>
      <c r="K89" s="471"/>
    </row>
    <row r="90" spans="1:11" hidden="1">
      <c r="A90" s="463"/>
      <c r="B90" s="523"/>
      <c r="C90" s="524"/>
      <c r="D90" s="525"/>
      <c r="E90" s="526"/>
      <c r="F90" s="527"/>
      <c r="G90" s="528"/>
      <c r="H90" s="529"/>
      <c r="I90" s="497"/>
      <c r="J90" s="498"/>
      <c r="K90" s="471"/>
    </row>
    <row r="91" spans="1:11" hidden="1">
      <c r="A91" s="463"/>
      <c r="B91" s="530" t="s">
        <v>970</v>
      </c>
      <c r="C91" s="531"/>
      <c r="D91" s="472"/>
      <c r="E91" s="500"/>
      <c r="F91" s="501"/>
      <c r="G91" s="532"/>
      <c r="H91" s="533">
        <f>E80</f>
        <v>1</v>
      </c>
      <c r="I91" s="534">
        <f>VLOOKUP(B91,'MÃO DE OBRA'!$A:$E,5,FALSE)/220</f>
        <v>35.988199999999999</v>
      </c>
      <c r="J91" s="505">
        <f t="shared" ref="J91:J96" si="2">H91*I91</f>
        <v>35.988199999999999</v>
      </c>
      <c r="K91" s="471"/>
    </row>
    <row r="92" spans="1:11" hidden="1">
      <c r="A92" s="463"/>
      <c r="B92" s="530" t="s">
        <v>1035</v>
      </c>
      <c r="C92" s="531"/>
      <c r="D92" s="472"/>
      <c r="E92" s="500"/>
      <c r="F92" s="501"/>
      <c r="G92" s="532"/>
      <c r="H92" s="533">
        <f>E81</f>
        <v>1</v>
      </c>
      <c r="I92" s="534">
        <f>VLOOKUP(B92,'MÃO DE OBRA'!$A:$E,5,FALSE)/220</f>
        <v>21.588799999999999</v>
      </c>
      <c r="J92" s="505">
        <f t="shared" si="2"/>
        <v>21.588799999999999</v>
      </c>
      <c r="K92" s="471"/>
    </row>
    <row r="93" spans="1:11" hidden="1">
      <c r="A93" s="463"/>
      <c r="B93" s="530" t="s">
        <v>969</v>
      </c>
      <c r="C93" s="531"/>
      <c r="D93" s="472"/>
      <c r="E93" s="500"/>
      <c r="F93" s="501"/>
      <c r="G93" s="532"/>
      <c r="H93" s="533">
        <f>E82</f>
        <v>2</v>
      </c>
      <c r="I93" s="534">
        <f>VLOOKUP(B93,'MÃO DE OBRA'!$A:$E,5,FALSE)/220</f>
        <v>21.588799999999999</v>
      </c>
      <c r="J93" s="505">
        <f t="shared" si="2"/>
        <v>43.177599999999998</v>
      </c>
      <c r="K93" s="471"/>
    </row>
    <row r="94" spans="1:11" hidden="1">
      <c r="A94" s="463"/>
      <c r="B94" s="530" t="s">
        <v>977</v>
      </c>
      <c r="C94" s="531"/>
      <c r="D94" s="472"/>
      <c r="E94" s="500"/>
      <c r="F94" s="501"/>
      <c r="G94" s="532"/>
      <c r="H94" s="533">
        <f>E83</f>
        <v>2</v>
      </c>
      <c r="I94" s="534">
        <f>VLOOKUP(B94,'MÃO DE OBRA'!$A:$E,5,FALSE)/220</f>
        <v>27.68359090909091</v>
      </c>
      <c r="J94" s="505">
        <f t="shared" si="2"/>
        <v>55.36718181818182</v>
      </c>
      <c r="K94" s="471"/>
    </row>
    <row r="95" spans="1:11" hidden="1">
      <c r="A95" s="463"/>
      <c r="B95" s="530" t="s">
        <v>472</v>
      </c>
      <c r="C95" s="531"/>
      <c r="D95" s="472"/>
      <c r="E95" s="500"/>
      <c r="F95" s="501"/>
      <c r="G95" s="532"/>
      <c r="H95" s="533">
        <v>2</v>
      </c>
      <c r="I95" s="534">
        <f>VLOOKUP(B95,'MÃO DE OBRA'!$A:$E,5,FALSE)/220</f>
        <v>18.377072727272729</v>
      </c>
      <c r="J95" s="505">
        <f t="shared" si="2"/>
        <v>36.754145454545458</v>
      </c>
      <c r="K95" s="471"/>
    </row>
    <row r="96" spans="1:11" hidden="1">
      <c r="A96" s="463"/>
      <c r="B96" s="530" t="s">
        <v>534</v>
      </c>
      <c r="C96" s="531"/>
      <c r="D96" s="472"/>
      <c r="E96" s="500"/>
      <c r="F96" s="501"/>
      <c r="G96" s="532"/>
      <c r="H96" s="533">
        <v>1</v>
      </c>
      <c r="I96" s="534">
        <f>VLOOKUP(B96,'MÃO DE OBRA'!$A:$E,5,FALSE)/220</f>
        <v>21.588799999999999</v>
      </c>
      <c r="J96" s="505">
        <f t="shared" si="2"/>
        <v>21.588799999999999</v>
      </c>
      <c r="K96" s="471"/>
    </row>
    <row r="97" spans="1:11" hidden="1">
      <c r="A97" s="463"/>
      <c r="B97" s="530"/>
      <c r="C97" s="531"/>
      <c r="D97" s="472"/>
      <c r="E97" s="500"/>
      <c r="F97" s="501"/>
      <c r="G97" s="532"/>
      <c r="H97" s="533"/>
      <c r="I97" s="534"/>
      <c r="J97" s="505"/>
      <c r="K97" s="471"/>
    </row>
    <row r="98" spans="1:11" hidden="1">
      <c r="A98" s="463"/>
      <c r="B98" s="530"/>
      <c r="C98" s="531"/>
      <c r="D98" s="472"/>
      <c r="E98" s="500"/>
      <c r="F98" s="501"/>
      <c r="G98" s="532"/>
      <c r="H98" s="533"/>
      <c r="I98" s="504"/>
      <c r="J98" s="505"/>
      <c r="K98" s="471"/>
    </row>
    <row r="99" spans="1:11" hidden="1">
      <c r="A99" s="463"/>
      <c r="B99" s="530"/>
      <c r="C99" s="531"/>
      <c r="D99" s="472"/>
      <c r="E99" s="500"/>
      <c r="F99" s="501"/>
      <c r="G99" s="532"/>
      <c r="H99" s="533"/>
      <c r="I99" s="504"/>
      <c r="J99" s="505">
        <f>H99*I99</f>
        <v>0</v>
      </c>
      <c r="K99" s="471"/>
    </row>
    <row r="100" spans="1:11" hidden="1">
      <c r="A100" s="463"/>
      <c r="B100" s="512" t="s">
        <v>946</v>
      </c>
      <c r="C100" s="515"/>
      <c r="D100" s="515"/>
      <c r="E100" s="515"/>
      <c r="F100" s="515"/>
      <c r="G100" s="515"/>
      <c r="H100" s="515"/>
      <c r="I100" s="535" t="s">
        <v>175</v>
      </c>
      <c r="J100" s="514">
        <f>SUM(J90:J99)</f>
        <v>214.46472727272729</v>
      </c>
      <c r="K100" s="471"/>
    </row>
    <row r="101" spans="1:11" hidden="1">
      <c r="A101" s="463"/>
      <c r="B101" s="536"/>
      <c r="C101" s="536"/>
      <c r="D101" s="536"/>
      <c r="E101" s="536"/>
      <c r="F101" s="536"/>
      <c r="G101" s="536"/>
      <c r="H101" s="536"/>
      <c r="I101" s="537"/>
      <c r="J101" s="536"/>
      <c r="K101" s="471"/>
    </row>
    <row r="102" spans="1:11" hidden="1">
      <c r="A102" s="463"/>
      <c r="B102" s="538" t="s">
        <v>952</v>
      </c>
      <c r="C102" s="539"/>
      <c r="D102" s="536"/>
      <c r="E102" s="540">
        <v>55</v>
      </c>
      <c r="F102" s="541" t="s">
        <v>931</v>
      </c>
      <c r="G102" s="519"/>
      <c r="H102" s="519"/>
      <c r="I102" s="542" t="s">
        <v>953</v>
      </c>
      <c r="J102" s="514">
        <f>J87+J100</f>
        <v>1001.5175050505051</v>
      </c>
      <c r="K102" s="471"/>
    </row>
    <row r="103" spans="1:11" hidden="1">
      <c r="A103" s="463"/>
      <c r="B103" s="543"/>
      <c r="C103" s="536"/>
      <c r="D103" s="536"/>
      <c r="E103" s="544"/>
      <c r="F103" s="545"/>
      <c r="G103" s="545"/>
      <c r="H103" s="545"/>
      <c r="I103" s="537"/>
      <c r="J103" s="536"/>
      <c r="K103" s="471"/>
    </row>
    <row r="104" spans="1:11" ht="20.399999999999999" hidden="1">
      <c r="A104" s="463"/>
      <c r="B104" s="1493" t="s">
        <v>362</v>
      </c>
      <c r="C104" s="1494"/>
      <c r="D104" s="1494"/>
      <c r="E104" s="1495"/>
      <c r="F104" s="546" t="s">
        <v>688</v>
      </c>
      <c r="G104" s="547" t="s">
        <v>371</v>
      </c>
      <c r="H104" s="520" t="s">
        <v>942</v>
      </c>
      <c r="I104" s="548" t="s">
        <v>361</v>
      </c>
      <c r="J104" s="549" t="s">
        <v>363</v>
      </c>
      <c r="K104" s="471"/>
    </row>
    <row r="105" spans="1:11" hidden="1">
      <c r="A105" s="463"/>
      <c r="B105" s="550" t="str">
        <f>B80</f>
        <v>Motoniveladora 120K</v>
      </c>
      <c r="C105" s="551"/>
      <c r="D105" s="551"/>
      <c r="E105" s="552"/>
      <c r="F105" s="553" t="str">
        <f>VLOOKUP(B105,EQUIPAMENTOS!$A:$N,12,FALSE)</f>
        <v>Diesel S10</v>
      </c>
      <c r="G105" s="554" t="s">
        <v>415</v>
      </c>
      <c r="H105" s="560">
        <f>VLOOKUP(B105,EQUIPAMENTOS!$A:$N,13,FALSE)</f>
        <v>0</v>
      </c>
      <c r="I105" s="556">
        <f>VLOOKUP(B105,EQUIPAMENTOS!$A:$N,14,FALSE)</f>
        <v>16</v>
      </c>
      <c r="J105" s="505">
        <f>H105*I105*E80*F80</f>
        <v>0</v>
      </c>
      <c r="K105" s="471"/>
    </row>
    <row r="106" spans="1:11" hidden="1">
      <c r="A106" s="463"/>
      <c r="B106" s="550" t="str">
        <f>B81</f>
        <v>Trator de pneus com grade</v>
      </c>
      <c r="C106" s="531"/>
      <c r="D106" s="531"/>
      <c r="E106" s="500"/>
      <c r="F106" s="553" t="str">
        <f>VLOOKUP(B106,EQUIPAMENTOS!$A:$N,12,FALSE)</f>
        <v>Diesel S10</v>
      </c>
      <c r="G106" s="554" t="s">
        <v>415</v>
      </c>
      <c r="H106" s="560">
        <f>VLOOKUP(B106,EQUIPAMENTOS!$A:$N,13,FALSE)</f>
        <v>0</v>
      </c>
      <c r="I106" s="556">
        <f>VLOOKUP(B106,EQUIPAMENTOS!$A:$N,14,FALSE)</f>
        <v>18</v>
      </c>
      <c r="J106" s="505">
        <f>H106*I106*E81*F81</f>
        <v>0</v>
      </c>
      <c r="K106" s="471"/>
    </row>
    <row r="107" spans="1:11" hidden="1">
      <c r="A107" s="463"/>
      <c r="B107" s="550" t="str">
        <f>B82</f>
        <v>Rolo compactador pé de carneiro 10t</v>
      </c>
      <c r="C107" s="531"/>
      <c r="D107" s="531"/>
      <c r="E107" s="500"/>
      <c r="F107" s="553" t="str">
        <f>VLOOKUP(B107,EQUIPAMENTOS!$A:$N,12,FALSE)</f>
        <v>Diesel S10</v>
      </c>
      <c r="G107" s="554" t="s">
        <v>415</v>
      </c>
      <c r="H107" s="560">
        <f>VLOOKUP(B107,EQUIPAMENTOS!$A:$N,13,FALSE)</f>
        <v>0</v>
      </c>
      <c r="I107" s="556">
        <f>VLOOKUP(B107,EQUIPAMENTOS!$A:$N,14,FALSE)</f>
        <v>16</v>
      </c>
      <c r="J107" s="505">
        <f>H107*I107*E82*F82</f>
        <v>0</v>
      </c>
      <c r="K107" s="471"/>
    </row>
    <row r="108" spans="1:11" hidden="1">
      <c r="A108" s="463"/>
      <c r="B108" s="550" t="str">
        <f>B83</f>
        <v xml:space="preserve">Caminhão Pipa 10.000 l </v>
      </c>
      <c r="C108" s="531"/>
      <c r="D108" s="531"/>
      <c r="E108" s="500"/>
      <c r="F108" s="553" t="str">
        <f>VLOOKUP(B108,EQUIPAMENTOS!$A:$N,12,FALSE)</f>
        <v>Diesel S10</v>
      </c>
      <c r="G108" s="554" t="s">
        <v>415</v>
      </c>
      <c r="H108" s="560">
        <f>VLOOKUP(B108,EQUIPAMENTOS!$A:$N,13,FALSE)</f>
        <v>0</v>
      </c>
      <c r="I108" s="556">
        <f>VLOOKUP(B108,EQUIPAMENTOS!$A:$N,14,FALSE)</f>
        <v>7</v>
      </c>
      <c r="J108" s="505">
        <f>H108*I108*E83*F83</f>
        <v>0</v>
      </c>
      <c r="K108" s="471"/>
    </row>
    <row r="109" spans="1:11" hidden="1">
      <c r="A109" s="463"/>
      <c r="B109" s="530"/>
      <c r="C109" s="531"/>
      <c r="D109" s="531"/>
      <c r="E109" s="500"/>
      <c r="F109" s="501"/>
      <c r="G109" s="559"/>
      <c r="H109" s="560"/>
      <c r="I109" s="556"/>
      <c r="J109" s="505">
        <f>H109*I109*E84</f>
        <v>0</v>
      </c>
      <c r="K109" s="471"/>
    </row>
    <row r="110" spans="1:11" hidden="1">
      <c r="A110" s="463"/>
      <c r="B110" s="530"/>
      <c r="C110" s="539"/>
      <c r="D110" s="539"/>
      <c r="E110" s="507"/>
      <c r="F110" s="501"/>
      <c r="G110" s="481"/>
      <c r="H110" s="560"/>
      <c r="I110" s="561"/>
      <c r="J110" s="562">
        <f>H110*I110*E85</f>
        <v>0</v>
      </c>
      <c r="K110" s="471"/>
    </row>
    <row r="111" spans="1:11" hidden="1">
      <c r="A111" s="463"/>
      <c r="B111" s="563" t="s">
        <v>946</v>
      </c>
      <c r="C111" s="539"/>
      <c r="D111" s="539"/>
      <c r="E111" s="539"/>
      <c r="F111" s="536"/>
      <c r="G111" s="539"/>
      <c r="H111" s="564"/>
      <c r="I111" s="565" t="s">
        <v>175</v>
      </c>
      <c r="J111" s="514">
        <f>SUM(J105:J110)</f>
        <v>0</v>
      </c>
      <c r="K111" s="471"/>
    </row>
    <row r="112" spans="1:11" hidden="1">
      <c r="A112" s="463"/>
      <c r="B112" s="566"/>
      <c r="C112" s="539"/>
      <c r="D112" s="539"/>
      <c r="E112" s="567"/>
      <c r="F112" s="568"/>
      <c r="G112" s="519"/>
      <c r="H112" s="519"/>
      <c r="I112" s="542"/>
      <c r="J112" s="567"/>
      <c r="K112" s="471"/>
    </row>
    <row r="113" spans="1:11" ht="20.399999999999999" hidden="1">
      <c r="A113" s="463"/>
      <c r="B113" s="1493" t="s">
        <v>955</v>
      </c>
      <c r="C113" s="1494"/>
      <c r="D113" s="1494"/>
      <c r="E113" s="1494"/>
      <c r="F113" s="1495"/>
      <c r="G113" s="569" t="s">
        <v>372</v>
      </c>
      <c r="H113" s="519" t="s">
        <v>956</v>
      </c>
      <c r="I113" s="570" t="s">
        <v>942</v>
      </c>
      <c r="J113" s="522" t="s">
        <v>363</v>
      </c>
      <c r="K113" s="471"/>
    </row>
    <row r="114" spans="1:11" hidden="1">
      <c r="A114" s="463"/>
      <c r="B114" s="571"/>
      <c r="C114" s="572"/>
      <c r="D114" s="573"/>
      <c r="E114" s="573"/>
      <c r="F114" s="574"/>
      <c r="G114" s="502"/>
      <c r="H114" s="502"/>
      <c r="I114" s="575"/>
      <c r="J114" s="505"/>
      <c r="K114" s="471"/>
    </row>
    <row r="115" spans="1:11" hidden="1">
      <c r="A115" s="463"/>
      <c r="B115" s="576"/>
      <c r="C115" s="577"/>
      <c r="D115" s="578"/>
      <c r="E115" s="578"/>
      <c r="F115" s="579"/>
      <c r="G115" s="502"/>
      <c r="H115" s="502"/>
      <c r="I115" s="575"/>
      <c r="J115" s="505"/>
      <c r="K115" s="471"/>
    </row>
    <row r="116" spans="1:11" hidden="1">
      <c r="A116" s="463"/>
      <c r="B116" s="1496" t="s">
        <v>175</v>
      </c>
      <c r="C116" s="1496"/>
      <c r="D116" s="1496"/>
      <c r="E116" s="1496"/>
      <c r="F116" s="1496"/>
      <c r="G116" s="1496"/>
      <c r="H116" s="1496"/>
      <c r="I116" s="1496"/>
      <c r="J116" s="514">
        <f>SUM(J114:J115)</f>
        <v>0</v>
      </c>
      <c r="K116" s="471"/>
    </row>
    <row r="117" spans="1:11" hidden="1">
      <c r="A117" s="463"/>
      <c r="B117" s="580"/>
      <c r="C117" s="524"/>
      <c r="D117" s="524"/>
      <c r="E117" s="581"/>
      <c r="F117" s="582"/>
      <c r="G117" s="583"/>
      <c r="H117" s="583"/>
      <c r="I117" s="584"/>
      <c r="J117" s="585"/>
      <c r="K117" s="471"/>
    </row>
    <row r="118" spans="1:11" hidden="1">
      <c r="A118" s="463"/>
      <c r="B118" s="586" t="s">
        <v>957</v>
      </c>
      <c r="C118" s="586"/>
      <c r="D118" s="563"/>
      <c r="E118" s="536"/>
      <c r="F118" s="536"/>
      <c r="G118" s="536"/>
      <c r="H118" s="587"/>
      <c r="I118" s="588"/>
      <c r="J118" s="514">
        <f>(J102+J111+J116)/E102</f>
        <v>18.209409182736454</v>
      </c>
      <c r="K118" s="471"/>
    </row>
    <row r="119" spans="1:11" hidden="1">
      <c r="A119" s="463"/>
      <c r="B119" s="566"/>
      <c r="C119" s="539"/>
      <c r="D119" s="539"/>
      <c r="E119" s="567"/>
      <c r="F119" s="568"/>
      <c r="G119" s="519"/>
      <c r="H119" s="519"/>
      <c r="I119" s="542"/>
      <c r="J119" s="589"/>
      <c r="K119" s="471"/>
    </row>
    <row r="120" spans="1:11" ht="20.399999999999999" hidden="1">
      <c r="A120" s="463"/>
      <c r="B120" s="1493" t="s">
        <v>958</v>
      </c>
      <c r="C120" s="1494"/>
      <c r="D120" s="1494"/>
      <c r="E120" s="1494"/>
      <c r="F120" s="1495"/>
      <c r="G120" s="569" t="s">
        <v>372</v>
      </c>
      <c r="H120" s="519" t="s">
        <v>956</v>
      </c>
      <c r="I120" s="570" t="s">
        <v>942</v>
      </c>
      <c r="J120" s="522" t="s">
        <v>363</v>
      </c>
      <c r="K120" s="471"/>
    </row>
    <row r="121" spans="1:11" hidden="1">
      <c r="A121" s="463"/>
      <c r="B121" s="571" t="s">
        <v>1037</v>
      </c>
      <c r="C121" s="572"/>
      <c r="D121" s="573"/>
      <c r="E121" s="573"/>
      <c r="F121" s="574"/>
      <c r="G121" s="502">
        <v>1.3</v>
      </c>
      <c r="H121" s="502" t="s">
        <v>931</v>
      </c>
      <c r="I121" s="575">
        <f>280/12</f>
        <v>23.333333333333332</v>
      </c>
      <c r="J121" s="505">
        <f>G121*I121</f>
        <v>30.333333333333332</v>
      </c>
      <c r="K121" s="471"/>
    </row>
    <row r="122" spans="1:11" hidden="1">
      <c r="A122" s="463"/>
      <c r="B122" s="576" t="s">
        <v>1038</v>
      </c>
      <c r="C122" s="577"/>
      <c r="D122" s="578"/>
      <c r="E122" s="578"/>
      <c r="F122" s="579"/>
      <c r="G122" s="502"/>
      <c r="H122" s="502" t="s">
        <v>931</v>
      </c>
      <c r="I122" s="575">
        <f>(73.6)*2.24</f>
        <v>164.864</v>
      </c>
      <c r="J122" s="505">
        <f>G122*I122</f>
        <v>0</v>
      </c>
      <c r="K122" s="471"/>
    </row>
    <row r="123" spans="1:11" hidden="1">
      <c r="A123" s="463"/>
      <c r="B123" s="576" t="s">
        <v>1039</v>
      </c>
      <c r="C123" s="577"/>
      <c r="D123" s="578"/>
      <c r="E123" s="578"/>
      <c r="F123" s="579"/>
      <c r="G123" s="502">
        <f>0.03</f>
        <v>0.03</v>
      </c>
      <c r="H123" s="502" t="s">
        <v>931</v>
      </c>
      <c r="I123" s="575">
        <f>2180*(30/50)</f>
        <v>1308</v>
      </c>
      <c r="J123" s="505">
        <f>G123*I123</f>
        <v>39.24</v>
      </c>
      <c r="K123" s="471"/>
    </row>
    <row r="124" spans="1:11" hidden="1">
      <c r="A124" s="463"/>
      <c r="B124" s="590"/>
      <c r="C124" s="591"/>
      <c r="D124" s="592"/>
      <c r="E124" s="592"/>
      <c r="F124" s="593"/>
      <c r="G124" s="502"/>
      <c r="H124" s="502"/>
      <c r="I124" s="575"/>
      <c r="J124" s="505">
        <f>G124*I124</f>
        <v>0</v>
      </c>
      <c r="K124" s="471"/>
    </row>
    <row r="125" spans="1:11" hidden="1">
      <c r="A125" s="463"/>
      <c r="B125" s="594"/>
      <c r="C125" s="536"/>
      <c r="D125" s="536"/>
      <c r="E125" s="595"/>
      <c r="F125" s="596"/>
      <c r="G125" s="545"/>
      <c r="H125" s="545"/>
      <c r="I125" s="537" t="s">
        <v>175</v>
      </c>
      <c r="J125" s="514">
        <f>SUM(J121:J124)</f>
        <v>69.573333333333338</v>
      </c>
      <c r="K125" s="471"/>
    </row>
    <row r="126" spans="1:11" hidden="1">
      <c r="A126" s="463"/>
      <c r="B126" s="597"/>
      <c r="C126" s="536"/>
      <c r="D126" s="536"/>
      <c r="E126" s="595"/>
      <c r="F126" s="596"/>
      <c r="G126" s="545"/>
      <c r="H126" s="545"/>
      <c r="I126" s="537"/>
      <c r="J126" s="595"/>
      <c r="K126" s="471"/>
    </row>
    <row r="127" spans="1:11" ht="20.399999999999999" hidden="1">
      <c r="A127" s="463"/>
      <c r="B127" s="598" t="s">
        <v>959</v>
      </c>
      <c r="C127" s="598"/>
      <c r="D127" s="598"/>
      <c r="E127" s="599"/>
      <c r="F127" s="600" t="s">
        <v>372</v>
      </c>
      <c r="G127" s="569" t="s">
        <v>960</v>
      </c>
      <c r="H127" s="519" t="s">
        <v>942</v>
      </c>
      <c r="I127" s="570" t="s">
        <v>361</v>
      </c>
      <c r="J127" s="522" t="s">
        <v>363</v>
      </c>
      <c r="K127" s="471"/>
    </row>
    <row r="128" spans="1:11" hidden="1">
      <c r="A128" s="463"/>
      <c r="B128" s="576" t="s">
        <v>1040</v>
      </c>
      <c r="C128" s="577"/>
      <c r="D128" s="578"/>
      <c r="E128" s="579" t="s">
        <v>946</v>
      </c>
      <c r="F128" s="502">
        <v>1.3</v>
      </c>
      <c r="G128" s="502">
        <v>27</v>
      </c>
      <c r="H128" s="502">
        <v>1</v>
      </c>
      <c r="I128" s="575">
        <f>I54</f>
        <v>0</v>
      </c>
      <c r="J128" s="505">
        <f>I128*H128*G128*F128</f>
        <v>0</v>
      </c>
      <c r="K128" s="471"/>
    </row>
    <row r="129" spans="1:11" hidden="1">
      <c r="A129" s="463"/>
      <c r="B129" s="576" t="s">
        <v>1041</v>
      </c>
      <c r="C129" s="577"/>
      <c r="D129" s="578"/>
      <c r="E129" s="579"/>
      <c r="F129" s="502">
        <f>1/160</f>
        <v>6.2500000000000003E-3</v>
      </c>
      <c r="G129" s="502">
        <v>1</v>
      </c>
      <c r="H129" s="502">
        <f>H55</f>
        <v>0</v>
      </c>
      <c r="I129" s="575">
        <v>1.3</v>
      </c>
      <c r="J129" s="505">
        <f>I129*H129*G129*F129</f>
        <v>0</v>
      </c>
      <c r="K129" s="471"/>
    </row>
    <row r="130" spans="1:11" hidden="1">
      <c r="A130" s="463"/>
      <c r="B130" s="590" t="s">
        <v>1042</v>
      </c>
      <c r="C130" s="591"/>
      <c r="D130" s="592"/>
      <c r="E130" s="593" t="s">
        <v>946</v>
      </c>
      <c r="F130" s="509">
        <f>1/160</f>
        <v>6.2500000000000003E-3</v>
      </c>
      <c r="G130" s="509">
        <v>1</v>
      </c>
      <c r="H130" s="502">
        <f>H56</f>
        <v>0</v>
      </c>
      <c r="I130" s="601">
        <f>I56</f>
        <v>0</v>
      </c>
      <c r="J130" s="505">
        <f>I130*H130*G130*F130</f>
        <v>0</v>
      </c>
      <c r="K130" s="471"/>
    </row>
    <row r="131" spans="1:11" hidden="1">
      <c r="A131" s="463"/>
      <c r="B131" s="594"/>
      <c r="C131" s="536"/>
      <c r="D131" s="536"/>
      <c r="E131" s="595"/>
      <c r="F131" s="596"/>
      <c r="G131" s="545"/>
      <c r="H131" s="545"/>
      <c r="I131" s="537" t="s">
        <v>175</v>
      </c>
      <c r="J131" s="514">
        <f>SUM(J128:J130)</f>
        <v>0</v>
      </c>
      <c r="K131" s="471"/>
    </row>
    <row r="132" spans="1:11" hidden="1">
      <c r="A132" s="463"/>
      <c r="B132" s="536"/>
      <c r="C132" s="536"/>
      <c r="D132" s="536"/>
      <c r="E132" s="536"/>
      <c r="F132" s="536"/>
      <c r="G132" s="536"/>
      <c r="H132" s="536"/>
      <c r="I132" s="537"/>
      <c r="J132" s="536"/>
      <c r="K132" s="471"/>
    </row>
    <row r="133" spans="1:11" hidden="1">
      <c r="A133" s="463"/>
      <c r="B133" s="1481" t="s">
        <v>961</v>
      </c>
      <c r="C133" s="1482"/>
      <c r="D133" s="1482"/>
      <c r="E133" s="1482"/>
      <c r="F133" s="1482"/>
      <c r="G133" s="1482"/>
      <c r="H133" s="1482"/>
      <c r="I133" s="1483"/>
      <c r="J133" s="586">
        <f>J131+J125+J118</f>
        <v>87.782742516069789</v>
      </c>
      <c r="K133" s="471"/>
    </row>
    <row r="134" spans="1:11" hidden="1">
      <c r="A134" s="463"/>
      <c r="B134" s="536"/>
      <c r="C134" s="536"/>
      <c r="D134" s="536"/>
      <c r="E134" s="536"/>
      <c r="F134" s="536"/>
      <c r="G134" s="536"/>
      <c r="H134" s="536"/>
      <c r="I134" s="537"/>
      <c r="J134" s="536"/>
      <c r="K134" s="471"/>
    </row>
    <row r="135" spans="1:11" hidden="1">
      <c r="A135" s="463"/>
      <c r="B135" s="1481" t="s">
        <v>962</v>
      </c>
      <c r="C135" s="1482"/>
      <c r="D135" s="1482"/>
      <c r="E135" s="1482"/>
      <c r="F135" s="1482"/>
      <c r="G135" s="1482"/>
      <c r="H135" s="1482"/>
      <c r="I135" s="1483"/>
      <c r="J135" s="514">
        <f>J133*0</f>
        <v>0</v>
      </c>
      <c r="K135" s="471"/>
    </row>
    <row r="136" spans="1:11" hidden="1">
      <c r="A136" s="463"/>
      <c r="B136" s="536"/>
      <c r="C136" s="536"/>
      <c r="D136" s="536"/>
      <c r="E136" s="536"/>
      <c r="F136" s="536"/>
      <c r="G136" s="536"/>
      <c r="H136" s="536"/>
      <c r="I136" s="537"/>
      <c r="J136" s="536"/>
      <c r="K136" s="471"/>
    </row>
    <row r="137" spans="1:11" hidden="1">
      <c r="A137" s="463"/>
      <c r="B137" s="1481" t="s">
        <v>963</v>
      </c>
      <c r="C137" s="1482"/>
      <c r="D137" s="1482"/>
      <c r="E137" s="1482"/>
      <c r="F137" s="1482"/>
      <c r="G137" s="1482"/>
      <c r="H137" s="1482"/>
      <c r="I137" s="1483"/>
      <c r="J137" s="586">
        <f>J133+J135</f>
        <v>87.782742516069789</v>
      </c>
      <c r="K137" s="471"/>
    </row>
    <row r="138" spans="1:11" hidden="1">
      <c r="A138" s="463"/>
      <c r="B138" s="524"/>
      <c r="C138" s="524"/>
      <c r="D138" s="524"/>
      <c r="E138" s="524"/>
      <c r="F138" s="524"/>
      <c r="G138" s="524"/>
      <c r="H138" s="524"/>
      <c r="I138" s="584"/>
      <c r="J138" s="524"/>
      <c r="K138" s="471"/>
    </row>
    <row r="139" spans="1:11" hidden="1">
      <c r="A139" s="463"/>
      <c r="B139" s="602"/>
      <c r="C139" s="572"/>
      <c r="D139" s="572"/>
      <c r="E139" s="572"/>
      <c r="F139" s="572"/>
      <c r="G139" s="572"/>
      <c r="H139" s="572"/>
      <c r="I139" s="572"/>
      <c r="J139" s="603"/>
      <c r="K139" s="471"/>
    </row>
    <row r="140" spans="1:11" hidden="1">
      <c r="A140" s="463"/>
      <c r="B140" s="604"/>
      <c r="C140" s="605"/>
      <c r="D140" s="606"/>
      <c r="E140" s="606"/>
      <c r="F140" s="607" t="s">
        <v>946</v>
      </c>
      <c r="G140" s="608" t="s">
        <v>946</v>
      </c>
      <c r="H140" s="605"/>
      <c r="I140" s="605"/>
      <c r="J140" s="609"/>
      <c r="K140" s="471"/>
    </row>
    <row r="141" spans="1:11" hidden="1">
      <c r="A141" s="463"/>
      <c r="B141" s="472"/>
      <c r="C141" s="472"/>
      <c r="D141" s="472"/>
      <c r="E141" s="472"/>
      <c r="F141" s="472"/>
      <c r="G141" s="472"/>
      <c r="H141" s="472"/>
      <c r="I141" s="472"/>
      <c r="J141" s="472"/>
      <c r="K141" s="471"/>
    </row>
    <row r="142" spans="1:11" hidden="1">
      <c r="A142" s="463"/>
      <c r="B142" s="610"/>
      <c r="C142" s="611"/>
      <c r="D142" s="611"/>
      <c r="E142" s="611"/>
      <c r="F142" s="612"/>
      <c r="G142" s="613" t="s">
        <v>363</v>
      </c>
      <c r="H142" s="515"/>
      <c r="I142" s="515"/>
      <c r="J142" s="518"/>
      <c r="K142" s="471"/>
    </row>
    <row r="143" spans="1:11" hidden="1">
      <c r="A143" s="463"/>
      <c r="B143" s="614"/>
      <c r="C143" s="615"/>
      <c r="D143" s="615"/>
      <c r="E143" s="615"/>
      <c r="F143" s="616"/>
      <c r="G143" s="1484" t="s">
        <v>964</v>
      </c>
      <c r="H143" s="1485"/>
      <c r="I143" s="1485"/>
      <c r="J143" s="1486"/>
      <c r="K143" s="471"/>
    </row>
    <row r="144" spans="1:11" hidden="1">
      <c r="A144" s="463"/>
      <c r="B144" s="617"/>
      <c r="C144" s="618"/>
      <c r="D144" s="618"/>
      <c r="E144" s="618"/>
      <c r="F144" s="619"/>
      <c r="G144" s="620"/>
      <c r="H144" s="1487"/>
      <c r="I144" s="1488"/>
      <c r="J144" s="1489"/>
      <c r="K144" s="471"/>
    </row>
    <row r="145" spans="1:11" ht="15" hidden="1" thickBot="1">
      <c r="A145" s="621"/>
      <c r="B145" s="622"/>
      <c r="C145" s="622"/>
      <c r="D145" s="622"/>
      <c r="E145" s="622"/>
      <c r="F145" s="622"/>
      <c r="G145" s="622"/>
      <c r="H145" s="622"/>
      <c r="I145" s="622"/>
      <c r="J145" s="622"/>
      <c r="K145" s="623"/>
    </row>
  </sheetData>
  <mergeCells count="28">
    <mergeCell ref="B135:I135"/>
    <mergeCell ref="B137:I137"/>
    <mergeCell ref="G143:J143"/>
    <mergeCell ref="H144:J144"/>
    <mergeCell ref="B89:E89"/>
    <mergeCell ref="B104:E104"/>
    <mergeCell ref="B113:F113"/>
    <mergeCell ref="B116:I116"/>
    <mergeCell ref="B120:F120"/>
    <mergeCell ref="B133:I133"/>
    <mergeCell ref="G69:J69"/>
    <mergeCell ref="H70:J70"/>
    <mergeCell ref="D75:I75"/>
    <mergeCell ref="B78:C79"/>
    <mergeCell ref="D78:D79"/>
    <mergeCell ref="E78:E79"/>
    <mergeCell ref="B63:I63"/>
    <mergeCell ref="D4:I4"/>
    <mergeCell ref="B7:C8"/>
    <mergeCell ref="D7:D8"/>
    <mergeCell ref="E7:E8"/>
    <mergeCell ref="B18:E18"/>
    <mergeCell ref="B30:E30"/>
    <mergeCell ref="B39:F39"/>
    <mergeCell ref="B42:I42"/>
    <mergeCell ref="B46:F46"/>
    <mergeCell ref="B59:I59"/>
    <mergeCell ref="B61:I61"/>
  </mergeCells>
  <pageMargins left="0.511811024" right="0.511811024" top="0.78740157499999996" bottom="0.78740157499999996" header="0.31496062000000002" footer="0.31496062000000002"/>
  <pageSetup paperSize="9" scale="65" orientation="portrait" r:id="rId1"/>
  <rowBreaks count="1" manualBreakCount="1">
    <brk id="71" max="16383" man="1"/>
  </rowBreak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3D796-B222-462C-9EA2-444A68306CC5}">
  <sheetPr codeName="Planilha53">
    <tabColor rgb="FFFFFF66"/>
  </sheetPr>
  <dimension ref="A1:K64"/>
  <sheetViews>
    <sheetView view="pageBreakPreview" topLeftCell="A50" zoomScaleNormal="100" zoomScaleSheetLayoutView="100" workbookViewId="0">
      <selection activeCell="D5" sqref="D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497" t="s">
        <v>250</v>
      </c>
      <c r="E4" s="1498"/>
      <c r="F4" s="1498"/>
      <c r="G4" s="1498"/>
      <c r="H4" s="1498"/>
      <c r="I4" s="1499"/>
      <c r="J4" s="475" t="s">
        <v>267</v>
      </c>
      <c r="K4" s="471"/>
    </row>
    <row r="5" spans="1:11" ht="24" customHeight="1">
      <c r="A5" s="463"/>
      <c r="B5" s="476">
        <v>1107892</v>
      </c>
      <c r="C5" s="477">
        <f ca="1">PLANEJAMENTO!F4</f>
        <v>46140</v>
      </c>
      <c r="D5" s="1721" t="s">
        <v>1043</v>
      </c>
      <c r="E5" s="1722"/>
      <c r="F5" s="1722"/>
      <c r="G5" s="1722"/>
      <c r="H5" s="1722"/>
      <c r="I5" s="1723"/>
      <c r="J5" s="481" t="str">
        <f>F23</f>
        <v>M3</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tr">
        <f>EQUIPAMENTOS!A3</f>
        <v>Betoneira com motor a gasolina com capacidade de 600 l - 10 kW</v>
      </c>
      <c r="C9" s="500"/>
      <c r="D9" s="501"/>
      <c r="E9" s="502">
        <v>1</v>
      </c>
      <c r="F9" s="502">
        <v>1</v>
      </c>
      <c r="G9" s="502">
        <f>1-F9</f>
        <v>0</v>
      </c>
      <c r="H9" s="503">
        <f>VLOOKUP(B9,EQUIPAMENTOS!$A:$J,10,FALSE)</f>
        <v>17.010000000000002</v>
      </c>
      <c r="I9" s="504">
        <f>H9</f>
        <v>17.010000000000002</v>
      </c>
      <c r="J9" s="505">
        <f>H9*F9*E9+I9*G9*E9</f>
        <v>17.010000000000002</v>
      </c>
      <c r="K9" s="471"/>
    </row>
    <row r="10" spans="1:11">
      <c r="A10" s="463"/>
      <c r="B10" s="499" t="s">
        <v>1044</v>
      </c>
      <c r="C10" s="500"/>
      <c r="D10" s="501"/>
      <c r="E10" s="502">
        <v>4</v>
      </c>
      <c r="F10" s="502">
        <v>1</v>
      </c>
      <c r="G10" s="502"/>
      <c r="H10" s="503">
        <v>1</v>
      </c>
      <c r="I10" s="504">
        <v>1</v>
      </c>
      <c r="J10" s="505">
        <f>H10*F10*E10+I10*G10*E10</f>
        <v>4</v>
      </c>
      <c r="K10" s="471"/>
    </row>
    <row r="11" spans="1:11">
      <c r="A11" s="463"/>
      <c r="B11" s="499" t="s">
        <v>1045</v>
      </c>
      <c r="C11" s="500"/>
      <c r="D11" s="501"/>
      <c r="E11" s="502">
        <v>3</v>
      </c>
      <c r="F11" s="502">
        <v>1</v>
      </c>
      <c r="G11" s="502"/>
      <c r="H11" s="503">
        <v>2</v>
      </c>
      <c r="I11" s="504">
        <f>H11</f>
        <v>2</v>
      </c>
      <c r="J11" s="505">
        <f>H11*F11*E11+I11*G11*E11</f>
        <v>6</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27.01</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1">
      <c r="A17" s="463"/>
      <c r="B17" s="523"/>
      <c r="C17" s="524"/>
      <c r="D17" s="525"/>
      <c r="E17" s="526"/>
      <c r="F17" s="527"/>
      <c r="G17" s="528"/>
      <c r="H17" s="529"/>
      <c r="I17" s="534"/>
      <c r="J17" s="505"/>
      <c r="K17" s="471"/>
    </row>
    <row r="18" spans="1:11">
      <c r="A18" s="463"/>
      <c r="B18" s="530" t="s">
        <v>578</v>
      </c>
      <c r="C18" s="531"/>
      <c r="D18" s="472"/>
      <c r="E18" s="500"/>
      <c r="F18" s="501"/>
      <c r="G18" s="532"/>
      <c r="H18" s="533">
        <v>1</v>
      </c>
      <c r="I18" s="534" t="e">
        <f>VLOOKUP(B18,'MÃO DE OBRA'!$A:$E,5,FALSE)/220</f>
        <v>#N/A</v>
      </c>
      <c r="J18" s="505" t="e">
        <f>H18*I18</f>
        <v>#N/A</v>
      </c>
      <c r="K18" s="471"/>
    </row>
    <row r="19" spans="1:11">
      <c r="A19" s="463"/>
      <c r="B19" s="530" t="s">
        <v>472</v>
      </c>
      <c r="C19" s="531"/>
      <c r="D19" s="472"/>
      <c r="E19" s="500"/>
      <c r="F19" s="501"/>
      <c r="G19" s="532"/>
      <c r="H19" s="533">
        <v>9</v>
      </c>
      <c r="I19" s="534">
        <f>VLOOKUP(B19,'MÃO DE OBRA'!$A:$E,5,FALSE)/220</f>
        <v>18.377072727272729</v>
      </c>
      <c r="J19" s="505">
        <f>H19*I19</f>
        <v>165.39365454545455</v>
      </c>
      <c r="K19" s="471"/>
    </row>
    <row r="20" spans="1:11">
      <c r="A20" s="463"/>
      <c r="B20" s="530"/>
      <c r="C20" s="531"/>
      <c r="D20" s="472"/>
      <c r="E20" s="500"/>
      <c r="F20" s="501"/>
      <c r="G20" s="532"/>
      <c r="H20" s="533"/>
      <c r="I20" s="504"/>
      <c r="J20" s="505"/>
      <c r="K20" s="471"/>
    </row>
    <row r="21" spans="1:11">
      <c r="A21" s="463"/>
      <c r="B21" s="512" t="s">
        <v>946</v>
      </c>
      <c r="C21" s="515"/>
      <c r="D21" s="515"/>
      <c r="E21" s="515"/>
      <c r="F21" s="515"/>
      <c r="G21" s="515"/>
      <c r="H21" s="515"/>
      <c r="I21" s="535" t="s">
        <v>175</v>
      </c>
      <c r="J21" s="514" t="e">
        <f>SUM(J17:J20)</f>
        <v>#N/A</v>
      </c>
      <c r="K21" s="471"/>
    </row>
    <row r="22" spans="1:11">
      <c r="A22" s="463"/>
      <c r="B22" s="536"/>
      <c r="C22" s="536"/>
      <c r="D22" s="536"/>
      <c r="E22" s="536"/>
      <c r="F22" s="536"/>
      <c r="G22" s="536"/>
      <c r="H22" s="536"/>
      <c r="I22" s="537"/>
      <c r="J22" s="536"/>
      <c r="K22" s="471"/>
    </row>
    <row r="23" spans="1:11">
      <c r="A23" s="463"/>
      <c r="B23" s="538" t="s">
        <v>952</v>
      </c>
      <c r="C23" s="539"/>
      <c r="D23" s="536"/>
      <c r="E23" s="540">
        <v>3.93</v>
      </c>
      <c r="F23" s="541" t="s">
        <v>973</v>
      </c>
      <c r="G23" s="519"/>
      <c r="H23" s="519"/>
      <c r="I23" s="542" t="s">
        <v>953</v>
      </c>
      <c r="J23" s="514" t="e">
        <f>J14+J21</f>
        <v>#N/A</v>
      </c>
      <c r="K23" s="471"/>
    </row>
    <row r="24" spans="1:11">
      <c r="A24" s="463"/>
      <c r="B24" s="543"/>
      <c r="C24" s="536"/>
      <c r="D24" s="536"/>
      <c r="E24" s="544"/>
      <c r="F24" s="545"/>
      <c r="G24" s="545"/>
      <c r="H24" s="545"/>
      <c r="I24" s="537"/>
      <c r="J24" s="536"/>
      <c r="K24" s="471"/>
    </row>
    <row r="25" spans="1:11" ht="20.399999999999999">
      <c r="A25" s="463"/>
      <c r="B25" s="1493" t="s">
        <v>362</v>
      </c>
      <c r="C25" s="1494"/>
      <c r="D25" s="1494"/>
      <c r="E25" s="1495"/>
      <c r="F25" s="546" t="s">
        <v>688</v>
      </c>
      <c r="G25" s="547" t="s">
        <v>371</v>
      </c>
      <c r="H25" s="520" t="s">
        <v>942</v>
      </c>
      <c r="I25" s="548" t="s">
        <v>361</v>
      </c>
      <c r="J25" s="549" t="s">
        <v>363</v>
      </c>
      <c r="K25" s="471"/>
    </row>
    <row r="26" spans="1:11">
      <c r="A26" s="463"/>
      <c r="B26" s="550" t="str">
        <f>B9</f>
        <v>Betoneira com motor a gasolina com capacidade de 600 l - 10 kW</v>
      </c>
      <c r="C26" s="531"/>
      <c r="D26" s="531"/>
      <c r="E26" s="500"/>
      <c r="F26" s="553" t="str">
        <f>VLOOKUP(B26,EQUIPAMENTOS!$A:$N,12,FALSE)</f>
        <v>Gasolina</v>
      </c>
      <c r="G26" s="554" t="s">
        <v>415</v>
      </c>
      <c r="H26" s="560">
        <f>VLOOKUP(B26,EQUIPAMENTOS!$A:$N,13,FALSE)</f>
        <v>6.59</v>
      </c>
      <c r="I26" s="556">
        <f>VLOOKUP(B26,EQUIPAMENTOS!$A:$N,14,FALSE)</f>
        <v>2</v>
      </c>
      <c r="J26" s="505">
        <f>H26*I26*E9*F9</f>
        <v>13.18</v>
      </c>
      <c r="K26" s="471"/>
    </row>
    <row r="27" spans="1:11">
      <c r="A27" s="463"/>
      <c r="B27" s="550"/>
      <c r="C27" s="531"/>
      <c r="D27" s="531"/>
      <c r="E27" s="500"/>
      <c r="F27" s="553"/>
      <c r="G27" s="554"/>
      <c r="H27" s="560"/>
      <c r="I27" s="556"/>
      <c r="J27" s="505"/>
      <c r="K27" s="471"/>
    </row>
    <row r="28" spans="1:11">
      <c r="A28" s="463"/>
      <c r="B28" s="530"/>
      <c r="C28" s="531"/>
      <c r="D28" s="531"/>
      <c r="E28" s="500"/>
      <c r="F28" s="501"/>
      <c r="G28" s="559"/>
      <c r="H28" s="560"/>
      <c r="I28" s="556"/>
      <c r="J28" s="505">
        <f>H28*I28*E11*F11</f>
        <v>0</v>
      </c>
      <c r="K28" s="471"/>
    </row>
    <row r="29" spans="1:11">
      <c r="A29" s="463"/>
      <c r="B29" s="530"/>
      <c r="C29" s="539"/>
      <c r="D29" s="539"/>
      <c r="E29" s="507"/>
      <c r="F29" s="501"/>
      <c r="G29" s="481"/>
      <c r="H29" s="560"/>
      <c r="I29" s="561"/>
      <c r="J29" s="505">
        <f>H29*I29*E12*F12</f>
        <v>0</v>
      </c>
      <c r="K29" s="471"/>
    </row>
    <row r="30" spans="1:11">
      <c r="A30" s="463"/>
      <c r="B30" s="563" t="s">
        <v>946</v>
      </c>
      <c r="C30" s="539"/>
      <c r="D30" s="539"/>
      <c r="E30" s="539"/>
      <c r="F30" s="536"/>
      <c r="G30" s="539"/>
      <c r="H30" s="564"/>
      <c r="I30" s="565" t="s">
        <v>175</v>
      </c>
      <c r="J30" s="514">
        <f>SUM(J26:J29)</f>
        <v>13.18</v>
      </c>
      <c r="K30" s="471"/>
    </row>
    <row r="31" spans="1:11">
      <c r="A31" s="463"/>
      <c r="B31" s="566"/>
      <c r="C31" s="539"/>
      <c r="D31" s="539"/>
      <c r="E31" s="567"/>
      <c r="F31" s="568"/>
      <c r="G31" s="519"/>
      <c r="H31" s="519"/>
      <c r="I31" s="542"/>
      <c r="J31" s="567"/>
      <c r="K31" s="471"/>
    </row>
    <row r="32" spans="1:11" ht="20.399999999999999">
      <c r="A32" s="463"/>
      <c r="B32" s="1493" t="s">
        <v>955</v>
      </c>
      <c r="C32" s="1494"/>
      <c r="D32" s="1494"/>
      <c r="E32" s="1494"/>
      <c r="F32" s="1495"/>
      <c r="G32" s="569" t="s">
        <v>372</v>
      </c>
      <c r="H32" s="519" t="s">
        <v>956</v>
      </c>
      <c r="I32" s="570" t="s">
        <v>942</v>
      </c>
      <c r="J32" s="522" t="s">
        <v>363</v>
      </c>
      <c r="K32" s="471"/>
    </row>
    <row r="33" spans="1:11">
      <c r="A33" s="463"/>
      <c r="B33" s="571"/>
      <c r="C33" s="572"/>
      <c r="D33" s="573"/>
      <c r="E33" s="573"/>
      <c r="F33" s="574"/>
      <c r="G33" s="502"/>
      <c r="H33" s="502"/>
      <c r="I33" s="575"/>
      <c r="J33" s="505"/>
      <c r="K33" s="471"/>
    </row>
    <row r="34" spans="1:11">
      <c r="A34" s="463"/>
      <c r="B34" s="576"/>
      <c r="C34" s="577"/>
      <c r="D34" s="578"/>
      <c r="E34" s="578"/>
      <c r="F34" s="579"/>
      <c r="G34" s="502"/>
      <c r="H34" s="502"/>
      <c r="I34" s="575"/>
      <c r="J34" s="505"/>
      <c r="K34" s="471"/>
    </row>
    <row r="35" spans="1:11">
      <c r="A35" s="463"/>
      <c r="B35" s="1496" t="s">
        <v>175</v>
      </c>
      <c r="C35" s="1496"/>
      <c r="D35" s="1496"/>
      <c r="E35" s="1496"/>
      <c r="F35" s="1496"/>
      <c r="G35" s="1496"/>
      <c r="H35" s="1496"/>
      <c r="I35" s="1496"/>
      <c r="J35" s="514">
        <f>SUM(J33:J34)</f>
        <v>0</v>
      </c>
      <c r="K35" s="471"/>
    </row>
    <row r="36" spans="1:11">
      <c r="A36" s="463"/>
      <c r="B36" s="580"/>
      <c r="C36" s="524"/>
      <c r="D36" s="524"/>
      <c r="E36" s="581"/>
      <c r="F36" s="582"/>
      <c r="G36" s="583"/>
      <c r="H36" s="583"/>
      <c r="I36" s="584"/>
      <c r="J36" s="585"/>
      <c r="K36" s="471"/>
    </row>
    <row r="37" spans="1:11">
      <c r="A37" s="463"/>
      <c r="B37" s="586" t="s">
        <v>957</v>
      </c>
      <c r="C37" s="586"/>
      <c r="D37" s="563"/>
      <c r="E37" s="536"/>
      <c r="F37" s="536"/>
      <c r="G37" s="536"/>
      <c r="H37" s="587"/>
      <c r="I37" s="588"/>
      <c r="J37" s="514" t="e">
        <f>(J23+J30+J35)/E23</f>
        <v>#N/A</v>
      </c>
      <c r="K37" s="471"/>
    </row>
    <row r="38" spans="1:11">
      <c r="A38" s="463"/>
      <c r="B38" s="566"/>
      <c r="C38" s="539"/>
      <c r="D38" s="539"/>
      <c r="E38" s="567"/>
      <c r="F38" s="568"/>
      <c r="G38" s="519"/>
      <c r="H38" s="519"/>
      <c r="I38" s="542"/>
      <c r="J38" s="589"/>
      <c r="K38" s="471"/>
    </row>
    <row r="39" spans="1:11" ht="20.399999999999999">
      <c r="A39" s="463"/>
      <c r="B39" s="1493" t="s">
        <v>958</v>
      </c>
      <c r="C39" s="1494"/>
      <c r="D39" s="1494"/>
      <c r="E39" s="1494"/>
      <c r="F39" s="1495"/>
      <c r="G39" s="569" t="s">
        <v>372</v>
      </c>
      <c r="H39" s="519" t="s">
        <v>956</v>
      </c>
      <c r="I39" s="570" t="s">
        <v>942</v>
      </c>
      <c r="J39" s="522" t="s">
        <v>363</v>
      </c>
      <c r="K39" s="471"/>
    </row>
    <row r="40" spans="1:11">
      <c r="A40" s="463"/>
      <c r="B40" s="571" t="s">
        <v>1046</v>
      </c>
      <c r="C40" s="572"/>
      <c r="D40" s="573"/>
      <c r="E40" s="573"/>
      <c r="F40" s="574"/>
      <c r="G40" s="502">
        <v>0.85</v>
      </c>
      <c r="H40" s="502" t="s">
        <v>985</v>
      </c>
      <c r="I40" s="575">
        <v>7.25</v>
      </c>
      <c r="J40" s="505">
        <f>G40*I40</f>
        <v>6.1624999999999996</v>
      </c>
      <c r="K40" s="471"/>
    </row>
    <row r="41" spans="1:11">
      <c r="A41" s="463"/>
      <c r="B41" s="576" t="s">
        <v>989</v>
      </c>
      <c r="C41" s="577"/>
      <c r="D41" s="578"/>
      <c r="E41" s="578"/>
      <c r="F41" s="579"/>
      <c r="G41" s="502">
        <v>0.64</v>
      </c>
      <c r="H41" s="502" t="s">
        <v>973</v>
      </c>
      <c r="I41" s="575">
        <v>180</v>
      </c>
      <c r="J41" s="505">
        <f>G41*I41</f>
        <v>115.2</v>
      </c>
      <c r="K41" s="471"/>
    </row>
    <row r="42" spans="1:11">
      <c r="A42" s="463"/>
      <c r="B42" s="576" t="s">
        <v>1047</v>
      </c>
      <c r="C42" s="577"/>
      <c r="D42" s="578"/>
      <c r="E42" s="578"/>
      <c r="F42" s="579"/>
      <c r="G42" s="502">
        <v>0.37</v>
      </c>
      <c r="H42" s="502" t="s">
        <v>973</v>
      </c>
      <c r="I42" s="575">
        <v>170</v>
      </c>
      <c r="J42" s="505">
        <f>G42*I42</f>
        <v>62.9</v>
      </c>
      <c r="K42" s="471"/>
    </row>
    <row r="43" spans="1:11">
      <c r="A43" s="463"/>
      <c r="B43" s="576" t="s">
        <v>1048</v>
      </c>
      <c r="C43" s="577"/>
      <c r="D43" s="578"/>
      <c r="E43" s="578"/>
      <c r="F43" s="579"/>
      <c r="G43" s="502">
        <v>0.37</v>
      </c>
      <c r="H43" s="502" t="s">
        <v>973</v>
      </c>
      <c r="I43" s="575">
        <v>170</v>
      </c>
      <c r="J43" s="505">
        <f>G43*I43</f>
        <v>62.9</v>
      </c>
      <c r="K43" s="471"/>
    </row>
    <row r="44" spans="1:11">
      <c r="A44" s="463"/>
      <c r="B44" s="590" t="s">
        <v>1049</v>
      </c>
      <c r="C44" s="591"/>
      <c r="D44" s="592"/>
      <c r="E44" s="592"/>
      <c r="F44" s="593"/>
      <c r="G44" s="502">
        <v>282.16000000000003</v>
      </c>
      <c r="H44" s="502" t="s">
        <v>985</v>
      </c>
      <c r="I44" s="575">
        <v>0.6</v>
      </c>
      <c r="J44" s="505">
        <f>G44*I44</f>
        <v>169.29600000000002</v>
      </c>
      <c r="K44" s="471"/>
    </row>
    <row r="45" spans="1:11">
      <c r="A45" s="463"/>
      <c r="B45" s="594"/>
      <c r="C45" s="536"/>
      <c r="D45" s="536"/>
      <c r="E45" s="595"/>
      <c r="F45" s="596"/>
      <c r="G45" s="545"/>
      <c r="H45" s="545"/>
      <c r="I45" s="537" t="s">
        <v>175</v>
      </c>
      <c r="J45" s="514">
        <f>SUM(J40:J44)</f>
        <v>416.45850000000002</v>
      </c>
      <c r="K45" s="471"/>
    </row>
    <row r="46" spans="1:11">
      <c r="A46" s="463"/>
      <c r="B46" s="597"/>
      <c r="C46" s="536"/>
      <c r="D46" s="536"/>
      <c r="E46" s="595"/>
      <c r="F46" s="596"/>
      <c r="G46" s="545"/>
      <c r="H46" s="545"/>
      <c r="I46" s="537"/>
      <c r="J46" s="595"/>
      <c r="K46" s="471"/>
    </row>
    <row r="47" spans="1:11" ht="20.399999999999999">
      <c r="A47" s="463"/>
      <c r="B47" s="1493" t="s">
        <v>959</v>
      </c>
      <c r="C47" s="1494"/>
      <c r="D47" s="1494"/>
      <c r="E47" s="1494"/>
      <c r="F47" s="1495"/>
      <c r="G47" s="600" t="s">
        <v>372</v>
      </c>
      <c r="H47" s="1493" t="s">
        <v>942</v>
      </c>
      <c r="I47" s="1495"/>
      <c r="J47" s="522" t="s">
        <v>363</v>
      </c>
      <c r="K47" s="471"/>
    </row>
    <row r="48" spans="1:11">
      <c r="A48" s="463"/>
      <c r="B48" s="1734"/>
      <c r="C48" s="1735"/>
      <c r="D48" s="1735"/>
      <c r="E48" s="1735"/>
      <c r="F48" s="1736"/>
      <c r="G48" s="502"/>
      <c r="H48" s="1737"/>
      <c r="I48" s="1738"/>
      <c r="J48" s="505"/>
      <c r="K48" s="471"/>
    </row>
    <row r="49" spans="1:11">
      <c r="A49" s="463"/>
      <c r="B49" s="1739"/>
      <c r="C49" s="1740"/>
      <c r="D49" s="1740"/>
      <c r="E49" s="1740"/>
      <c r="F49" s="1741"/>
      <c r="G49" s="509"/>
      <c r="H49" s="1742"/>
      <c r="I49" s="1743"/>
      <c r="J49" s="505"/>
      <c r="K49" s="471"/>
    </row>
    <row r="50" spans="1:11">
      <c r="A50" s="463"/>
      <c r="B50" s="594"/>
      <c r="C50" s="536"/>
      <c r="D50" s="536"/>
      <c r="E50" s="595"/>
      <c r="F50" s="596"/>
      <c r="G50" s="545"/>
      <c r="H50" s="545"/>
      <c r="I50" s="537" t="s">
        <v>175</v>
      </c>
      <c r="J50" s="514">
        <f>SUM(J48:J49)</f>
        <v>0</v>
      </c>
      <c r="K50" s="471"/>
    </row>
    <row r="51" spans="1:11">
      <c r="A51" s="463"/>
      <c r="B51" s="536"/>
      <c r="C51" s="536"/>
      <c r="D51" s="536"/>
      <c r="E51" s="536"/>
      <c r="F51" s="536"/>
      <c r="G51" s="536"/>
      <c r="H51" s="536"/>
      <c r="I51" s="537"/>
      <c r="J51" s="536"/>
      <c r="K51" s="471"/>
    </row>
    <row r="52" spans="1:11">
      <c r="A52" s="463"/>
      <c r="B52" s="1481" t="s">
        <v>961</v>
      </c>
      <c r="C52" s="1482"/>
      <c r="D52" s="1482"/>
      <c r="E52" s="1482"/>
      <c r="F52" s="1482"/>
      <c r="G52" s="1482"/>
      <c r="H52" s="1482"/>
      <c r="I52" s="1483"/>
      <c r="J52" s="586" t="e">
        <f>J50+J45+J37</f>
        <v>#N/A</v>
      </c>
      <c r="K52" s="471"/>
    </row>
    <row r="53" spans="1:11">
      <c r="A53" s="463"/>
      <c r="B53" s="536"/>
      <c r="C53" s="536"/>
      <c r="D53" s="536"/>
      <c r="E53" s="536"/>
      <c r="F53" s="536"/>
      <c r="G53" s="536"/>
      <c r="H53" s="536"/>
      <c r="I53" s="537"/>
      <c r="J53" s="536"/>
      <c r="K53" s="471"/>
    </row>
    <row r="54" spans="1:11">
      <c r="A54" s="463"/>
      <c r="B54" s="1481" t="s">
        <v>962</v>
      </c>
      <c r="C54" s="1482"/>
      <c r="D54" s="1482"/>
      <c r="E54" s="1482"/>
      <c r="F54" s="1482"/>
      <c r="G54" s="1482"/>
      <c r="H54" s="1482"/>
      <c r="I54" s="1483"/>
      <c r="J54" s="514" t="e">
        <f>J52*0</f>
        <v>#N/A</v>
      </c>
      <c r="K54" s="471"/>
    </row>
    <row r="55" spans="1:11">
      <c r="A55" s="463"/>
      <c r="B55" s="536"/>
      <c r="C55" s="536"/>
      <c r="D55" s="536"/>
      <c r="E55" s="536"/>
      <c r="F55" s="536"/>
      <c r="G55" s="536"/>
      <c r="H55" s="536"/>
      <c r="I55" s="537"/>
      <c r="J55" s="536"/>
      <c r="K55" s="471"/>
    </row>
    <row r="56" spans="1:11">
      <c r="A56" s="463"/>
      <c r="B56" s="1481" t="s">
        <v>963</v>
      </c>
      <c r="C56" s="1482"/>
      <c r="D56" s="1482"/>
      <c r="E56" s="1482"/>
      <c r="F56" s="1482"/>
      <c r="G56" s="1482"/>
      <c r="H56" s="1482"/>
      <c r="I56" s="1483"/>
      <c r="J56" s="586" t="e">
        <f>J52+J54</f>
        <v>#N/A</v>
      </c>
      <c r="K56" s="471"/>
    </row>
    <row r="57" spans="1:11">
      <c r="A57" s="463"/>
      <c r="B57" s="524"/>
      <c r="C57" s="524"/>
      <c r="D57" s="524"/>
      <c r="E57" s="524"/>
      <c r="F57" s="524"/>
      <c r="G57" s="524"/>
      <c r="H57" s="524"/>
      <c r="I57" s="584"/>
      <c r="J57" s="524"/>
      <c r="K57" s="471"/>
    </row>
    <row r="58" spans="1:11">
      <c r="A58" s="463"/>
      <c r="B58" s="602"/>
      <c r="C58" s="572"/>
      <c r="D58" s="572"/>
      <c r="E58" s="572"/>
      <c r="F58" s="572"/>
      <c r="G58" s="572"/>
      <c r="H58" s="572"/>
      <c r="I58" s="572"/>
      <c r="J58" s="603"/>
      <c r="K58" s="471"/>
    </row>
    <row r="59" spans="1:11">
      <c r="A59" s="463"/>
      <c r="B59" s="604"/>
      <c r="C59" s="605"/>
      <c r="D59" s="606"/>
      <c r="E59" s="606"/>
      <c r="F59" s="607" t="s">
        <v>946</v>
      </c>
      <c r="G59" s="608" t="s">
        <v>946</v>
      </c>
      <c r="H59" s="605"/>
      <c r="I59" s="605"/>
      <c r="J59" s="609"/>
      <c r="K59" s="471"/>
    </row>
    <row r="60" spans="1:11">
      <c r="A60" s="463"/>
      <c r="B60" s="472"/>
      <c r="C60" s="472"/>
      <c r="D60" s="472"/>
      <c r="E60" s="472"/>
      <c r="F60" s="472"/>
      <c r="G60" s="472"/>
      <c r="H60" s="472"/>
      <c r="I60" s="472"/>
      <c r="J60" s="472"/>
      <c r="K60" s="471"/>
    </row>
    <row r="61" spans="1:11">
      <c r="A61" s="463"/>
      <c r="B61" s="610" t="str">
        <f>PLANEJAMENTO!$F$2</f>
        <v>OPERAÇÃO DE SUPRESSÃO E SUMP</v>
      </c>
      <c r="C61" s="611"/>
      <c r="D61" s="611"/>
      <c r="E61" s="611"/>
      <c r="F61" s="612"/>
      <c r="G61" s="613" t="s">
        <v>363</v>
      </c>
      <c r="H61" s="515"/>
      <c r="I61" s="515"/>
      <c r="J61" s="518"/>
      <c r="K61" s="471"/>
    </row>
    <row r="62" spans="1:11">
      <c r="A62" s="463"/>
      <c r="B62" s="614" t="str">
        <f>PLANEJAMENTO!$F$3</f>
        <v>MARA ROSA</v>
      </c>
      <c r="C62" s="615"/>
      <c r="D62" s="615"/>
      <c r="E62" s="615"/>
      <c r="F62" s="616"/>
      <c r="G62" s="1484" t="s">
        <v>964</v>
      </c>
      <c r="H62" s="1485"/>
      <c r="I62" s="1485"/>
      <c r="J62" s="1486"/>
      <c r="K62" s="471"/>
    </row>
    <row r="63" spans="1:11">
      <c r="A63" s="463"/>
      <c r="B63" s="617"/>
      <c r="C63" s="618"/>
      <c r="D63" s="618"/>
      <c r="E63" s="618"/>
      <c r="F63" s="619"/>
      <c r="G63" s="620"/>
      <c r="H63" s="1487"/>
      <c r="I63" s="1488"/>
      <c r="J63" s="1489"/>
      <c r="K63" s="471"/>
    </row>
    <row r="64" spans="1:11" ht="15" thickBot="1">
      <c r="A64" s="621"/>
      <c r="B64" s="622"/>
      <c r="C64" s="622"/>
      <c r="D64" s="622"/>
      <c r="E64" s="622"/>
      <c r="F64" s="622"/>
      <c r="G64" s="622"/>
      <c r="H64" s="622"/>
      <c r="I64" s="622"/>
      <c r="J64" s="622"/>
      <c r="K64" s="623"/>
    </row>
  </sheetData>
  <mergeCells count="21">
    <mergeCell ref="B54:I54"/>
    <mergeCell ref="B56:I56"/>
    <mergeCell ref="G62:J62"/>
    <mergeCell ref="H63:J63"/>
    <mergeCell ref="B48:F48"/>
    <mergeCell ref="H48:I48"/>
    <mergeCell ref="B49:F49"/>
    <mergeCell ref="H49:I49"/>
    <mergeCell ref="B52:I52"/>
    <mergeCell ref="B25:E25"/>
    <mergeCell ref="B32:F32"/>
    <mergeCell ref="B35:I35"/>
    <mergeCell ref="B39:F39"/>
    <mergeCell ref="B47:F47"/>
    <mergeCell ref="H47:I47"/>
    <mergeCell ref="B16:E16"/>
    <mergeCell ref="D4:I4"/>
    <mergeCell ref="D5:I5"/>
    <mergeCell ref="B7:C8"/>
    <mergeCell ref="D7:D8"/>
    <mergeCell ref="E7:E8"/>
  </mergeCells>
  <pageMargins left="0.511811024" right="0.511811024" top="0.78740157499999996" bottom="0.78740157499999996" header="0.31496062000000002" footer="0.31496062000000002"/>
  <pageSetup paperSize="9" scale="65"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A1F53-1D9F-42E0-94EA-C252DC6C815D}">
  <sheetPr codeName="Planilha51">
    <tabColor rgb="FFFFFF66"/>
  </sheetPr>
  <dimension ref="A1:K197"/>
  <sheetViews>
    <sheetView view="pageBreakPreview" zoomScaleNormal="100" zoomScaleSheetLayoutView="100" workbookViewId="0">
      <selection activeCell="D5" sqref="D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497" t="s">
        <v>250</v>
      </c>
      <c r="E4" s="1498"/>
      <c r="F4" s="1498"/>
      <c r="G4" s="1498"/>
      <c r="H4" s="1498"/>
      <c r="I4" s="1499"/>
      <c r="J4" s="475" t="s">
        <v>267</v>
      </c>
      <c r="K4" s="471"/>
    </row>
    <row r="5" spans="1:11" ht="24" customHeight="1">
      <c r="A5" s="463"/>
      <c r="B5" s="476">
        <v>804081</v>
      </c>
      <c r="C5" s="477">
        <f ca="1">PLANEJAMENTO!F4</f>
        <v>46140</v>
      </c>
      <c r="D5" s="1721" t="s">
        <v>227</v>
      </c>
      <c r="E5" s="1722"/>
      <c r="F5" s="1722"/>
      <c r="G5" s="1722"/>
      <c r="H5" s="1722"/>
      <c r="I5" s="1723"/>
      <c r="J5" s="481" t="str">
        <f>F23</f>
        <v>unid</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c r="C9" s="500"/>
      <c r="D9" s="501"/>
      <c r="E9" s="502"/>
      <c r="F9" s="502"/>
      <c r="G9" s="502"/>
      <c r="H9" s="503"/>
      <c r="I9" s="504"/>
      <c r="J9" s="505"/>
      <c r="K9" s="471"/>
    </row>
    <row r="10" spans="1:11">
      <c r="A10" s="463"/>
      <c r="B10" s="499"/>
      <c r="C10" s="500"/>
      <c r="D10" s="501"/>
      <c r="E10" s="502"/>
      <c r="F10" s="502"/>
      <c r="G10" s="502"/>
      <c r="H10" s="503"/>
      <c r="I10" s="504"/>
      <c r="J10" s="505"/>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0</v>
      </c>
      <c r="K14" s="471"/>
    </row>
    <row r="15" spans="1:11">
      <c r="A15" s="463"/>
      <c r="B15" s="515"/>
      <c r="C15" s="515"/>
      <c r="D15" s="515"/>
      <c r="E15" s="515"/>
      <c r="F15" s="515"/>
      <c r="G15" s="515"/>
      <c r="H15" s="515"/>
      <c r="I15" s="516"/>
      <c r="J15" s="517"/>
      <c r="K15" s="471"/>
    </row>
    <row r="16" spans="1:11" ht="20.399999999999999">
      <c r="A16" s="463"/>
      <c r="B16" s="1490" t="s">
        <v>947</v>
      </c>
      <c r="C16" s="1491"/>
      <c r="D16" s="1491"/>
      <c r="E16" s="1492"/>
      <c r="F16" s="518" t="s">
        <v>688</v>
      </c>
      <c r="G16" s="519"/>
      <c r="H16" s="520" t="s">
        <v>427</v>
      </c>
      <c r="I16" s="521" t="s">
        <v>948</v>
      </c>
      <c r="J16" s="522" t="s">
        <v>949</v>
      </c>
      <c r="K16" s="471"/>
    </row>
    <row r="17" spans="1:11">
      <c r="A17" s="463"/>
      <c r="B17" s="523"/>
      <c r="C17" s="524"/>
      <c r="D17" s="525"/>
      <c r="E17" s="526"/>
      <c r="F17" s="527"/>
      <c r="G17" s="528"/>
      <c r="H17" s="529"/>
      <c r="I17" s="534"/>
      <c r="J17" s="505"/>
      <c r="K17" s="471"/>
    </row>
    <row r="18" spans="1:11">
      <c r="A18" s="463"/>
      <c r="B18" s="530"/>
      <c r="C18" s="531"/>
      <c r="D18" s="472"/>
      <c r="E18" s="500"/>
      <c r="F18" s="501"/>
      <c r="G18" s="532"/>
      <c r="H18" s="533"/>
      <c r="I18" s="534"/>
      <c r="J18" s="505"/>
      <c r="K18" s="471"/>
    </row>
    <row r="19" spans="1:11">
      <c r="A19" s="463"/>
      <c r="B19" s="530"/>
      <c r="C19" s="531"/>
      <c r="D19" s="472"/>
      <c r="E19" s="500"/>
      <c r="F19" s="501"/>
      <c r="G19" s="532"/>
      <c r="H19" s="533"/>
      <c r="I19" s="534"/>
      <c r="J19" s="505"/>
      <c r="K19" s="471"/>
    </row>
    <row r="20" spans="1:11">
      <c r="A20" s="463"/>
      <c r="B20" s="530"/>
      <c r="C20" s="531"/>
      <c r="D20" s="472"/>
      <c r="E20" s="500"/>
      <c r="F20" s="501"/>
      <c r="G20" s="532"/>
      <c r="H20" s="533"/>
      <c r="I20" s="504"/>
      <c r="J20" s="505"/>
      <c r="K20" s="471"/>
    </row>
    <row r="21" spans="1:11">
      <c r="A21" s="463"/>
      <c r="B21" s="512" t="s">
        <v>946</v>
      </c>
      <c r="C21" s="515"/>
      <c r="D21" s="515"/>
      <c r="E21" s="515"/>
      <c r="F21" s="515"/>
      <c r="G21" s="515"/>
      <c r="H21" s="515"/>
      <c r="I21" s="535" t="s">
        <v>175</v>
      </c>
      <c r="J21" s="514">
        <f>SUM(J17:J20)</f>
        <v>0</v>
      </c>
      <c r="K21" s="471"/>
    </row>
    <row r="22" spans="1:11">
      <c r="A22" s="463"/>
      <c r="B22" s="536"/>
      <c r="C22" s="536"/>
      <c r="D22" s="536"/>
      <c r="E22" s="536"/>
      <c r="F22" s="536"/>
      <c r="G22" s="536"/>
      <c r="H22" s="536"/>
      <c r="I22" s="537"/>
      <c r="J22" s="536"/>
      <c r="K22" s="471"/>
    </row>
    <row r="23" spans="1:11">
      <c r="A23" s="463"/>
      <c r="B23" s="538" t="s">
        <v>952</v>
      </c>
      <c r="C23" s="539"/>
      <c r="D23" s="536"/>
      <c r="E23" s="540">
        <v>1</v>
      </c>
      <c r="F23" s="541" t="s">
        <v>967</v>
      </c>
      <c r="G23" s="519"/>
      <c r="H23" s="519"/>
      <c r="I23" s="542" t="s">
        <v>953</v>
      </c>
      <c r="J23" s="514">
        <f>J14+J21</f>
        <v>0</v>
      </c>
      <c r="K23" s="471"/>
    </row>
    <row r="24" spans="1:11">
      <c r="A24" s="463"/>
      <c r="B24" s="543"/>
      <c r="C24" s="536"/>
      <c r="D24" s="536"/>
      <c r="E24" s="544"/>
      <c r="F24" s="545"/>
      <c r="G24" s="545"/>
      <c r="H24" s="545"/>
      <c r="I24" s="537"/>
      <c r="J24" s="536"/>
      <c r="K24" s="471"/>
    </row>
    <row r="25" spans="1:11" ht="20.399999999999999">
      <c r="A25" s="463"/>
      <c r="B25" s="1493" t="s">
        <v>362</v>
      </c>
      <c r="C25" s="1494"/>
      <c r="D25" s="1494"/>
      <c r="E25" s="1495"/>
      <c r="F25" s="546" t="s">
        <v>688</v>
      </c>
      <c r="G25" s="547" t="s">
        <v>371</v>
      </c>
      <c r="H25" s="520" t="s">
        <v>942</v>
      </c>
      <c r="I25" s="548" t="s">
        <v>361</v>
      </c>
      <c r="J25" s="549" t="s">
        <v>363</v>
      </c>
      <c r="K25" s="471"/>
    </row>
    <row r="26" spans="1:11">
      <c r="A26" s="463"/>
      <c r="B26" s="550"/>
      <c r="C26" s="531"/>
      <c r="D26" s="531"/>
      <c r="E26" s="500"/>
      <c r="F26" s="553"/>
      <c r="G26" s="554"/>
      <c r="H26" s="560"/>
      <c r="I26" s="556"/>
      <c r="J26" s="505"/>
      <c r="K26" s="471"/>
    </row>
    <row r="27" spans="1:11">
      <c r="A27" s="463"/>
      <c r="B27" s="550"/>
      <c r="C27" s="531"/>
      <c r="D27" s="531"/>
      <c r="E27" s="500"/>
      <c r="F27" s="553"/>
      <c r="G27" s="554"/>
      <c r="H27" s="560"/>
      <c r="I27" s="556"/>
      <c r="J27" s="505"/>
      <c r="K27" s="471"/>
    </row>
    <row r="28" spans="1:11">
      <c r="A28" s="463"/>
      <c r="B28" s="530"/>
      <c r="C28" s="531"/>
      <c r="D28" s="531"/>
      <c r="E28" s="500"/>
      <c r="F28" s="501"/>
      <c r="G28" s="559"/>
      <c r="H28" s="560"/>
      <c r="I28" s="556"/>
      <c r="J28" s="505">
        <f>H28*I28*E11*F11</f>
        <v>0</v>
      </c>
      <c r="K28" s="471"/>
    </row>
    <row r="29" spans="1:11">
      <c r="A29" s="463"/>
      <c r="B29" s="530"/>
      <c r="C29" s="539"/>
      <c r="D29" s="539"/>
      <c r="E29" s="507"/>
      <c r="F29" s="501"/>
      <c r="G29" s="481"/>
      <c r="H29" s="560"/>
      <c r="I29" s="561"/>
      <c r="J29" s="505">
        <f>H29*I29*E12*F12</f>
        <v>0</v>
      </c>
      <c r="K29" s="471"/>
    </row>
    <row r="30" spans="1:11">
      <c r="A30" s="463"/>
      <c r="B30" s="563" t="s">
        <v>946</v>
      </c>
      <c r="C30" s="539"/>
      <c r="D30" s="539"/>
      <c r="E30" s="539"/>
      <c r="F30" s="536"/>
      <c r="G30" s="539"/>
      <c r="H30" s="564"/>
      <c r="I30" s="565" t="s">
        <v>175</v>
      </c>
      <c r="J30" s="514">
        <f>SUM(J26:J29)</f>
        <v>0</v>
      </c>
      <c r="K30" s="471"/>
    </row>
    <row r="31" spans="1:11">
      <c r="A31" s="463"/>
      <c r="B31" s="566"/>
      <c r="C31" s="539"/>
      <c r="D31" s="539"/>
      <c r="E31" s="567"/>
      <c r="F31" s="568"/>
      <c r="G31" s="519"/>
      <c r="H31" s="519"/>
      <c r="I31" s="542"/>
      <c r="J31" s="567"/>
      <c r="K31" s="471"/>
    </row>
    <row r="32" spans="1:11" ht="20.399999999999999">
      <c r="A32" s="463"/>
      <c r="B32" s="1493" t="s">
        <v>955</v>
      </c>
      <c r="C32" s="1494"/>
      <c r="D32" s="1494"/>
      <c r="E32" s="1494"/>
      <c r="F32" s="1495"/>
      <c r="G32" s="569" t="s">
        <v>372</v>
      </c>
      <c r="H32" s="519" t="s">
        <v>956</v>
      </c>
      <c r="I32" s="570" t="s">
        <v>942</v>
      </c>
      <c r="J32" s="522" t="s">
        <v>363</v>
      </c>
      <c r="K32" s="471"/>
    </row>
    <row r="33" spans="1:11">
      <c r="A33" s="463"/>
      <c r="B33" s="571"/>
      <c r="C33" s="572"/>
      <c r="D33" s="573"/>
      <c r="E33" s="573"/>
      <c r="F33" s="574"/>
      <c r="G33" s="502"/>
      <c r="H33" s="502"/>
      <c r="I33" s="575"/>
      <c r="J33" s="505"/>
      <c r="K33" s="471"/>
    </row>
    <row r="34" spans="1:11">
      <c r="A34" s="463"/>
      <c r="B34" s="576"/>
      <c r="C34" s="577"/>
      <c r="D34" s="578"/>
      <c r="E34" s="578"/>
      <c r="F34" s="579"/>
      <c r="G34" s="502"/>
      <c r="H34" s="502"/>
      <c r="I34" s="575"/>
      <c r="J34" s="505"/>
      <c r="K34" s="471"/>
    </row>
    <row r="35" spans="1:11">
      <c r="A35" s="463"/>
      <c r="B35" s="1496" t="s">
        <v>175</v>
      </c>
      <c r="C35" s="1496"/>
      <c r="D35" s="1496"/>
      <c r="E35" s="1496"/>
      <c r="F35" s="1496"/>
      <c r="G35" s="1496"/>
      <c r="H35" s="1496"/>
      <c r="I35" s="1496"/>
      <c r="J35" s="514">
        <f>SUM(J33:J34)</f>
        <v>0</v>
      </c>
      <c r="K35" s="471"/>
    </row>
    <row r="36" spans="1:11">
      <c r="A36" s="463"/>
      <c r="B36" s="580"/>
      <c r="C36" s="524"/>
      <c r="D36" s="524"/>
      <c r="E36" s="581"/>
      <c r="F36" s="582"/>
      <c r="G36" s="583"/>
      <c r="H36" s="583"/>
      <c r="I36" s="584"/>
      <c r="J36" s="585"/>
      <c r="K36" s="471"/>
    </row>
    <row r="37" spans="1:11">
      <c r="A37" s="463"/>
      <c r="B37" s="586" t="s">
        <v>957</v>
      </c>
      <c r="C37" s="586"/>
      <c r="D37" s="563"/>
      <c r="E37" s="536"/>
      <c r="F37" s="536"/>
      <c r="G37" s="536"/>
      <c r="H37" s="587"/>
      <c r="I37" s="588"/>
      <c r="J37" s="514">
        <f>(J23+J30+J35)/E23</f>
        <v>0</v>
      </c>
      <c r="K37" s="471"/>
    </row>
    <row r="38" spans="1:11">
      <c r="A38" s="463"/>
      <c r="B38" s="566"/>
      <c r="C38" s="539"/>
      <c r="D38" s="539"/>
      <c r="E38" s="567"/>
      <c r="F38" s="568"/>
      <c r="G38" s="519"/>
      <c r="H38" s="519"/>
      <c r="I38" s="542"/>
      <c r="J38" s="589"/>
      <c r="K38" s="471"/>
    </row>
    <row r="39" spans="1:11" ht="20.399999999999999">
      <c r="A39" s="463"/>
      <c r="B39" s="1493" t="s">
        <v>958</v>
      </c>
      <c r="C39" s="1494"/>
      <c r="D39" s="1494"/>
      <c r="E39" s="1494"/>
      <c r="F39" s="1495"/>
      <c r="G39" s="569" t="s">
        <v>372</v>
      </c>
      <c r="H39" s="519" t="s">
        <v>956</v>
      </c>
      <c r="I39" s="570" t="s">
        <v>942</v>
      </c>
      <c r="J39" s="522" t="s">
        <v>363</v>
      </c>
      <c r="K39" s="471"/>
    </row>
    <row r="40" spans="1:11">
      <c r="A40" s="463"/>
      <c r="B40" s="571" t="s">
        <v>1050</v>
      </c>
      <c r="C40" s="572"/>
      <c r="D40" s="573"/>
      <c r="E40" s="573"/>
      <c r="F40" s="574"/>
      <c r="G40" s="502">
        <v>0.93200000000000005</v>
      </c>
      <c r="H40" s="502" t="s">
        <v>973</v>
      </c>
      <c r="I40" s="575" t="e">
        <f>CONCRETO!J56</f>
        <v>#N/A</v>
      </c>
      <c r="J40" s="505" t="e">
        <f>G40*I40</f>
        <v>#N/A</v>
      </c>
      <c r="K40" s="471"/>
    </row>
    <row r="41" spans="1:11">
      <c r="A41" s="463"/>
      <c r="B41" s="576" t="s">
        <v>1051</v>
      </c>
      <c r="C41" s="577"/>
      <c r="D41" s="578"/>
      <c r="E41" s="578"/>
      <c r="F41" s="579"/>
      <c r="G41" s="502">
        <v>4.17</v>
      </c>
      <c r="H41" s="502" t="s">
        <v>904</v>
      </c>
      <c r="I41" s="575"/>
      <c r="J41" s="505">
        <f>G41*I41</f>
        <v>0</v>
      </c>
      <c r="K41" s="471"/>
    </row>
    <row r="42" spans="1:11">
      <c r="A42" s="463"/>
      <c r="B42" s="576"/>
      <c r="C42" s="577"/>
      <c r="D42" s="578"/>
      <c r="E42" s="578"/>
      <c r="F42" s="579"/>
      <c r="G42" s="502"/>
      <c r="H42" s="502"/>
      <c r="I42" s="575"/>
      <c r="J42" s="505">
        <f>G42*I42</f>
        <v>0</v>
      </c>
      <c r="K42" s="471"/>
    </row>
    <row r="43" spans="1:11">
      <c r="A43" s="463"/>
      <c r="B43" s="590"/>
      <c r="C43" s="591"/>
      <c r="D43" s="592"/>
      <c r="E43" s="592"/>
      <c r="F43" s="593"/>
      <c r="G43" s="502"/>
      <c r="H43" s="502"/>
      <c r="I43" s="575"/>
      <c r="J43" s="505">
        <f>G43*I43</f>
        <v>0</v>
      </c>
      <c r="K43" s="471"/>
    </row>
    <row r="44" spans="1:11">
      <c r="A44" s="463"/>
      <c r="B44" s="594"/>
      <c r="C44" s="536"/>
      <c r="D44" s="536"/>
      <c r="E44" s="595"/>
      <c r="F44" s="596"/>
      <c r="G44" s="545"/>
      <c r="H44" s="545"/>
      <c r="I44" s="537" t="s">
        <v>175</v>
      </c>
      <c r="J44" s="514" t="e">
        <f>SUM(J40:J43)</f>
        <v>#N/A</v>
      </c>
      <c r="K44" s="471"/>
    </row>
    <row r="45" spans="1:11">
      <c r="A45" s="463"/>
      <c r="B45" s="597"/>
      <c r="C45" s="536"/>
      <c r="D45" s="536"/>
      <c r="E45" s="595"/>
      <c r="F45" s="596"/>
      <c r="G45" s="545"/>
      <c r="H45" s="545"/>
      <c r="I45" s="537"/>
      <c r="J45" s="595"/>
      <c r="K45" s="471"/>
    </row>
    <row r="46" spans="1:11" ht="20.399999999999999">
      <c r="A46" s="463"/>
      <c r="B46" s="1493" t="s">
        <v>959</v>
      </c>
      <c r="C46" s="1494"/>
      <c r="D46" s="1494"/>
      <c r="E46" s="1494"/>
      <c r="F46" s="1495"/>
      <c r="G46" s="600" t="s">
        <v>372</v>
      </c>
      <c r="H46" s="1493" t="s">
        <v>942</v>
      </c>
      <c r="I46" s="1495"/>
      <c r="J46" s="522" t="s">
        <v>363</v>
      </c>
      <c r="K46" s="471"/>
    </row>
    <row r="47" spans="1:11">
      <c r="A47" s="463"/>
      <c r="B47" s="1734"/>
      <c r="C47" s="1735"/>
      <c r="D47" s="1735"/>
      <c r="E47" s="1735"/>
      <c r="F47" s="1736"/>
      <c r="G47" s="502"/>
      <c r="H47" s="1737"/>
      <c r="I47" s="1738"/>
      <c r="J47" s="505"/>
      <c r="K47" s="471"/>
    </row>
    <row r="48" spans="1:11">
      <c r="A48" s="463"/>
      <c r="B48" s="1739"/>
      <c r="C48" s="1740"/>
      <c r="D48" s="1740"/>
      <c r="E48" s="1740"/>
      <c r="F48" s="1741"/>
      <c r="G48" s="509"/>
      <c r="H48" s="1742"/>
      <c r="I48" s="1743"/>
      <c r="J48" s="505"/>
      <c r="K48" s="471"/>
    </row>
    <row r="49" spans="1:11">
      <c r="A49" s="463"/>
      <c r="B49" s="594"/>
      <c r="C49" s="536"/>
      <c r="D49" s="536"/>
      <c r="E49" s="595"/>
      <c r="F49" s="596"/>
      <c r="G49" s="545"/>
      <c r="H49" s="545"/>
      <c r="I49" s="537" t="s">
        <v>175</v>
      </c>
      <c r="J49" s="514">
        <f>SUM(J47:J48)</f>
        <v>0</v>
      </c>
      <c r="K49" s="471"/>
    </row>
    <row r="50" spans="1:11">
      <c r="A50" s="463"/>
      <c r="B50" s="536"/>
      <c r="C50" s="536"/>
      <c r="D50" s="536"/>
      <c r="E50" s="536"/>
      <c r="F50" s="536"/>
      <c r="G50" s="536"/>
      <c r="H50" s="536"/>
      <c r="I50" s="537"/>
      <c r="J50" s="536"/>
      <c r="K50" s="471"/>
    </row>
    <row r="51" spans="1:11">
      <c r="A51" s="463"/>
      <c r="B51" s="1481" t="s">
        <v>961</v>
      </c>
      <c r="C51" s="1482"/>
      <c r="D51" s="1482"/>
      <c r="E51" s="1482"/>
      <c r="F51" s="1482"/>
      <c r="G51" s="1482"/>
      <c r="H51" s="1482"/>
      <c r="I51" s="1483"/>
      <c r="J51" s="586" t="e">
        <f>J49+J44+J37</f>
        <v>#N/A</v>
      </c>
      <c r="K51" s="471"/>
    </row>
    <row r="52" spans="1:11">
      <c r="A52" s="463"/>
      <c r="B52" s="536"/>
      <c r="C52" s="536"/>
      <c r="D52" s="536"/>
      <c r="E52" s="536"/>
      <c r="F52" s="536"/>
      <c r="G52" s="536"/>
      <c r="H52" s="536"/>
      <c r="I52" s="537"/>
      <c r="J52" s="536"/>
      <c r="K52" s="471"/>
    </row>
    <row r="53" spans="1:11">
      <c r="A53" s="463"/>
      <c r="B53" s="1481" t="s">
        <v>962</v>
      </c>
      <c r="C53" s="1482"/>
      <c r="D53" s="1482"/>
      <c r="E53" s="1482"/>
      <c r="F53" s="1482"/>
      <c r="G53" s="1482"/>
      <c r="H53" s="1482"/>
      <c r="I53" s="1483"/>
      <c r="J53" s="514" t="e">
        <f>J51*0</f>
        <v>#N/A</v>
      </c>
      <c r="K53" s="471"/>
    </row>
    <row r="54" spans="1:11">
      <c r="A54" s="463"/>
      <c r="B54" s="536"/>
      <c r="C54" s="536"/>
      <c r="D54" s="536"/>
      <c r="E54" s="536"/>
      <c r="F54" s="536"/>
      <c r="G54" s="536"/>
      <c r="H54" s="536"/>
      <c r="I54" s="537"/>
      <c r="J54" s="536"/>
      <c r="K54" s="471"/>
    </row>
    <row r="55" spans="1:11">
      <c r="A55" s="463"/>
      <c r="B55" s="1481" t="s">
        <v>963</v>
      </c>
      <c r="C55" s="1482"/>
      <c r="D55" s="1482"/>
      <c r="E55" s="1482"/>
      <c r="F55" s="1482"/>
      <c r="G55" s="1482"/>
      <c r="H55" s="1482"/>
      <c r="I55" s="1483"/>
      <c r="J55" s="586" t="e">
        <f>J51+J53</f>
        <v>#N/A</v>
      </c>
      <c r="K55" s="471"/>
    </row>
    <row r="56" spans="1:11">
      <c r="A56" s="463"/>
      <c r="B56" s="524"/>
      <c r="C56" s="524"/>
      <c r="D56" s="524"/>
      <c r="E56" s="524"/>
      <c r="F56" s="524"/>
      <c r="G56" s="524"/>
      <c r="H56" s="524"/>
      <c r="I56" s="584"/>
      <c r="J56" s="524"/>
      <c r="K56" s="471"/>
    </row>
    <row r="57" spans="1:11">
      <c r="A57" s="463"/>
      <c r="B57" s="602"/>
      <c r="C57" s="572"/>
      <c r="D57" s="572"/>
      <c r="E57" s="572"/>
      <c r="F57" s="572"/>
      <c r="G57" s="572"/>
      <c r="H57" s="572"/>
      <c r="I57" s="572"/>
      <c r="J57" s="603"/>
      <c r="K57" s="471"/>
    </row>
    <row r="58" spans="1:11">
      <c r="A58" s="463"/>
      <c r="B58" s="604"/>
      <c r="C58" s="605"/>
      <c r="D58" s="606"/>
      <c r="E58" s="606"/>
      <c r="F58" s="607" t="s">
        <v>946</v>
      </c>
      <c r="G58" s="608" t="s">
        <v>946</v>
      </c>
      <c r="H58" s="605"/>
      <c r="I58" s="605"/>
      <c r="J58" s="609"/>
      <c r="K58" s="471"/>
    </row>
    <row r="59" spans="1:11">
      <c r="A59" s="463"/>
      <c r="B59" s="472"/>
      <c r="C59" s="472"/>
      <c r="D59" s="472"/>
      <c r="E59" s="472"/>
      <c r="F59" s="472"/>
      <c r="G59" s="472"/>
      <c r="H59" s="472"/>
      <c r="I59" s="472"/>
      <c r="J59" s="472"/>
      <c r="K59" s="471"/>
    </row>
    <row r="60" spans="1:11">
      <c r="A60" s="463"/>
      <c r="B60" s="610" t="str">
        <f>PLANEJAMENTO!$F$2</f>
        <v>OPERAÇÃO DE SUPRESSÃO E SUMP</v>
      </c>
      <c r="C60" s="611"/>
      <c r="D60" s="611"/>
      <c r="E60" s="611"/>
      <c r="F60" s="612"/>
      <c r="G60" s="613" t="s">
        <v>363</v>
      </c>
      <c r="H60" s="515"/>
      <c r="I60" s="515"/>
      <c r="J60" s="518"/>
      <c r="K60" s="471"/>
    </row>
    <row r="61" spans="1:11">
      <c r="A61" s="463"/>
      <c r="B61" s="614" t="str">
        <f>PLANEJAMENTO!$F$3</f>
        <v>MARA ROSA</v>
      </c>
      <c r="C61" s="615"/>
      <c r="D61" s="615"/>
      <c r="E61" s="615"/>
      <c r="F61" s="616"/>
      <c r="G61" s="1484" t="s">
        <v>964</v>
      </c>
      <c r="H61" s="1485"/>
      <c r="I61" s="1485"/>
      <c r="J61" s="1486"/>
      <c r="K61" s="471"/>
    </row>
    <row r="62" spans="1:11">
      <c r="A62" s="463"/>
      <c r="B62" s="617"/>
      <c r="C62" s="618"/>
      <c r="D62" s="618"/>
      <c r="E62" s="618"/>
      <c r="F62" s="619"/>
      <c r="G62" s="620"/>
      <c r="H62" s="1487"/>
      <c r="I62" s="1488"/>
      <c r="J62" s="1489"/>
      <c r="K62" s="471"/>
    </row>
    <row r="63" spans="1:11" ht="15" thickBot="1">
      <c r="A63" s="621"/>
      <c r="B63" s="622"/>
      <c r="C63" s="622"/>
      <c r="D63" s="622"/>
      <c r="E63" s="622"/>
      <c r="F63" s="622"/>
      <c r="G63" s="622"/>
      <c r="H63" s="622"/>
      <c r="I63" s="622"/>
      <c r="J63" s="622"/>
      <c r="K63" s="623"/>
    </row>
    <row r="64" spans="1:11">
      <c r="A64" s="460"/>
      <c r="B64" s="461"/>
      <c r="C64" s="461"/>
      <c r="D64" s="461"/>
      <c r="E64" s="461"/>
      <c r="F64" s="461"/>
      <c r="G64" s="461"/>
      <c r="H64" s="461"/>
      <c r="I64" s="461"/>
      <c r="J64" s="461"/>
      <c r="K64" s="462"/>
    </row>
    <row r="65" spans="1:11">
      <c r="A65" s="463"/>
      <c r="B65" s="464" t="s">
        <v>178</v>
      </c>
      <c r="C65" s="465"/>
      <c r="D65" s="466" t="s">
        <v>936</v>
      </c>
      <c r="E65" s="467"/>
      <c r="F65" s="468"/>
      <c r="G65" s="468"/>
      <c r="H65" s="469"/>
      <c r="I65" s="469"/>
      <c r="J65" s="470"/>
      <c r="K65" s="471"/>
    </row>
    <row r="66" spans="1:11">
      <c r="A66" s="463"/>
      <c r="B66" s="472"/>
      <c r="C66" s="472"/>
      <c r="D66" s="472"/>
      <c r="E66" s="472"/>
      <c r="F66" s="472"/>
      <c r="G66" s="472"/>
      <c r="H66" s="472"/>
      <c r="I66" s="472"/>
      <c r="J66" s="472"/>
      <c r="K66" s="471"/>
    </row>
    <row r="67" spans="1:11">
      <c r="A67" s="463"/>
      <c r="B67" s="473" t="s">
        <v>688</v>
      </c>
      <c r="C67" s="474" t="s">
        <v>937</v>
      </c>
      <c r="D67" s="1497" t="s">
        <v>250</v>
      </c>
      <c r="E67" s="1498"/>
      <c r="F67" s="1498"/>
      <c r="G67" s="1498"/>
      <c r="H67" s="1498"/>
      <c r="I67" s="1499"/>
      <c r="J67" s="475" t="s">
        <v>267</v>
      </c>
      <c r="K67" s="471"/>
    </row>
    <row r="68" spans="1:11">
      <c r="A68" s="463"/>
      <c r="B68" s="476" t="s">
        <v>3</v>
      </c>
      <c r="C68" s="477">
        <f ca="1">PLANEJAMENTO!$F$4</f>
        <v>46140</v>
      </c>
      <c r="D68" s="1721" t="s">
        <v>1052</v>
      </c>
      <c r="E68" s="1722"/>
      <c r="F68" s="1722"/>
      <c r="G68" s="1722"/>
      <c r="H68" s="1722"/>
      <c r="I68" s="1723"/>
      <c r="J68" s="481" t="str">
        <f>F90</f>
        <v>unid</v>
      </c>
      <c r="K68" s="471"/>
    </row>
    <row r="69" spans="1:11" ht="13.5" customHeight="1">
      <c r="A69" s="463"/>
      <c r="B69" s="482"/>
      <c r="C69" s="482"/>
      <c r="D69" s="482"/>
      <c r="E69" s="482"/>
      <c r="F69" s="482"/>
      <c r="G69" s="482"/>
      <c r="H69" s="482"/>
      <c r="I69" s="483"/>
      <c r="J69" s="484"/>
      <c r="K69" s="471"/>
    </row>
    <row r="70" spans="1:11">
      <c r="A70" s="463"/>
      <c r="B70" s="1484" t="s">
        <v>938</v>
      </c>
      <c r="C70" s="1486"/>
      <c r="D70" s="1502" t="s">
        <v>688</v>
      </c>
      <c r="E70" s="1504" t="s">
        <v>939</v>
      </c>
      <c r="F70" s="485" t="s">
        <v>940</v>
      </c>
      <c r="G70" s="486"/>
      <c r="H70" s="485" t="s">
        <v>941</v>
      </c>
      <c r="I70" s="486"/>
      <c r="J70" s="487" t="s">
        <v>942</v>
      </c>
      <c r="K70" s="471"/>
    </row>
    <row r="71" spans="1:11">
      <c r="A71" s="463"/>
      <c r="B71" s="1500"/>
      <c r="C71" s="1501"/>
      <c r="D71" s="1503"/>
      <c r="E71" s="1505"/>
      <c r="F71" s="488" t="s">
        <v>943</v>
      </c>
      <c r="G71" s="488" t="s">
        <v>944</v>
      </c>
      <c r="H71" s="488" t="s">
        <v>943</v>
      </c>
      <c r="I71" s="489" t="s">
        <v>944</v>
      </c>
      <c r="J71" s="490" t="s">
        <v>945</v>
      </c>
      <c r="K71" s="471"/>
    </row>
    <row r="72" spans="1:11">
      <c r="A72" s="463"/>
      <c r="B72" s="499" t="s">
        <v>651</v>
      </c>
      <c r="C72" s="500"/>
      <c r="D72" s="501"/>
      <c r="E72" s="502">
        <v>0.5</v>
      </c>
      <c r="F72" s="502">
        <v>1</v>
      </c>
      <c r="G72" s="502">
        <f>1-F72</f>
        <v>0</v>
      </c>
      <c r="H72" s="503">
        <f>VLOOKUP(B72,EQUIPAMENTOS!$A:$J,10,FALSE)</f>
        <v>63.777777777777779</v>
      </c>
      <c r="I72" s="504">
        <f>H72</f>
        <v>63.777777777777779</v>
      </c>
      <c r="J72" s="505">
        <f>H72*F72*E72+I72*G72*E72</f>
        <v>31.888888888888889</v>
      </c>
      <c r="K72" s="471"/>
    </row>
    <row r="73" spans="1:11">
      <c r="A73" s="463"/>
      <c r="B73" s="499"/>
      <c r="C73" s="500"/>
      <c r="D73" s="501"/>
      <c r="E73" s="502"/>
      <c r="F73" s="502"/>
      <c r="G73" s="502"/>
      <c r="H73" s="503"/>
      <c r="I73" s="504"/>
      <c r="J73" s="505"/>
      <c r="K73" s="471"/>
    </row>
    <row r="74" spans="1:11">
      <c r="A74" s="463"/>
      <c r="B74" s="499"/>
      <c r="C74" s="500"/>
      <c r="D74" s="501"/>
      <c r="E74" s="502"/>
      <c r="F74" s="502"/>
      <c r="G74" s="502"/>
      <c r="H74" s="503"/>
      <c r="I74" s="504"/>
      <c r="J74" s="505">
        <f>H74*F74*E74+I74*G74*E74</f>
        <v>0</v>
      </c>
      <c r="K74" s="471"/>
    </row>
    <row r="75" spans="1:11">
      <c r="A75" s="463"/>
      <c r="B75" s="499"/>
      <c r="C75" s="500"/>
      <c r="D75" s="501"/>
      <c r="E75" s="502"/>
      <c r="F75" s="502"/>
      <c r="G75" s="502"/>
      <c r="H75" s="503"/>
      <c r="I75" s="504"/>
      <c r="J75" s="505">
        <f>H75*F75*E75+I75*G75*E75</f>
        <v>0</v>
      </c>
      <c r="K75" s="471"/>
    </row>
    <row r="76" spans="1:11">
      <c r="A76" s="463"/>
      <c r="B76" s="506"/>
      <c r="C76" s="507"/>
      <c r="D76" s="508"/>
      <c r="E76" s="509"/>
      <c r="F76" s="509"/>
      <c r="G76" s="509"/>
      <c r="H76" s="510"/>
      <c r="I76" s="511"/>
      <c r="J76" s="505">
        <f>H76*F76*E76+I76*G76*E76</f>
        <v>0</v>
      </c>
      <c r="K76" s="471"/>
    </row>
    <row r="77" spans="1:11">
      <c r="A77" s="463"/>
      <c r="B77" s="512" t="s">
        <v>946</v>
      </c>
      <c r="C77" s="482"/>
      <c r="D77" s="482"/>
      <c r="E77" s="482"/>
      <c r="F77" s="482"/>
      <c r="G77" s="482"/>
      <c r="H77" s="482"/>
      <c r="I77" s="513" t="s">
        <v>175</v>
      </c>
      <c r="J77" s="514">
        <f>SUM(J72:J76)</f>
        <v>31.888888888888889</v>
      </c>
      <c r="K77" s="471"/>
    </row>
    <row r="78" spans="1:11">
      <c r="A78" s="463"/>
      <c r="B78" s="515"/>
      <c r="C78" s="515"/>
      <c r="D78" s="515"/>
      <c r="E78" s="515"/>
      <c r="F78" s="515"/>
      <c r="G78" s="515"/>
      <c r="H78" s="515"/>
      <c r="I78" s="516"/>
      <c r="J78" s="517"/>
      <c r="K78" s="471"/>
    </row>
    <row r="79" spans="1:11" ht="20.399999999999999">
      <c r="A79" s="463"/>
      <c r="B79" s="1490" t="s">
        <v>947</v>
      </c>
      <c r="C79" s="1491"/>
      <c r="D79" s="1491"/>
      <c r="E79" s="1492"/>
      <c r="F79" s="518" t="s">
        <v>688</v>
      </c>
      <c r="G79" s="519"/>
      <c r="H79" s="520" t="s">
        <v>427</v>
      </c>
      <c r="I79" s="521" t="s">
        <v>948</v>
      </c>
      <c r="J79" s="522" t="s">
        <v>949</v>
      </c>
      <c r="K79" s="471"/>
    </row>
    <row r="80" spans="1:11">
      <c r="A80" s="463"/>
      <c r="B80" s="523" t="s">
        <v>980</v>
      </c>
      <c r="C80" s="524"/>
      <c r="D80" s="525"/>
      <c r="E80" s="526"/>
      <c r="F80" s="527"/>
      <c r="G80" s="528"/>
      <c r="H80" s="529"/>
      <c r="I80" s="497"/>
      <c r="J80" s="498" t="e">
        <f>SUM(J81:J85)*0.05</f>
        <v>#N/A</v>
      </c>
      <c r="K80" s="471"/>
    </row>
    <row r="81" spans="1:11">
      <c r="A81" s="463"/>
      <c r="B81" s="530" t="s">
        <v>1053</v>
      </c>
      <c r="C81" s="531"/>
      <c r="D81" s="472"/>
      <c r="E81" s="500"/>
      <c r="F81" s="501"/>
      <c r="G81" s="532"/>
      <c r="H81" s="533">
        <f>E72</f>
        <v>0.5</v>
      </c>
      <c r="I81" s="534">
        <f>VLOOKUP(B81,'MÃO DE OBRA'!$A:$E,5,FALSE)/220</f>
        <v>26.3474</v>
      </c>
      <c r="J81" s="505">
        <f>H81*I81</f>
        <v>13.1737</v>
      </c>
      <c r="K81" s="471"/>
    </row>
    <row r="82" spans="1:11" hidden="1">
      <c r="A82" s="463"/>
      <c r="B82" s="530" t="s">
        <v>481</v>
      </c>
      <c r="C82" s="531"/>
      <c r="D82" s="472"/>
      <c r="E82" s="500"/>
      <c r="F82" s="501"/>
      <c r="G82" s="532"/>
      <c r="H82" s="533"/>
      <c r="I82" s="534">
        <f>VLOOKUP(B82,'MÃO DE OBRA'!$A:$E,5,FALSE)/220</f>
        <v>21.588799999999999</v>
      </c>
      <c r="J82" s="505">
        <f>H82*I82</f>
        <v>0</v>
      </c>
      <c r="K82" s="471"/>
    </row>
    <row r="83" spans="1:11">
      <c r="A83" s="463"/>
      <c r="B83" s="530" t="s">
        <v>578</v>
      </c>
      <c r="C83" s="531"/>
      <c r="D83" s="472"/>
      <c r="E83" s="500"/>
      <c r="F83" s="501"/>
      <c r="G83" s="532"/>
      <c r="H83" s="533">
        <v>1</v>
      </c>
      <c r="I83" s="534" t="e">
        <f>VLOOKUP(B83,'MÃO DE OBRA'!$A:$E,5,FALSE)/220</f>
        <v>#N/A</v>
      </c>
      <c r="J83" s="505" t="e">
        <f>H83*I83</f>
        <v>#N/A</v>
      </c>
      <c r="K83" s="471"/>
    </row>
    <row r="84" spans="1:11">
      <c r="A84" s="463"/>
      <c r="B84" s="530" t="s">
        <v>472</v>
      </c>
      <c r="C84" s="531"/>
      <c r="D84" s="472"/>
      <c r="E84" s="500"/>
      <c r="F84" s="501"/>
      <c r="G84" s="532"/>
      <c r="H84" s="533">
        <v>1</v>
      </c>
      <c r="I84" s="534">
        <f>VLOOKUP(B84,'MÃO DE OBRA'!$A:$E,5,FALSE)/220</f>
        <v>18.377072727272729</v>
      </c>
      <c r="J84" s="505">
        <f>H84*I84</f>
        <v>18.377072727272729</v>
      </c>
      <c r="K84" s="471"/>
    </row>
    <row r="85" spans="1:11" hidden="1">
      <c r="A85" s="463"/>
      <c r="B85" s="530" t="s">
        <v>507</v>
      </c>
      <c r="C85" s="531"/>
      <c r="D85" s="472"/>
      <c r="E85" s="500"/>
      <c r="F85" s="501"/>
      <c r="G85" s="532"/>
      <c r="H85" s="533"/>
      <c r="I85" s="534">
        <f>VLOOKUP(B85,'MÃO DE OBRA'!$A:$E,5,FALSE)/220</f>
        <v>21.588799999999999</v>
      </c>
      <c r="J85" s="505">
        <f>H85*I85</f>
        <v>0</v>
      </c>
      <c r="K85" s="471"/>
    </row>
    <row r="86" spans="1:11">
      <c r="A86" s="463"/>
      <c r="B86" s="530" t="s">
        <v>981</v>
      </c>
      <c r="C86" s="531"/>
      <c r="D86" s="472"/>
      <c r="E86" s="500"/>
      <c r="F86" s="501"/>
      <c r="G86" s="532"/>
      <c r="H86" s="533"/>
      <c r="I86" s="504"/>
      <c r="J86" s="505">
        <f>(J72)*5%</f>
        <v>1.5944444444444446</v>
      </c>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t="e">
        <f>SUM(J80:J87)</f>
        <v>#N/A</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967</v>
      </c>
      <c r="G90" s="519"/>
      <c r="H90" s="519"/>
      <c r="I90" s="542" t="s">
        <v>953</v>
      </c>
      <c r="J90" s="514" t="e">
        <f>J77+J88</f>
        <v>#N/A</v>
      </c>
      <c r="K90" s="471"/>
    </row>
    <row r="91" spans="1:11">
      <c r="A91" s="463"/>
      <c r="B91" s="543"/>
      <c r="C91" s="536"/>
      <c r="D91" s="536"/>
      <c r="E91" s="544"/>
      <c r="F91" s="545"/>
      <c r="G91" s="545"/>
      <c r="H91" s="545"/>
      <c r="I91" s="537"/>
      <c r="J91" s="536"/>
      <c r="K91" s="471"/>
    </row>
    <row r="92" spans="1:11" ht="20.399999999999999">
      <c r="A92" s="463"/>
      <c r="B92" s="1493" t="s">
        <v>362</v>
      </c>
      <c r="C92" s="1494"/>
      <c r="D92" s="1494"/>
      <c r="E92" s="1495"/>
      <c r="F92" s="546" t="s">
        <v>688</v>
      </c>
      <c r="G92" s="547" t="s">
        <v>371</v>
      </c>
      <c r="H92" s="520" t="s">
        <v>942</v>
      </c>
      <c r="I92" s="548" t="s">
        <v>361</v>
      </c>
      <c r="J92" s="549" t="s">
        <v>363</v>
      </c>
      <c r="K92" s="471"/>
    </row>
    <row r="93" spans="1:11">
      <c r="A93" s="463"/>
      <c r="B93" s="550" t="str">
        <f>B72</f>
        <v>Retroescavadeira</v>
      </c>
      <c r="C93" s="531"/>
      <c r="D93" s="531"/>
      <c r="E93" s="500"/>
      <c r="F93" s="553" t="str">
        <f>VLOOKUP(B93,EQUIPAMENTOS!$A:$N,12,FALSE)</f>
        <v>Diesel S10</v>
      </c>
      <c r="G93" s="554" t="s">
        <v>415</v>
      </c>
      <c r="H93" s="560">
        <f>VLOOKUP(B93,EQUIPAMENTOS!$A:$N,13,FALSE)</f>
        <v>0</v>
      </c>
      <c r="I93" s="556">
        <f>VLOOKUP(B93,EQUIPAMENTOS!$A:$N,14,FALSE)</f>
        <v>16</v>
      </c>
      <c r="J93" s="505">
        <f>H93*I93*E72*F72</f>
        <v>0</v>
      </c>
      <c r="K93" s="471"/>
    </row>
    <row r="94" spans="1:11">
      <c r="A94" s="463"/>
      <c r="B94" s="550"/>
      <c r="C94" s="531"/>
      <c r="D94" s="531"/>
      <c r="E94" s="500"/>
      <c r="F94" s="553"/>
      <c r="G94" s="554"/>
      <c r="H94" s="560"/>
      <c r="I94" s="556"/>
      <c r="J94" s="505"/>
      <c r="K94" s="471"/>
    </row>
    <row r="95" spans="1:11">
      <c r="A95" s="463"/>
      <c r="B95" s="530"/>
      <c r="C95" s="531"/>
      <c r="D95" s="531"/>
      <c r="E95" s="500"/>
      <c r="F95" s="501"/>
      <c r="G95" s="559"/>
      <c r="H95" s="560"/>
      <c r="I95" s="556"/>
      <c r="J95" s="505">
        <f>H95*I95*E74*F74</f>
        <v>0</v>
      </c>
      <c r="K95" s="471"/>
    </row>
    <row r="96" spans="1:11">
      <c r="A96" s="463"/>
      <c r="B96" s="530"/>
      <c r="C96" s="539"/>
      <c r="D96" s="539"/>
      <c r="E96" s="507"/>
      <c r="F96" s="501"/>
      <c r="G96" s="481"/>
      <c r="H96" s="560"/>
      <c r="I96" s="561"/>
      <c r="J96" s="505">
        <f>H96*I96*E75*F75</f>
        <v>0</v>
      </c>
      <c r="K96" s="471"/>
    </row>
    <row r="97" spans="1:11">
      <c r="A97" s="463"/>
      <c r="B97" s="563" t="s">
        <v>946</v>
      </c>
      <c r="C97" s="539"/>
      <c r="D97" s="539"/>
      <c r="E97" s="539"/>
      <c r="F97" s="536"/>
      <c r="G97" s="539"/>
      <c r="H97" s="564"/>
      <c r="I97" s="565" t="s">
        <v>175</v>
      </c>
      <c r="J97" s="514">
        <f>SUM(J93:J96)</f>
        <v>0</v>
      </c>
      <c r="K97" s="471"/>
    </row>
    <row r="98" spans="1:11">
      <c r="A98" s="463"/>
      <c r="B98" s="566"/>
      <c r="C98" s="539"/>
      <c r="D98" s="539"/>
      <c r="E98" s="567"/>
      <c r="F98" s="568"/>
      <c r="G98" s="519"/>
      <c r="H98" s="519"/>
      <c r="I98" s="542"/>
      <c r="J98" s="567"/>
      <c r="K98" s="471"/>
    </row>
    <row r="99" spans="1:11" ht="20.399999999999999">
      <c r="A99" s="463"/>
      <c r="B99" s="1493" t="s">
        <v>955</v>
      </c>
      <c r="C99" s="1494"/>
      <c r="D99" s="1494"/>
      <c r="E99" s="1494"/>
      <c r="F99" s="1495"/>
      <c r="G99" s="569" t="s">
        <v>372</v>
      </c>
      <c r="H99" s="519" t="s">
        <v>956</v>
      </c>
      <c r="I99" s="570" t="s">
        <v>942</v>
      </c>
      <c r="J99" s="522" t="s">
        <v>363</v>
      </c>
      <c r="K99" s="471"/>
    </row>
    <row r="100" spans="1:11">
      <c r="A100" s="463"/>
      <c r="B100" s="571"/>
      <c r="C100" s="572"/>
      <c r="D100" s="573"/>
      <c r="E100" s="573"/>
      <c r="F100" s="574"/>
      <c r="G100" s="502"/>
      <c r="H100" s="502"/>
      <c r="I100" s="575"/>
      <c r="J100" s="505"/>
      <c r="K100" s="471"/>
    </row>
    <row r="101" spans="1:11">
      <c r="A101" s="463"/>
      <c r="B101" s="576"/>
      <c r="C101" s="577"/>
      <c r="D101" s="578"/>
      <c r="E101" s="578"/>
      <c r="F101" s="579"/>
      <c r="G101" s="502"/>
      <c r="H101" s="502"/>
      <c r="I101" s="575"/>
      <c r="J101" s="505"/>
      <c r="K101" s="471"/>
    </row>
    <row r="102" spans="1:11">
      <c r="A102" s="463"/>
      <c r="B102" s="1496" t="s">
        <v>175</v>
      </c>
      <c r="C102" s="1496"/>
      <c r="D102" s="1496"/>
      <c r="E102" s="1496"/>
      <c r="F102" s="1496"/>
      <c r="G102" s="1496"/>
      <c r="H102" s="1496"/>
      <c r="I102" s="1496"/>
      <c r="J102" s="514">
        <f>SUM(J100:J101)</f>
        <v>0</v>
      </c>
      <c r="K102" s="471"/>
    </row>
    <row r="103" spans="1:11">
      <c r="A103" s="463"/>
      <c r="B103" s="580"/>
      <c r="C103" s="524"/>
      <c r="D103" s="524"/>
      <c r="E103" s="581"/>
      <c r="F103" s="582"/>
      <c r="G103" s="583"/>
      <c r="H103" s="583"/>
      <c r="I103" s="584"/>
      <c r="J103" s="585"/>
      <c r="K103" s="471"/>
    </row>
    <row r="104" spans="1:11">
      <c r="A104" s="463"/>
      <c r="B104" s="586" t="s">
        <v>957</v>
      </c>
      <c r="C104" s="586"/>
      <c r="D104" s="563"/>
      <c r="E104" s="536"/>
      <c r="F104" s="536"/>
      <c r="G104" s="536"/>
      <c r="H104" s="587"/>
      <c r="I104" s="588"/>
      <c r="J104" s="514" t="e">
        <f>(J90+J97+J102)/E90</f>
        <v>#N/A</v>
      </c>
      <c r="K104" s="471"/>
    </row>
    <row r="105" spans="1:11">
      <c r="A105" s="463"/>
      <c r="B105" s="566"/>
      <c r="C105" s="539"/>
      <c r="D105" s="539"/>
      <c r="E105" s="567"/>
      <c r="F105" s="568"/>
      <c r="G105" s="519"/>
      <c r="H105" s="519"/>
      <c r="I105" s="542"/>
      <c r="J105" s="589"/>
      <c r="K105" s="471"/>
    </row>
    <row r="106" spans="1:11" ht="20.399999999999999">
      <c r="A106" s="463"/>
      <c r="B106" s="1493" t="s">
        <v>958</v>
      </c>
      <c r="C106" s="1494"/>
      <c r="D106" s="1494"/>
      <c r="E106" s="1494"/>
      <c r="F106" s="1495"/>
      <c r="G106" s="569" t="s">
        <v>372</v>
      </c>
      <c r="H106" s="519" t="s">
        <v>956</v>
      </c>
      <c r="I106" s="570" t="s">
        <v>942</v>
      </c>
      <c r="J106" s="522" t="s">
        <v>363</v>
      </c>
      <c r="K106" s="471"/>
    </row>
    <row r="107" spans="1:11">
      <c r="A107" s="463"/>
      <c r="B107" s="571"/>
      <c r="C107" s="572"/>
      <c r="D107" s="573"/>
      <c r="E107" s="573"/>
      <c r="F107" s="574"/>
      <c r="G107" s="502"/>
      <c r="H107" s="502"/>
      <c r="I107" s="575"/>
      <c r="J107" s="505">
        <f>G107*I107</f>
        <v>0</v>
      </c>
      <c r="K107" s="471"/>
    </row>
    <row r="108" spans="1:11">
      <c r="A108" s="463"/>
      <c r="B108" s="576"/>
      <c r="C108" s="577"/>
      <c r="D108" s="578"/>
      <c r="E108" s="578"/>
      <c r="F108" s="579"/>
      <c r="G108" s="502"/>
      <c r="H108" s="502"/>
      <c r="I108" s="575"/>
      <c r="J108" s="505">
        <f>G108*I108</f>
        <v>0</v>
      </c>
      <c r="K108" s="471"/>
    </row>
    <row r="109" spans="1:11">
      <c r="A109" s="463"/>
      <c r="B109" s="576"/>
      <c r="C109" s="577"/>
      <c r="D109" s="578"/>
      <c r="E109" s="578"/>
      <c r="F109" s="579"/>
      <c r="G109" s="502"/>
      <c r="H109" s="502"/>
      <c r="I109" s="575"/>
      <c r="J109" s="505">
        <f>G109*I109</f>
        <v>0</v>
      </c>
      <c r="K109" s="471"/>
    </row>
    <row r="110" spans="1:11">
      <c r="A110" s="463"/>
      <c r="B110" s="590"/>
      <c r="C110" s="591"/>
      <c r="D110" s="592"/>
      <c r="E110" s="592"/>
      <c r="F110" s="593"/>
      <c r="G110" s="502"/>
      <c r="H110" s="502"/>
      <c r="I110" s="575"/>
      <c r="J110" s="505">
        <f>G110*I110</f>
        <v>0</v>
      </c>
      <c r="K110" s="471"/>
    </row>
    <row r="111" spans="1:11">
      <c r="A111" s="463"/>
      <c r="B111" s="594"/>
      <c r="C111" s="536"/>
      <c r="D111" s="536"/>
      <c r="E111" s="595"/>
      <c r="F111" s="596"/>
      <c r="G111" s="545"/>
      <c r="H111" s="545"/>
      <c r="I111" s="537" t="s">
        <v>175</v>
      </c>
      <c r="J111" s="514">
        <f>SUM(J107:J110)</f>
        <v>0</v>
      </c>
      <c r="K111" s="471"/>
    </row>
    <row r="112" spans="1:11">
      <c r="A112" s="463"/>
      <c r="B112" s="597"/>
      <c r="C112" s="536"/>
      <c r="D112" s="536"/>
      <c r="E112" s="595"/>
      <c r="F112" s="596"/>
      <c r="G112" s="545"/>
      <c r="H112" s="545"/>
      <c r="I112" s="537"/>
      <c r="J112" s="595"/>
      <c r="K112" s="471"/>
    </row>
    <row r="113" spans="1:11" ht="20.399999999999999">
      <c r="A113" s="463"/>
      <c r="B113" s="1493" t="s">
        <v>959</v>
      </c>
      <c r="C113" s="1494"/>
      <c r="D113" s="1494"/>
      <c r="E113" s="1494"/>
      <c r="F113" s="1495"/>
      <c r="G113" s="600" t="s">
        <v>372</v>
      </c>
      <c r="H113" s="519" t="s">
        <v>942</v>
      </c>
      <c r="I113" s="570"/>
      <c r="J113" s="522" t="s">
        <v>363</v>
      </c>
      <c r="K113" s="471"/>
    </row>
    <row r="114" spans="1:11">
      <c r="A114" s="463"/>
      <c r="B114" s="1734"/>
      <c r="C114" s="1735"/>
      <c r="D114" s="1735"/>
      <c r="E114" s="1735"/>
      <c r="F114" s="1736"/>
      <c r="G114" s="502"/>
      <c r="H114" s="1737"/>
      <c r="I114" s="1738"/>
      <c r="J114" s="505">
        <f>G114*H114</f>
        <v>0</v>
      </c>
      <c r="K114" s="471"/>
    </row>
    <row r="115" spans="1:11">
      <c r="A115" s="463"/>
      <c r="B115" s="1739"/>
      <c r="C115" s="1740"/>
      <c r="D115" s="1740"/>
      <c r="E115" s="1740"/>
      <c r="F115" s="1741"/>
      <c r="G115" s="509"/>
      <c r="H115" s="1742"/>
      <c r="I115" s="1743"/>
      <c r="J115" s="505">
        <f>G115*H115</f>
        <v>0</v>
      </c>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481" t="s">
        <v>961</v>
      </c>
      <c r="C118" s="1482"/>
      <c r="D118" s="1482"/>
      <c r="E118" s="1482"/>
      <c r="F118" s="1482"/>
      <c r="G118" s="1482"/>
      <c r="H118" s="1482"/>
      <c r="I118" s="1483"/>
      <c r="J118" s="586" t="e">
        <f>J116+J111+J104</f>
        <v>#N/A</v>
      </c>
      <c r="K118" s="471"/>
    </row>
    <row r="119" spans="1:11">
      <c r="A119" s="463"/>
      <c r="B119" s="536"/>
      <c r="C119" s="536"/>
      <c r="D119" s="536"/>
      <c r="E119" s="536"/>
      <c r="F119" s="536"/>
      <c r="G119" s="536"/>
      <c r="H119" s="536"/>
      <c r="I119" s="537"/>
      <c r="J119" s="536"/>
      <c r="K119" s="471"/>
    </row>
    <row r="120" spans="1:11">
      <c r="A120" s="463"/>
      <c r="B120" s="1481" t="s">
        <v>962</v>
      </c>
      <c r="C120" s="1482"/>
      <c r="D120" s="1482"/>
      <c r="E120" s="1482"/>
      <c r="F120" s="1482"/>
      <c r="G120" s="1482"/>
      <c r="H120" s="1482"/>
      <c r="I120" s="1483"/>
      <c r="J120" s="514" t="e">
        <f>J118*0</f>
        <v>#N/A</v>
      </c>
      <c r="K120" s="471"/>
    </row>
    <row r="121" spans="1:11">
      <c r="A121" s="463"/>
      <c r="B121" s="536"/>
      <c r="C121" s="536"/>
      <c r="D121" s="536"/>
      <c r="E121" s="536"/>
      <c r="F121" s="536"/>
      <c r="G121" s="536"/>
      <c r="H121" s="536"/>
      <c r="I121" s="537"/>
      <c r="J121" s="536"/>
      <c r="K121" s="471"/>
    </row>
    <row r="122" spans="1:11">
      <c r="A122" s="463"/>
      <c r="B122" s="1481" t="s">
        <v>963</v>
      </c>
      <c r="C122" s="1482"/>
      <c r="D122" s="1482"/>
      <c r="E122" s="1482"/>
      <c r="F122" s="1482"/>
      <c r="G122" s="1482"/>
      <c r="H122" s="1482"/>
      <c r="I122" s="1483"/>
      <c r="J122" s="586" t="e">
        <f>J118+J120</f>
        <v>#N/A</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484" t="s">
        <v>964</v>
      </c>
      <c r="H128" s="1485"/>
      <c r="I128" s="1485"/>
      <c r="J128" s="1486"/>
      <c r="K128" s="471"/>
    </row>
    <row r="129" spans="1:11">
      <c r="A129" s="463"/>
      <c r="B129" s="617"/>
      <c r="C129" s="618"/>
      <c r="D129" s="618"/>
      <c r="E129" s="618"/>
      <c r="F129" s="619"/>
      <c r="G129" s="620"/>
      <c r="H129" s="1487"/>
      <c r="I129" s="1488"/>
      <c r="J129" s="1489"/>
      <c r="K129" s="471"/>
    </row>
    <row r="130" spans="1:11" ht="15" thickBot="1">
      <c r="A130" s="621"/>
      <c r="B130" s="622"/>
      <c r="C130" s="622"/>
      <c r="D130" s="622"/>
      <c r="E130" s="622"/>
      <c r="F130" s="622"/>
      <c r="G130" s="622"/>
      <c r="H130" s="622"/>
      <c r="I130" s="622"/>
      <c r="J130" s="622"/>
      <c r="K130" s="623"/>
    </row>
    <row r="131" spans="1:11">
      <c r="A131" s="460"/>
      <c r="B131" s="461"/>
      <c r="C131" s="461"/>
      <c r="D131" s="461"/>
      <c r="E131" s="461"/>
      <c r="F131" s="461"/>
      <c r="G131" s="461"/>
      <c r="H131" s="461"/>
      <c r="I131" s="461"/>
      <c r="J131" s="461"/>
      <c r="K131" s="462"/>
    </row>
    <row r="132" spans="1:11">
      <c r="A132" s="463"/>
      <c r="B132" s="464" t="s">
        <v>178</v>
      </c>
      <c r="C132" s="465"/>
      <c r="D132" s="466" t="s">
        <v>936</v>
      </c>
      <c r="E132" s="467"/>
      <c r="F132" s="468"/>
      <c r="G132" s="468"/>
      <c r="H132" s="469"/>
      <c r="I132" s="469"/>
      <c r="J132" s="470"/>
      <c r="K132" s="471"/>
    </row>
    <row r="133" spans="1:11">
      <c r="A133" s="463"/>
      <c r="B133" s="472"/>
      <c r="C133" s="472"/>
      <c r="D133" s="472"/>
      <c r="E133" s="472"/>
      <c r="F133" s="472"/>
      <c r="G133" s="472"/>
      <c r="H133" s="472"/>
      <c r="I133" s="472"/>
      <c r="J133" s="472"/>
      <c r="K133" s="471"/>
    </row>
    <row r="134" spans="1:11">
      <c r="A134" s="463"/>
      <c r="B134" s="473" t="s">
        <v>688</v>
      </c>
      <c r="C134" s="474" t="s">
        <v>937</v>
      </c>
      <c r="D134" s="1497" t="s">
        <v>250</v>
      </c>
      <c r="E134" s="1498"/>
      <c r="F134" s="1498"/>
      <c r="G134" s="1498"/>
      <c r="H134" s="1498"/>
      <c r="I134" s="1499"/>
      <c r="J134" s="475" t="s">
        <v>267</v>
      </c>
      <c r="K134" s="471"/>
    </row>
    <row r="135" spans="1:11" ht="21" customHeight="1">
      <c r="A135" s="463"/>
      <c r="B135" s="476" t="s">
        <v>3</v>
      </c>
      <c r="C135" s="477">
        <f ca="1">PLANEJAMENTO!$F$4</f>
        <v>46140</v>
      </c>
      <c r="D135" s="1721" t="s">
        <v>1054</v>
      </c>
      <c r="E135" s="1722"/>
      <c r="F135" s="1722"/>
      <c r="G135" s="1722"/>
      <c r="H135" s="1722"/>
      <c r="I135" s="1723"/>
      <c r="J135" s="481" t="str">
        <f>F157</f>
        <v>unid</v>
      </c>
      <c r="K135" s="471"/>
    </row>
    <row r="136" spans="1:11">
      <c r="A136" s="463"/>
      <c r="B136" s="482"/>
      <c r="C136" s="482"/>
      <c r="D136" s="482"/>
      <c r="E136" s="482"/>
      <c r="F136" s="482"/>
      <c r="G136" s="482"/>
      <c r="H136" s="482"/>
      <c r="I136" s="483"/>
      <c r="J136" s="484"/>
      <c r="K136" s="471"/>
    </row>
    <row r="137" spans="1:11">
      <c r="A137" s="463"/>
      <c r="B137" s="1484" t="s">
        <v>938</v>
      </c>
      <c r="C137" s="1486"/>
      <c r="D137" s="1502" t="s">
        <v>688</v>
      </c>
      <c r="E137" s="1504" t="s">
        <v>939</v>
      </c>
      <c r="F137" s="485" t="s">
        <v>940</v>
      </c>
      <c r="G137" s="486"/>
      <c r="H137" s="485" t="s">
        <v>941</v>
      </c>
      <c r="I137" s="486"/>
      <c r="J137" s="487" t="s">
        <v>942</v>
      </c>
      <c r="K137" s="471"/>
    </row>
    <row r="138" spans="1:11">
      <c r="A138" s="463"/>
      <c r="B138" s="1500"/>
      <c r="C138" s="1501"/>
      <c r="D138" s="1503"/>
      <c r="E138" s="1505"/>
      <c r="F138" s="488" t="s">
        <v>943</v>
      </c>
      <c r="G138" s="488" t="s">
        <v>944</v>
      </c>
      <c r="H138" s="488" t="s">
        <v>943</v>
      </c>
      <c r="I138" s="489" t="s">
        <v>944</v>
      </c>
      <c r="J138" s="490" t="s">
        <v>945</v>
      </c>
      <c r="K138" s="471"/>
    </row>
    <row r="139" spans="1:11">
      <c r="A139" s="463"/>
      <c r="B139" s="499" t="s">
        <v>651</v>
      </c>
      <c r="C139" s="500"/>
      <c r="D139" s="501"/>
      <c r="E139" s="502">
        <v>0.5</v>
      </c>
      <c r="F139" s="502">
        <v>1</v>
      </c>
      <c r="G139" s="502">
        <f>1-F139</f>
        <v>0</v>
      </c>
      <c r="H139" s="503">
        <f>VLOOKUP(B139,EQUIPAMENTOS!$A:$J,10,FALSE)</f>
        <v>63.777777777777779</v>
      </c>
      <c r="I139" s="504">
        <f>H139</f>
        <v>63.777777777777779</v>
      </c>
      <c r="J139" s="505">
        <f>H139*F139*E139+I139*G139*E139</f>
        <v>31.888888888888889</v>
      </c>
      <c r="K139" s="471"/>
    </row>
    <row r="140" spans="1:11">
      <c r="A140" s="463"/>
      <c r="B140" s="499"/>
      <c r="C140" s="500"/>
      <c r="D140" s="501"/>
      <c r="E140" s="502"/>
      <c r="F140" s="502"/>
      <c r="G140" s="502"/>
      <c r="H140" s="503"/>
      <c r="I140" s="504"/>
      <c r="J140" s="505"/>
      <c r="K140" s="471"/>
    </row>
    <row r="141" spans="1:11">
      <c r="A141" s="463"/>
      <c r="B141" s="499"/>
      <c r="C141" s="500"/>
      <c r="D141" s="501"/>
      <c r="E141" s="502"/>
      <c r="F141" s="502"/>
      <c r="G141" s="502"/>
      <c r="H141" s="503"/>
      <c r="I141" s="504"/>
      <c r="J141" s="505">
        <f>H141*F141*E141+I141*G141*E141</f>
        <v>0</v>
      </c>
      <c r="K141" s="471"/>
    </row>
    <row r="142" spans="1:11">
      <c r="A142" s="463"/>
      <c r="B142" s="499"/>
      <c r="C142" s="500"/>
      <c r="D142" s="501"/>
      <c r="E142" s="502"/>
      <c r="F142" s="502"/>
      <c r="G142" s="502"/>
      <c r="H142" s="503"/>
      <c r="I142" s="504"/>
      <c r="J142" s="505">
        <f>H142*F142*E142+I142*G142*E142</f>
        <v>0</v>
      </c>
      <c r="K142" s="471"/>
    </row>
    <row r="143" spans="1:11">
      <c r="A143" s="463"/>
      <c r="B143" s="506"/>
      <c r="C143" s="507"/>
      <c r="D143" s="508"/>
      <c r="E143" s="509"/>
      <c r="F143" s="509"/>
      <c r="G143" s="509"/>
      <c r="H143" s="510"/>
      <c r="I143" s="511"/>
      <c r="J143" s="505">
        <f>H143*F143*E143+I143*G143*E143</f>
        <v>0</v>
      </c>
      <c r="K143" s="471"/>
    </row>
    <row r="144" spans="1:11">
      <c r="A144" s="463"/>
      <c r="B144" s="512" t="s">
        <v>946</v>
      </c>
      <c r="C144" s="482"/>
      <c r="D144" s="482"/>
      <c r="E144" s="482"/>
      <c r="F144" s="482"/>
      <c r="G144" s="482"/>
      <c r="H144" s="482"/>
      <c r="I144" s="513" t="s">
        <v>175</v>
      </c>
      <c r="J144" s="514">
        <f>SUM(J139:J143)</f>
        <v>31.888888888888889</v>
      </c>
      <c r="K144" s="471"/>
    </row>
    <row r="145" spans="1:11">
      <c r="A145" s="463"/>
      <c r="B145" s="515"/>
      <c r="C145" s="515"/>
      <c r="D145" s="515"/>
      <c r="E145" s="515"/>
      <c r="F145" s="515"/>
      <c r="G145" s="515"/>
      <c r="H145" s="515"/>
      <c r="I145" s="516"/>
      <c r="J145" s="517"/>
      <c r="K145" s="471"/>
    </row>
    <row r="146" spans="1:11" ht="20.399999999999999">
      <c r="A146" s="463"/>
      <c r="B146" s="1490" t="s">
        <v>947</v>
      </c>
      <c r="C146" s="1491"/>
      <c r="D146" s="1491"/>
      <c r="E146" s="1492"/>
      <c r="F146" s="518" t="s">
        <v>688</v>
      </c>
      <c r="G146" s="519"/>
      <c r="H146" s="520" t="s">
        <v>427</v>
      </c>
      <c r="I146" s="521" t="s">
        <v>948</v>
      </c>
      <c r="J146" s="522" t="s">
        <v>949</v>
      </c>
      <c r="K146" s="471"/>
    </row>
    <row r="147" spans="1:11">
      <c r="A147" s="463"/>
      <c r="B147" s="523" t="s">
        <v>980</v>
      </c>
      <c r="C147" s="524"/>
      <c r="D147" s="525"/>
      <c r="E147" s="526"/>
      <c r="F147" s="527"/>
      <c r="G147" s="528"/>
      <c r="H147" s="529"/>
      <c r="I147" s="497"/>
      <c r="J147" s="498" t="e">
        <f>SUM(J148:J152)*0.05</f>
        <v>#N/A</v>
      </c>
      <c r="K147" s="471"/>
    </row>
    <row r="148" spans="1:11">
      <c r="A148" s="463"/>
      <c r="B148" s="530" t="s">
        <v>1053</v>
      </c>
      <c r="C148" s="531"/>
      <c r="D148" s="472"/>
      <c r="E148" s="500"/>
      <c r="F148" s="501"/>
      <c r="G148" s="532"/>
      <c r="H148" s="533">
        <f>E139</f>
        <v>0.5</v>
      </c>
      <c r="I148" s="534">
        <f>VLOOKUP(B148,'MÃO DE OBRA'!$A:$E,5,FALSE)/220</f>
        <v>26.3474</v>
      </c>
      <c r="J148" s="505">
        <f>H148*I148</f>
        <v>13.1737</v>
      </c>
      <c r="K148" s="471"/>
    </row>
    <row r="149" spans="1:11" hidden="1">
      <c r="A149" s="463"/>
      <c r="B149" s="530" t="s">
        <v>481</v>
      </c>
      <c r="C149" s="531"/>
      <c r="D149" s="472"/>
      <c r="E149" s="500"/>
      <c r="F149" s="501"/>
      <c r="G149" s="532"/>
      <c r="H149" s="533"/>
      <c r="I149" s="534">
        <f>VLOOKUP(B149,'MÃO DE OBRA'!$A:$E,5,FALSE)/220</f>
        <v>21.588799999999999</v>
      </c>
      <c r="J149" s="505">
        <f>H149*I149</f>
        <v>0</v>
      </c>
      <c r="K149" s="471"/>
    </row>
    <row r="150" spans="1:11">
      <c r="A150" s="463"/>
      <c r="B150" s="530" t="s">
        <v>578</v>
      </c>
      <c r="C150" s="531"/>
      <c r="D150" s="472"/>
      <c r="E150" s="500"/>
      <c r="F150" s="501"/>
      <c r="G150" s="532"/>
      <c r="H150" s="533">
        <v>1</v>
      </c>
      <c r="I150" s="534" t="e">
        <f>VLOOKUP(B150,'MÃO DE OBRA'!$A:$E,5,FALSE)/220</f>
        <v>#N/A</v>
      </c>
      <c r="J150" s="505" t="e">
        <f>H150*I150</f>
        <v>#N/A</v>
      </c>
      <c r="K150" s="471"/>
    </row>
    <row r="151" spans="1:11">
      <c r="A151" s="463"/>
      <c r="B151" s="530" t="s">
        <v>472</v>
      </c>
      <c r="C151" s="531"/>
      <c r="D151" s="472"/>
      <c r="E151" s="500"/>
      <c r="F151" s="501"/>
      <c r="G151" s="532"/>
      <c r="H151" s="533">
        <v>1</v>
      </c>
      <c r="I151" s="534">
        <f>VLOOKUP(B151,'MÃO DE OBRA'!$A:$E,5,FALSE)/220</f>
        <v>18.377072727272729</v>
      </c>
      <c r="J151" s="505">
        <f>H151*I151</f>
        <v>18.377072727272729</v>
      </c>
      <c r="K151" s="471"/>
    </row>
    <row r="152" spans="1:11" hidden="1">
      <c r="A152" s="463"/>
      <c r="B152" s="530" t="s">
        <v>507</v>
      </c>
      <c r="C152" s="531"/>
      <c r="D152" s="472"/>
      <c r="E152" s="500"/>
      <c r="F152" s="501"/>
      <c r="G152" s="532"/>
      <c r="H152" s="533"/>
      <c r="I152" s="534">
        <f>VLOOKUP(B152,'MÃO DE OBRA'!$A:$E,5,FALSE)/220</f>
        <v>21.588799999999999</v>
      </c>
      <c r="J152" s="505">
        <f>H152*I152</f>
        <v>0</v>
      </c>
      <c r="K152" s="471"/>
    </row>
    <row r="153" spans="1:11">
      <c r="A153" s="463"/>
      <c r="B153" s="530" t="s">
        <v>981</v>
      </c>
      <c r="C153" s="531"/>
      <c r="D153" s="472"/>
      <c r="E153" s="500"/>
      <c r="F153" s="501"/>
      <c r="G153" s="532"/>
      <c r="H153" s="533"/>
      <c r="I153" s="504"/>
      <c r="J153" s="505">
        <f>(J139)*5%</f>
        <v>1.5944444444444446</v>
      </c>
      <c r="K153" s="471"/>
    </row>
    <row r="154" spans="1:11">
      <c r="A154" s="463"/>
      <c r="B154" s="530"/>
      <c r="C154" s="531"/>
      <c r="D154" s="472"/>
      <c r="E154" s="500"/>
      <c r="F154" s="501"/>
      <c r="G154" s="532"/>
      <c r="H154" s="533"/>
      <c r="I154" s="504"/>
      <c r="J154" s="505">
        <f>H154*I154</f>
        <v>0</v>
      </c>
      <c r="K154" s="471"/>
    </row>
    <row r="155" spans="1:11">
      <c r="A155" s="463"/>
      <c r="B155" s="512" t="s">
        <v>946</v>
      </c>
      <c r="C155" s="515"/>
      <c r="D155" s="515"/>
      <c r="E155" s="515"/>
      <c r="F155" s="515"/>
      <c r="G155" s="515"/>
      <c r="H155" s="515"/>
      <c r="I155" s="535" t="s">
        <v>175</v>
      </c>
      <c r="J155" s="514" t="e">
        <f>SUM(J147:J154)</f>
        <v>#N/A</v>
      </c>
      <c r="K155" s="471"/>
    </row>
    <row r="156" spans="1:11">
      <c r="A156" s="463"/>
      <c r="B156" s="536"/>
      <c r="C156" s="536"/>
      <c r="D156" s="536"/>
      <c r="E156" s="536"/>
      <c r="F156" s="536"/>
      <c r="G156" s="536"/>
      <c r="H156" s="536"/>
      <c r="I156" s="537"/>
      <c r="J156" s="536"/>
      <c r="K156" s="471"/>
    </row>
    <row r="157" spans="1:11">
      <c r="A157" s="463"/>
      <c r="B157" s="538" t="s">
        <v>952</v>
      </c>
      <c r="C157" s="539"/>
      <c r="D157" s="536"/>
      <c r="E157" s="540" t="e">
        <f>PRODUÇÕES!#REF!</f>
        <v>#REF!</v>
      </c>
      <c r="F157" s="541" t="s">
        <v>967</v>
      </c>
      <c r="G157" s="519"/>
      <c r="H157" s="519"/>
      <c r="I157" s="542" t="s">
        <v>953</v>
      </c>
      <c r="J157" s="514" t="e">
        <f>J144+J155</f>
        <v>#N/A</v>
      </c>
      <c r="K157" s="471"/>
    </row>
    <row r="158" spans="1:11">
      <c r="A158" s="463"/>
      <c r="B158" s="543"/>
      <c r="C158" s="536"/>
      <c r="D158" s="536"/>
      <c r="E158" s="544"/>
      <c r="F158" s="545"/>
      <c r="G158" s="545"/>
      <c r="H158" s="545"/>
      <c r="I158" s="537"/>
      <c r="J158" s="536"/>
      <c r="K158" s="471"/>
    </row>
    <row r="159" spans="1:11" ht="20.399999999999999">
      <c r="A159" s="463"/>
      <c r="B159" s="1493" t="s">
        <v>362</v>
      </c>
      <c r="C159" s="1494"/>
      <c r="D159" s="1494"/>
      <c r="E159" s="1495"/>
      <c r="F159" s="546" t="s">
        <v>688</v>
      </c>
      <c r="G159" s="547" t="s">
        <v>371</v>
      </c>
      <c r="H159" s="520" t="s">
        <v>942</v>
      </c>
      <c r="I159" s="548" t="s">
        <v>361</v>
      </c>
      <c r="J159" s="549" t="s">
        <v>363</v>
      </c>
      <c r="K159" s="471"/>
    </row>
    <row r="160" spans="1:11">
      <c r="A160" s="463"/>
      <c r="B160" s="550" t="str">
        <f>B139</f>
        <v>Retroescavadeira</v>
      </c>
      <c r="C160" s="531"/>
      <c r="D160" s="531"/>
      <c r="E160" s="500"/>
      <c r="F160" s="553" t="str">
        <f>VLOOKUP(B160,EQUIPAMENTOS!$A:$N,12,FALSE)</f>
        <v>Diesel S10</v>
      </c>
      <c r="G160" s="554" t="s">
        <v>415</v>
      </c>
      <c r="H160" s="560">
        <f>VLOOKUP(B160,EQUIPAMENTOS!$A:$N,13,FALSE)</f>
        <v>0</v>
      </c>
      <c r="I160" s="556">
        <f>VLOOKUP(B160,EQUIPAMENTOS!$A:$N,14,FALSE)</f>
        <v>16</v>
      </c>
      <c r="J160" s="505">
        <f>H160*I160*E139*F139</f>
        <v>0</v>
      </c>
      <c r="K160" s="471"/>
    </row>
    <row r="161" spans="1:11">
      <c r="A161" s="463"/>
      <c r="B161" s="550"/>
      <c r="C161" s="531"/>
      <c r="D161" s="531"/>
      <c r="E161" s="500"/>
      <c r="F161" s="553"/>
      <c r="G161" s="554"/>
      <c r="H161" s="560"/>
      <c r="I161" s="556"/>
      <c r="J161" s="505"/>
      <c r="K161" s="471"/>
    </row>
    <row r="162" spans="1:11">
      <c r="A162" s="463"/>
      <c r="B162" s="530"/>
      <c r="C162" s="531"/>
      <c r="D162" s="531"/>
      <c r="E162" s="500"/>
      <c r="F162" s="501"/>
      <c r="G162" s="559"/>
      <c r="H162" s="560"/>
      <c r="I162" s="556"/>
      <c r="J162" s="505">
        <f>H162*I162*E141*F141</f>
        <v>0</v>
      </c>
      <c r="K162" s="471"/>
    </row>
    <row r="163" spans="1:11">
      <c r="A163" s="463"/>
      <c r="B163" s="530"/>
      <c r="C163" s="539"/>
      <c r="D163" s="539"/>
      <c r="E163" s="507"/>
      <c r="F163" s="501"/>
      <c r="G163" s="481"/>
      <c r="H163" s="560"/>
      <c r="I163" s="561"/>
      <c r="J163" s="505">
        <f>H163*I163*E142*F142</f>
        <v>0</v>
      </c>
      <c r="K163" s="471"/>
    </row>
    <row r="164" spans="1:11">
      <c r="A164" s="463"/>
      <c r="B164" s="563" t="s">
        <v>946</v>
      </c>
      <c r="C164" s="539"/>
      <c r="D164" s="539"/>
      <c r="E164" s="539"/>
      <c r="F164" s="536"/>
      <c r="G164" s="539"/>
      <c r="H164" s="564"/>
      <c r="I164" s="565" t="s">
        <v>175</v>
      </c>
      <c r="J164" s="514">
        <f>SUM(J160:J163)</f>
        <v>0</v>
      </c>
      <c r="K164" s="471"/>
    </row>
    <row r="165" spans="1:11">
      <c r="A165" s="463"/>
      <c r="B165" s="566"/>
      <c r="C165" s="539"/>
      <c r="D165" s="539"/>
      <c r="E165" s="567"/>
      <c r="F165" s="568"/>
      <c r="G165" s="519"/>
      <c r="H165" s="519"/>
      <c r="I165" s="542"/>
      <c r="J165" s="567"/>
      <c r="K165" s="471"/>
    </row>
    <row r="166" spans="1:11" ht="20.399999999999999">
      <c r="A166" s="463"/>
      <c r="B166" s="1493" t="s">
        <v>955</v>
      </c>
      <c r="C166" s="1494"/>
      <c r="D166" s="1494"/>
      <c r="E166" s="1494"/>
      <c r="F166" s="1495"/>
      <c r="G166" s="569" t="s">
        <v>372</v>
      </c>
      <c r="H166" s="519" t="s">
        <v>956</v>
      </c>
      <c r="I166" s="570" t="s">
        <v>942</v>
      </c>
      <c r="J166" s="522" t="s">
        <v>363</v>
      </c>
      <c r="K166" s="471"/>
    </row>
    <row r="167" spans="1:11">
      <c r="A167" s="463"/>
      <c r="B167" s="571"/>
      <c r="C167" s="572"/>
      <c r="D167" s="573"/>
      <c r="E167" s="573"/>
      <c r="F167" s="574"/>
      <c r="G167" s="502"/>
      <c r="H167" s="502"/>
      <c r="I167" s="575"/>
      <c r="J167" s="505"/>
      <c r="K167" s="471"/>
    </row>
    <row r="168" spans="1:11">
      <c r="A168" s="463"/>
      <c r="B168" s="576"/>
      <c r="C168" s="577"/>
      <c r="D168" s="578"/>
      <c r="E168" s="578"/>
      <c r="F168" s="579"/>
      <c r="G168" s="502"/>
      <c r="H168" s="502"/>
      <c r="I168" s="575"/>
      <c r="J168" s="505"/>
      <c r="K168" s="471"/>
    </row>
    <row r="169" spans="1:11">
      <c r="A169" s="463"/>
      <c r="B169" s="1496" t="s">
        <v>175</v>
      </c>
      <c r="C169" s="1496"/>
      <c r="D169" s="1496"/>
      <c r="E169" s="1496"/>
      <c r="F169" s="1496"/>
      <c r="G169" s="1496"/>
      <c r="H169" s="1496"/>
      <c r="I169" s="1496"/>
      <c r="J169" s="514">
        <f>SUM(J167:J168)</f>
        <v>0</v>
      </c>
      <c r="K169" s="471"/>
    </row>
    <row r="170" spans="1:11">
      <c r="A170" s="463"/>
      <c r="B170" s="580"/>
      <c r="C170" s="524"/>
      <c r="D170" s="524"/>
      <c r="E170" s="581"/>
      <c r="F170" s="582"/>
      <c r="G170" s="583"/>
      <c r="H170" s="583"/>
      <c r="I170" s="584"/>
      <c r="J170" s="585"/>
      <c r="K170" s="471"/>
    </row>
    <row r="171" spans="1:11">
      <c r="A171" s="463"/>
      <c r="B171" s="586" t="s">
        <v>957</v>
      </c>
      <c r="C171" s="586"/>
      <c r="D171" s="563"/>
      <c r="E171" s="536"/>
      <c r="F171" s="536"/>
      <c r="G171" s="536"/>
      <c r="H171" s="587"/>
      <c r="I171" s="588"/>
      <c r="J171" s="647" t="e">
        <f>(J157+J164+J169)/E157</f>
        <v>#N/A</v>
      </c>
      <c r="K171" s="471"/>
    </row>
    <row r="172" spans="1:11">
      <c r="A172" s="463"/>
      <c r="B172" s="566"/>
      <c r="C172" s="539"/>
      <c r="D172" s="539"/>
      <c r="E172" s="567"/>
      <c r="F172" s="568"/>
      <c r="G172" s="519"/>
      <c r="H172" s="519"/>
      <c r="I172" s="542"/>
      <c r="J172" s="589"/>
      <c r="K172" s="471"/>
    </row>
    <row r="173" spans="1:11" ht="20.399999999999999">
      <c r="A173" s="463"/>
      <c r="B173" s="1493" t="s">
        <v>958</v>
      </c>
      <c r="C173" s="1494"/>
      <c r="D173" s="1494"/>
      <c r="E173" s="1494"/>
      <c r="F173" s="1495"/>
      <c r="G173" s="569" t="s">
        <v>372</v>
      </c>
      <c r="H173" s="519" t="s">
        <v>956</v>
      </c>
      <c r="I173" s="570" t="s">
        <v>942</v>
      </c>
      <c r="J173" s="522" t="s">
        <v>363</v>
      </c>
      <c r="K173" s="471"/>
    </row>
    <row r="174" spans="1:11">
      <c r="A174" s="463"/>
      <c r="B174" s="571"/>
      <c r="C174" s="572"/>
      <c r="D174" s="573"/>
      <c r="E174" s="573"/>
      <c r="F174" s="574"/>
      <c r="G174" s="502"/>
      <c r="H174" s="502"/>
      <c r="I174" s="575"/>
      <c r="J174" s="505">
        <f>G174*I174</f>
        <v>0</v>
      </c>
      <c r="K174" s="471"/>
    </row>
    <row r="175" spans="1:11">
      <c r="A175" s="463"/>
      <c r="B175" s="576"/>
      <c r="C175" s="577"/>
      <c r="D175" s="578"/>
      <c r="E175" s="578"/>
      <c r="F175" s="579"/>
      <c r="G175" s="502"/>
      <c r="H175" s="502"/>
      <c r="I175" s="575"/>
      <c r="J175" s="505">
        <f>G175*I175</f>
        <v>0</v>
      </c>
      <c r="K175" s="471"/>
    </row>
    <row r="176" spans="1:11">
      <c r="A176" s="463"/>
      <c r="B176" s="576"/>
      <c r="C176" s="577"/>
      <c r="D176" s="578"/>
      <c r="E176" s="578"/>
      <c r="F176" s="579"/>
      <c r="G176" s="502"/>
      <c r="H176" s="502"/>
      <c r="I176" s="575"/>
      <c r="J176" s="505">
        <f>G176*I176</f>
        <v>0</v>
      </c>
      <c r="K176" s="471"/>
    </row>
    <row r="177" spans="1:11">
      <c r="A177" s="463"/>
      <c r="B177" s="590"/>
      <c r="C177" s="591"/>
      <c r="D177" s="592"/>
      <c r="E177" s="592"/>
      <c r="F177" s="593"/>
      <c r="G177" s="502"/>
      <c r="H177" s="502"/>
      <c r="I177" s="575"/>
      <c r="J177" s="505">
        <f>G177*I177</f>
        <v>0</v>
      </c>
      <c r="K177" s="471"/>
    </row>
    <row r="178" spans="1:11">
      <c r="A178" s="463"/>
      <c r="B178" s="594"/>
      <c r="C178" s="536"/>
      <c r="D178" s="536"/>
      <c r="E178" s="595"/>
      <c r="F178" s="596"/>
      <c r="G178" s="545"/>
      <c r="H178" s="545"/>
      <c r="I178" s="537" t="s">
        <v>175</v>
      </c>
      <c r="J178" s="514">
        <f>SUM(J174:J177)</f>
        <v>0</v>
      </c>
      <c r="K178" s="471"/>
    </row>
    <row r="179" spans="1:11">
      <c r="A179" s="463"/>
      <c r="B179" s="597"/>
      <c r="C179" s="536"/>
      <c r="D179" s="536"/>
      <c r="E179" s="595"/>
      <c r="F179" s="596"/>
      <c r="G179" s="545"/>
      <c r="H179" s="545"/>
      <c r="I179" s="537"/>
      <c r="J179" s="595"/>
      <c r="K179" s="471"/>
    </row>
    <row r="180" spans="1:11" ht="20.399999999999999">
      <c r="A180" s="463"/>
      <c r="B180" s="1493" t="s">
        <v>959</v>
      </c>
      <c r="C180" s="1494"/>
      <c r="D180" s="1494"/>
      <c r="E180" s="1494"/>
      <c r="F180" s="1495"/>
      <c r="G180" s="600" t="s">
        <v>372</v>
      </c>
      <c r="H180" s="519" t="s">
        <v>942</v>
      </c>
      <c r="I180" s="570"/>
      <c r="J180" s="522" t="s">
        <v>363</v>
      </c>
      <c r="K180" s="471"/>
    </row>
    <row r="181" spans="1:11">
      <c r="A181" s="463"/>
      <c r="B181" s="1734"/>
      <c r="C181" s="1735"/>
      <c r="D181" s="1735"/>
      <c r="E181" s="1735"/>
      <c r="F181" s="1736"/>
      <c r="G181" s="502"/>
      <c r="H181" s="1737"/>
      <c r="I181" s="1738"/>
      <c r="J181" s="505"/>
      <c r="K181" s="471"/>
    </row>
    <row r="182" spans="1:11">
      <c r="A182" s="463"/>
      <c r="B182" s="1739"/>
      <c r="C182" s="1740"/>
      <c r="D182" s="1740"/>
      <c r="E182" s="1740"/>
      <c r="F182" s="1741"/>
      <c r="G182" s="509"/>
      <c r="H182" s="1742"/>
      <c r="I182" s="1743"/>
      <c r="J182" s="505"/>
      <c r="K182" s="471"/>
    </row>
    <row r="183" spans="1:11">
      <c r="A183" s="463"/>
      <c r="B183" s="594"/>
      <c r="C183" s="536"/>
      <c r="D183" s="536"/>
      <c r="E183" s="595"/>
      <c r="F183" s="596"/>
      <c r="G183" s="545"/>
      <c r="H183" s="545"/>
      <c r="I183" s="537" t="s">
        <v>175</v>
      </c>
      <c r="J183" s="514">
        <f>SUM(J181:J182)</f>
        <v>0</v>
      </c>
      <c r="K183" s="471"/>
    </row>
    <row r="184" spans="1:11">
      <c r="A184" s="463"/>
      <c r="B184" s="536"/>
      <c r="C184" s="536"/>
      <c r="D184" s="536"/>
      <c r="E184" s="536"/>
      <c r="F184" s="536"/>
      <c r="G184" s="536"/>
      <c r="H184" s="536"/>
      <c r="I184" s="537"/>
      <c r="J184" s="536"/>
      <c r="K184" s="471"/>
    </row>
    <row r="185" spans="1:11">
      <c r="A185" s="463"/>
      <c r="B185" s="1481" t="s">
        <v>961</v>
      </c>
      <c r="C185" s="1482"/>
      <c r="D185" s="1482"/>
      <c r="E185" s="1482"/>
      <c r="F185" s="1482"/>
      <c r="G185" s="1482"/>
      <c r="H185" s="1482"/>
      <c r="I185" s="1483"/>
      <c r="J185" s="586" t="e">
        <f>J183+J178+J171</f>
        <v>#N/A</v>
      </c>
      <c r="K185" s="471"/>
    </row>
    <row r="186" spans="1:11">
      <c r="A186" s="463"/>
      <c r="B186" s="536"/>
      <c r="C186" s="536"/>
      <c r="D186" s="536"/>
      <c r="E186" s="536"/>
      <c r="F186" s="536"/>
      <c r="G186" s="536"/>
      <c r="H186" s="536"/>
      <c r="I186" s="537"/>
      <c r="J186" s="536"/>
      <c r="K186" s="471"/>
    </row>
    <row r="187" spans="1:11">
      <c r="A187" s="463"/>
      <c r="B187" s="1481" t="s">
        <v>962</v>
      </c>
      <c r="C187" s="1482"/>
      <c r="D187" s="1482"/>
      <c r="E187" s="1482"/>
      <c r="F187" s="1482"/>
      <c r="G187" s="1482"/>
      <c r="H187" s="1482"/>
      <c r="I187" s="1483"/>
      <c r="J187" s="514" t="e">
        <f>J185*0</f>
        <v>#N/A</v>
      </c>
      <c r="K187" s="471"/>
    </row>
    <row r="188" spans="1:11">
      <c r="A188" s="463"/>
      <c r="B188" s="536"/>
      <c r="C188" s="536"/>
      <c r="D188" s="536"/>
      <c r="E188" s="536"/>
      <c r="F188" s="536"/>
      <c r="G188" s="536"/>
      <c r="H188" s="536"/>
      <c r="I188" s="537"/>
      <c r="J188" s="536"/>
      <c r="K188" s="471"/>
    </row>
    <row r="189" spans="1:11">
      <c r="A189" s="463"/>
      <c r="B189" s="1481" t="s">
        <v>963</v>
      </c>
      <c r="C189" s="1482"/>
      <c r="D189" s="1482"/>
      <c r="E189" s="1482"/>
      <c r="F189" s="1482"/>
      <c r="G189" s="1482"/>
      <c r="H189" s="1482"/>
      <c r="I189" s="1483"/>
      <c r="J189" s="586" t="e">
        <f>J185+J187</f>
        <v>#N/A</v>
      </c>
      <c r="K189" s="471"/>
    </row>
    <row r="190" spans="1:11">
      <c r="A190" s="463"/>
      <c r="B190" s="524"/>
      <c r="C190" s="524"/>
      <c r="D190" s="524"/>
      <c r="E190" s="524"/>
      <c r="F190" s="524"/>
      <c r="G190" s="524"/>
      <c r="H190" s="524"/>
      <c r="I190" s="584"/>
      <c r="J190" s="524"/>
      <c r="K190" s="471"/>
    </row>
    <row r="191" spans="1:11">
      <c r="A191" s="463"/>
      <c r="B191" s="602"/>
      <c r="C191" s="572"/>
      <c r="D191" s="572"/>
      <c r="E191" s="572"/>
      <c r="F191" s="572"/>
      <c r="G191" s="572"/>
      <c r="H191" s="572"/>
      <c r="I191" s="572"/>
      <c r="J191" s="603"/>
      <c r="K191" s="471"/>
    </row>
    <row r="192" spans="1:11">
      <c r="A192" s="463"/>
      <c r="B192" s="604"/>
      <c r="C192" s="605"/>
      <c r="D192" s="606"/>
      <c r="E192" s="606"/>
      <c r="F192" s="607" t="s">
        <v>946</v>
      </c>
      <c r="G192" s="608" t="s">
        <v>946</v>
      </c>
      <c r="H192" s="605"/>
      <c r="I192" s="605"/>
      <c r="J192" s="609"/>
      <c r="K192" s="471"/>
    </row>
    <row r="193" spans="1:11">
      <c r="A193" s="463"/>
      <c r="B193" s="472"/>
      <c r="C193" s="472"/>
      <c r="D193" s="472"/>
      <c r="E193" s="472"/>
      <c r="F193" s="472"/>
      <c r="G193" s="472"/>
      <c r="H193" s="472"/>
      <c r="I193" s="472"/>
      <c r="J193" s="472"/>
      <c r="K193" s="471"/>
    </row>
    <row r="194" spans="1:11">
      <c r="A194" s="463"/>
      <c r="B194" s="610" t="str">
        <f>PLANEJAMENTO!$F$2</f>
        <v>OPERAÇÃO DE SUPRESSÃO E SUMP</v>
      </c>
      <c r="C194" s="611"/>
      <c r="D194" s="611"/>
      <c r="E194" s="611"/>
      <c r="F194" s="612"/>
      <c r="G194" s="613" t="s">
        <v>363</v>
      </c>
      <c r="H194" s="515"/>
      <c r="I194" s="515"/>
      <c r="J194" s="518"/>
      <c r="K194" s="471"/>
    </row>
    <row r="195" spans="1:11">
      <c r="A195" s="463"/>
      <c r="B195" s="614" t="str">
        <f>PLANEJAMENTO!$F$3</f>
        <v>MARA ROSA</v>
      </c>
      <c r="C195" s="615"/>
      <c r="D195" s="615"/>
      <c r="E195" s="615"/>
      <c r="F195" s="616"/>
      <c r="G195" s="1484" t="s">
        <v>964</v>
      </c>
      <c r="H195" s="1485"/>
      <c r="I195" s="1485"/>
      <c r="J195" s="1486"/>
      <c r="K195" s="471"/>
    </row>
    <row r="196" spans="1:11">
      <c r="A196" s="463"/>
      <c r="B196" s="617"/>
      <c r="C196" s="618"/>
      <c r="D196" s="618"/>
      <c r="E196" s="618"/>
      <c r="F196" s="619"/>
      <c r="G196" s="620"/>
      <c r="H196" s="1487"/>
      <c r="I196" s="1488"/>
      <c r="J196" s="1489"/>
      <c r="K196" s="471"/>
    </row>
    <row r="197" spans="1:11" ht="15" thickBot="1">
      <c r="A197" s="621"/>
      <c r="B197" s="622"/>
      <c r="C197" s="622"/>
      <c r="D197" s="622"/>
      <c r="E197" s="622"/>
      <c r="F197" s="622"/>
      <c r="G197" s="622"/>
      <c r="H197" s="622"/>
      <c r="I197" s="622"/>
      <c r="J197" s="622"/>
      <c r="K197" s="623"/>
    </row>
  </sheetData>
  <mergeCells count="61">
    <mergeCell ref="B16:E16"/>
    <mergeCell ref="D4:I4"/>
    <mergeCell ref="D5:I5"/>
    <mergeCell ref="B7:C8"/>
    <mergeCell ref="D7:D8"/>
    <mergeCell ref="E7:E8"/>
    <mergeCell ref="B25:E25"/>
    <mergeCell ref="B32:F32"/>
    <mergeCell ref="B35:I35"/>
    <mergeCell ref="B39:F39"/>
    <mergeCell ref="B46:F46"/>
    <mergeCell ref="H46:I46"/>
    <mergeCell ref="B70:C71"/>
    <mergeCell ref="D70:D71"/>
    <mergeCell ref="E70:E71"/>
    <mergeCell ref="B47:F47"/>
    <mergeCell ref="H47:I47"/>
    <mergeCell ref="B48:F48"/>
    <mergeCell ref="H48:I48"/>
    <mergeCell ref="B51:I51"/>
    <mergeCell ref="B53:I53"/>
    <mergeCell ref="B55:I55"/>
    <mergeCell ref="G61:J61"/>
    <mergeCell ref="H62:J62"/>
    <mergeCell ref="D67:I67"/>
    <mergeCell ref="D68:I68"/>
    <mergeCell ref="B120:I120"/>
    <mergeCell ref="B79:E79"/>
    <mergeCell ref="B92:E92"/>
    <mergeCell ref="B99:F99"/>
    <mergeCell ref="B102:I102"/>
    <mergeCell ref="B106:F106"/>
    <mergeCell ref="B113:F113"/>
    <mergeCell ref="B114:F114"/>
    <mergeCell ref="H114:I114"/>
    <mergeCell ref="B115:F115"/>
    <mergeCell ref="H115:I115"/>
    <mergeCell ref="B118:I118"/>
    <mergeCell ref="B180:F180"/>
    <mergeCell ref="B122:I122"/>
    <mergeCell ref="G128:J128"/>
    <mergeCell ref="H129:J129"/>
    <mergeCell ref="D134:I134"/>
    <mergeCell ref="D135:I135"/>
    <mergeCell ref="B137:C138"/>
    <mergeCell ref="D137:D138"/>
    <mergeCell ref="E137:E138"/>
    <mergeCell ref="B146:E146"/>
    <mergeCell ref="B159:E159"/>
    <mergeCell ref="B166:F166"/>
    <mergeCell ref="B169:I169"/>
    <mergeCell ref="B173:F173"/>
    <mergeCell ref="B189:I189"/>
    <mergeCell ref="G195:J195"/>
    <mergeCell ref="H196:J196"/>
    <mergeCell ref="B181:F181"/>
    <mergeCell ref="H181:I181"/>
    <mergeCell ref="B182:F182"/>
    <mergeCell ref="H182:I182"/>
    <mergeCell ref="B185:I185"/>
    <mergeCell ref="B187:I187"/>
  </mergeCells>
  <pageMargins left="0.511811024" right="0.511811024" top="0.78740157499999996" bottom="0.78740157499999996" header="0.31496062000000002" footer="0.31496062000000002"/>
  <pageSetup paperSize="9" scale="65" orientation="portrait" r:id="rId1"/>
  <rowBreaks count="1" manualBreakCount="1">
    <brk id="63" max="16383" man="1"/>
  </rowBreak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5091-8789-446C-A4A0-6DA97368A096}">
  <sheetPr codeName="Planilha48">
    <tabColor rgb="FFFFFF66"/>
  </sheetPr>
  <dimension ref="A1:K71"/>
  <sheetViews>
    <sheetView view="pageBreakPreview" topLeftCell="A31" zoomScaleNormal="100" zoomScaleSheetLayoutView="100" workbookViewId="0">
      <selection activeCell="B47" sqref="B47:J47"/>
    </sheetView>
  </sheetViews>
  <sheetFormatPr defaultRowHeight="14.4"/>
  <cols>
    <col min="1" max="1" width="2.109375" customWidth="1"/>
    <col min="3" max="3" width="24.5546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1055</v>
      </c>
      <c r="E5" s="479"/>
      <c r="F5" s="479"/>
      <c r="G5" s="479"/>
      <c r="H5" s="479"/>
      <c r="I5" s="480"/>
      <c r="J5" s="481" t="str">
        <f>F30</f>
        <v>m²</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499" t="s">
        <v>667</v>
      </c>
      <c r="C9" s="492"/>
      <c r="D9" s="493"/>
      <c r="E9" s="494">
        <v>1</v>
      </c>
      <c r="F9" s="494">
        <v>1</v>
      </c>
      <c r="G9" s="495">
        <f>1-F9</f>
        <v>0</v>
      </c>
      <c r="H9" s="503">
        <f>VLOOKUP(B9,EQUIPAMENTOS!$A:$J,10,FALSE)</f>
        <v>134.05277777777778</v>
      </c>
      <c r="I9" s="497">
        <f>H9</f>
        <v>134.05277777777778</v>
      </c>
      <c r="J9" s="498">
        <f t="shared" ref="J9:J15" si="0">H9*F9*E9+I9*G9*E9</f>
        <v>134.05277777777778</v>
      </c>
      <c r="K9" s="471"/>
    </row>
    <row r="10" spans="1:11">
      <c r="A10" s="463"/>
      <c r="B10" s="499" t="s">
        <v>1056</v>
      </c>
      <c r="C10" s="500"/>
      <c r="D10" s="501"/>
      <c r="E10" s="502">
        <v>1</v>
      </c>
      <c r="F10" s="502">
        <v>1</v>
      </c>
      <c r="G10" s="502">
        <f>1-F10</f>
        <v>0</v>
      </c>
      <c r="H10" s="503">
        <f>VLOOKUP(B10,EQUIPAMENTOS!$A:$J,10,FALSE)</f>
        <v>17.5</v>
      </c>
      <c r="I10" s="504">
        <f>H10</f>
        <v>17.5</v>
      </c>
      <c r="J10" s="505">
        <f t="shared" si="0"/>
        <v>17.5</v>
      </c>
      <c r="K10" s="471"/>
    </row>
    <row r="11" spans="1:11">
      <c r="A11" s="463"/>
      <c r="B11" s="499" t="s">
        <v>663</v>
      </c>
      <c r="C11" s="500"/>
      <c r="D11" s="501"/>
      <c r="E11" s="502">
        <v>1</v>
      </c>
      <c r="F11" s="502">
        <v>1</v>
      </c>
      <c r="G11" s="502">
        <f>1-F11</f>
        <v>0</v>
      </c>
      <c r="H11" s="503">
        <f>VLOOKUP(B11,EQUIPAMENTOS!$A:$J,10,FALSE)</f>
        <v>10</v>
      </c>
      <c r="I11" s="504">
        <f>H11</f>
        <v>10</v>
      </c>
      <c r="J11" s="505">
        <f t="shared" si="0"/>
        <v>10</v>
      </c>
      <c r="K11" s="471"/>
    </row>
    <row r="12" spans="1:11">
      <c r="A12" s="463"/>
      <c r="B12" s="499" t="s">
        <v>682</v>
      </c>
      <c r="C12" s="500"/>
      <c r="D12" s="501"/>
      <c r="E12" s="502">
        <v>1</v>
      </c>
      <c r="F12" s="502">
        <v>1</v>
      </c>
      <c r="G12" s="502">
        <f>1-F12</f>
        <v>0</v>
      </c>
      <c r="H12" s="503">
        <f>VLOOKUP(B12,EQUIPAMENTOS!$A:$J,10,FALSE)</f>
        <v>263</v>
      </c>
      <c r="I12" s="504">
        <f>H12</f>
        <v>263</v>
      </c>
      <c r="J12" s="505">
        <f t="shared" si="0"/>
        <v>263</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424.55277777777781</v>
      </c>
      <c r="K16" s="471"/>
    </row>
    <row r="17" spans="1:11">
      <c r="A17" s="463"/>
      <c r="B17" s="515"/>
      <c r="C17" s="515"/>
      <c r="D17" s="515"/>
      <c r="E17" s="515"/>
      <c r="F17" s="515"/>
      <c r="G17" s="515"/>
      <c r="H17" s="515"/>
      <c r="I17" s="516"/>
      <c r="J17" s="517"/>
      <c r="K17" s="471"/>
    </row>
    <row r="18" spans="1:11" ht="20.399999999999999">
      <c r="A18" s="463"/>
      <c r="B18" s="1490" t="s">
        <v>947</v>
      </c>
      <c r="C18" s="1491"/>
      <c r="D18" s="1491"/>
      <c r="E18" s="1492"/>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1035</v>
      </c>
      <c r="C20" s="531"/>
      <c r="D20" s="472"/>
      <c r="E20" s="500"/>
      <c r="F20" s="501"/>
      <c r="G20" s="532"/>
      <c r="H20" s="533">
        <f>E9</f>
        <v>1</v>
      </c>
      <c r="I20" s="534">
        <f>VLOOKUP(B20,'MÃO DE OBRA'!$A:$E,5,FALSE)/220</f>
        <v>21.588799999999999</v>
      </c>
      <c r="J20" s="505">
        <f t="shared" ref="J20:J25" si="1">H20*I20</f>
        <v>21.588799999999999</v>
      </c>
      <c r="K20" s="471"/>
    </row>
    <row r="21" spans="1:11">
      <c r="A21" s="463"/>
      <c r="B21" s="530" t="s">
        <v>558</v>
      </c>
      <c r="C21" s="531"/>
      <c r="D21" s="472"/>
      <c r="E21" s="500"/>
      <c r="F21" s="501"/>
      <c r="G21" s="532"/>
      <c r="H21" s="533">
        <f>E12</f>
        <v>1</v>
      </c>
      <c r="I21" s="534">
        <f>VLOOKUP(B21,'MÃO DE OBRA'!$A:$E,5,FALSE)/220</f>
        <v>21.588799999999999</v>
      </c>
      <c r="J21" s="505">
        <f t="shared" si="1"/>
        <v>21.588799999999999</v>
      </c>
      <c r="K21" s="471"/>
    </row>
    <row r="22" spans="1:11">
      <c r="A22" s="463"/>
      <c r="B22" s="530" t="s">
        <v>1036</v>
      </c>
      <c r="C22" s="531"/>
      <c r="D22" s="472"/>
      <c r="E22" s="500"/>
      <c r="F22" s="501"/>
      <c r="G22" s="532"/>
      <c r="H22" s="533">
        <f>E12</f>
        <v>1</v>
      </c>
      <c r="I22" s="534">
        <f>VLOOKUP(B22,'MÃO DE OBRA'!$A:$E,5,FALSE)/220</f>
        <v>23.69</v>
      </c>
      <c r="J22" s="505">
        <f t="shared" si="1"/>
        <v>23.69</v>
      </c>
      <c r="K22" s="471"/>
    </row>
    <row r="23" spans="1:11">
      <c r="A23" s="463"/>
      <c r="B23" s="530" t="s">
        <v>472</v>
      </c>
      <c r="C23" s="531"/>
      <c r="D23" s="472"/>
      <c r="E23" s="500"/>
      <c r="F23" s="501"/>
      <c r="G23" s="532"/>
      <c r="H23" s="533">
        <v>1</v>
      </c>
      <c r="I23" s="534">
        <f>VLOOKUP(B23,'MÃO DE OBRA'!$A:$E,5,FALSE)/220</f>
        <v>18.377072727272729</v>
      </c>
      <c r="J23" s="505">
        <f t="shared" si="1"/>
        <v>18.377072727272729</v>
      </c>
      <c r="K23" s="471"/>
    </row>
    <row r="24" spans="1:11">
      <c r="A24" s="463"/>
      <c r="B24" s="530" t="s">
        <v>534</v>
      </c>
      <c r="C24" s="531"/>
      <c r="D24" s="472"/>
      <c r="E24" s="500"/>
      <c r="F24" s="501"/>
      <c r="G24" s="532"/>
      <c r="H24" s="533">
        <v>1</v>
      </c>
      <c r="I24" s="534">
        <f>VLOOKUP(B24,'MÃO DE OBRA'!$A:$E,5,FALSE)/220</f>
        <v>21.588799999999999</v>
      </c>
      <c r="J24" s="505">
        <f t="shared" si="1"/>
        <v>21.588799999999999</v>
      </c>
      <c r="K24" s="471"/>
    </row>
    <row r="25" spans="1:11" hidden="1">
      <c r="A25" s="463"/>
      <c r="B25" s="530" t="s">
        <v>479</v>
      </c>
      <c r="C25" s="531"/>
      <c r="D25" s="472"/>
      <c r="E25" s="500"/>
      <c r="F25" s="501"/>
      <c r="G25" s="532"/>
      <c r="H25" s="533"/>
      <c r="I25" s="534">
        <f>VLOOKUP(B25,'MÃO DE OBRA'!$A:$E,5,FALSE)/220</f>
        <v>25.789327272727274</v>
      </c>
      <c r="J25" s="505">
        <f t="shared" si="1"/>
        <v>0</v>
      </c>
      <c r="K25" s="471"/>
    </row>
    <row r="26" spans="1:11">
      <c r="A26" s="463"/>
      <c r="B26" s="530"/>
      <c r="C26" s="531"/>
      <c r="D26" s="472"/>
      <c r="E26" s="500"/>
      <c r="F26" s="501"/>
      <c r="G26" s="532"/>
      <c r="H26" s="533"/>
      <c r="I26" s="504"/>
      <c r="J26" s="505"/>
      <c r="K26" s="471"/>
    </row>
    <row r="27" spans="1:11">
      <c r="A27" s="463"/>
      <c r="B27" s="530"/>
      <c r="C27" s="531"/>
      <c r="D27" s="472"/>
      <c r="E27" s="500"/>
      <c r="F27" s="501"/>
      <c r="G27" s="532"/>
      <c r="H27" s="533"/>
      <c r="I27" s="504"/>
      <c r="J27" s="505">
        <f>H27*I27</f>
        <v>0</v>
      </c>
      <c r="K27" s="471"/>
    </row>
    <row r="28" spans="1:11">
      <c r="A28" s="463"/>
      <c r="B28" s="512" t="s">
        <v>946</v>
      </c>
      <c r="C28" s="515"/>
      <c r="D28" s="515"/>
      <c r="E28" s="515"/>
      <c r="F28" s="515"/>
      <c r="G28" s="515"/>
      <c r="H28" s="515"/>
      <c r="I28" s="535" t="s">
        <v>175</v>
      </c>
      <c r="J28" s="514">
        <f>SUM(J19:J27)</f>
        <v>106.83347272727272</v>
      </c>
      <c r="K28" s="471"/>
    </row>
    <row r="29" spans="1:11">
      <c r="A29" s="463"/>
      <c r="B29" s="536"/>
      <c r="C29" s="536"/>
      <c r="D29" s="536"/>
      <c r="E29" s="536"/>
      <c r="F29" s="536"/>
      <c r="G29" s="536"/>
      <c r="H29" s="536"/>
      <c r="I29" s="537"/>
      <c r="J29" s="536"/>
      <c r="K29" s="471"/>
    </row>
    <row r="30" spans="1:11">
      <c r="A30" s="463"/>
      <c r="B30" s="538" t="s">
        <v>952</v>
      </c>
      <c r="C30" s="539"/>
      <c r="D30" s="536"/>
      <c r="E30" s="540">
        <f>PRODUÇÕES!D29</f>
        <v>900</v>
      </c>
      <c r="F30" s="541" t="s">
        <v>203</v>
      </c>
      <c r="G30" s="519"/>
      <c r="H30" s="519"/>
      <c r="I30" s="542" t="s">
        <v>953</v>
      </c>
      <c r="J30" s="514">
        <f>J16+J28</f>
        <v>531.3862505050505</v>
      </c>
      <c r="K30" s="471"/>
    </row>
    <row r="31" spans="1:11">
      <c r="A31" s="463"/>
      <c r="B31" s="543"/>
      <c r="C31" s="536"/>
      <c r="D31" s="536"/>
      <c r="E31" s="544"/>
      <c r="F31" s="545"/>
      <c r="G31" s="545"/>
      <c r="H31" s="545"/>
      <c r="I31" s="537"/>
      <c r="J31" s="536"/>
      <c r="K31" s="471"/>
    </row>
    <row r="32" spans="1:11" ht="20.399999999999999">
      <c r="A32" s="463"/>
      <c r="B32" s="1493" t="s">
        <v>362</v>
      </c>
      <c r="C32" s="1494"/>
      <c r="D32" s="1494"/>
      <c r="E32" s="1495"/>
      <c r="F32" s="546" t="s">
        <v>688</v>
      </c>
      <c r="G32" s="547" t="s">
        <v>371</v>
      </c>
      <c r="H32" s="520" t="s">
        <v>942</v>
      </c>
      <c r="I32" s="548" t="s">
        <v>361</v>
      </c>
      <c r="J32" s="549" t="s">
        <v>363</v>
      </c>
      <c r="K32" s="471"/>
    </row>
    <row r="33" spans="1:11">
      <c r="A33" s="463"/>
      <c r="B33" s="550" t="str">
        <f>B9</f>
        <v>Trator de pneus com grade</v>
      </c>
      <c r="C33" s="551"/>
      <c r="D33" s="551"/>
      <c r="E33" s="552"/>
      <c r="F33" s="553" t="str">
        <f>VLOOKUP(B33,EQUIPAMENTOS!$A:$N,12,FALSE)</f>
        <v>Diesel S10</v>
      </c>
      <c r="G33" s="554" t="s">
        <v>415</v>
      </c>
      <c r="H33" s="560">
        <f>VLOOKUP(B33,EQUIPAMENTOS!$A:$N,13,FALSE)</f>
        <v>0</v>
      </c>
      <c r="I33" s="556">
        <f>VLOOKUP(B33,EQUIPAMENTOS!$A:$N,14,FALSE)</f>
        <v>18</v>
      </c>
      <c r="J33" s="505">
        <f>H33*I33*E9*F9</f>
        <v>0</v>
      </c>
      <c r="K33" s="471"/>
    </row>
    <row r="34" spans="1:11">
      <c r="A34" s="463"/>
      <c r="B34" s="550" t="str">
        <f>B12</f>
        <v>Caminhão espargidor</v>
      </c>
      <c r="C34" s="531"/>
      <c r="D34" s="531"/>
      <c r="E34" s="500"/>
      <c r="F34" s="553" t="str">
        <f>VLOOKUP(B34,EQUIPAMENTOS!$A:$N,12,FALSE)</f>
        <v>Diesel S10</v>
      </c>
      <c r="G34" s="554" t="s">
        <v>415</v>
      </c>
      <c r="H34" s="560">
        <f>VLOOKUP(B34,EQUIPAMENTOS!$A:$N,13,FALSE)</f>
        <v>0</v>
      </c>
      <c r="I34" s="556">
        <f>VLOOKUP(B34,EQUIPAMENTOS!$A:$N,14,FALSE)</f>
        <v>8</v>
      </c>
      <c r="J34" s="505">
        <f>H34*I34*E12*F12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SUM(J33:J36)</f>
        <v>0</v>
      </c>
      <c r="K37" s="471"/>
    </row>
    <row r="38" spans="1:11">
      <c r="A38" s="463"/>
      <c r="B38" s="566"/>
      <c r="C38" s="539"/>
      <c r="D38" s="539"/>
      <c r="E38" s="567"/>
      <c r="F38" s="568"/>
      <c r="G38" s="519"/>
      <c r="H38" s="519"/>
      <c r="I38" s="542"/>
      <c r="J38" s="567"/>
      <c r="K38" s="471"/>
    </row>
    <row r="39" spans="1:11" ht="20.399999999999999">
      <c r="A39" s="463"/>
      <c r="B39" s="1493" t="s">
        <v>955</v>
      </c>
      <c r="C39" s="1494"/>
      <c r="D39" s="1494"/>
      <c r="E39" s="1494"/>
      <c r="F39" s="1495"/>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496" t="s">
        <v>175</v>
      </c>
      <c r="C42" s="1496"/>
      <c r="D42" s="1496"/>
      <c r="E42" s="1496"/>
      <c r="F42" s="1496"/>
      <c r="G42" s="1496"/>
      <c r="H42" s="1496"/>
      <c r="I42" s="1496"/>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(J30+J37+J42)/E30</f>
        <v>0.5904291672278339</v>
      </c>
      <c r="K44" s="471"/>
    </row>
    <row r="45" spans="1:11">
      <c r="A45" s="463"/>
      <c r="B45" s="566"/>
      <c r="C45" s="539"/>
      <c r="D45" s="539"/>
      <c r="E45" s="567"/>
      <c r="F45" s="568"/>
      <c r="G45" s="519"/>
      <c r="H45" s="519"/>
      <c r="I45" s="542"/>
      <c r="J45" s="589"/>
      <c r="K45" s="471"/>
    </row>
    <row r="46" spans="1:11" ht="20.399999999999999">
      <c r="A46" s="463"/>
      <c r="B46" s="1493" t="s">
        <v>958</v>
      </c>
      <c r="C46" s="1494"/>
      <c r="D46" s="1494"/>
      <c r="E46" s="1494"/>
      <c r="F46" s="1495"/>
      <c r="G46" s="569" t="s">
        <v>372</v>
      </c>
      <c r="H46" s="519" t="s">
        <v>956</v>
      </c>
      <c r="I46" s="570" t="s">
        <v>942</v>
      </c>
      <c r="J46" s="522" t="s">
        <v>363</v>
      </c>
      <c r="K46" s="471"/>
    </row>
    <row r="47" spans="1:11">
      <c r="A47" s="463"/>
      <c r="B47" s="571" t="s">
        <v>1057</v>
      </c>
      <c r="C47" s="572"/>
      <c r="D47" s="573"/>
      <c r="E47" s="573"/>
      <c r="F47" s="574"/>
      <c r="G47" s="502">
        <v>1.2</v>
      </c>
      <c r="H47" s="502" t="s">
        <v>203</v>
      </c>
      <c r="I47" s="575">
        <f>3410/1000</f>
        <v>3.41</v>
      </c>
      <c r="J47" s="505">
        <f>G47*I47</f>
        <v>4.0919999999999996</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4.0919999999999996</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c r="C54" s="577"/>
      <c r="D54" s="578"/>
      <c r="E54" s="579"/>
      <c r="F54" s="502"/>
      <c r="G54" s="502"/>
      <c r="H54" s="502"/>
      <c r="I54" s="575"/>
      <c r="J54" s="505">
        <f>I54*H54*G54*F54</f>
        <v>0</v>
      </c>
      <c r="K54" s="471"/>
    </row>
    <row r="55" spans="1:11">
      <c r="A55" s="463"/>
      <c r="B55" s="576"/>
      <c r="C55" s="577"/>
      <c r="D55" s="578"/>
      <c r="E55" s="579"/>
      <c r="F55" s="502"/>
      <c r="G55" s="502"/>
      <c r="H55" s="502"/>
      <c r="I55" s="575"/>
      <c r="J55" s="505">
        <f>I55*H55*G55*F55</f>
        <v>0</v>
      </c>
      <c r="K55" s="471"/>
    </row>
    <row r="56" spans="1:11">
      <c r="A56" s="463"/>
      <c r="B56" s="590"/>
      <c r="C56" s="591"/>
      <c r="D56" s="592"/>
      <c r="E56" s="593"/>
      <c r="F56" s="509"/>
      <c r="G56" s="509"/>
      <c r="H56" s="509"/>
      <c r="I56" s="601"/>
      <c r="J56" s="505">
        <f>I56*H56*G56*F56</f>
        <v>0</v>
      </c>
      <c r="K56" s="471"/>
    </row>
    <row r="57" spans="1:11">
      <c r="A57" s="463"/>
      <c r="B57" s="594"/>
      <c r="C57" s="536"/>
      <c r="D57" s="536"/>
      <c r="E57" s="595"/>
      <c r="F57" s="596"/>
      <c r="G57" s="545"/>
      <c r="H57" s="545"/>
      <c r="I57" s="537" t="s">
        <v>175</v>
      </c>
      <c r="J57" s="514">
        <f>SUM(J54:J56)</f>
        <v>0</v>
      </c>
      <c r="K57" s="471"/>
    </row>
    <row r="58" spans="1:11">
      <c r="A58" s="463"/>
      <c r="B58" s="536"/>
      <c r="C58" s="536"/>
      <c r="D58" s="536"/>
      <c r="E58" s="536"/>
      <c r="F58" s="536"/>
      <c r="G58" s="536"/>
      <c r="H58" s="536"/>
      <c r="I58" s="537"/>
      <c r="J58" s="536"/>
      <c r="K58" s="471"/>
    </row>
    <row r="59" spans="1:11">
      <c r="A59" s="463"/>
      <c r="B59" s="1481" t="s">
        <v>961</v>
      </c>
      <c r="C59" s="1482"/>
      <c r="D59" s="1482"/>
      <c r="E59" s="1482"/>
      <c r="F59" s="1482"/>
      <c r="G59" s="1482"/>
      <c r="H59" s="1482"/>
      <c r="I59" s="1483"/>
      <c r="J59" s="586">
        <f>J57+J51+J44</f>
        <v>4.6824291672278333</v>
      </c>
      <c r="K59" s="471"/>
    </row>
    <row r="60" spans="1:11">
      <c r="A60" s="463"/>
      <c r="B60" s="536"/>
      <c r="C60" s="536"/>
      <c r="D60" s="536"/>
      <c r="E60" s="536"/>
      <c r="F60" s="536"/>
      <c r="G60" s="536"/>
      <c r="H60" s="536"/>
      <c r="I60" s="537"/>
      <c r="J60" s="536"/>
      <c r="K60" s="471"/>
    </row>
    <row r="61" spans="1:11">
      <c r="A61" s="463"/>
      <c r="B61" s="1481" t="s">
        <v>962</v>
      </c>
      <c r="C61" s="1482"/>
      <c r="D61" s="1482"/>
      <c r="E61" s="1482"/>
      <c r="F61" s="1482"/>
      <c r="G61" s="1482"/>
      <c r="H61" s="1482"/>
      <c r="I61" s="1483"/>
      <c r="J61" s="514">
        <f>J59*0</f>
        <v>0</v>
      </c>
      <c r="K61" s="471"/>
    </row>
    <row r="62" spans="1:11">
      <c r="A62" s="463"/>
      <c r="B62" s="536"/>
      <c r="C62" s="536"/>
      <c r="D62" s="536"/>
      <c r="E62" s="536"/>
      <c r="F62" s="536"/>
      <c r="G62" s="536"/>
      <c r="H62" s="536"/>
      <c r="I62" s="537"/>
      <c r="J62" s="536"/>
      <c r="K62" s="471"/>
    </row>
    <row r="63" spans="1:11">
      <c r="A63" s="463"/>
      <c r="B63" s="1481" t="s">
        <v>963</v>
      </c>
      <c r="C63" s="1482"/>
      <c r="D63" s="1482"/>
      <c r="E63" s="1482"/>
      <c r="F63" s="1482"/>
      <c r="G63" s="1482"/>
      <c r="H63" s="1482"/>
      <c r="I63" s="1483"/>
      <c r="J63" s="586">
        <f>J59+J61</f>
        <v>4.6824291672278333</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484" t="s">
        <v>964</v>
      </c>
      <c r="H69" s="1485"/>
      <c r="I69" s="1485"/>
      <c r="J69" s="1486"/>
      <c r="K69" s="471"/>
    </row>
    <row r="70" spans="1:11">
      <c r="A70" s="463"/>
      <c r="B70" s="617"/>
      <c r="C70" s="618"/>
      <c r="D70" s="618"/>
      <c r="E70" s="618"/>
      <c r="F70" s="619"/>
      <c r="G70" s="620"/>
      <c r="H70" s="1487"/>
      <c r="I70" s="1488"/>
      <c r="J70" s="1489"/>
      <c r="K70" s="471"/>
    </row>
    <row r="71" spans="1:11" ht="15" thickBot="1">
      <c r="A71" s="621"/>
      <c r="B71" s="622"/>
      <c r="C71" s="622"/>
      <c r="D71" s="622"/>
      <c r="E71" s="622"/>
      <c r="F71" s="622"/>
      <c r="G71" s="622"/>
      <c r="H71" s="622"/>
      <c r="I71" s="622"/>
      <c r="J71" s="622"/>
      <c r="K71" s="623"/>
    </row>
  </sheetData>
  <mergeCells count="14">
    <mergeCell ref="B32:E32"/>
    <mergeCell ref="D4:I4"/>
    <mergeCell ref="B7:C8"/>
    <mergeCell ref="D7:D8"/>
    <mergeCell ref="E7:E8"/>
    <mergeCell ref="B18:E18"/>
    <mergeCell ref="G69:J69"/>
    <mergeCell ref="H70:J70"/>
    <mergeCell ref="B39:F39"/>
    <mergeCell ref="B42:I42"/>
    <mergeCell ref="B46:F46"/>
    <mergeCell ref="B59:I59"/>
    <mergeCell ref="B61:I61"/>
    <mergeCell ref="B63:I63"/>
  </mergeCells>
  <pageMargins left="0.511811024" right="0.511811024" top="0.78740157499999996" bottom="0.78740157499999996" header="0.31496062000000002" footer="0.31496062000000002"/>
  <pageSetup paperSize="9" scale="65"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B5C06-7859-477C-A5BC-97E6270676C0}">
  <sheetPr codeName="Planilha49">
    <tabColor rgb="FFFFFF66"/>
  </sheetPr>
  <dimension ref="A1:K79"/>
  <sheetViews>
    <sheetView view="pageBreakPreview" topLeftCell="A48" zoomScaleNormal="100" zoomScaleSheetLayoutView="100" workbookViewId="0">
      <selection activeCell="B55" sqref="B55:I57"/>
    </sheetView>
  </sheetViews>
  <sheetFormatPr defaultRowHeight="14.4"/>
  <cols>
    <col min="1" max="1" width="2.109375" customWidth="1"/>
    <col min="3" max="3" width="24.5546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497" t="s">
        <v>250</v>
      </c>
      <c r="E4" s="1498"/>
      <c r="F4" s="1498"/>
      <c r="G4" s="1498"/>
      <c r="H4" s="1498"/>
      <c r="I4" s="1499"/>
      <c r="J4" s="475" t="s">
        <v>267</v>
      </c>
      <c r="K4" s="471"/>
    </row>
    <row r="5" spans="1:11">
      <c r="A5" s="463"/>
      <c r="B5" s="476" t="s">
        <v>3</v>
      </c>
      <c r="C5" s="477">
        <f ca="1">PLANEJAMENTO!F4</f>
        <v>46140</v>
      </c>
      <c r="D5" s="478" t="s">
        <v>935</v>
      </c>
      <c r="E5" s="479"/>
      <c r="F5" s="479"/>
      <c r="G5" s="479"/>
      <c r="H5" s="479"/>
      <c r="I5" s="480"/>
      <c r="J5" s="481" t="str">
        <f>F33</f>
        <v>m²</v>
      </c>
      <c r="K5" s="471"/>
    </row>
    <row r="6" spans="1:11">
      <c r="A6" s="463"/>
      <c r="B6" s="482"/>
      <c r="C6" s="482"/>
      <c r="D6" s="482"/>
      <c r="E6" s="482"/>
      <c r="F6" s="482"/>
      <c r="G6" s="482"/>
      <c r="H6" s="482"/>
      <c r="I6" s="483"/>
      <c r="J6" s="484"/>
      <c r="K6" s="471"/>
    </row>
    <row r="7" spans="1:11">
      <c r="A7" s="463"/>
      <c r="B7" s="1484" t="s">
        <v>938</v>
      </c>
      <c r="C7" s="1486"/>
      <c r="D7" s="1502" t="s">
        <v>688</v>
      </c>
      <c r="E7" s="1504" t="s">
        <v>939</v>
      </c>
      <c r="F7" s="485" t="s">
        <v>940</v>
      </c>
      <c r="G7" s="486"/>
      <c r="H7" s="485" t="s">
        <v>941</v>
      </c>
      <c r="I7" s="486"/>
      <c r="J7" s="487" t="s">
        <v>942</v>
      </c>
      <c r="K7" s="471"/>
    </row>
    <row r="8" spans="1:11">
      <c r="A8" s="463"/>
      <c r="B8" s="1500"/>
      <c r="C8" s="1501"/>
      <c r="D8" s="1503"/>
      <c r="E8" s="1505"/>
      <c r="F8" s="488" t="s">
        <v>943</v>
      </c>
      <c r="G8" s="488" t="s">
        <v>944</v>
      </c>
      <c r="H8" s="488" t="s">
        <v>943</v>
      </c>
      <c r="I8" s="489" t="s">
        <v>944</v>
      </c>
      <c r="J8" s="490" t="s">
        <v>945</v>
      </c>
      <c r="K8" s="471"/>
    </row>
    <row r="9" spans="1:11">
      <c r="A9" s="463"/>
      <c r="B9" s="644" t="s">
        <v>667</v>
      </c>
      <c r="C9" s="492"/>
      <c r="D9" s="645"/>
      <c r="E9" s="494">
        <v>1</v>
      </c>
      <c r="F9" s="494">
        <v>1</v>
      </c>
      <c r="G9" s="495">
        <f>1-F9</f>
        <v>0</v>
      </c>
      <c r="H9" s="496">
        <f>VLOOKUP(B9,EQUIPAMENTOS!$A:$J,10,FALSE)</f>
        <v>134.05277777777778</v>
      </c>
      <c r="I9" s="497">
        <f>H9</f>
        <v>134.05277777777778</v>
      </c>
      <c r="J9" s="498">
        <f>H9*F9*E9+I9*G9*E9</f>
        <v>134.05277777777778</v>
      </c>
      <c r="K9" s="471"/>
    </row>
    <row r="10" spans="1:11">
      <c r="A10" s="463"/>
      <c r="B10" s="499" t="s">
        <v>647</v>
      </c>
      <c r="C10" s="500"/>
      <c r="D10" s="501"/>
      <c r="E10" s="502">
        <v>1</v>
      </c>
      <c r="F10" s="502">
        <v>1</v>
      </c>
      <c r="G10" s="502">
        <f>1-F10</f>
        <v>0</v>
      </c>
      <c r="H10" s="503">
        <f>VLOOKUP(B10,EQUIPAMENTOS!$A:$J,10,FALSE)</f>
        <v>192.58333333333334</v>
      </c>
      <c r="I10" s="504">
        <f>H10</f>
        <v>192.58333333333334</v>
      </c>
      <c r="J10" s="505">
        <f t="shared" ref="J10:J16" si="0">H10*F10*E10+I10*G10*E10</f>
        <v>192.58333333333334</v>
      </c>
      <c r="K10" s="471"/>
    </row>
    <row r="11" spans="1:11">
      <c r="A11" s="463"/>
      <c r="B11" s="499" t="s">
        <v>1058</v>
      </c>
      <c r="C11" s="500"/>
      <c r="D11" s="501"/>
      <c r="E11" s="502">
        <v>1</v>
      </c>
      <c r="F11" s="502">
        <v>1</v>
      </c>
      <c r="G11" s="502">
        <f t="shared" ref="G11:G16" si="1">1-F11</f>
        <v>0</v>
      </c>
      <c r="H11" s="503">
        <f>VLOOKUP(B11,EQUIPAMENTOS!$A:$J,10,FALSE)</f>
        <v>159.49166666666667</v>
      </c>
      <c r="I11" s="504">
        <f t="shared" ref="I11:I16" si="2">H11</f>
        <v>159.49166666666667</v>
      </c>
      <c r="J11" s="505">
        <f t="shared" si="0"/>
        <v>159.49166666666667</v>
      </c>
      <c r="K11" s="471"/>
    </row>
    <row r="12" spans="1:11">
      <c r="A12" s="463"/>
      <c r="B12" s="499" t="s">
        <v>1056</v>
      </c>
      <c r="C12" s="500"/>
      <c r="D12" s="501"/>
      <c r="E12" s="502">
        <v>1</v>
      </c>
      <c r="F12" s="502">
        <v>1</v>
      </c>
      <c r="G12" s="502">
        <f t="shared" si="1"/>
        <v>0</v>
      </c>
      <c r="H12" s="503">
        <f>VLOOKUP(B12,EQUIPAMENTOS!$A:$J,10,FALSE)</f>
        <v>17.5</v>
      </c>
      <c r="I12" s="504">
        <f t="shared" si="2"/>
        <v>17.5</v>
      </c>
      <c r="J12" s="505">
        <f t="shared" si="0"/>
        <v>17.5</v>
      </c>
      <c r="K12" s="471"/>
    </row>
    <row r="13" spans="1:11">
      <c r="A13" s="463"/>
      <c r="B13" s="499" t="s">
        <v>663</v>
      </c>
      <c r="C13" s="500"/>
      <c r="D13" s="501"/>
      <c r="E13" s="502">
        <v>1</v>
      </c>
      <c r="F13" s="502">
        <v>1</v>
      </c>
      <c r="G13" s="502">
        <f t="shared" si="1"/>
        <v>0</v>
      </c>
      <c r="H13" s="503">
        <f>VLOOKUP(B13,EQUIPAMENTOS!$A:$J,10,FALSE)</f>
        <v>10</v>
      </c>
      <c r="I13" s="504">
        <f t="shared" si="2"/>
        <v>10</v>
      </c>
      <c r="J13" s="505">
        <f t="shared" si="0"/>
        <v>10</v>
      </c>
      <c r="K13" s="471"/>
    </row>
    <row r="14" spans="1:11">
      <c r="A14" s="463"/>
      <c r="B14" s="499" t="s">
        <v>1059</v>
      </c>
      <c r="C14" s="500"/>
      <c r="D14" s="501"/>
      <c r="E14" s="502">
        <v>1</v>
      </c>
      <c r="F14" s="502">
        <v>1</v>
      </c>
      <c r="G14" s="502">
        <f t="shared" si="1"/>
        <v>0</v>
      </c>
      <c r="H14" s="503">
        <f>VLOOKUP(B14,EQUIPAMENTOS!$A:$J,10,FALSE)</f>
        <v>263</v>
      </c>
      <c r="I14" s="504">
        <f t="shared" si="2"/>
        <v>263</v>
      </c>
      <c r="J14" s="505">
        <f t="shared" si="0"/>
        <v>263</v>
      </c>
      <c r="K14" s="471"/>
    </row>
    <row r="15" spans="1:11">
      <c r="A15" s="463"/>
      <c r="B15" s="499" t="str">
        <f>EQUIPAMENTOS!A4</f>
        <v>Caminhão basculante 14 m³</v>
      </c>
      <c r="C15" s="500"/>
      <c r="D15" s="501"/>
      <c r="E15" s="502">
        <v>3</v>
      </c>
      <c r="F15" s="502">
        <v>1</v>
      </c>
      <c r="G15" s="502">
        <f t="shared" si="1"/>
        <v>0</v>
      </c>
      <c r="H15" s="503">
        <f>VLOOKUP(B15,EQUIPAMENTOS!$A:$J,10,FALSE)</f>
        <v>125</v>
      </c>
      <c r="I15" s="504">
        <f t="shared" si="2"/>
        <v>125</v>
      </c>
      <c r="J15" s="505">
        <f>H15*F15*E15+I15*G15*E15</f>
        <v>375</v>
      </c>
      <c r="K15" s="471"/>
    </row>
    <row r="16" spans="1:11">
      <c r="A16" s="463"/>
      <c r="B16" s="506" t="s">
        <v>661</v>
      </c>
      <c r="C16" s="507"/>
      <c r="D16" s="508"/>
      <c r="E16" s="509">
        <v>1</v>
      </c>
      <c r="F16" s="509">
        <v>1</v>
      </c>
      <c r="G16" s="509">
        <f t="shared" si="1"/>
        <v>0</v>
      </c>
      <c r="H16" s="510">
        <f>VLOOKUP(B16,EQUIPAMENTOS!$A:$J,10,FALSE)</f>
        <v>17.5</v>
      </c>
      <c r="I16" s="511">
        <f t="shared" si="2"/>
        <v>17.5</v>
      </c>
      <c r="J16" s="562">
        <f t="shared" si="0"/>
        <v>17.5</v>
      </c>
      <c r="K16" s="471"/>
    </row>
    <row r="17" spans="1:11">
      <c r="A17" s="463"/>
      <c r="B17" s="506" t="s">
        <v>946</v>
      </c>
      <c r="C17" s="482"/>
      <c r="D17" s="482"/>
      <c r="E17" s="482"/>
      <c r="F17" s="482"/>
      <c r="G17" s="482"/>
      <c r="H17" s="482"/>
      <c r="I17" s="513" t="s">
        <v>175</v>
      </c>
      <c r="J17" s="562">
        <f>SUM(J9:J16)</f>
        <v>1169.1277777777777</v>
      </c>
      <c r="K17" s="471"/>
    </row>
    <row r="18" spans="1:11">
      <c r="A18" s="463"/>
      <c r="B18" s="515"/>
      <c r="C18" s="515"/>
      <c r="D18" s="515"/>
      <c r="E18" s="515"/>
      <c r="F18" s="515"/>
      <c r="G18" s="515"/>
      <c r="H18" s="515"/>
      <c r="I18" s="516"/>
      <c r="J18" s="517"/>
      <c r="K18" s="471"/>
    </row>
    <row r="19" spans="1:11" ht="20.399999999999999">
      <c r="A19" s="463"/>
      <c r="B19" s="1490" t="s">
        <v>947</v>
      </c>
      <c r="C19" s="1491"/>
      <c r="D19" s="1491"/>
      <c r="E19" s="1492"/>
      <c r="F19" s="518" t="s">
        <v>688</v>
      </c>
      <c r="G19" s="519"/>
      <c r="H19" s="520" t="s">
        <v>427</v>
      </c>
      <c r="I19" s="521" t="s">
        <v>948</v>
      </c>
      <c r="J19" s="522" t="s">
        <v>949</v>
      </c>
      <c r="K19" s="471"/>
    </row>
    <row r="20" spans="1:11">
      <c r="A20" s="463"/>
      <c r="B20" s="523"/>
      <c r="C20" s="524"/>
      <c r="D20" s="525"/>
      <c r="E20" s="526"/>
      <c r="F20" s="527"/>
      <c r="G20" s="528"/>
      <c r="H20" s="529"/>
      <c r="I20" s="497"/>
      <c r="J20" s="498"/>
      <c r="K20" s="471"/>
    </row>
    <row r="21" spans="1:11">
      <c r="A21" s="463"/>
      <c r="B21" s="530" t="s">
        <v>1035</v>
      </c>
      <c r="C21" s="531"/>
      <c r="D21" s="472"/>
      <c r="E21" s="500"/>
      <c r="F21" s="501"/>
      <c r="G21" s="532"/>
      <c r="H21" s="533">
        <f>E9</f>
        <v>1</v>
      </c>
      <c r="I21" s="534">
        <f>VLOOKUP(B21,'MÃO DE OBRA'!$A:$E,5,FALSE)/220</f>
        <v>21.588799999999999</v>
      </c>
      <c r="J21" s="505">
        <f t="shared" ref="J21:J28" si="3">H21*I21</f>
        <v>21.588799999999999</v>
      </c>
      <c r="K21" s="471"/>
    </row>
    <row r="22" spans="1:11">
      <c r="A22" s="463"/>
      <c r="B22" s="530" t="s">
        <v>951</v>
      </c>
      <c r="C22" s="531"/>
      <c r="D22" s="472"/>
      <c r="E22" s="500"/>
      <c r="F22" s="501"/>
      <c r="G22" s="532"/>
      <c r="H22" s="533">
        <f>E10</f>
        <v>1</v>
      </c>
      <c r="I22" s="534">
        <f>VLOOKUP(B22,'MÃO DE OBRA'!$A:$E,5,FALSE)/220</f>
        <v>26.270618181818183</v>
      </c>
      <c r="J22" s="505">
        <f t="shared" si="3"/>
        <v>26.270618181818183</v>
      </c>
      <c r="K22" s="471"/>
    </row>
    <row r="23" spans="1:11">
      <c r="A23" s="463"/>
      <c r="B23" s="530" t="s">
        <v>969</v>
      </c>
      <c r="C23" s="531"/>
      <c r="D23" s="472"/>
      <c r="E23" s="500"/>
      <c r="F23" s="501"/>
      <c r="G23" s="532"/>
      <c r="H23" s="533">
        <f>E11</f>
        <v>1</v>
      </c>
      <c r="I23" s="534">
        <f>VLOOKUP(B23,'MÃO DE OBRA'!$A:$E,5,FALSE)/220</f>
        <v>21.588799999999999</v>
      </c>
      <c r="J23" s="505">
        <f t="shared" si="3"/>
        <v>21.588799999999999</v>
      </c>
      <c r="K23" s="471"/>
    </row>
    <row r="24" spans="1:11">
      <c r="A24" s="463"/>
      <c r="B24" s="530" t="s">
        <v>558</v>
      </c>
      <c r="C24" s="531"/>
      <c r="D24" s="472"/>
      <c r="E24" s="500"/>
      <c r="F24" s="501"/>
      <c r="G24" s="532"/>
      <c r="H24" s="533">
        <f>E14</f>
        <v>1</v>
      </c>
      <c r="I24" s="534">
        <f>VLOOKUP(B24,'MÃO DE OBRA'!$A:$E,5,FALSE)/220</f>
        <v>21.588799999999999</v>
      </c>
      <c r="J24" s="505">
        <f t="shared" si="3"/>
        <v>21.588799999999999</v>
      </c>
      <c r="K24" s="471"/>
    </row>
    <row r="25" spans="1:11">
      <c r="A25" s="463"/>
      <c r="B25" s="530" t="s">
        <v>1060</v>
      </c>
      <c r="C25" s="531"/>
      <c r="D25" s="472"/>
      <c r="E25" s="500"/>
      <c r="F25" s="501"/>
      <c r="G25" s="532"/>
      <c r="H25" s="533">
        <f>E14</f>
        <v>1</v>
      </c>
      <c r="I25" s="534">
        <f>I26</f>
        <v>26.714454545454547</v>
      </c>
      <c r="J25" s="505">
        <f t="shared" si="3"/>
        <v>26.714454545454547</v>
      </c>
      <c r="K25" s="471"/>
    </row>
    <row r="26" spans="1:11">
      <c r="A26" s="463"/>
      <c r="B26" s="530" t="s">
        <v>950</v>
      </c>
      <c r="C26" s="531"/>
      <c r="D26" s="472"/>
      <c r="E26" s="500"/>
      <c r="F26" s="501"/>
      <c r="G26" s="532"/>
      <c r="H26" s="533">
        <f>E15</f>
        <v>3</v>
      </c>
      <c r="I26" s="534">
        <f>VLOOKUP(B26,'MÃO DE OBRA'!$A:$E,5,FALSE)/220</f>
        <v>26.714454545454547</v>
      </c>
      <c r="J26" s="505">
        <f t="shared" si="3"/>
        <v>80.143363636363645</v>
      </c>
      <c r="K26" s="471"/>
    </row>
    <row r="27" spans="1:11">
      <c r="A27" s="463"/>
      <c r="B27" s="530" t="s">
        <v>472</v>
      </c>
      <c r="C27" s="531"/>
      <c r="D27" s="472"/>
      <c r="E27" s="500"/>
      <c r="F27" s="501"/>
      <c r="G27" s="532"/>
      <c r="H27" s="533">
        <v>8</v>
      </c>
      <c r="I27" s="534">
        <f>VLOOKUP(B27,'MÃO DE OBRA'!$A:$E,5,FALSE)/220</f>
        <v>18.377072727272729</v>
      </c>
      <c r="J27" s="505">
        <f t="shared" si="3"/>
        <v>147.01658181818183</v>
      </c>
      <c r="K27" s="471"/>
    </row>
    <row r="28" spans="1:11" hidden="1">
      <c r="A28" s="463"/>
      <c r="B28" s="530" t="s">
        <v>479</v>
      </c>
      <c r="C28" s="531"/>
      <c r="D28" s="472"/>
      <c r="E28" s="500"/>
      <c r="F28" s="501"/>
      <c r="G28" s="532"/>
      <c r="H28" s="533"/>
      <c r="I28" s="534">
        <f>VLOOKUP(B28,'MÃO DE OBRA'!$A:$E,5,FALSE)/220</f>
        <v>25.789327272727274</v>
      </c>
      <c r="J28" s="505">
        <f t="shared" si="3"/>
        <v>0</v>
      </c>
      <c r="K28" s="471"/>
    </row>
    <row r="29" spans="1:11">
      <c r="A29" s="463"/>
      <c r="B29" s="530"/>
      <c r="C29" s="531"/>
      <c r="D29" s="472"/>
      <c r="E29" s="500"/>
      <c r="F29" s="501"/>
      <c r="G29" s="532"/>
      <c r="H29" s="533"/>
      <c r="I29" s="504"/>
      <c r="J29" s="505"/>
      <c r="K29" s="471"/>
    </row>
    <row r="30" spans="1:11">
      <c r="A30" s="463"/>
      <c r="B30" s="530"/>
      <c r="C30" s="531"/>
      <c r="D30" s="472"/>
      <c r="E30" s="500"/>
      <c r="F30" s="501"/>
      <c r="G30" s="532"/>
      <c r="H30" s="533"/>
      <c r="I30" s="504"/>
      <c r="J30" s="505">
        <f>H30*I30</f>
        <v>0</v>
      </c>
      <c r="K30" s="471"/>
    </row>
    <row r="31" spans="1:11">
      <c r="A31" s="463"/>
      <c r="B31" s="512" t="s">
        <v>946</v>
      </c>
      <c r="C31" s="515"/>
      <c r="D31" s="515"/>
      <c r="E31" s="515"/>
      <c r="F31" s="515"/>
      <c r="G31" s="515"/>
      <c r="H31" s="515"/>
      <c r="I31" s="535" t="s">
        <v>175</v>
      </c>
      <c r="J31" s="514">
        <f>SUM(J20:J30)</f>
        <v>344.91141818181825</v>
      </c>
      <c r="K31" s="471"/>
    </row>
    <row r="32" spans="1:11">
      <c r="A32" s="463"/>
      <c r="B32" s="536"/>
      <c r="C32" s="536"/>
      <c r="D32" s="536"/>
      <c r="E32" s="536"/>
      <c r="F32" s="536"/>
      <c r="G32" s="536"/>
      <c r="H32" s="536"/>
      <c r="I32" s="537"/>
      <c r="J32" s="536"/>
      <c r="K32" s="471"/>
    </row>
    <row r="33" spans="1:11">
      <c r="A33" s="463"/>
      <c r="B33" s="538" t="s">
        <v>952</v>
      </c>
      <c r="C33" s="539"/>
      <c r="D33" s="536"/>
      <c r="E33" s="540">
        <f>PRODUÇÕES!D35</f>
        <v>277</v>
      </c>
      <c r="F33" s="541" t="s">
        <v>203</v>
      </c>
      <c r="G33" s="519"/>
      <c r="H33" s="519"/>
      <c r="I33" s="542" t="s">
        <v>953</v>
      </c>
      <c r="J33" s="514">
        <f>J17+J31</f>
        <v>1514.0391959595959</v>
      </c>
      <c r="K33" s="471"/>
    </row>
    <row r="34" spans="1:11">
      <c r="A34" s="463"/>
      <c r="B34" s="543"/>
      <c r="C34" s="536"/>
      <c r="D34" s="536"/>
      <c r="E34" s="544"/>
      <c r="F34" s="545"/>
      <c r="G34" s="545"/>
      <c r="H34" s="545"/>
      <c r="I34" s="537"/>
      <c r="J34" s="536"/>
      <c r="K34" s="471"/>
    </row>
    <row r="35" spans="1:11" ht="20.399999999999999">
      <c r="A35" s="463"/>
      <c r="B35" s="1493" t="s">
        <v>362</v>
      </c>
      <c r="C35" s="1494"/>
      <c r="D35" s="1494"/>
      <c r="E35" s="1495"/>
      <c r="F35" s="546" t="s">
        <v>688</v>
      </c>
      <c r="G35" s="547" t="s">
        <v>371</v>
      </c>
      <c r="H35" s="520" t="s">
        <v>942</v>
      </c>
      <c r="I35" s="548" t="s">
        <v>361</v>
      </c>
      <c r="J35" s="549" t="s">
        <v>363</v>
      </c>
      <c r="K35" s="471"/>
    </row>
    <row r="36" spans="1:11">
      <c r="A36" s="463"/>
      <c r="B36" s="550" t="str">
        <f>B9</f>
        <v>Trator de pneus com grade</v>
      </c>
      <c r="C36" s="551"/>
      <c r="D36" s="551"/>
      <c r="E36" s="552"/>
      <c r="F36" s="553" t="str">
        <f>VLOOKUP(B36,EQUIPAMENTOS!$A:$N,12,FALSE)</f>
        <v>Diesel S10</v>
      </c>
      <c r="G36" s="554" t="s">
        <v>415</v>
      </c>
      <c r="H36" s="560">
        <f>VLOOKUP(B36,EQUIPAMENTOS!$A:$N,13,FALSE)</f>
        <v>0</v>
      </c>
      <c r="I36" s="556">
        <f>VLOOKUP(B36,EQUIPAMENTOS!$A:$N,14,FALSE)</f>
        <v>18</v>
      </c>
      <c r="J36" s="505">
        <f>H36*I36*E9*F9</f>
        <v>0</v>
      </c>
      <c r="K36" s="471"/>
    </row>
    <row r="37" spans="1:11">
      <c r="A37" s="463"/>
      <c r="B37" s="550" t="str">
        <f>B10</f>
        <v>Pá carregadeira</v>
      </c>
      <c r="C37" s="551"/>
      <c r="D37" s="551"/>
      <c r="E37" s="552"/>
      <c r="F37" s="553" t="str">
        <f>VLOOKUP(B37,EQUIPAMENTOS!$A:$N,12,FALSE)</f>
        <v>Diesel S10</v>
      </c>
      <c r="G37" s="554" t="s">
        <v>415</v>
      </c>
      <c r="H37" s="560">
        <f>VLOOKUP(B37,EQUIPAMENTOS!$A:$N,13,FALSE)</f>
        <v>0</v>
      </c>
      <c r="I37" s="556">
        <f>VLOOKUP(B37,EQUIPAMENTOS!$A:$N,14,FALSE)</f>
        <v>16</v>
      </c>
      <c r="J37" s="505">
        <f>H37*I37*E10*F10</f>
        <v>0</v>
      </c>
      <c r="K37" s="471"/>
    </row>
    <row r="38" spans="1:11">
      <c r="A38" s="463"/>
      <c r="B38" s="550" t="str">
        <f>B11</f>
        <v>Rolo Compactador Liso</v>
      </c>
      <c r="C38" s="551"/>
      <c r="D38" s="551"/>
      <c r="E38" s="552"/>
      <c r="F38" s="553" t="str">
        <f>VLOOKUP(B38,EQUIPAMENTOS!$A:$N,12,FALSE)</f>
        <v>Diesel S10</v>
      </c>
      <c r="G38" s="554" t="s">
        <v>415</v>
      </c>
      <c r="H38" s="560">
        <f>VLOOKUP(B38,EQUIPAMENTOS!$A:$N,13,FALSE)</f>
        <v>0</v>
      </c>
      <c r="I38" s="556">
        <f>VLOOKUP(B38,EQUIPAMENTOS!$A:$N,14,FALSE)</f>
        <v>16</v>
      </c>
      <c r="J38" s="505">
        <f>H38*I38*E11*F11</f>
        <v>0</v>
      </c>
      <c r="K38" s="471"/>
    </row>
    <row r="39" spans="1:11">
      <c r="A39" s="463"/>
      <c r="B39" s="550" t="str">
        <f>B14</f>
        <v>Caminhão Espargidor</v>
      </c>
      <c r="C39" s="551"/>
      <c r="D39" s="551"/>
      <c r="E39" s="552"/>
      <c r="F39" s="553" t="str">
        <f>VLOOKUP(B39,EQUIPAMENTOS!$A:$N,12,FALSE)</f>
        <v>Diesel S10</v>
      </c>
      <c r="G39" s="554" t="s">
        <v>415</v>
      </c>
      <c r="H39" s="560">
        <f>VLOOKUP(B39,EQUIPAMENTOS!$A:$N,13,FALSE)</f>
        <v>0</v>
      </c>
      <c r="I39" s="556">
        <f>VLOOKUP(B39,EQUIPAMENTOS!$A:$N,14,FALSE)</f>
        <v>8</v>
      </c>
      <c r="J39" s="505">
        <f>H39*I39*E14*F14</f>
        <v>0</v>
      </c>
      <c r="K39" s="471"/>
    </row>
    <row r="40" spans="1:11">
      <c r="A40" s="463"/>
      <c r="B40" s="550" t="str">
        <f>B15</f>
        <v>Caminhão basculante 14 m³</v>
      </c>
      <c r="C40" s="551"/>
      <c r="D40" s="551"/>
      <c r="E40" s="552"/>
      <c r="F40" s="553" t="str">
        <f>VLOOKUP(B40,EQUIPAMENTOS!$A:$N,12,FALSE)</f>
        <v>Diesel S10</v>
      </c>
      <c r="G40" s="554" t="s">
        <v>415</v>
      </c>
      <c r="H40" s="560">
        <f>VLOOKUP(B40,EQUIPAMENTOS!$A:$N,13,FALSE)</f>
        <v>0</v>
      </c>
      <c r="I40" s="556">
        <f>VLOOKUP(B40,EQUIPAMENTOS!$A:$N,14,FALSE)</f>
        <v>2.5</v>
      </c>
      <c r="J40" s="505">
        <f>H40*I40*E15*F15</f>
        <v>0</v>
      </c>
      <c r="K40" s="471"/>
    </row>
    <row r="41" spans="1:11">
      <c r="A41" s="463"/>
      <c r="B41" s="550"/>
      <c r="C41" s="551"/>
      <c r="D41" s="551"/>
      <c r="E41" s="552"/>
      <c r="F41" s="553"/>
      <c r="G41" s="554"/>
      <c r="H41" s="560"/>
      <c r="I41" s="556"/>
      <c r="J41" s="505"/>
      <c r="K41" s="471"/>
    </row>
    <row r="42" spans="1:11">
      <c r="A42" s="463"/>
      <c r="B42" s="550"/>
      <c r="C42" s="531"/>
      <c r="D42" s="531"/>
      <c r="E42" s="500"/>
      <c r="F42" s="553"/>
      <c r="G42" s="554"/>
      <c r="H42" s="560"/>
      <c r="I42" s="556"/>
      <c r="J42" s="505"/>
      <c r="K42" s="471"/>
    </row>
    <row r="43" spans="1:11">
      <c r="A43" s="463"/>
      <c r="B43" s="530"/>
      <c r="C43" s="531"/>
      <c r="D43" s="531"/>
      <c r="E43" s="500"/>
      <c r="F43" s="501"/>
      <c r="G43" s="559"/>
      <c r="H43" s="560"/>
      <c r="I43" s="556"/>
      <c r="J43" s="505">
        <f>H43*I43*E13</f>
        <v>0</v>
      </c>
      <c r="K43" s="471"/>
    </row>
    <row r="44" spans="1:11">
      <c r="A44" s="463"/>
      <c r="B44" s="530"/>
      <c r="C44" s="539"/>
      <c r="D44" s="539"/>
      <c r="E44" s="507"/>
      <c r="F44" s="501"/>
      <c r="G44" s="481"/>
      <c r="H44" s="560"/>
      <c r="I44" s="561"/>
      <c r="J44" s="562">
        <f>H44*I44*E14</f>
        <v>0</v>
      </c>
      <c r="K44" s="471"/>
    </row>
    <row r="45" spans="1:11">
      <c r="A45" s="463"/>
      <c r="B45" s="563" t="s">
        <v>946</v>
      </c>
      <c r="C45" s="539"/>
      <c r="D45" s="539"/>
      <c r="E45" s="539"/>
      <c r="F45" s="536"/>
      <c r="G45" s="539"/>
      <c r="H45" s="564"/>
      <c r="I45" s="565" t="s">
        <v>175</v>
      </c>
      <c r="J45" s="514">
        <f>SUM(J36:J44)</f>
        <v>0</v>
      </c>
      <c r="K45" s="471"/>
    </row>
    <row r="46" spans="1:11">
      <c r="A46" s="463"/>
      <c r="B46" s="566"/>
      <c r="C46" s="539"/>
      <c r="D46" s="539"/>
      <c r="E46" s="567"/>
      <c r="F46" s="568"/>
      <c r="G46" s="519"/>
      <c r="H46" s="519"/>
      <c r="I46" s="542"/>
      <c r="J46" s="567"/>
      <c r="K46" s="471"/>
    </row>
    <row r="47" spans="1:11" ht="20.399999999999999">
      <c r="A47" s="463"/>
      <c r="B47" s="1493" t="s">
        <v>955</v>
      </c>
      <c r="C47" s="1494"/>
      <c r="D47" s="1494"/>
      <c r="E47" s="1494"/>
      <c r="F47" s="1495"/>
      <c r="G47" s="569" t="s">
        <v>372</v>
      </c>
      <c r="H47" s="519" t="s">
        <v>956</v>
      </c>
      <c r="I47" s="570" t="s">
        <v>942</v>
      </c>
      <c r="J47" s="522" t="s">
        <v>363</v>
      </c>
      <c r="K47" s="471"/>
    </row>
    <row r="48" spans="1:11">
      <c r="A48" s="463"/>
      <c r="B48" s="571"/>
      <c r="C48" s="572"/>
      <c r="D48" s="573"/>
      <c r="E48" s="573"/>
      <c r="F48" s="574"/>
      <c r="G48" s="502"/>
      <c r="H48" s="502"/>
      <c r="I48" s="575"/>
      <c r="J48" s="505"/>
      <c r="K48" s="471"/>
    </row>
    <row r="49" spans="1:11">
      <c r="A49" s="463"/>
      <c r="B49" s="576"/>
      <c r="C49" s="577"/>
      <c r="D49" s="578"/>
      <c r="E49" s="578"/>
      <c r="F49" s="579"/>
      <c r="G49" s="502"/>
      <c r="H49" s="502"/>
      <c r="I49" s="575"/>
      <c r="J49" s="505"/>
      <c r="K49" s="471"/>
    </row>
    <row r="50" spans="1:11">
      <c r="A50" s="463"/>
      <c r="B50" s="1496" t="s">
        <v>175</v>
      </c>
      <c r="C50" s="1496"/>
      <c r="D50" s="1496"/>
      <c r="E50" s="1496"/>
      <c r="F50" s="1496"/>
      <c r="G50" s="1496"/>
      <c r="H50" s="1496"/>
      <c r="I50" s="1496"/>
      <c r="J50" s="514">
        <f>SUM(J48:J49)</f>
        <v>0</v>
      </c>
      <c r="K50" s="471"/>
    </row>
    <row r="51" spans="1:11">
      <c r="A51" s="463"/>
      <c r="B51" s="580"/>
      <c r="C51" s="524"/>
      <c r="D51" s="524"/>
      <c r="E51" s="581"/>
      <c r="F51" s="582"/>
      <c r="G51" s="583"/>
      <c r="H51" s="583"/>
      <c r="I51" s="584"/>
      <c r="J51" s="585"/>
      <c r="K51" s="471"/>
    </row>
    <row r="52" spans="1:11">
      <c r="A52" s="463"/>
      <c r="B52" s="586" t="s">
        <v>957</v>
      </c>
      <c r="C52" s="586"/>
      <c r="D52" s="563"/>
      <c r="E52" s="536"/>
      <c r="F52" s="536"/>
      <c r="G52" s="536"/>
      <c r="H52" s="587"/>
      <c r="I52" s="588"/>
      <c r="J52" s="514">
        <f>(J33+J45+J50)/E33</f>
        <v>5.4658454727783248</v>
      </c>
      <c r="K52" s="471"/>
    </row>
    <row r="53" spans="1:11">
      <c r="A53" s="463"/>
      <c r="B53" s="566"/>
      <c r="C53" s="539"/>
      <c r="D53" s="539"/>
      <c r="E53" s="567"/>
      <c r="F53" s="568"/>
      <c r="G53" s="519"/>
      <c r="H53" s="519"/>
      <c r="I53" s="542"/>
      <c r="J53" s="589"/>
      <c r="K53" s="471"/>
    </row>
    <row r="54" spans="1:11" ht="20.399999999999999">
      <c r="A54" s="463"/>
      <c r="B54" s="1493" t="s">
        <v>958</v>
      </c>
      <c r="C54" s="1494"/>
      <c r="D54" s="1494"/>
      <c r="E54" s="1494"/>
      <c r="F54" s="1495"/>
      <c r="G54" s="569" t="s">
        <v>372</v>
      </c>
      <c r="H54" s="519" t="s">
        <v>956</v>
      </c>
      <c r="I54" s="570" t="s">
        <v>942</v>
      </c>
      <c r="J54" s="522" t="s">
        <v>363</v>
      </c>
      <c r="K54" s="471"/>
    </row>
    <row r="55" spans="1:11">
      <c r="A55" s="463"/>
      <c r="B55" s="571" t="s">
        <v>1061</v>
      </c>
      <c r="C55" s="572"/>
      <c r="D55" s="573"/>
      <c r="E55" s="573"/>
      <c r="F55" s="574"/>
      <c r="G55" s="502">
        <v>3</v>
      </c>
      <c r="H55" s="502" t="s">
        <v>415</v>
      </c>
      <c r="I55" s="575">
        <f>(2085+757)/1000*1.2</f>
        <v>3.4104000000000001</v>
      </c>
      <c r="J55" s="505">
        <f>G55*I55</f>
        <v>10.231200000000001</v>
      </c>
      <c r="K55" s="471"/>
    </row>
    <row r="56" spans="1:11">
      <c r="A56" s="463"/>
      <c r="B56" s="576" t="s">
        <v>1062</v>
      </c>
      <c r="C56" s="577"/>
      <c r="D56" s="578"/>
      <c r="E56" s="578"/>
      <c r="F56" s="579"/>
      <c r="G56" s="502">
        <f>(20+25+10+12)/2</f>
        <v>33.5</v>
      </c>
      <c r="H56" s="502" t="s">
        <v>1063</v>
      </c>
      <c r="I56" s="575">
        <f>185/1360</f>
        <v>0.13602941176470587</v>
      </c>
      <c r="J56" s="505">
        <f>G56*I56</f>
        <v>4.5569852941176467</v>
      </c>
      <c r="K56" s="471"/>
    </row>
    <row r="57" spans="1:11">
      <c r="A57" s="463"/>
      <c r="B57" s="576" t="s">
        <v>1064</v>
      </c>
      <c r="C57" s="577"/>
      <c r="D57" s="578"/>
      <c r="E57" s="578"/>
      <c r="F57" s="579"/>
      <c r="G57" s="502">
        <v>6</v>
      </c>
      <c r="H57" s="502" t="s">
        <v>1063</v>
      </c>
      <c r="I57" s="575">
        <f>185/1597</f>
        <v>0.1158422041327489</v>
      </c>
      <c r="J57" s="505">
        <f>G57*I57</f>
        <v>0.69505322479649334</v>
      </c>
      <c r="K57" s="471"/>
    </row>
    <row r="58" spans="1:11">
      <c r="A58" s="463"/>
      <c r="B58" s="590"/>
      <c r="C58" s="591"/>
      <c r="D58" s="592"/>
      <c r="E58" s="592"/>
      <c r="F58" s="593"/>
      <c r="G58" s="502"/>
      <c r="H58" s="502"/>
      <c r="I58" s="575"/>
      <c r="J58" s="505">
        <f>G58*I58</f>
        <v>0</v>
      </c>
      <c r="K58" s="471"/>
    </row>
    <row r="59" spans="1:11">
      <c r="A59" s="463"/>
      <c r="B59" s="594"/>
      <c r="C59" s="536"/>
      <c r="D59" s="536"/>
      <c r="E59" s="595"/>
      <c r="F59" s="596"/>
      <c r="G59" s="545"/>
      <c r="H59" s="545"/>
      <c r="I59" s="537" t="s">
        <v>175</v>
      </c>
      <c r="J59" s="514">
        <f>SUM(J55:J58)</f>
        <v>15.483238518914142</v>
      </c>
      <c r="K59" s="471"/>
    </row>
    <row r="60" spans="1:11">
      <c r="A60" s="463"/>
      <c r="B60" s="597"/>
      <c r="C60" s="536"/>
      <c r="D60" s="536"/>
      <c r="E60" s="595"/>
      <c r="F60" s="596"/>
      <c r="G60" s="545"/>
      <c r="H60" s="545"/>
      <c r="I60" s="537"/>
      <c r="J60" s="595"/>
      <c r="K60" s="471"/>
    </row>
    <row r="61" spans="1:11" ht="20.399999999999999">
      <c r="A61" s="463"/>
      <c r="B61" s="598" t="s">
        <v>959</v>
      </c>
      <c r="C61" s="598"/>
      <c r="D61" s="598"/>
      <c r="E61" s="599"/>
      <c r="F61" s="600" t="s">
        <v>372</v>
      </c>
      <c r="G61" s="569" t="s">
        <v>960</v>
      </c>
      <c r="H61" s="519" t="s">
        <v>942</v>
      </c>
      <c r="I61" s="570" t="s">
        <v>361</v>
      </c>
      <c r="J61" s="522" t="s">
        <v>363</v>
      </c>
      <c r="K61" s="471"/>
    </row>
    <row r="62" spans="1:11">
      <c r="A62" s="463"/>
      <c r="B62" s="576"/>
      <c r="C62" s="577"/>
      <c r="D62" s="578"/>
      <c r="E62" s="579"/>
      <c r="F62" s="502"/>
      <c r="G62" s="502"/>
      <c r="H62" s="502"/>
      <c r="I62" s="575"/>
      <c r="J62" s="505">
        <f>I62*H62*G62*F62</f>
        <v>0</v>
      </c>
      <c r="K62" s="471"/>
    </row>
    <row r="63" spans="1:11">
      <c r="A63" s="463"/>
      <c r="B63" s="576"/>
      <c r="C63" s="577"/>
      <c r="D63" s="578"/>
      <c r="E63" s="579"/>
      <c r="F63" s="502"/>
      <c r="G63" s="502"/>
      <c r="H63" s="502"/>
      <c r="I63" s="575"/>
      <c r="J63" s="505">
        <f>I63*H63*G63*F63</f>
        <v>0</v>
      </c>
      <c r="K63" s="471"/>
    </row>
    <row r="64" spans="1:11">
      <c r="A64" s="463"/>
      <c r="B64" s="590"/>
      <c r="C64" s="591"/>
      <c r="D64" s="592"/>
      <c r="E64" s="593"/>
      <c r="F64" s="509"/>
      <c r="G64" s="509"/>
      <c r="H64" s="509"/>
      <c r="I64" s="601"/>
      <c r="J64" s="505">
        <f>I64*H64*G64*F64</f>
        <v>0</v>
      </c>
      <c r="K64" s="471"/>
    </row>
    <row r="65" spans="1:11">
      <c r="A65" s="463"/>
      <c r="B65" s="594"/>
      <c r="C65" s="536"/>
      <c r="D65" s="536"/>
      <c r="E65" s="595"/>
      <c r="F65" s="596"/>
      <c r="G65" s="545"/>
      <c r="H65" s="545"/>
      <c r="I65" s="537" t="s">
        <v>175</v>
      </c>
      <c r="J65" s="514">
        <f>SUM(J62:J64)</f>
        <v>0</v>
      </c>
      <c r="K65" s="471"/>
    </row>
    <row r="66" spans="1:11">
      <c r="A66" s="463"/>
      <c r="B66" s="536"/>
      <c r="C66" s="536"/>
      <c r="D66" s="536"/>
      <c r="E66" s="536"/>
      <c r="F66" s="536"/>
      <c r="G66" s="536"/>
      <c r="H66" s="536"/>
      <c r="I66" s="537"/>
      <c r="J66" s="536"/>
      <c r="K66" s="471"/>
    </row>
    <row r="67" spans="1:11">
      <c r="A67" s="463"/>
      <c r="B67" s="1481" t="s">
        <v>961</v>
      </c>
      <c r="C67" s="1482"/>
      <c r="D67" s="1482"/>
      <c r="E67" s="1482"/>
      <c r="F67" s="1482"/>
      <c r="G67" s="1482"/>
      <c r="H67" s="1482"/>
      <c r="I67" s="1483"/>
      <c r="J67" s="586">
        <f>J65+J59+J52</f>
        <v>20.949083991692468</v>
      </c>
      <c r="K67" s="471"/>
    </row>
    <row r="68" spans="1:11">
      <c r="A68" s="463"/>
      <c r="B68" s="536"/>
      <c r="C68" s="536"/>
      <c r="D68" s="536"/>
      <c r="E68" s="536"/>
      <c r="F68" s="536"/>
      <c r="G68" s="536"/>
      <c r="H68" s="536"/>
      <c r="I68" s="537"/>
      <c r="J68" s="536"/>
      <c r="K68" s="471"/>
    </row>
    <row r="69" spans="1:11">
      <c r="A69" s="463"/>
      <c r="B69" s="1481" t="s">
        <v>962</v>
      </c>
      <c r="C69" s="1482"/>
      <c r="D69" s="1482"/>
      <c r="E69" s="1482"/>
      <c r="F69" s="1482"/>
      <c r="G69" s="1482"/>
      <c r="H69" s="1482"/>
      <c r="I69" s="1483"/>
      <c r="J69" s="514">
        <f>J67*0</f>
        <v>0</v>
      </c>
      <c r="K69" s="471"/>
    </row>
    <row r="70" spans="1:11">
      <c r="A70" s="463"/>
      <c r="B70" s="536"/>
      <c r="C70" s="536"/>
      <c r="D70" s="536"/>
      <c r="E70" s="536"/>
      <c r="F70" s="536"/>
      <c r="G70" s="536"/>
      <c r="H70" s="536"/>
      <c r="I70" s="537"/>
      <c r="J70" s="536"/>
      <c r="K70" s="471"/>
    </row>
    <row r="71" spans="1:11">
      <c r="A71" s="463"/>
      <c r="B71" s="1481" t="s">
        <v>963</v>
      </c>
      <c r="C71" s="1482"/>
      <c r="D71" s="1482"/>
      <c r="E71" s="1482"/>
      <c r="F71" s="1482"/>
      <c r="G71" s="1482"/>
      <c r="H71" s="1482"/>
      <c r="I71" s="1483"/>
      <c r="J71" s="586">
        <f>J67+J69</f>
        <v>20.949083991692468</v>
      </c>
      <c r="K71" s="471"/>
    </row>
    <row r="72" spans="1:11">
      <c r="A72" s="463"/>
      <c r="B72" s="524"/>
      <c r="C72" s="524"/>
      <c r="D72" s="524"/>
      <c r="E72" s="524"/>
      <c r="F72" s="524"/>
      <c r="G72" s="524"/>
      <c r="H72" s="524"/>
      <c r="I72" s="584"/>
      <c r="J72" s="524"/>
      <c r="K72" s="471"/>
    </row>
    <row r="73" spans="1:11">
      <c r="A73" s="463"/>
      <c r="B73" s="602"/>
      <c r="C73" s="572"/>
      <c r="D73" s="572"/>
      <c r="E73" s="572"/>
      <c r="F73" s="572"/>
      <c r="G73" s="572"/>
      <c r="H73" s="572"/>
      <c r="I73" s="572"/>
      <c r="J73" s="603"/>
      <c r="K73" s="471"/>
    </row>
    <row r="74" spans="1:11">
      <c r="A74" s="463"/>
      <c r="B74" s="604"/>
      <c r="C74" s="605"/>
      <c r="D74" s="606"/>
      <c r="E74" s="606"/>
      <c r="F74" s="607" t="s">
        <v>946</v>
      </c>
      <c r="G74" s="608" t="s">
        <v>946</v>
      </c>
      <c r="H74" s="605"/>
      <c r="I74" s="605"/>
      <c r="J74" s="609"/>
      <c r="K74" s="471"/>
    </row>
    <row r="75" spans="1:11">
      <c r="A75" s="463"/>
      <c r="B75" s="472"/>
      <c r="C75" s="472"/>
      <c r="D75" s="472"/>
      <c r="E75" s="472"/>
      <c r="F75" s="472"/>
      <c r="G75" s="472"/>
      <c r="H75" s="472"/>
      <c r="I75" s="472"/>
      <c r="J75" s="472"/>
      <c r="K75" s="471"/>
    </row>
    <row r="76" spans="1:11">
      <c r="A76" s="463"/>
      <c r="B76" s="610" t="str">
        <f>PLANEJAMENTO!F2</f>
        <v>OPERAÇÃO DE SUPRESSÃO E SUMP</v>
      </c>
      <c r="C76" s="611"/>
      <c r="D76" s="611"/>
      <c r="E76" s="611"/>
      <c r="F76" s="612"/>
      <c r="G76" s="613" t="s">
        <v>363</v>
      </c>
      <c r="H76" s="515"/>
      <c r="I76" s="515"/>
      <c r="J76" s="518"/>
      <c r="K76" s="471"/>
    </row>
    <row r="77" spans="1:11">
      <c r="A77" s="463"/>
      <c r="B77" s="614" t="str">
        <f>PLANEJAMENTO!F3</f>
        <v>MARA ROSA</v>
      </c>
      <c r="C77" s="615"/>
      <c r="D77" s="615"/>
      <c r="E77" s="615"/>
      <c r="F77" s="616"/>
      <c r="G77" s="1484" t="s">
        <v>964</v>
      </c>
      <c r="H77" s="1485"/>
      <c r="I77" s="1485"/>
      <c r="J77" s="1486"/>
      <c r="K77" s="471"/>
    </row>
    <row r="78" spans="1:11">
      <c r="A78" s="463"/>
      <c r="B78" s="617"/>
      <c r="C78" s="618"/>
      <c r="D78" s="618"/>
      <c r="E78" s="618"/>
      <c r="F78" s="619"/>
      <c r="G78" s="620"/>
      <c r="H78" s="1487"/>
      <c r="I78" s="1488"/>
      <c r="J78" s="1489"/>
      <c r="K78" s="471"/>
    </row>
    <row r="79" spans="1:11" ht="15" thickBot="1">
      <c r="A79" s="621"/>
      <c r="B79" s="622"/>
      <c r="C79" s="622"/>
      <c r="D79" s="622"/>
      <c r="E79" s="622"/>
      <c r="F79" s="622"/>
      <c r="G79" s="622"/>
      <c r="H79" s="622"/>
      <c r="I79" s="622"/>
      <c r="J79" s="622"/>
      <c r="K79" s="623"/>
    </row>
  </sheetData>
  <mergeCells count="14">
    <mergeCell ref="B35:E35"/>
    <mergeCell ref="D4:I4"/>
    <mergeCell ref="B7:C8"/>
    <mergeCell ref="D7:D8"/>
    <mergeCell ref="E7:E8"/>
    <mergeCell ref="B19:E19"/>
    <mergeCell ref="G77:J77"/>
    <mergeCell ref="H78:J78"/>
    <mergeCell ref="B47:F47"/>
    <mergeCell ref="B50:I50"/>
    <mergeCell ref="B54:F54"/>
    <mergeCell ref="B67:I67"/>
    <mergeCell ref="B69:I69"/>
    <mergeCell ref="B71:I71"/>
  </mergeCells>
  <pageMargins left="0.511811024" right="0.511811024" top="0.78740157499999996" bottom="0.78740157499999996" header="0.31496062000000002" footer="0.31496062000000002"/>
  <pageSetup paperSize="9" scale="62"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0EDF9809CAA1F2468FC49A62C88613CD" ma:contentTypeVersion="13" ma:contentTypeDescription="Crie um novo documento." ma:contentTypeScope="" ma:versionID="7f29231fb41cd9634ac48e691282767f">
  <xsd:schema xmlns:xsd="http://www.w3.org/2001/XMLSchema" xmlns:xs="http://www.w3.org/2001/XMLSchema" xmlns:p="http://schemas.microsoft.com/office/2006/metadata/properties" xmlns:ns2="ab0356ca-97f7-4653-91ac-1df5f874ddc6" xmlns:ns3="cd0583c0-15fb-4a6a-b530-98f8ac3a2a89" targetNamespace="http://schemas.microsoft.com/office/2006/metadata/properties" ma:root="true" ma:fieldsID="a8572d54561b618a002ac5d99ff54178" ns2:_="" ns3:_="">
    <xsd:import namespace="ab0356ca-97f7-4653-91ac-1df5f874ddc6"/>
    <xsd:import namespace="cd0583c0-15fb-4a6a-b530-98f8ac3a2a8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0356ca-97f7-4653-91ac-1df5f874dd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Marcações de imagem" ma:readOnly="false" ma:fieldId="{5cf76f15-5ced-4ddc-b409-7134ff3c332f}" ma:taxonomyMulti="true" ma:sspId="9628cbd6-190e-40ac-89dd-69f2596ae52b"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0583c0-15fb-4a6a-b530-98f8ac3a2a89"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3651e71-8cc6-4bcd-9b23-9bf739dc8f5a}" ma:internalName="TaxCatchAll" ma:showField="CatchAllData" ma:web="cd0583c0-15fb-4a6a-b530-98f8ac3a2a8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0356ca-97f7-4653-91ac-1df5f874ddc6">
      <Terms xmlns="http://schemas.microsoft.com/office/infopath/2007/PartnerControls"/>
    </lcf76f155ced4ddcb4097134ff3c332f>
    <TaxCatchAll xmlns="cd0583c0-15fb-4a6a-b530-98f8ac3a2a8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48C1A75-CC80-453B-8A1D-EA6C3659F3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0356ca-97f7-4653-91ac-1df5f874ddc6"/>
    <ds:schemaRef ds:uri="cd0583c0-15fb-4a6a-b530-98f8ac3a2a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911366D-3E91-4983-8085-02AAC863DFDE}">
  <ds:schemaRefs>
    <ds:schemaRef ds:uri="http://purl.org/dc/elements/1.1/"/>
    <ds:schemaRef ds:uri="004ec864-bfa8-453b-872c-199c99d67342"/>
    <ds:schemaRef ds:uri="http://schemas.microsoft.com/office/2006/metadata/properties"/>
    <ds:schemaRef ds:uri="http://schemas.microsoft.com/office/2006/documentManagement/types"/>
    <ds:schemaRef ds:uri="http://purl.org/dc/terms/"/>
    <ds:schemaRef ds:uri="http://purl.org/dc/dcmitype/"/>
    <ds:schemaRef ds:uri="http://schemas.microsoft.com/office/infopath/2007/PartnerControls"/>
    <ds:schemaRef ds:uri="http://schemas.openxmlformats.org/package/2006/metadata/core-properties"/>
    <ds:schemaRef ds:uri="http://www.w3.org/XML/1998/namespace"/>
    <ds:schemaRef ds:uri="ab0356ca-97f7-4653-91ac-1df5f874ddc6"/>
    <ds:schemaRef ds:uri="cd0583c0-15fb-4a6a-b530-98f8ac3a2a89"/>
  </ds:schemaRefs>
</ds:datastoreItem>
</file>

<file path=customXml/itemProps3.xml><?xml version="1.0" encoding="utf-8"?>
<ds:datastoreItem xmlns:ds="http://schemas.openxmlformats.org/officeDocument/2006/customXml" ds:itemID="{0052CCA7-179A-4E04-A341-B4AB58253D0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46</vt:i4>
      </vt:variant>
      <vt:variant>
        <vt:lpstr>Intervalos Nomeados</vt:lpstr>
      </vt:variant>
      <vt:variant>
        <vt:i4>18</vt:i4>
      </vt:variant>
    </vt:vector>
  </HeadingPairs>
  <TitlesOfParts>
    <vt:vector size="64" baseType="lpstr">
      <vt:lpstr>ENCARGOS</vt:lpstr>
      <vt:lpstr>ORÇAMENTO</vt:lpstr>
      <vt:lpstr>BDI</vt:lpstr>
      <vt:lpstr>PRODUÇÕES</vt:lpstr>
      <vt:lpstr>PRATICABILIDADE</vt:lpstr>
      <vt:lpstr>CRONOGRAMA</vt:lpstr>
      <vt:lpstr>PLANEJAMENTO</vt:lpstr>
      <vt:lpstr>DESEMBOLSO</vt:lpstr>
      <vt:lpstr>C_INDIRETO</vt:lpstr>
      <vt:lpstr>PAVIM</vt:lpstr>
      <vt:lpstr>BASE</vt:lpstr>
      <vt:lpstr>SUBBASE</vt:lpstr>
      <vt:lpstr>C_FIXO</vt:lpstr>
      <vt:lpstr>CPU</vt:lpstr>
      <vt:lpstr>EQUIPE</vt:lpstr>
      <vt:lpstr>DRE</vt:lpstr>
      <vt:lpstr>AGUA</vt:lpstr>
      <vt:lpstr>EQUIPE 2</vt:lpstr>
      <vt:lpstr>HORAS</vt:lpstr>
      <vt:lpstr>ADM</vt:lpstr>
      <vt:lpstr>TOP</vt:lpstr>
      <vt:lpstr>LAB</vt:lpstr>
      <vt:lpstr>QSMS</vt:lpstr>
      <vt:lpstr>MOB</vt:lpstr>
      <vt:lpstr>MEC</vt:lpstr>
      <vt:lpstr>CPU (2)</vt:lpstr>
      <vt:lpstr>MÃO DE OBRA</vt:lpstr>
      <vt:lpstr>EQUIPAMENTOS</vt:lpstr>
      <vt:lpstr>MATERIAIS</vt:lpstr>
      <vt:lpstr>SERVIÇOS TERCEIRIZADOS</vt:lpstr>
      <vt:lpstr>ESCAVAÇÃO CARGA E TRANSPORTE</vt:lpstr>
      <vt:lpstr>COMPACTAÇÃO</vt:lpstr>
      <vt:lpstr>ESPALHAMENTO</vt:lpstr>
      <vt:lpstr>ESCAVAÇÃO DRN</vt:lpstr>
      <vt:lpstr>BOTA FORA DRN</vt:lpstr>
      <vt:lpstr>DADOS</vt:lpstr>
      <vt:lpstr>DRENAGEM</vt:lpstr>
      <vt:lpstr>ESCAVAÇÃO SAA-SES</vt:lpstr>
      <vt:lpstr>BOTA FORA SAA-SES</vt:lpstr>
      <vt:lpstr>ÁGUA</vt:lpstr>
      <vt:lpstr>ESGOTO</vt:lpstr>
      <vt:lpstr>REMOÇAO PAV</vt:lpstr>
      <vt:lpstr>CONCRETO</vt:lpstr>
      <vt:lpstr>ALA</vt:lpstr>
      <vt:lpstr>IMPRIMAÇÃO</vt:lpstr>
      <vt:lpstr>TSD</vt:lpstr>
      <vt:lpstr>ÁGUA!Area_de_impressao</vt:lpstr>
      <vt:lpstr>COMPACTAÇÃO!Area_de_impressao</vt:lpstr>
      <vt:lpstr>CPU!Area_de_impressao</vt:lpstr>
      <vt:lpstr>'CPU (2)'!Area_de_impressao</vt:lpstr>
      <vt:lpstr>CRONOGRAMA!Area_de_impressao</vt:lpstr>
      <vt:lpstr>DRENAGEM!Area_de_impressao</vt:lpstr>
      <vt:lpstr>'ESCAVAÇÃO CARGA E TRANSPORTE'!Area_de_impressao</vt:lpstr>
      <vt:lpstr>ESGOTO!Area_de_impressao</vt:lpstr>
      <vt:lpstr>ESPALHAMENTO!Area_de_impressao</vt:lpstr>
      <vt:lpstr>ORÇAMENTO!Area_de_impressao</vt:lpstr>
      <vt:lpstr>PAVIM!Area_de_impressao</vt:lpstr>
      <vt:lpstr>PLANEJAMENTO!Area_de_impressao</vt:lpstr>
      <vt:lpstr>EPI</vt:lpstr>
      <vt:lpstr>EQUIPAMENTOS</vt:lpstr>
      <vt:lpstr>HORISTA</vt:lpstr>
      <vt:lpstr>MAO_DE_OBRA</vt:lpstr>
      <vt:lpstr>MENSALISTA</vt:lpstr>
      <vt:lpstr>TRIBUTOS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cp:keywords/>
  <dc:description/>
  <cp:lastModifiedBy>Alacir Junior</cp:lastModifiedBy>
  <cp:revision/>
  <cp:lastPrinted>2025-05-19T18:30:56Z</cp:lastPrinted>
  <dcterms:created xsi:type="dcterms:W3CDTF">2013-07-11T20:45:58Z</dcterms:created>
  <dcterms:modified xsi:type="dcterms:W3CDTF">2026-04-28T17:38:23Z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0x0101000EDF9809CAA1F2468FC49A62C88613CD</vt:lpwstr>
  </property>
  <property fmtid="{D5CDD505-2E9C-101B-9397-08002B2CF9AE}" pid="3" name="Order">
    <vt:r8>61859400</vt:r8>
  </property>
  <property fmtid="{D5CDD505-2E9C-101B-9397-08002B2CF9AE}" pid="4" name="TriggerFlowInfo">
    <vt:lpwstr/>
  </property>
  <property fmtid="{D5CDD505-2E9C-101B-9397-08002B2CF9AE}" pid="5" name="ComplianceAssetId">
    <vt:lpwstr/>
  </property>
  <property fmtid="{D5CDD505-2E9C-101B-9397-08002B2CF9AE}" pid="6" name="_ExtendedDescription">
    <vt:lpwstr/>
  </property>
  <property fmtid="{D5CDD505-2E9C-101B-9397-08002B2CF9AE}" pid="7" name="MediaServiceImageTags">
    <vt:lpwstr/>
  </property>
</Properties>
</file>