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Projets_en_cours\ORPHANHOOD_ESTIMATES\Orphanhood AIDS\Population Studies\R&amp;R\"/>
    </mc:Choice>
  </mc:AlternateContent>
  <bookViews>
    <workbookView xWindow="0" yWindow="0" windowWidth="23040" windowHeight="8616" activeTab="3"/>
  </bookViews>
  <sheets>
    <sheet name="Instructions" sheetId="5" r:id="rId1"/>
    <sheet name="1- Input data" sheetId="1" r:id="rId2"/>
    <sheet name="2- Adjustments to proportions" sheetId="3" r:id="rId3"/>
    <sheet name="3 - Synthetic cohort" sheetId="4" r:id="rId4"/>
    <sheet name="Sources" sheetId="6" r:id="rId5"/>
  </sheets>
  <calcPr calcId="162913" iterate="1" iterate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 i="4" l="1"/>
  <c r="J3" i="4"/>
  <c r="K3" i="4"/>
  <c r="I3" i="4"/>
  <c r="I4" i="4"/>
  <c r="I5" i="4"/>
  <c r="I6" i="4"/>
  <c r="I7" i="4"/>
  <c r="I8" i="4"/>
  <c r="I9" i="4"/>
  <c r="I10" i="4"/>
  <c r="B70" i="1" l="1"/>
  <c r="B36" i="1" l="1"/>
  <c r="F10" i="1"/>
  <c r="C1" i="1"/>
  <c r="F54" i="1" l="1"/>
  <c r="F53" i="1"/>
  <c r="F52" i="1"/>
  <c r="F51" i="1"/>
  <c r="F50" i="1"/>
  <c r="F49" i="1"/>
  <c r="F48" i="1"/>
  <c r="F47" i="1"/>
  <c r="F46" i="1"/>
  <c r="F45" i="1"/>
  <c r="F44" i="1"/>
  <c r="F11" i="1"/>
  <c r="F12" i="1"/>
  <c r="F13" i="1"/>
  <c r="F14" i="1"/>
  <c r="F15" i="1"/>
  <c r="F16" i="1"/>
  <c r="F17" i="1"/>
  <c r="F18" i="1"/>
  <c r="F19" i="1"/>
  <c r="F20" i="1"/>
  <c r="B27" i="4"/>
  <c r="C27" i="4" s="1"/>
  <c r="B28" i="4"/>
  <c r="B29" i="4"/>
  <c r="B30" i="4"/>
  <c r="B31" i="4"/>
  <c r="B32" i="4"/>
  <c r="B33" i="4"/>
  <c r="B34" i="4"/>
  <c r="B35" i="4"/>
  <c r="B36" i="4"/>
  <c r="B37" i="4"/>
  <c r="B38" i="4"/>
  <c r="B39" i="4"/>
  <c r="B40" i="4"/>
  <c r="B26" i="4"/>
  <c r="C26" i="4" s="1"/>
  <c r="B4" i="4"/>
  <c r="B5" i="4" s="1"/>
  <c r="B6" i="4" s="1"/>
  <c r="B7" i="4" s="1"/>
  <c r="B8" i="4" s="1"/>
  <c r="B9" i="4" s="1"/>
  <c r="C3" i="3"/>
  <c r="C3" i="1" l="1"/>
  <c r="C2" i="1"/>
  <c r="U15" i="4" s="1"/>
  <c r="O4" i="1"/>
  <c r="O5" i="1" s="1"/>
  <c r="O6" i="1" s="1"/>
  <c r="O7" i="1" s="1"/>
  <c r="O8" i="1" s="1"/>
  <c r="O9" i="1" s="1"/>
  <c r="O10" i="1" s="1"/>
  <c r="O11" i="1" s="1"/>
  <c r="O12" i="1" s="1"/>
  <c r="O13" i="1" s="1"/>
  <c r="O14" i="1" s="1"/>
  <c r="O15" i="1" s="1"/>
  <c r="O16" i="1" s="1"/>
  <c r="O17" i="1" s="1"/>
  <c r="O18" i="1" s="1"/>
  <c r="O19" i="1" s="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O51" i="1" s="1"/>
  <c r="O52" i="1" s="1"/>
  <c r="O53" i="1" s="1"/>
  <c r="O54" i="1" s="1"/>
  <c r="O55" i="1" s="1"/>
  <c r="O56" i="1" s="1"/>
  <c r="O57" i="1" s="1"/>
  <c r="O58" i="1" s="1"/>
  <c r="O59" i="1" s="1"/>
  <c r="O60" i="1" s="1"/>
  <c r="O61" i="1" s="1"/>
  <c r="O62" i="1" s="1"/>
  <c r="O63" i="1" s="1"/>
  <c r="O64" i="1" s="1"/>
  <c r="O65" i="1" s="1"/>
  <c r="O66" i="1" s="1"/>
  <c r="O67" i="1" s="1"/>
  <c r="O68" i="1" s="1"/>
  <c r="O69" i="1" s="1"/>
  <c r="O70" i="1" s="1"/>
  <c r="O71" i="1" s="1"/>
  <c r="O72" i="1" s="1"/>
  <c r="O73" i="1" s="1"/>
  <c r="O74" i="1" s="1"/>
  <c r="O75" i="1" s="1"/>
  <c r="O76" i="1" s="1"/>
  <c r="O77" i="1" s="1"/>
  <c r="C4" i="1" l="1"/>
  <c r="C36" i="4" l="1"/>
  <c r="C37" i="4"/>
  <c r="C38" i="4"/>
  <c r="C39" i="4"/>
  <c r="C40" i="4"/>
  <c r="A27" i="4"/>
  <c r="A28" i="4" s="1"/>
  <c r="A29" i="4" s="1"/>
  <c r="A30" i="4" s="1"/>
  <c r="A31" i="4" s="1"/>
  <c r="A32" i="4" s="1"/>
  <c r="A33" i="4" s="1"/>
  <c r="A34" i="4" s="1"/>
  <c r="A35" i="4" s="1"/>
  <c r="A36" i="4" s="1"/>
  <c r="A37" i="4" s="1"/>
  <c r="A38" i="4" s="1"/>
  <c r="C29" i="4"/>
  <c r="C30" i="4"/>
  <c r="C31" i="4"/>
  <c r="C32" i="4"/>
  <c r="C33" i="4"/>
  <c r="C34" i="4"/>
  <c r="C35" i="4"/>
  <c r="C28" i="4"/>
  <c r="A39" i="4" l="1"/>
  <c r="D31" i="4"/>
  <c r="D32" i="4"/>
  <c r="D33" i="4"/>
  <c r="D34" i="4"/>
  <c r="D35" i="4"/>
  <c r="D36" i="4"/>
  <c r="D37" i="4"/>
  <c r="D30" i="4"/>
  <c r="C27" i="1"/>
  <c r="D27" i="1" s="1"/>
  <c r="R23" i="4" l="1"/>
  <c r="R24" i="4"/>
  <c r="A40" i="4"/>
  <c r="C61" i="1"/>
  <c r="D61" i="1" s="1"/>
  <c r="C62" i="1"/>
  <c r="C63" i="1" s="1"/>
  <c r="C40" i="1"/>
  <c r="C6" i="1"/>
  <c r="C28" i="1"/>
  <c r="D28" i="1" s="1"/>
  <c r="C64" i="1" l="1"/>
  <c r="D63" i="1"/>
  <c r="D62" i="1"/>
  <c r="C29" i="1"/>
  <c r="C65" i="1" l="1"/>
  <c r="D64" i="1"/>
  <c r="C30" i="1"/>
  <c r="D29" i="1"/>
  <c r="C66" i="1" l="1"/>
  <c r="D65" i="1"/>
  <c r="C31" i="1"/>
  <c r="D30" i="1"/>
  <c r="C67" i="1" l="1"/>
  <c r="D66" i="1"/>
  <c r="C32" i="1"/>
  <c r="D31" i="1"/>
  <c r="C68" i="1" l="1"/>
  <c r="D67" i="1"/>
  <c r="D32" i="1"/>
  <c r="C33" i="1"/>
  <c r="D68" i="1" l="1"/>
  <c r="C69" i="1"/>
  <c r="D69" i="1" s="1"/>
  <c r="C34" i="1"/>
  <c r="D33" i="1"/>
  <c r="D70" i="1" l="1"/>
  <c r="D71" i="1" s="1"/>
  <c r="D34" i="1"/>
  <c r="C35" i="1"/>
  <c r="D35" i="1" s="1"/>
  <c r="D36" i="1" l="1"/>
  <c r="D37" i="1" s="1"/>
  <c r="B10" i="4"/>
  <c r="L4" i="1" l="1"/>
  <c r="L5" i="1" s="1"/>
  <c r="L6" i="1" s="1"/>
  <c r="L7" i="1" s="1"/>
  <c r="L8" i="1" s="1"/>
  <c r="L9" i="1" s="1"/>
  <c r="L10" i="1" s="1"/>
  <c r="J4" i="1"/>
  <c r="J5" i="1" s="1"/>
  <c r="J6" i="1" s="1"/>
  <c r="J7" i="1" s="1"/>
  <c r="J8" i="1" s="1"/>
  <c r="J9" i="1" s="1"/>
  <c r="J10" i="1" s="1"/>
  <c r="C27" i="3"/>
  <c r="I27" i="3" s="1"/>
  <c r="C26" i="3"/>
  <c r="I26" i="3" s="1"/>
  <c r="C25" i="3"/>
  <c r="C24" i="3"/>
  <c r="C23" i="3"/>
  <c r="C22" i="3"/>
  <c r="C21" i="3"/>
  <c r="C20" i="3"/>
  <c r="C19" i="3"/>
  <c r="C18" i="3"/>
  <c r="B18" i="3"/>
  <c r="B19" i="3" s="1"/>
  <c r="C17" i="3"/>
  <c r="D15" i="3"/>
  <c r="E15" i="3" s="1"/>
  <c r="D1" i="3"/>
  <c r="AG8" i="3" s="1"/>
  <c r="B1" i="3"/>
  <c r="B15" i="3" s="1"/>
  <c r="C4" i="3"/>
  <c r="C5" i="3"/>
  <c r="C6" i="3"/>
  <c r="C7" i="3"/>
  <c r="C8" i="3"/>
  <c r="C9" i="3"/>
  <c r="C10" i="3"/>
  <c r="I10" i="3" s="1"/>
  <c r="C9" i="4" s="1"/>
  <c r="C11" i="3"/>
  <c r="I11" i="3" s="1"/>
  <c r="C10" i="4" s="1"/>
  <c r="C12" i="3"/>
  <c r="I12" i="3" s="1"/>
  <c r="C13" i="3"/>
  <c r="I13" i="3" s="1"/>
  <c r="B4" i="3"/>
  <c r="B5" i="3" s="1"/>
  <c r="B6" i="3" s="1"/>
  <c r="B7" i="3" s="1"/>
  <c r="B8" i="3" s="1"/>
  <c r="B9" i="3" s="1"/>
  <c r="B10" i="3" s="1"/>
  <c r="B11" i="3" s="1"/>
  <c r="B12" i="3" s="1"/>
  <c r="B13" i="3" s="1"/>
  <c r="H4" i="1"/>
  <c r="H5" i="1" s="1"/>
  <c r="H6" i="1" s="1"/>
  <c r="H7" i="1" s="1"/>
  <c r="H8" i="1" s="1"/>
  <c r="H9" i="1" s="1"/>
  <c r="H10" i="1" s="1"/>
  <c r="E1" i="3" l="1"/>
  <c r="H1" i="3" s="1"/>
  <c r="AN8" i="3" s="1"/>
  <c r="L3" i="3"/>
  <c r="L11" i="1"/>
  <c r="L12" i="1" s="1"/>
  <c r="L13" i="1" s="1"/>
  <c r="L14" i="1" s="1"/>
  <c r="L15" i="1" s="1"/>
  <c r="L16" i="1" s="1"/>
  <c r="L17" i="1" s="1"/>
  <c r="L18" i="1" s="1"/>
  <c r="L19" i="1" s="1"/>
  <c r="L20" i="1" s="1"/>
  <c r="L21" i="1" s="1"/>
  <c r="L22" i="1" s="1"/>
  <c r="L23" i="1" s="1"/>
  <c r="L24" i="1" s="1"/>
  <c r="L25" i="1" s="1"/>
  <c r="L26" i="1" s="1"/>
  <c r="L27" i="1" s="1"/>
  <c r="L28" i="1" s="1"/>
  <c r="L29" i="1" s="1"/>
  <c r="L30" i="1" s="1"/>
  <c r="L31" i="1" s="1"/>
  <c r="L32" i="1" s="1"/>
  <c r="L33" i="1" s="1"/>
  <c r="L34" i="1" s="1"/>
  <c r="L35" i="1" s="1"/>
  <c r="L36" i="1" s="1"/>
  <c r="L37" i="1" s="1"/>
  <c r="L38" i="1" s="1"/>
  <c r="L39" i="1" s="1"/>
  <c r="L40" i="1" s="1"/>
  <c r="L41" i="1" s="1"/>
  <c r="L42" i="1" s="1"/>
  <c r="L43" i="1" s="1"/>
  <c r="L44" i="1" s="1"/>
  <c r="L45" i="1" s="1"/>
  <c r="L46" i="1" s="1"/>
  <c r="L47" i="1" s="1"/>
  <c r="L48" i="1" s="1"/>
  <c r="L49" i="1" s="1"/>
  <c r="L50" i="1" s="1"/>
  <c r="L51" i="1" s="1"/>
  <c r="L52" i="1" s="1"/>
  <c r="L53" i="1" s="1"/>
  <c r="L54" i="1" s="1"/>
  <c r="L55" i="1" s="1"/>
  <c r="L56" i="1" s="1"/>
  <c r="J11" i="1"/>
  <c r="J12" i="1" s="1"/>
  <c r="J13" i="1" s="1"/>
  <c r="J14" i="1" s="1"/>
  <c r="J15" i="1" s="1"/>
  <c r="J16" i="1" s="1"/>
  <c r="J17" i="1" s="1"/>
  <c r="J18" i="1" s="1"/>
  <c r="J19" i="1" s="1"/>
  <c r="J20" i="1" s="1"/>
  <c r="J21" i="1" s="1"/>
  <c r="J22" i="1" s="1"/>
  <c r="J23" i="1" s="1"/>
  <c r="J24" i="1" s="1"/>
  <c r="J25" i="1" s="1"/>
  <c r="J26" i="1" s="1"/>
  <c r="J27" i="1" s="1"/>
  <c r="J28" i="1" s="1"/>
  <c r="J29" i="1" s="1"/>
  <c r="J30" i="1" s="1"/>
  <c r="J31" i="1" s="1"/>
  <c r="J32" i="1" s="1"/>
  <c r="J33" i="1" s="1"/>
  <c r="J34" i="1" s="1"/>
  <c r="J35" i="1" s="1"/>
  <c r="J36" i="1" s="1"/>
  <c r="J37" i="1" s="1"/>
  <c r="J38" i="1" s="1"/>
  <c r="J39" i="1" s="1"/>
  <c r="J40" i="1" s="1"/>
  <c r="J41" i="1" s="1"/>
  <c r="J42" i="1" s="1"/>
  <c r="J43" i="1" s="1"/>
  <c r="J44" i="1" s="1"/>
  <c r="J45" i="1" s="1"/>
  <c r="J46" i="1" s="1"/>
  <c r="J47" i="1" s="1"/>
  <c r="J48" i="1" s="1"/>
  <c r="J49" i="1" s="1"/>
  <c r="J50" i="1" s="1"/>
  <c r="J51" i="1" s="1"/>
  <c r="J52" i="1" s="1"/>
  <c r="J53" i="1" s="1"/>
  <c r="J54" i="1" s="1"/>
  <c r="J55" i="1" s="1"/>
  <c r="J56" i="1" s="1"/>
  <c r="H11" i="1"/>
  <c r="H12" i="1" s="1"/>
  <c r="H13" i="1" s="1"/>
  <c r="H14" i="1" s="1"/>
  <c r="H15" i="1" s="1"/>
  <c r="H16" i="1" s="1"/>
  <c r="H17" i="1" s="1"/>
  <c r="H18" i="1" s="1"/>
  <c r="H19" i="1" s="1"/>
  <c r="H20" i="1" s="1"/>
  <c r="H21" i="1" s="1"/>
  <c r="H22" i="1" s="1"/>
  <c r="H23" i="1" s="1"/>
  <c r="H24" i="1" s="1"/>
  <c r="H25" i="1" s="1"/>
  <c r="H26" i="1" s="1"/>
  <c r="H27" i="1" s="1"/>
  <c r="H28" i="1" s="1"/>
  <c r="H29" i="1" s="1"/>
  <c r="I24" i="3"/>
  <c r="D9" i="4" s="1"/>
  <c r="E9" i="4" s="1"/>
  <c r="I25" i="3"/>
  <c r="D10" i="4" s="1"/>
  <c r="E10" i="4" s="1"/>
  <c r="C15" i="3"/>
  <c r="AG22" i="3"/>
  <c r="C1" i="3"/>
  <c r="L18" i="3"/>
  <c r="S18" i="3" s="1"/>
  <c r="Z18" i="3" s="1"/>
  <c r="AA18" i="3" s="1"/>
  <c r="L4" i="3"/>
  <c r="S4" i="3" s="1"/>
  <c r="Z4" i="3" s="1"/>
  <c r="AA4" i="3" s="1"/>
  <c r="AG3" i="3"/>
  <c r="AG17" i="3"/>
  <c r="L11" i="3"/>
  <c r="L10" i="3"/>
  <c r="L6" i="3"/>
  <c r="L13" i="3"/>
  <c r="L17" i="3"/>
  <c r="L7" i="3"/>
  <c r="L9" i="3"/>
  <c r="L5" i="3"/>
  <c r="L19" i="3"/>
  <c r="L12" i="3"/>
  <c r="L8" i="3"/>
  <c r="B20" i="3"/>
  <c r="L20" i="3" s="1"/>
  <c r="S20" i="3" s="1"/>
  <c r="Z20" i="3" s="1"/>
  <c r="AA20" i="3" s="1"/>
  <c r="AN3" i="3" l="1"/>
  <c r="AO3" i="3" s="1"/>
  <c r="AB18" i="3"/>
  <c r="AC18" i="3"/>
  <c r="AD18" i="3" s="1"/>
  <c r="AC4" i="3"/>
  <c r="AD4" i="3" s="1"/>
  <c r="AB4" i="3"/>
  <c r="AC20" i="3"/>
  <c r="AD20" i="3" s="1"/>
  <c r="AB20" i="3"/>
  <c r="AH17" i="3"/>
  <c r="AJ17" i="3" s="1"/>
  <c r="AK17" i="3" s="1"/>
  <c r="AH3" i="3"/>
  <c r="AI3" i="3" s="1"/>
  <c r="H30" i="1"/>
  <c r="H31" i="1" s="1"/>
  <c r="H32" i="1" s="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M7" i="3"/>
  <c r="M11" i="3"/>
  <c r="M10" i="3"/>
  <c r="M8" i="3"/>
  <c r="M12" i="3"/>
  <c r="M9" i="3"/>
  <c r="M13" i="3"/>
  <c r="M6" i="3"/>
  <c r="M5" i="3"/>
  <c r="S12" i="3"/>
  <c r="Z12" i="3" s="1"/>
  <c r="AA12" i="3" s="1"/>
  <c r="S19" i="3"/>
  <c r="Z19" i="3" s="1"/>
  <c r="AA19" i="3" s="1"/>
  <c r="S7" i="3"/>
  <c r="Z7" i="3" s="1"/>
  <c r="AA7" i="3" s="1"/>
  <c r="S10" i="3"/>
  <c r="Z10" i="3" s="1"/>
  <c r="AA10" i="3" s="1"/>
  <c r="S3" i="3"/>
  <c r="Z3" i="3" s="1"/>
  <c r="AA3" i="3" s="1"/>
  <c r="S5" i="3"/>
  <c r="Z5" i="3" s="1"/>
  <c r="AA5" i="3" s="1"/>
  <c r="S17" i="3"/>
  <c r="Z17" i="3" s="1"/>
  <c r="AA17" i="3" s="1"/>
  <c r="S11" i="3"/>
  <c r="Z11" i="3" s="1"/>
  <c r="AA11" i="3" s="1"/>
  <c r="S6" i="3"/>
  <c r="Z6" i="3" s="1"/>
  <c r="AA6" i="3" s="1"/>
  <c r="S8" i="3"/>
  <c r="Z8" i="3" s="1"/>
  <c r="AA8" i="3" s="1"/>
  <c r="S9" i="3"/>
  <c r="Z9" i="3" s="1"/>
  <c r="AA9" i="3" s="1"/>
  <c r="S13" i="3"/>
  <c r="Z13" i="3" s="1"/>
  <c r="AA13" i="3" s="1"/>
  <c r="B21" i="3"/>
  <c r="L21" i="3" s="1"/>
  <c r="S21" i="3" s="1"/>
  <c r="Z21" i="3" s="1"/>
  <c r="AA21" i="3" s="1"/>
  <c r="M20" i="3" l="1"/>
  <c r="N20" i="3" s="1"/>
  <c r="M4" i="3"/>
  <c r="T4" i="3" s="1"/>
  <c r="AO8" i="3"/>
  <c r="AE4" i="3"/>
  <c r="AE20" i="3"/>
  <c r="AH8" i="3"/>
  <c r="AI8" i="3" s="1"/>
  <c r="M18" i="3"/>
  <c r="O18" i="3" s="1"/>
  <c r="P18" i="3" s="1"/>
  <c r="AP8" i="3"/>
  <c r="AQ8" i="3"/>
  <c r="AR8" i="3" s="1"/>
  <c r="AP3" i="3"/>
  <c r="AQ3" i="3"/>
  <c r="AR3" i="3" s="1"/>
  <c r="AE18" i="3"/>
  <c r="G3" i="4" s="1"/>
  <c r="AB9" i="3"/>
  <c r="AC9" i="3"/>
  <c r="AD9" i="3" s="1"/>
  <c r="AC8" i="3"/>
  <c r="AD8" i="3" s="1"/>
  <c r="AB8" i="3"/>
  <c r="AB19" i="3"/>
  <c r="AC19" i="3"/>
  <c r="AD19" i="3" s="1"/>
  <c r="AC6" i="3"/>
  <c r="AD6" i="3" s="1"/>
  <c r="AB6" i="3"/>
  <c r="AC3" i="3"/>
  <c r="AD3" i="3" s="1"/>
  <c r="AB3" i="3"/>
  <c r="AB12" i="3"/>
  <c r="AC12" i="3"/>
  <c r="AD12" i="3" s="1"/>
  <c r="AC17" i="3"/>
  <c r="AD17" i="3" s="1"/>
  <c r="AB17" i="3"/>
  <c r="AC7" i="3"/>
  <c r="AD7" i="3" s="1"/>
  <c r="AB7" i="3"/>
  <c r="AC5" i="3"/>
  <c r="AD5" i="3" s="1"/>
  <c r="AB5" i="3"/>
  <c r="AB21" i="3"/>
  <c r="AC21" i="3"/>
  <c r="AD21" i="3" s="1"/>
  <c r="AB13" i="3"/>
  <c r="AC13" i="3"/>
  <c r="AD13" i="3" s="1"/>
  <c r="AB11" i="3"/>
  <c r="AC11" i="3"/>
  <c r="AD11" i="3" s="1"/>
  <c r="AC10" i="3"/>
  <c r="AD10" i="3" s="1"/>
  <c r="AB10" i="3"/>
  <c r="AI17" i="3"/>
  <c r="AL17" i="3" s="1"/>
  <c r="N4" i="3"/>
  <c r="AH22" i="3"/>
  <c r="AJ22" i="3" s="1"/>
  <c r="AK22" i="3" s="1"/>
  <c r="M17" i="3"/>
  <c r="O17" i="3" s="1"/>
  <c r="P17" i="3" s="1"/>
  <c r="O4" i="3"/>
  <c r="P4" i="3" s="1"/>
  <c r="M19" i="3"/>
  <c r="N19" i="3" s="1"/>
  <c r="M3" i="3"/>
  <c r="O3" i="3" s="1"/>
  <c r="P3" i="3" s="1"/>
  <c r="T9" i="3"/>
  <c r="U9" i="3" s="1"/>
  <c r="N9" i="3"/>
  <c r="T6" i="3"/>
  <c r="U6" i="3" s="1"/>
  <c r="N6" i="3"/>
  <c r="T7" i="3"/>
  <c r="U7" i="3" s="1"/>
  <c r="N7" i="3"/>
  <c r="T12" i="3"/>
  <c r="U12" i="3" s="1"/>
  <c r="N12" i="3"/>
  <c r="T13" i="3"/>
  <c r="U13" i="3" s="1"/>
  <c r="N13" i="3"/>
  <c r="T8" i="3"/>
  <c r="U8" i="3" s="1"/>
  <c r="N8" i="3"/>
  <c r="T11" i="3"/>
  <c r="U11" i="3" s="1"/>
  <c r="N11" i="3"/>
  <c r="T5" i="3"/>
  <c r="U5" i="3" s="1"/>
  <c r="N5" i="3"/>
  <c r="T10" i="3"/>
  <c r="U10" i="3" s="1"/>
  <c r="N10" i="3"/>
  <c r="U4" i="3"/>
  <c r="V4" i="3"/>
  <c r="W4" i="3" s="1"/>
  <c r="O7" i="3"/>
  <c r="P7" i="3" s="1"/>
  <c r="O10" i="3"/>
  <c r="P10" i="3" s="1"/>
  <c r="O8" i="3"/>
  <c r="P8" i="3" s="1"/>
  <c r="O12" i="3"/>
  <c r="P12" i="3" s="1"/>
  <c r="O9" i="3"/>
  <c r="P9" i="3" s="1"/>
  <c r="AJ3" i="3"/>
  <c r="AK3" i="3" s="1"/>
  <c r="AL3" i="3" s="1"/>
  <c r="O11" i="3"/>
  <c r="P11" i="3" s="1"/>
  <c r="O13" i="3"/>
  <c r="P13" i="3" s="1"/>
  <c r="O5" i="3"/>
  <c r="P5" i="3" s="1"/>
  <c r="O6" i="3"/>
  <c r="P6" i="3" s="1"/>
  <c r="M21" i="3"/>
  <c r="B22" i="3"/>
  <c r="L22" i="3" s="1"/>
  <c r="S22" i="3" s="1"/>
  <c r="Z22" i="3" s="1"/>
  <c r="AA22" i="3" s="1"/>
  <c r="T20" i="3" l="1"/>
  <c r="O20" i="3"/>
  <c r="P20" i="3" s="1"/>
  <c r="N18" i="3"/>
  <c r="E18" i="3" s="1"/>
  <c r="E4" i="3"/>
  <c r="G4" i="3"/>
  <c r="G5" i="3"/>
  <c r="G6" i="3"/>
  <c r="G7" i="3"/>
  <c r="G13" i="3"/>
  <c r="G3" i="3"/>
  <c r="G8" i="3"/>
  <c r="G12" i="3"/>
  <c r="G9" i="3"/>
  <c r="G10" i="3"/>
  <c r="G11" i="3"/>
  <c r="G20" i="3"/>
  <c r="G22" i="3"/>
  <c r="G21" i="3"/>
  <c r="G23" i="3"/>
  <c r="G26" i="3"/>
  <c r="G24" i="3"/>
  <c r="G27" i="3"/>
  <c r="G18" i="3"/>
  <c r="G25" i="3"/>
  <c r="G17" i="3"/>
  <c r="G19" i="3"/>
  <c r="AE3" i="3"/>
  <c r="AE6" i="3"/>
  <c r="G5" i="4" s="1"/>
  <c r="AE5" i="3"/>
  <c r="AE7" i="3"/>
  <c r="AE8" i="3"/>
  <c r="AE10" i="3"/>
  <c r="AE17" i="3"/>
  <c r="T18" i="3"/>
  <c r="U18" i="3" s="1"/>
  <c r="AS3" i="3"/>
  <c r="T17" i="3"/>
  <c r="V17" i="3" s="1"/>
  <c r="W17" i="3" s="1"/>
  <c r="AS8" i="3"/>
  <c r="N17" i="3"/>
  <c r="E17" i="3" s="1"/>
  <c r="AI22" i="3"/>
  <c r="AL22" i="3" s="1"/>
  <c r="AE19" i="3"/>
  <c r="AE21" i="3"/>
  <c r="AE11" i="3"/>
  <c r="AE12" i="3"/>
  <c r="AE9" i="3"/>
  <c r="AB22" i="3"/>
  <c r="AC22" i="3"/>
  <c r="AD22" i="3" s="1"/>
  <c r="V8" i="3"/>
  <c r="W8" i="3" s="1"/>
  <c r="F8" i="3" s="1"/>
  <c r="AJ8" i="3"/>
  <c r="AK8" i="3" s="1"/>
  <c r="AL8" i="3" s="1"/>
  <c r="O19" i="3"/>
  <c r="P19" i="3" s="1"/>
  <c r="E19" i="3" s="1"/>
  <c r="T19" i="3"/>
  <c r="U19" i="3" s="1"/>
  <c r="N3" i="3"/>
  <c r="E3" i="3" s="1"/>
  <c r="V9" i="3"/>
  <c r="W9" i="3" s="1"/>
  <c r="F9" i="3" s="1"/>
  <c r="T3" i="3"/>
  <c r="U3" i="3" s="1"/>
  <c r="V11" i="3"/>
  <c r="W11" i="3" s="1"/>
  <c r="F11" i="3" s="1"/>
  <c r="V7" i="3"/>
  <c r="W7" i="3" s="1"/>
  <c r="F7" i="3" s="1"/>
  <c r="V6" i="3"/>
  <c r="W6" i="3" s="1"/>
  <c r="F6" i="3" s="1"/>
  <c r="E13" i="3"/>
  <c r="E6" i="3"/>
  <c r="E11" i="3"/>
  <c r="V5" i="3"/>
  <c r="W5" i="3" s="1"/>
  <c r="F5" i="3" s="1"/>
  <c r="E8" i="3"/>
  <c r="N21" i="3"/>
  <c r="T21" i="3"/>
  <c r="E10" i="3"/>
  <c r="V12" i="3"/>
  <c r="W12" i="3" s="1"/>
  <c r="F12" i="3" s="1"/>
  <c r="F4" i="3"/>
  <c r="H4" i="3" s="1"/>
  <c r="E7" i="3"/>
  <c r="E5" i="3"/>
  <c r="V20" i="3"/>
  <c r="W20" i="3" s="1"/>
  <c r="U20" i="3"/>
  <c r="E9" i="3"/>
  <c r="V10" i="3"/>
  <c r="W10" i="3" s="1"/>
  <c r="F10" i="3" s="1"/>
  <c r="V13" i="3"/>
  <c r="W13" i="3" s="1"/>
  <c r="F13" i="3" s="1"/>
  <c r="E20" i="3"/>
  <c r="E12" i="3"/>
  <c r="M22" i="3"/>
  <c r="B23" i="3"/>
  <c r="L23" i="3" s="1"/>
  <c r="S23" i="3" s="1"/>
  <c r="Z23" i="3" s="1"/>
  <c r="AA23" i="3" s="1"/>
  <c r="O21" i="3"/>
  <c r="P21" i="3" s="1"/>
  <c r="AL27" i="3" l="1"/>
  <c r="K4" i="4" s="1"/>
  <c r="H3" i="4"/>
  <c r="H4" i="4" s="1"/>
  <c r="H5" i="4" s="1"/>
  <c r="H6" i="4" s="1"/>
  <c r="H7" i="4" s="1"/>
  <c r="H8" i="4" s="1"/>
  <c r="H9" i="4" s="1"/>
  <c r="H10" i="4" s="1"/>
  <c r="P1" i="4"/>
  <c r="L1" i="4"/>
  <c r="M1" i="4"/>
  <c r="O1" i="4"/>
  <c r="N1" i="4"/>
  <c r="G4" i="4"/>
  <c r="J4" i="4"/>
  <c r="L3" i="4"/>
  <c r="G6" i="4"/>
  <c r="D4" i="3"/>
  <c r="D6" i="3"/>
  <c r="D13" i="3"/>
  <c r="D5" i="3"/>
  <c r="D7" i="3"/>
  <c r="D8" i="3"/>
  <c r="D9" i="3"/>
  <c r="D3" i="3"/>
  <c r="D10" i="3"/>
  <c r="D11" i="3"/>
  <c r="D12" i="3"/>
  <c r="U17" i="3"/>
  <c r="F17" i="3" s="1"/>
  <c r="V18" i="3"/>
  <c r="W18" i="3" s="1"/>
  <c r="F18" i="3" s="1"/>
  <c r="H18" i="3" s="1"/>
  <c r="I18" i="3" s="1"/>
  <c r="D3" i="4" s="1"/>
  <c r="D19" i="3"/>
  <c r="D18" i="3"/>
  <c r="D20" i="3"/>
  <c r="D21" i="3"/>
  <c r="D17" i="3"/>
  <c r="D22" i="3"/>
  <c r="D26" i="3"/>
  <c r="D27" i="3"/>
  <c r="D23" i="3"/>
  <c r="D25" i="3"/>
  <c r="D24" i="3"/>
  <c r="P3" i="4"/>
  <c r="O3" i="4"/>
  <c r="N3" i="4"/>
  <c r="M3" i="4"/>
  <c r="E21" i="3"/>
  <c r="AE22" i="3"/>
  <c r="G7" i="4" s="1"/>
  <c r="AB23" i="3"/>
  <c r="AC23" i="3"/>
  <c r="AD23" i="3" s="1"/>
  <c r="V3" i="3"/>
  <c r="W3" i="3" s="1"/>
  <c r="F3" i="3" s="1"/>
  <c r="H3" i="3" s="1"/>
  <c r="I3" i="3" s="1"/>
  <c r="C2" i="4" s="1"/>
  <c r="V19" i="3"/>
  <c r="W19" i="3" s="1"/>
  <c r="F19" i="3" s="1"/>
  <c r="H6" i="3"/>
  <c r="I6" i="3" s="1"/>
  <c r="C5" i="4" s="1"/>
  <c r="I4" i="3"/>
  <c r="C3" i="4" s="1"/>
  <c r="F20" i="3"/>
  <c r="H20" i="3" s="1"/>
  <c r="I20" i="3" s="1"/>
  <c r="D5" i="4" s="1"/>
  <c r="H7" i="3"/>
  <c r="I7" i="3" s="1"/>
  <c r="C6" i="4" s="1"/>
  <c r="H8" i="3"/>
  <c r="I8" i="3" s="1"/>
  <c r="C7" i="4" s="1"/>
  <c r="N22" i="3"/>
  <c r="T22" i="3"/>
  <c r="H9" i="3"/>
  <c r="I9" i="3" s="1"/>
  <c r="C8" i="4" s="1"/>
  <c r="U21" i="3"/>
  <c r="V21" i="3"/>
  <c r="W21" i="3" s="1"/>
  <c r="H5" i="3"/>
  <c r="I5" i="3" s="1"/>
  <c r="C4" i="4" s="1"/>
  <c r="M23" i="3"/>
  <c r="B24" i="3"/>
  <c r="L24" i="3" s="1"/>
  <c r="S24" i="3" s="1"/>
  <c r="Z24" i="3" s="1"/>
  <c r="AA24" i="3" s="1"/>
  <c r="O22" i="3"/>
  <c r="P22" i="3" s="1"/>
  <c r="Q3" i="4" l="1"/>
  <c r="L4" i="4"/>
  <c r="Q4" i="4" s="1"/>
  <c r="M4" i="4"/>
  <c r="K5" i="4"/>
  <c r="H19" i="3"/>
  <c r="I19" i="3" s="1"/>
  <c r="D4" i="4" s="1"/>
  <c r="E4" i="4" s="1"/>
  <c r="J5" i="4"/>
  <c r="N4" i="4"/>
  <c r="O4" i="4"/>
  <c r="P4" i="4"/>
  <c r="H17" i="3"/>
  <c r="I17" i="3" s="1"/>
  <c r="D2" i="4" s="1"/>
  <c r="E2" i="4" s="1"/>
  <c r="F2" i="4" s="1"/>
  <c r="E3" i="4"/>
  <c r="AE23" i="3"/>
  <c r="G8" i="4" s="1"/>
  <c r="AB24" i="3"/>
  <c r="AC24" i="3"/>
  <c r="AD24" i="3" s="1"/>
  <c r="E5" i="4"/>
  <c r="E22" i="3"/>
  <c r="N23" i="3"/>
  <c r="T23" i="3"/>
  <c r="F21" i="3"/>
  <c r="H21" i="3" s="1"/>
  <c r="I21" i="3" s="1"/>
  <c r="D6" i="4" s="1"/>
  <c r="V22" i="3"/>
  <c r="W22" i="3" s="1"/>
  <c r="U22" i="3"/>
  <c r="M24" i="3"/>
  <c r="B25" i="3"/>
  <c r="L25" i="3" s="1"/>
  <c r="S25" i="3" s="1"/>
  <c r="Z25" i="3" s="1"/>
  <c r="AA25" i="3" s="1"/>
  <c r="O23" i="3"/>
  <c r="P23" i="3" s="1"/>
  <c r="P5" i="4" l="1"/>
  <c r="N5" i="4"/>
  <c r="K6" i="4"/>
  <c r="M5" i="4"/>
  <c r="O5" i="4"/>
  <c r="L5" i="4"/>
  <c r="Q5" i="4" s="1"/>
  <c r="J6" i="4"/>
  <c r="J7" i="4" s="1"/>
  <c r="L7" i="4" s="1"/>
  <c r="F3" i="4"/>
  <c r="S3" i="4" s="1"/>
  <c r="T3" i="4" s="1"/>
  <c r="AE24" i="3"/>
  <c r="G9" i="4" s="1"/>
  <c r="AB25" i="3"/>
  <c r="AC25" i="3"/>
  <c r="AD25" i="3" s="1"/>
  <c r="F4" i="4"/>
  <c r="S4" i="4" s="1"/>
  <c r="T4" i="4" s="1"/>
  <c r="E6" i="4"/>
  <c r="F6" i="4" s="1"/>
  <c r="E23" i="3"/>
  <c r="N24" i="3"/>
  <c r="T24" i="3"/>
  <c r="F22" i="3"/>
  <c r="H22" i="3" s="1"/>
  <c r="I22" i="3" s="1"/>
  <c r="D7" i="4" s="1"/>
  <c r="U23" i="3"/>
  <c r="V23" i="3"/>
  <c r="W23" i="3" s="1"/>
  <c r="F5" i="4"/>
  <c r="B26" i="3"/>
  <c r="L26" i="3" s="1"/>
  <c r="S26" i="3" s="1"/>
  <c r="Z26" i="3" s="1"/>
  <c r="AA26" i="3" s="1"/>
  <c r="M25" i="3"/>
  <c r="O24" i="3"/>
  <c r="P24" i="3" s="1"/>
  <c r="K7" i="4" l="1"/>
  <c r="N6" i="4"/>
  <c r="O6" i="4"/>
  <c r="M6" i="4"/>
  <c r="L6" i="4"/>
  <c r="P6" i="4"/>
  <c r="R3" i="4"/>
  <c r="J8" i="4"/>
  <c r="P7" i="4"/>
  <c r="M7" i="4"/>
  <c r="N7" i="4"/>
  <c r="O7" i="4"/>
  <c r="R4" i="4"/>
  <c r="AE25" i="3"/>
  <c r="G10" i="4" s="1"/>
  <c r="AB26" i="3"/>
  <c r="AC26" i="3"/>
  <c r="AD26" i="3" s="1"/>
  <c r="E24" i="3"/>
  <c r="N25" i="3"/>
  <c r="T25" i="3"/>
  <c r="F23" i="3"/>
  <c r="H23" i="3" s="1"/>
  <c r="I23" i="3" s="1"/>
  <c r="D8" i="4" s="1"/>
  <c r="E7" i="4"/>
  <c r="F7" i="4" s="1"/>
  <c r="V24" i="3"/>
  <c r="W24" i="3" s="1"/>
  <c r="U24" i="3"/>
  <c r="O25" i="3"/>
  <c r="P25" i="3" s="1"/>
  <c r="M26" i="3"/>
  <c r="B27" i="3"/>
  <c r="Q6" i="4" l="1"/>
  <c r="K8" i="4"/>
  <c r="Q7" i="4"/>
  <c r="R5" i="4"/>
  <c r="S5" i="4"/>
  <c r="T5" i="4" s="1"/>
  <c r="U3" i="4"/>
  <c r="J9" i="4"/>
  <c r="J10" i="4" s="1"/>
  <c r="O8" i="4"/>
  <c r="M8" i="4"/>
  <c r="P8" i="4"/>
  <c r="L8" i="4"/>
  <c r="N8" i="4"/>
  <c r="U4" i="4"/>
  <c r="AE26" i="3"/>
  <c r="E8" i="4"/>
  <c r="F10" i="4" s="1"/>
  <c r="T26" i="3"/>
  <c r="N26" i="3"/>
  <c r="U25" i="3"/>
  <c r="V25" i="3"/>
  <c r="W25" i="3" s="1"/>
  <c r="E25" i="3"/>
  <c r="F24" i="3"/>
  <c r="L27" i="3"/>
  <c r="O26" i="3"/>
  <c r="P26" i="3" s="1"/>
  <c r="K9" i="4" l="1"/>
  <c r="Q8" i="4"/>
  <c r="R6" i="4"/>
  <c r="S6" i="4"/>
  <c r="T6" i="4" s="1"/>
  <c r="U5" i="4"/>
  <c r="R7" i="4"/>
  <c r="S7" i="4"/>
  <c r="T7" i="4" s="1"/>
  <c r="O9" i="4"/>
  <c r="M9" i="4"/>
  <c r="P9" i="4"/>
  <c r="N9" i="4"/>
  <c r="L9" i="4"/>
  <c r="F8" i="4"/>
  <c r="F9" i="4"/>
  <c r="E26" i="3"/>
  <c r="U26" i="3"/>
  <c r="V26" i="3"/>
  <c r="W26" i="3" s="1"/>
  <c r="F25" i="3"/>
  <c r="M27" i="3"/>
  <c r="S27" i="3"/>
  <c r="Z27" i="3" s="1"/>
  <c r="AA27" i="3" s="1"/>
  <c r="S8" i="4" l="1"/>
  <c r="T8" i="4" s="1"/>
  <c r="Q9" i="4"/>
  <c r="U6" i="4"/>
  <c r="M10" i="4"/>
  <c r="P10" i="4"/>
  <c r="N10" i="4"/>
  <c r="O10" i="4"/>
  <c r="L10" i="4"/>
  <c r="R8" i="4"/>
  <c r="AC27" i="3"/>
  <c r="AD27" i="3" s="1"/>
  <c r="AB27" i="3"/>
  <c r="N27" i="3"/>
  <c r="T27" i="3"/>
  <c r="F26" i="3"/>
  <c r="O27" i="3"/>
  <c r="P27" i="3" s="1"/>
  <c r="Q10" i="4" l="1"/>
  <c r="R9" i="4"/>
  <c r="S9" i="4"/>
  <c r="T9" i="4" s="1"/>
  <c r="U8" i="4"/>
  <c r="U7" i="4"/>
  <c r="V27" i="3"/>
  <c r="W27" i="3" s="1"/>
  <c r="U27" i="3"/>
  <c r="E27" i="3"/>
  <c r="U13" i="4"/>
  <c r="U9" i="4" l="1"/>
  <c r="R10" i="4"/>
  <c r="S10" i="4"/>
  <c r="T10" i="4" s="1"/>
  <c r="F27" i="3"/>
  <c r="U14" i="4"/>
  <c r="Q24" i="4"/>
  <c r="Q23" i="4"/>
  <c r="U10" i="4" l="1"/>
  <c r="S24" i="4"/>
  <c r="S23" i="4"/>
</calcChain>
</file>

<file path=xl/sharedStrings.xml><?xml version="1.0" encoding="utf-8"?>
<sst xmlns="http://schemas.openxmlformats.org/spreadsheetml/2006/main" count="416" uniqueCount="172">
  <si>
    <t>First census</t>
  </si>
  <si>
    <t>DK</t>
  </si>
  <si>
    <t>Total</t>
  </si>
  <si>
    <t>0-4</t>
  </si>
  <si>
    <t>5-9</t>
  </si>
  <si>
    <t>10-14</t>
  </si>
  <si>
    <t>15-19</t>
  </si>
  <si>
    <t>20-24</t>
  </si>
  <si>
    <t>25-29</t>
  </si>
  <si>
    <t>30-34</t>
  </si>
  <si>
    <t>35-39</t>
  </si>
  <si>
    <t>40-44</t>
  </si>
  <si>
    <t>45-49</t>
  </si>
  <si>
    <t>50-54</t>
  </si>
  <si>
    <t>Age group</t>
  </si>
  <si>
    <t>n</t>
  </si>
  <si>
    <t>Second census</t>
  </si>
  <si>
    <t>PMTCT coverage</t>
  </si>
  <si>
    <t>HIV prevalence</t>
  </si>
  <si>
    <t>ART coverage</t>
  </si>
  <si>
    <t>First inquiry</t>
  </si>
  <si>
    <t>Coefficients for adjusting proportions of mothers surviving for HIV-related bias</t>
  </si>
  <si>
    <t>Growth rate</t>
  </si>
  <si>
    <t>Difference in years</t>
  </si>
  <si>
    <t>Adjusted proportions</t>
  </si>
  <si>
    <t>Pre-ART period</t>
  </si>
  <si>
    <t>Post-ART period</t>
  </si>
  <si>
    <t xml:space="preserve">Births by: </t>
  </si>
  <si>
    <t>age at interview</t>
  </si>
  <si>
    <t>Age</t>
  </si>
  <si>
    <t>Births in the</t>
  </si>
  <si>
    <t>Mid-point</t>
  </si>
  <si>
    <t>group</t>
  </si>
  <si>
    <t>last year</t>
  </si>
  <si>
    <t>age</t>
  </si>
  <si>
    <t>N</t>
  </si>
  <si>
    <t>Totals:</t>
  </si>
  <si>
    <r>
      <rPr>
        <b/>
        <i/>
        <sz val="11"/>
        <rFont val="Times New Roman"/>
        <family val="1"/>
      </rPr>
      <t>B</t>
    </r>
    <r>
      <rPr>
        <b/>
        <sz val="11"/>
        <rFont val="Times New Roman"/>
        <family val="1"/>
      </rPr>
      <t>(</t>
    </r>
    <r>
      <rPr>
        <b/>
        <i/>
        <sz val="11"/>
        <rFont val="Times New Roman"/>
        <family val="1"/>
      </rPr>
      <t>i</t>
    </r>
    <r>
      <rPr>
        <b/>
        <sz val="11"/>
        <rFont val="Times New Roman"/>
        <family val="1"/>
      </rPr>
      <t>)</t>
    </r>
  </si>
  <si>
    <r>
      <rPr>
        <b/>
        <i/>
        <sz val="11"/>
        <rFont val="Times New Roman"/>
        <family val="1"/>
      </rPr>
      <t>B</t>
    </r>
    <r>
      <rPr>
        <b/>
        <sz val="11"/>
        <rFont val="Times New Roman"/>
        <family val="1"/>
      </rPr>
      <t>(</t>
    </r>
    <r>
      <rPr>
        <b/>
        <i/>
        <sz val="11"/>
        <rFont val="Times New Roman"/>
        <family val="1"/>
      </rPr>
      <t>i</t>
    </r>
    <r>
      <rPr>
        <b/>
        <sz val="11"/>
        <rFont val="Times New Roman"/>
        <family val="1"/>
      </rPr>
      <t>)*</t>
    </r>
    <r>
      <rPr>
        <b/>
        <i/>
        <sz val="11"/>
        <rFont val="Times New Roman"/>
        <family val="1"/>
      </rPr>
      <t>N</t>
    </r>
  </si>
  <si>
    <t>Second inquiry</t>
  </si>
  <si>
    <t>Calculation of proportions of non-orphans</t>
  </si>
  <si>
    <t>Country</t>
  </si>
  <si>
    <t>Date of first inquiry</t>
  </si>
  <si>
    <t>Date of second inquiry</t>
  </si>
  <si>
    <t>alive</t>
  </si>
  <si>
    <t>Mother</t>
  </si>
  <si>
    <t xml:space="preserve">Mother </t>
  </si>
  <si>
    <t>deceased</t>
  </si>
  <si>
    <t>50-45</t>
  </si>
  <si>
    <t>t</t>
  </si>
  <si>
    <t>Linear interpolation: HIV prevalence at time of birth</t>
  </si>
  <si>
    <t>Linear interpolation: PMTCT coverage at time of birth</t>
  </si>
  <si>
    <t>Minnesota Population Center. Integrated Public Use Microdata Series, International: Version 7.3 [dataset]. Minneapolis, MN: IPUMS, 2020. https://doi.org/10.18128/D020.V7.3</t>
  </si>
  <si>
    <t>Spectrum (version 6.23 based on the 2022 UNAIDS estimates), referring to females</t>
  </si>
  <si>
    <t>x</t>
  </si>
  <si>
    <t>Level α</t>
  </si>
  <si>
    <t>Final estimates</t>
  </si>
  <si>
    <t>Instructions</t>
  </si>
  <si>
    <t>Version 1.0 Date: 8/11/2011</t>
  </si>
  <si>
    <t xml:space="preserve">This method is described at: </t>
  </si>
  <si>
    <t>Data entry:</t>
  </si>
  <si>
    <t>Input parameters</t>
  </si>
  <si>
    <t>1)</t>
  </si>
  <si>
    <t xml:space="preserve">Enter the name of the country or population to the right of this cell </t>
  </si>
  <si>
    <t>Name of country/population:</t>
  </si>
  <si>
    <t>2)</t>
  </si>
  <si>
    <t>Select the name of family of model life tables against which you want to assess the level and trend in mortality in this population using the drop down box to the right of this cell</t>
  </si>
  <si>
    <t>Select standard life table:</t>
  </si>
  <si>
    <t>AIDS</t>
  </si>
  <si>
    <t>3)</t>
  </si>
  <si>
    <t>4)</t>
  </si>
  <si>
    <t>5)</t>
  </si>
  <si>
    <t>OR</t>
  </si>
  <si>
    <t>Estimation of adult mortality from data on maternal orphanhood with AIDS</t>
  </si>
  <si>
    <t>ADD DOI</t>
  </si>
  <si>
    <t>Enter date of first inquiry:</t>
  </si>
  <si>
    <t>Enter date of second inquiry:</t>
  </si>
  <si>
    <t>WPP</t>
  </si>
  <si>
    <t>Enter the mean date of interview or mid-point of the period over which fieldwork for the inquiry was conducted to the right of this cell, for the first survey or census</t>
  </si>
  <si>
    <t>Enter the mean date of interview or mid-point of the period over which fieldwork for the inquiry was conducted to the right of this cell, for the second survey or census</t>
  </si>
  <si>
    <t>1) Proportions with surviving mothers and mean age at childbearing based on recent births</t>
  </si>
  <si>
    <t>Available at https://www.avenirhealth.org/software-spectrum.php</t>
  </si>
  <si>
    <t>Estimates from UNAIDS (e.g. Spectrum)</t>
  </si>
  <si>
    <t>Estimates from WPP</t>
  </si>
  <si>
    <t>MACB</t>
  </si>
  <si>
    <t>3) Mean age childbearing based on World Population Prospects 2022</t>
  </si>
  <si>
    <t>Obtained from the R package wpp2022</t>
  </si>
  <si>
    <t>Calculated as:</t>
  </si>
  <si>
    <r>
      <t>where N</t>
    </r>
    <r>
      <rPr>
        <vertAlign val="subscript"/>
        <sz val="11"/>
        <color theme="1"/>
        <rFont val="Times New Roman"/>
        <family val="1"/>
      </rPr>
      <t xml:space="preserve">i </t>
    </r>
    <r>
      <rPr>
        <sz val="11"/>
        <color theme="1"/>
        <rFont val="Times New Roman"/>
        <family val="1"/>
      </rPr>
      <t>is the number of births by age (calculated from ASFR and mid-year population estimates) and a</t>
    </r>
    <r>
      <rPr>
        <vertAlign val="subscript"/>
        <sz val="11"/>
        <color theme="1"/>
        <rFont val="Times New Roman"/>
        <family val="1"/>
      </rPr>
      <t xml:space="preserve">i </t>
    </r>
    <r>
      <rPr>
        <sz val="11"/>
        <color theme="1"/>
        <rFont val="Times New Roman"/>
        <family val="1"/>
      </rPr>
      <t xml:space="preserve">is the age +0,5 </t>
    </r>
  </si>
  <si>
    <t>Linear interpolation: MACB at time of birth</t>
  </si>
  <si>
    <r>
      <t>This spreadsheet estimates adult women's mortality from proportions of respondents with living mothers. If you have data from inquiries in settings with low HIV prevalence, you are advised to use the spreadsheet for the conventional orphanhood method available at https://demographicestimation.iussp.org/. This version implements the adjustments for selection biases and coefficients for estimating maternal orphanhood in populations affected by AIDS proposed by Masquelier et Timæus (</t>
    </r>
    <r>
      <rPr>
        <sz val="12"/>
        <color rgb="FFFF0000"/>
        <rFont val="Times New Roman"/>
        <family val="1"/>
      </rPr>
      <t>ADD DATE</t>
    </r>
    <r>
      <rPr>
        <sz val="12"/>
        <rFont val="Times New Roman"/>
        <family val="1"/>
      </rPr>
      <t>).</t>
    </r>
  </si>
  <si>
    <t>Midpoint</t>
  </si>
  <si>
    <t>UN General</t>
  </si>
  <si>
    <t>Princeton East</t>
  </si>
  <si>
    <t>Princeton North</t>
  </si>
  <si>
    <t>Princeton South</t>
  </si>
  <si>
    <t>Princeton West</t>
  </si>
  <si>
    <r>
      <t xml:space="preserve">Model life table logits </t>
    </r>
    <r>
      <rPr>
        <i/>
        <sz val="12"/>
        <rFont val="Times New Roman"/>
        <family val="1"/>
      </rPr>
      <t>e</t>
    </r>
    <r>
      <rPr>
        <vertAlign val="subscript"/>
        <sz val="12"/>
        <rFont val="Times New Roman"/>
        <family val="1"/>
      </rPr>
      <t>0</t>
    </r>
    <r>
      <rPr>
        <sz val="12"/>
        <rFont val="Times New Roman"/>
        <family val="1"/>
      </rPr>
      <t>=60, both sexes</t>
    </r>
  </si>
  <si>
    <t>Model life tables</t>
  </si>
  <si>
    <t>Proportions with</t>
  </si>
  <si>
    <t>surviving mother</t>
  </si>
  <si>
    <t>6)</t>
  </si>
  <si>
    <t>7)</t>
  </si>
  <si>
    <t xml:space="preserve">8) </t>
  </si>
  <si>
    <r>
      <rPr>
        <b/>
        <sz val="11"/>
        <color theme="1"/>
        <rFont val="Calibri"/>
        <family val="2"/>
      </rPr>
      <t>Δ</t>
    </r>
    <r>
      <rPr>
        <b/>
        <sz val="11"/>
        <color theme="1"/>
        <rFont val="Times New Roman"/>
        <family val="1"/>
      </rPr>
      <t xml:space="preserve"> HIV</t>
    </r>
  </si>
  <si>
    <r>
      <rPr>
        <b/>
        <i/>
        <sz val="11"/>
        <color theme="1"/>
        <rFont val="Times New Roman"/>
        <family val="1"/>
      </rPr>
      <t>β</t>
    </r>
    <r>
      <rPr>
        <b/>
        <vertAlign val="subscript"/>
        <sz val="11"/>
        <color theme="1"/>
        <rFont val="Times New Roman"/>
        <family val="1"/>
      </rPr>
      <t>0</t>
    </r>
  </si>
  <si>
    <r>
      <rPr>
        <b/>
        <i/>
        <sz val="11"/>
        <color theme="1"/>
        <rFont val="Times New Roman"/>
        <family val="1"/>
      </rPr>
      <t>β</t>
    </r>
    <r>
      <rPr>
        <b/>
        <vertAlign val="subscript"/>
        <sz val="11"/>
        <color theme="1"/>
        <rFont val="Times New Roman"/>
        <family val="1"/>
      </rPr>
      <t>1</t>
    </r>
  </si>
  <si>
    <r>
      <rPr>
        <b/>
        <i/>
        <sz val="11"/>
        <color theme="1"/>
        <rFont val="Times New Roman"/>
        <family val="1"/>
      </rPr>
      <t>β</t>
    </r>
    <r>
      <rPr>
        <b/>
        <vertAlign val="subscript"/>
        <sz val="11"/>
        <color theme="1"/>
        <rFont val="Times New Roman"/>
        <family val="1"/>
      </rPr>
      <t>2</t>
    </r>
  </si>
  <si>
    <r>
      <rPr>
        <b/>
        <i/>
        <sz val="11"/>
        <color theme="1"/>
        <rFont val="Times New Roman"/>
        <family val="1"/>
      </rPr>
      <t>β</t>
    </r>
    <r>
      <rPr>
        <b/>
        <vertAlign val="subscript"/>
        <sz val="11"/>
        <color theme="1"/>
        <rFont val="Times New Roman"/>
        <family val="1"/>
      </rPr>
      <t>3</t>
    </r>
  </si>
  <si>
    <r>
      <rPr>
        <b/>
        <i/>
        <sz val="11"/>
        <color theme="1"/>
        <rFont val="Times New Roman"/>
        <family val="1"/>
      </rPr>
      <t>β</t>
    </r>
    <r>
      <rPr>
        <b/>
        <vertAlign val="subscript"/>
        <sz val="11"/>
        <color theme="1"/>
        <rFont val="Times New Roman"/>
        <family val="1"/>
      </rPr>
      <t>4</t>
    </r>
  </si>
  <si>
    <r>
      <rPr>
        <b/>
        <i/>
        <vertAlign val="subscript"/>
        <sz val="11"/>
        <color theme="1"/>
        <rFont val="Times New Roman"/>
        <family val="1"/>
      </rPr>
      <t>n</t>
    </r>
    <r>
      <rPr>
        <b/>
        <i/>
        <sz val="11"/>
        <color theme="1"/>
        <rFont val="Times New Roman"/>
        <family val="1"/>
      </rPr>
      <t>p</t>
    </r>
    <r>
      <rPr>
        <b/>
        <vertAlign val="subscript"/>
        <sz val="11"/>
        <color theme="1"/>
        <rFont val="Times New Roman"/>
        <family val="1"/>
      </rPr>
      <t>25</t>
    </r>
  </si>
  <si>
    <r>
      <rPr>
        <b/>
        <vertAlign val="subscript"/>
        <sz val="11"/>
        <color theme="1"/>
        <rFont val="Times New Roman"/>
        <family val="1"/>
      </rPr>
      <t>45</t>
    </r>
    <r>
      <rPr>
        <b/>
        <i/>
        <sz val="11"/>
        <color theme="1"/>
        <rFont val="Times New Roman"/>
        <family val="1"/>
      </rPr>
      <t>q</t>
    </r>
    <r>
      <rPr>
        <b/>
        <vertAlign val="subscript"/>
        <sz val="11"/>
        <color theme="1"/>
        <rFont val="Times New Roman"/>
        <family val="1"/>
      </rPr>
      <t>15</t>
    </r>
  </si>
  <si>
    <r>
      <rPr>
        <b/>
        <i/>
        <sz val="11"/>
        <color theme="1"/>
        <rFont val="Times New Roman"/>
        <family val="1"/>
      </rPr>
      <t>β</t>
    </r>
    <r>
      <rPr>
        <b/>
        <vertAlign val="subscript"/>
        <sz val="11"/>
        <color theme="1"/>
        <rFont val="Times New Roman"/>
        <family val="1"/>
      </rPr>
      <t>5</t>
    </r>
  </si>
  <si>
    <r>
      <rPr>
        <b/>
        <i/>
        <sz val="11"/>
        <color theme="1"/>
        <rFont val="Times New Roman"/>
        <family val="1"/>
      </rPr>
      <t>β</t>
    </r>
    <r>
      <rPr>
        <b/>
        <vertAlign val="subscript"/>
        <sz val="11"/>
        <color theme="1"/>
        <rFont val="Times New Roman"/>
        <family val="1"/>
      </rPr>
      <t>6</t>
    </r>
  </si>
  <si>
    <r>
      <rPr>
        <b/>
        <i/>
        <sz val="11"/>
        <color theme="1"/>
        <rFont val="Times New Roman"/>
        <family val="1"/>
      </rPr>
      <t>β</t>
    </r>
    <r>
      <rPr>
        <b/>
        <vertAlign val="subscript"/>
        <sz val="11"/>
        <color theme="1"/>
        <rFont val="Times New Roman"/>
        <family val="1"/>
      </rPr>
      <t>7</t>
    </r>
  </si>
  <si>
    <r>
      <rPr>
        <b/>
        <i/>
        <sz val="11"/>
        <color theme="1"/>
        <rFont val="Times New Roman"/>
        <family val="1"/>
      </rPr>
      <t>β</t>
    </r>
    <r>
      <rPr>
        <b/>
        <vertAlign val="subscript"/>
        <sz val="11"/>
        <color theme="1"/>
        <rFont val="Times New Roman"/>
        <family val="1"/>
      </rPr>
      <t>8</t>
    </r>
  </si>
  <si>
    <r>
      <rPr>
        <b/>
        <i/>
        <sz val="11"/>
        <color theme="1"/>
        <rFont val="Times New Roman"/>
        <family val="1"/>
      </rPr>
      <t>β</t>
    </r>
    <r>
      <rPr>
        <b/>
        <vertAlign val="subscript"/>
        <sz val="11"/>
        <color theme="1"/>
        <rFont val="Times New Roman"/>
        <family val="1"/>
      </rPr>
      <t>9</t>
    </r>
  </si>
  <si>
    <r>
      <t>Women</t>
    </r>
    <r>
      <rPr>
        <i/>
        <sz val="12"/>
        <rFont val="Times New Roman"/>
        <family val="1"/>
      </rPr>
      <t xml:space="preserve"> e</t>
    </r>
    <r>
      <rPr>
        <vertAlign val="subscript"/>
        <sz val="12"/>
        <rFont val="Times New Roman"/>
        <family val="1"/>
      </rPr>
      <t>0</t>
    </r>
    <r>
      <rPr>
        <sz val="12"/>
        <rFont val="Times New Roman"/>
        <family val="1"/>
      </rPr>
      <t>=52.5</t>
    </r>
  </si>
  <si>
    <r>
      <rPr>
        <b/>
        <i/>
        <sz val="11"/>
        <color theme="1"/>
        <rFont val="Times New Roman"/>
        <family val="1"/>
      </rPr>
      <t>t</t>
    </r>
    <r>
      <rPr>
        <b/>
        <sz val="11"/>
        <color theme="1"/>
        <rFont val="Times New Roman"/>
        <family val="1"/>
      </rPr>
      <t>-</t>
    </r>
    <r>
      <rPr>
        <b/>
        <i/>
        <sz val="11"/>
        <color theme="1"/>
        <rFont val="Times New Roman"/>
        <family val="1"/>
      </rPr>
      <t>n</t>
    </r>
    <r>
      <rPr>
        <b/>
        <sz val="11"/>
        <color theme="1"/>
        <rFont val="Times New Roman"/>
        <family val="1"/>
      </rPr>
      <t>+2.5</t>
    </r>
  </si>
  <si>
    <r>
      <t>MACB</t>
    </r>
    <r>
      <rPr>
        <b/>
        <i/>
        <vertAlign val="subscript"/>
        <sz val="11"/>
        <color theme="1"/>
        <rFont val="Times New Roman"/>
        <family val="1"/>
      </rPr>
      <t>t</t>
    </r>
    <r>
      <rPr>
        <b/>
        <vertAlign val="subscript"/>
        <sz val="11"/>
        <color theme="1"/>
        <rFont val="Times New Roman"/>
        <family val="1"/>
      </rPr>
      <t>-</t>
    </r>
    <r>
      <rPr>
        <b/>
        <i/>
        <vertAlign val="subscript"/>
        <sz val="11"/>
        <color theme="1"/>
        <rFont val="Times New Roman"/>
        <family val="1"/>
      </rPr>
      <t>n</t>
    </r>
    <r>
      <rPr>
        <b/>
        <vertAlign val="subscript"/>
        <sz val="11"/>
        <color theme="1"/>
        <rFont val="Times New Roman"/>
        <family val="1"/>
      </rPr>
      <t>+2.5</t>
    </r>
  </si>
  <si>
    <r>
      <t>HIV</t>
    </r>
    <r>
      <rPr>
        <b/>
        <i/>
        <vertAlign val="subscript"/>
        <sz val="11"/>
        <color theme="1"/>
        <rFont val="Times New Roman"/>
        <family val="1"/>
      </rPr>
      <t>t</t>
    </r>
    <r>
      <rPr>
        <b/>
        <vertAlign val="subscript"/>
        <sz val="11"/>
        <color theme="1"/>
        <rFont val="Times New Roman"/>
        <family val="1"/>
      </rPr>
      <t>-</t>
    </r>
    <r>
      <rPr>
        <b/>
        <i/>
        <vertAlign val="subscript"/>
        <sz val="11"/>
        <color theme="1"/>
        <rFont val="Times New Roman"/>
        <family val="1"/>
      </rPr>
      <t>n</t>
    </r>
    <r>
      <rPr>
        <b/>
        <vertAlign val="subscript"/>
        <sz val="11"/>
        <color theme="1"/>
        <rFont val="Times New Roman"/>
        <family val="1"/>
      </rPr>
      <t>+2.5</t>
    </r>
  </si>
  <si>
    <r>
      <rPr>
        <b/>
        <sz val="11"/>
        <color theme="1"/>
        <rFont val="Times New Roman"/>
        <family val="1"/>
      </rPr>
      <t>PMTCT</t>
    </r>
    <r>
      <rPr>
        <b/>
        <i/>
        <vertAlign val="subscript"/>
        <sz val="11"/>
        <color theme="1"/>
        <rFont val="Times New Roman"/>
        <family val="1"/>
      </rPr>
      <t>t</t>
    </r>
    <r>
      <rPr>
        <b/>
        <vertAlign val="subscript"/>
        <sz val="11"/>
        <color theme="1"/>
        <rFont val="Times New Roman"/>
        <family val="1"/>
      </rPr>
      <t>-</t>
    </r>
    <r>
      <rPr>
        <b/>
        <i/>
        <vertAlign val="subscript"/>
        <sz val="11"/>
        <color theme="1"/>
        <rFont val="Times New Roman"/>
        <family val="1"/>
      </rPr>
      <t>n</t>
    </r>
    <r>
      <rPr>
        <b/>
        <vertAlign val="subscript"/>
        <sz val="11"/>
        <color theme="1"/>
        <rFont val="Times New Roman"/>
        <family val="1"/>
      </rPr>
      <t>+2.5</t>
    </r>
  </si>
  <si>
    <r>
      <rPr>
        <b/>
        <sz val="11"/>
        <color theme="1"/>
        <rFont val="Times New Roman"/>
        <family val="1"/>
      </rPr>
      <t>ART</t>
    </r>
    <r>
      <rPr>
        <b/>
        <i/>
        <vertAlign val="subscript"/>
        <sz val="11"/>
        <color theme="1"/>
        <rFont val="Times New Roman"/>
        <family val="1"/>
      </rPr>
      <t>t</t>
    </r>
  </si>
  <si>
    <r>
      <rPr>
        <b/>
        <i/>
        <sz val="11"/>
        <color theme="1"/>
        <rFont val="Times New Roman"/>
        <family val="1"/>
      </rPr>
      <t>S</t>
    </r>
    <r>
      <rPr>
        <b/>
        <sz val="11"/>
        <color theme="1"/>
        <rFont val="Times New Roman"/>
        <family val="1"/>
      </rPr>
      <t>(n)/S</t>
    </r>
    <r>
      <rPr>
        <b/>
        <vertAlign val="superscript"/>
        <sz val="11"/>
        <color theme="1"/>
        <rFont val="Times New Roman"/>
        <family val="1"/>
      </rPr>
      <t>*</t>
    </r>
    <r>
      <rPr>
        <b/>
        <sz val="11"/>
        <color theme="1"/>
        <rFont val="Times New Roman"/>
        <family val="1"/>
      </rPr>
      <t>(</t>
    </r>
    <r>
      <rPr>
        <b/>
        <i/>
        <sz val="11"/>
        <color theme="1"/>
        <rFont val="Times New Roman"/>
        <family val="1"/>
      </rPr>
      <t>n</t>
    </r>
    <r>
      <rPr>
        <b/>
        <sz val="11"/>
        <color theme="1"/>
        <rFont val="Times New Roman"/>
        <family val="1"/>
      </rPr>
      <t>)</t>
    </r>
  </si>
  <si>
    <r>
      <rPr>
        <b/>
        <i/>
        <sz val="11"/>
        <color theme="1"/>
        <rFont val="Times New Roman"/>
        <family val="1"/>
      </rPr>
      <t>S</t>
    </r>
    <r>
      <rPr>
        <b/>
        <vertAlign val="superscript"/>
        <sz val="11"/>
        <color theme="1"/>
        <rFont val="Times New Roman"/>
        <family val="1"/>
      </rPr>
      <t>*</t>
    </r>
    <r>
      <rPr>
        <b/>
        <sz val="11"/>
        <color theme="1"/>
        <rFont val="Times New Roman"/>
        <family val="1"/>
      </rPr>
      <t>(</t>
    </r>
    <r>
      <rPr>
        <b/>
        <i/>
        <sz val="11"/>
        <color theme="1"/>
        <rFont val="Times New Roman"/>
        <family val="1"/>
      </rPr>
      <t>n</t>
    </r>
    <r>
      <rPr>
        <b/>
        <sz val="11"/>
        <color theme="1"/>
        <rFont val="Times New Roman"/>
        <family val="1"/>
      </rPr>
      <t>)</t>
    </r>
  </si>
  <si>
    <r>
      <rPr>
        <b/>
        <sz val="11"/>
        <color theme="1"/>
        <rFont val="Times New Roman"/>
        <family val="1"/>
      </rPr>
      <t>HIV</t>
    </r>
    <r>
      <rPr>
        <b/>
        <i/>
        <vertAlign val="subscript"/>
        <sz val="11"/>
        <color theme="1"/>
        <rFont val="Times New Roman"/>
        <family val="1"/>
      </rPr>
      <t>t</t>
    </r>
  </si>
  <si>
    <r>
      <rPr>
        <b/>
        <i/>
        <sz val="11"/>
        <color theme="1"/>
        <rFont val="Times New Roman"/>
        <family val="1"/>
      </rPr>
      <t>S</t>
    </r>
    <r>
      <rPr>
        <b/>
        <sz val="11"/>
        <color theme="1"/>
        <rFont val="Times New Roman"/>
        <family val="1"/>
      </rPr>
      <t>(</t>
    </r>
    <r>
      <rPr>
        <b/>
        <i/>
        <sz val="11"/>
        <color theme="1"/>
        <rFont val="Times New Roman"/>
        <family val="1"/>
      </rPr>
      <t>n</t>
    </r>
    <r>
      <rPr>
        <b/>
        <sz val="11"/>
        <color theme="1"/>
        <rFont val="Times New Roman"/>
        <family val="1"/>
      </rPr>
      <t>)</t>
    </r>
  </si>
  <si>
    <t>Linear interpolation: ART coverage at date of 2nd inquiry</t>
  </si>
  <si>
    <t>Linear interpolation: HIV prevalence at date of 2nd inquiry</t>
  </si>
  <si>
    <t>Linear interpolation: HIV prevalence at date of 1st inquiry</t>
  </si>
  <si>
    <t>Linear interpolation: ART coverage at date of 1st inquiry</t>
  </si>
  <si>
    <t>Linear interpolation: HIV prevalence at midpoint of the two inquiries</t>
  </si>
  <si>
    <t>Linear interpolation: ART coverage at midpoint of the two inquiries</t>
  </si>
  <si>
    <r>
      <t xml:space="preserve">Calculation of </t>
    </r>
    <r>
      <rPr>
        <b/>
        <i/>
        <sz val="11"/>
        <rFont val="Times New Roman"/>
        <family val="1"/>
      </rPr>
      <t>M</t>
    </r>
  </si>
  <si>
    <r>
      <t xml:space="preserve">If you have data on numbers of respondents and number with living mothers by age group, paste these into cells </t>
    </r>
    <r>
      <rPr>
        <b/>
        <sz val="12"/>
        <rFont val="Times New Roman"/>
        <family val="1"/>
      </rPr>
      <t>B10:E20</t>
    </r>
    <r>
      <rPr>
        <sz val="12"/>
        <rFont val="Times New Roman"/>
        <family val="1"/>
      </rPr>
      <t xml:space="preserve"> and </t>
    </r>
    <r>
      <rPr>
        <b/>
        <sz val="12"/>
        <rFont val="Times New Roman"/>
        <family val="1"/>
      </rPr>
      <t>B44:E54</t>
    </r>
    <r>
      <rPr>
        <sz val="12"/>
        <rFont val="Times New Roman"/>
        <family val="1"/>
      </rPr>
      <t xml:space="preserve"> of the </t>
    </r>
    <r>
      <rPr>
        <b/>
        <sz val="12"/>
        <rFont val="Times New Roman"/>
        <family val="1"/>
      </rPr>
      <t>"Input data"</t>
    </r>
    <r>
      <rPr>
        <sz val="12"/>
        <rFont val="Times New Roman"/>
        <family val="1"/>
      </rPr>
      <t xml:space="preserve"> sheet. The counts of respondents in the first two columns should exclude anyone who did not know whether their mother was alive or did not answer the question.</t>
    </r>
  </si>
  <si>
    <r>
      <t xml:space="preserve">If you have data on the proportions of respondents with living mothers by age group, paste these into cells </t>
    </r>
    <r>
      <rPr>
        <b/>
        <sz val="12"/>
        <rFont val="Times New Roman"/>
        <family val="1"/>
      </rPr>
      <t>F10:F20</t>
    </r>
    <r>
      <rPr>
        <sz val="12"/>
        <rFont val="Times New Roman"/>
        <family val="1"/>
      </rPr>
      <t xml:space="preserve"> and</t>
    </r>
    <r>
      <rPr>
        <b/>
        <sz val="12"/>
        <rFont val="Times New Roman"/>
        <family val="1"/>
      </rPr>
      <t xml:space="preserve"> F44:F54</t>
    </r>
    <r>
      <rPr>
        <sz val="12"/>
        <rFont val="Times New Roman"/>
        <family val="1"/>
      </rPr>
      <t xml:space="preserve"> of the </t>
    </r>
    <r>
      <rPr>
        <b/>
        <sz val="12"/>
        <rFont val="Times New Roman"/>
        <family val="1"/>
      </rPr>
      <t>"Input data"</t>
    </r>
    <r>
      <rPr>
        <sz val="12"/>
        <rFont val="Times New Roman"/>
        <family val="1"/>
      </rPr>
      <t xml:space="preserve"> sheet. If they are expressed as percentages, divide them by 100 before doing this.</t>
    </r>
  </si>
  <si>
    <t>Specify if the mean age at childbearing (MACB) is calculated based on recent births reported in censuses and surveys or based on WPP estimates</t>
  </si>
  <si>
    <t>Calculation of the mean age at childbearing (MACB)</t>
  </si>
  <si>
    <r>
      <t xml:space="preserve">To calculate the mean age of childbearing of women based on recent births, paste the number of births in the year before the survey by age of mother into cells </t>
    </r>
    <r>
      <rPr>
        <b/>
        <sz val="12"/>
        <rFont val="Times New Roman"/>
        <family val="1"/>
      </rPr>
      <t>B27:B35</t>
    </r>
    <r>
      <rPr>
        <sz val="12"/>
        <rFont val="Times New Roman"/>
        <family val="1"/>
      </rPr>
      <t xml:space="preserve"> and </t>
    </r>
    <r>
      <rPr>
        <b/>
        <sz val="12"/>
        <rFont val="Times New Roman"/>
        <family val="1"/>
      </rPr>
      <t>B61:B69</t>
    </r>
    <r>
      <rPr>
        <sz val="12"/>
        <rFont val="Times New Roman"/>
        <family val="1"/>
      </rPr>
      <t xml:space="preserve"> of the </t>
    </r>
    <r>
      <rPr>
        <b/>
        <sz val="12"/>
        <rFont val="Times New Roman"/>
        <family val="1"/>
      </rPr>
      <t>"Input data"</t>
    </r>
    <r>
      <rPr>
        <sz val="12"/>
        <rFont val="Times New Roman"/>
        <family val="1"/>
      </rPr>
      <t xml:space="preserve"> sheet. By default, it is assumed that the births are tabulated by women's age at interview, not age at giving birth but there is an option to change this.</t>
    </r>
  </si>
  <si>
    <r>
      <t>Age (</t>
    </r>
    <r>
      <rPr>
        <b/>
        <i/>
        <sz val="11"/>
        <color theme="1"/>
        <rFont val="Times New Roman"/>
        <family val="1"/>
      </rPr>
      <t>x</t>
    </r>
    <r>
      <rPr>
        <b/>
        <sz val="11"/>
        <color theme="1"/>
        <rFont val="Times New Roman"/>
        <family val="1"/>
      </rPr>
      <t>)</t>
    </r>
  </si>
  <si>
    <r>
      <t>Standard logit(</t>
    </r>
    <r>
      <rPr>
        <b/>
        <i/>
        <sz val="11"/>
        <color theme="1"/>
        <rFont val="Times New Roman"/>
        <family val="1"/>
      </rPr>
      <t>l</t>
    </r>
    <r>
      <rPr>
        <b/>
        <i/>
        <vertAlign val="subscript"/>
        <sz val="11"/>
        <color theme="1"/>
        <rFont val="Times New Roman"/>
        <family val="1"/>
      </rPr>
      <t>x</t>
    </r>
    <r>
      <rPr>
        <b/>
        <sz val="11"/>
        <color theme="1"/>
        <rFont val="Times New Roman"/>
        <family val="1"/>
      </rPr>
      <t>)</t>
    </r>
  </si>
  <si>
    <r>
      <t xml:space="preserve">Standard </t>
    </r>
    <r>
      <rPr>
        <b/>
        <i/>
        <sz val="11"/>
        <color theme="1"/>
        <rFont val="Times New Roman"/>
        <family val="1"/>
      </rPr>
      <t>l</t>
    </r>
    <r>
      <rPr>
        <b/>
        <i/>
        <vertAlign val="subscript"/>
        <sz val="11"/>
        <color theme="1"/>
        <rFont val="Times New Roman"/>
        <family val="1"/>
      </rPr>
      <t>x</t>
    </r>
  </si>
  <si>
    <r>
      <rPr>
        <b/>
        <i/>
        <sz val="11"/>
        <color theme="1"/>
        <rFont val="Times New Roman"/>
        <family val="1"/>
      </rPr>
      <t>S</t>
    </r>
    <r>
      <rPr>
        <b/>
        <vertAlign val="superscript"/>
        <sz val="11"/>
        <color theme="1"/>
        <rFont val="Times New Roman"/>
        <family val="1"/>
      </rPr>
      <t>*</t>
    </r>
    <r>
      <rPr>
        <b/>
        <sz val="11"/>
        <color theme="1"/>
        <rFont val="Times New Roman"/>
        <family val="1"/>
      </rPr>
      <t>(</t>
    </r>
    <r>
      <rPr>
        <b/>
        <i/>
        <sz val="11"/>
        <color theme="1"/>
        <rFont val="Times New Roman"/>
        <family val="1"/>
      </rPr>
      <t>n</t>
    </r>
    <r>
      <rPr>
        <b/>
        <sz val="11"/>
        <color theme="1"/>
        <rFont val="Times New Roman"/>
        <family val="1"/>
      </rPr>
      <t>) (1)</t>
    </r>
  </si>
  <si>
    <r>
      <rPr>
        <b/>
        <i/>
        <sz val="11"/>
        <color theme="1"/>
        <rFont val="Times New Roman"/>
        <family val="1"/>
      </rPr>
      <t>M</t>
    </r>
    <r>
      <rPr>
        <b/>
        <sz val="11"/>
        <color theme="1"/>
        <rFont val="Times New Roman"/>
        <family val="1"/>
      </rPr>
      <t xml:space="preserve"> (midpoint)</t>
    </r>
  </si>
  <si>
    <t>HIV prevalence (midpoint)</t>
  </si>
  <si>
    <t>Date</t>
  </si>
  <si>
    <t>ART prevalence  (midpoint)</t>
  </si>
  <si>
    <r>
      <rPr>
        <b/>
        <i/>
        <sz val="11"/>
        <color theme="1"/>
        <rFont val="Times New Roman"/>
        <family val="1"/>
      </rPr>
      <t>S</t>
    </r>
    <r>
      <rPr>
        <b/>
        <vertAlign val="superscript"/>
        <sz val="11"/>
        <color theme="1"/>
        <rFont val="Times New Roman"/>
        <family val="1"/>
      </rPr>
      <t>*</t>
    </r>
    <r>
      <rPr>
        <b/>
        <sz val="11"/>
        <color theme="1"/>
        <rFont val="Times New Roman"/>
        <family val="1"/>
      </rPr>
      <t>(</t>
    </r>
    <r>
      <rPr>
        <b/>
        <i/>
        <sz val="11"/>
        <color theme="1"/>
        <rFont val="Times New Roman"/>
        <family val="1"/>
      </rPr>
      <t>n</t>
    </r>
    <r>
      <rPr>
        <b/>
        <sz val="11"/>
        <color theme="1"/>
        <rFont val="Times New Roman"/>
        <family val="1"/>
      </rPr>
      <t>) (2)</t>
    </r>
  </si>
  <si>
    <r>
      <rPr>
        <b/>
        <i/>
        <sz val="11"/>
        <color theme="1"/>
        <rFont val="Times New Roman"/>
        <family val="1"/>
      </rPr>
      <t>x</t>
    </r>
    <r>
      <rPr>
        <b/>
        <vertAlign val="subscript"/>
        <sz val="11"/>
        <color theme="1"/>
        <rFont val="Times New Roman"/>
        <family val="1"/>
      </rPr>
      <t>1</t>
    </r>
  </si>
  <si>
    <r>
      <rPr>
        <b/>
        <i/>
        <sz val="11"/>
        <color theme="1"/>
        <rFont val="Times New Roman"/>
        <family val="1"/>
      </rPr>
      <t>y</t>
    </r>
    <r>
      <rPr>
        <b/>
        <vertAlign val="subscript"/>
        <sz val="11"/>
        <color theme="1"/>
        <rFont val="Times New Roman"/>
        <family val="1"/>
      </rPr>
      <t>1</t>
    </r>
  </si>
  <si>
    <r>
      <rPr>
        <b/>
        <i/>
        <sz val="11"/>
        <color theme="1"/>
        <rFont val="Times New Roman"/>
        <family val="1"/>
      </rPr>
      <t>x</t>
    </r>
    <r>
      <rPr>
        <b/>
        <vertAlign val="subscript"/>
        <sz val="11"/>
        <color theme="1"/>
        <rFont val="Times New Roman"/>
        <family val="1"/>
      </rPr>
      <t>2</t>
    </r>
  </si>
  <si>
    <r>
      <rPr>
        <b/>
        <i/>
        <sz val="11"/>
        <color theme="1"/>
        <rFont val="Times New Roman"/>
        <family val="1"/>
      </rPr>
      <t>y</t>
    </r>
    <r>
      <rPr>
        <b/>
        <vertAlign val="subscript"/>
        <sz val="11"/>
        <color theme="1"/>
        <rFont val="Times New Roman"/>
        <family val="1"/>
      </rPr>
      <t>2</t>
    </r>
  </si>
  <si>
    <r>
      <rPr>
        <b/>
        <i/>
        <sz val="11"/>
        <rFont val="Times New Roman"/>
        <family val="1"/>
      </rPr>
      <t>M</t>
    </r>
    <r>
      <rPr>
        <b/>
        <sz val="11"/>
        <rFont val="Times New Roman"/>
        <family val="1"/>
      </rPr>
      <t xml:space="preserve"> =</t>
    </r>
  </si>
  <si>
    <t>Smoothing the estimates of survivorship</t>
  </si>
  <si>
    <t>y</t>
  </si>
  <si>
    <t>Lower age to fit to:</t>
  </si>
  <si>
    <t>Upper age to fit to:</t>
  </si>
  <si>
    <r>
      <t>Conditional logit(</t>
    </r>
    <r>
      <rPr>
        <b/>
        <i/>
        <sz val="11"/>
        <color theme="1"/>
        <rFont val="Times New Roman"/>
        <family val="1"/>
      </rPr>
      <t>l</t>
    </r>
    <r>
      <rPr>
        <b/>
        <i/>
        <vertAlign val="subscript"/>
        <sz val="11"/>
        <color theme="1"/>
        <rFont val="Times New Roman"/>
        <family val="1"/>
      </rPr>
      <t>x</t>
    </r>
    <r>
      <rPr>
        <b/>
        <sz val="11"/>
        <color theme="1"/>
        <rFont val="Times New Roman"/>
        <family val="1"/>
      </rPr>
      <t>)</t>
    </r>
  </si>
  <si>
    <r>
      <t>logit(</t>
    </r>
    <r>
      <rPr>
        <b/>
        <i/>
        <vertAlign val="subscript"/>
        <sz val="11"/>
        <color theme="1"/>
        <rFont val="Times New Roman"/>
        <family val="1"/>
      </rPr>
      <t>n</t>
    </r>
    <r>
      <rPr>
        <b/>
        <i/>
        <sz val="11"/>
        <color theme="1"/>
        <rFont val="Times New Roman"/>
        <family val="1"/>
      </rPr>
      <t>p</t>
    </r>
    <r>
      <rPr>
        <b/>
        <vertAlign val="subscript"/>
        <sz val="11"/>
        <color theme="1"/>
        <rFont val="Times New Roman"/>
        <family val="1"/>
      </rPr>
      <t>25</t>
    </r>
    <r>
      <rPr>
        <b/>
        <sz val="11"/>
        <color theme="1"/>
        <rFont val="Times New Roman"/>
        <family val="1"/>
      </rPr>
      <t>)</t>
    </r>
  </si>
  <si>
    <t>Proportions of female respondents with surviving mothers</t>
  </si>
  <si>
    <t>Recent births calculated from data on month and year of last birth, assuming no more than one maternity in the 12-month period preceding the census</t>
  </si>
  <si>
    <r>
      <rPr>
        <b/>
        <sz val="10"/>
        <rFont val="Calibri"/>
        <family val="2"/>
      </rPr>
      <t>β</t>
    </r>
    <r>
      <rPr>
        <b/>
        <vertAlign val="subscript"/>
        <sz val="10"/>
        <rFont val="Calibri"/>
        <family val="2"/>
      </rPr>
      <t>conditional</t>
    </r>
    <r>
      <rPr>
        <b/>
        <sz val="10"/>
        <rFont val="Arial"/>
        <family val="2"/>
      </rPr>
      <t xml:space="preserve"> =</t>
    </r>
  </si>
  <si>
    <r>
      <t>α</t>
    </r>
    <r>
      <rPr>
        <b/>
        <vertAlign val="subscript"/>
        <sz val="10"/>
        <rFont val="Calibri"/>
        <family val="2"/>
      </rPr>
      <t>conditional</t>
    </r>
    <r>
      <rPr>
        <b/>
        <sz val="10"/>
        <rFont val="Calibri"/>
        <family val="2"/>
      </rPr>
      <t xml:space="preserve">  =</t>
    </r>
  </si>
  <si>
    <t xml:space="preserve">Δ (HIV*(1-ART)) = </t>
  </si>
  <si>
    <r>
      <rPr>
        <b/>
        <sz val="11"/>
        <color theme="1"/>
        <rFont val="Calibri"/>
        <family val="2"/>
      </rPr>
      <t>Δ</t>
    </r>
    <r>
      <rPr>
        <b/>
        <sz val="11"/>
        <color theme="1"/>
        <rFont val="Times New Roman"/>
        <family val="1"/>
      </rPr>
      <t xml:space="preserve"> (HIV</t>
    </r>
    <r>
      <rPr>
        <b/>
        <sz val="11"/>
        <color theme="1"/>
        <rFont val="Times New Roman"/>
        <family val="2"/>
      </rPr>
      <t xml:space="preserve"> * 1 - ART ))</t>
    </r>
  </si>
  <si>
    <r>
      <t xml:space="preserve">Paste trends in HIV prevalence among females aged 15-49 into cells </t>
    </r>
    <r>
      <rPr>
        <b/>
        <sz val="12"/>
        <rFont val="Times New Roman"/>
        <family val="1"/>
      </rPr>
      <t>H3:I54</t>
    </r>
    <r>
      <rPr>
        <sz val="12"/>
        <rFont val="Times New Roman"/>
        <family val="1"/>
      </rPr>
      <t>, trends in ART coverage among females into cells</t>
    </r>
    <r>
      <rPr>
        <b/>
        <sz val="12"/>
        <rFont val="Times New Roman"/>
        <family val="1"/>
      </rPr>
      <t xml:space="preserve"> J3:K54</t>
    </r>
    <r>
      <rPr>
        <sz val="12"/>
        <rFont val="Times New Roman"/>
        <family val="1"/>
      </rPr>
      <t>, trends in PMTCT coverage into cells</t>
    </r>
    <r>
      <rPr>
        <b/>
        <sz val="12"/>
        <rFont val="Times New Roman"/>
        <family val="1"/>
      </rPr>
      <t xml:space="preserve"> L3:M54,</t>
    </r>
    <r>
      <rPr>
        <sz val="12"/>
        <rFont val="Times New Roman"/>
        <family val="1"/>
      </rPr>
      <t xml:space="preserve"> and WPP or other estimates of the MACB into cells </t>
    </r>
    <r>
      <rPr>
        <b/>
        <sz val="12"/>
        <rFont val="Times New Roman"/>
        <family val="1"/>
      </rPr>
      <t>O3:P77</t>
    </r>
    <r>
      <rPr>
        <sz val="12"/>
        <rFont val="Times New Roman"/>
        <family val="1"/>
      </rPr>
      <t xml:space="preserve"> of the "</t>
    </r>
    <r>
      <rPr>
        <b/>
        <sz val="12"/>
        <rFont val="Times New Roman"/>
        <family val="1"/>
      </rPr>
      <t>Input data</t>
    </r>
    <r>
      <rPr>
        <sz val="12"/>
        <rFont val="Times New Roman"/>
        <family val="1"/>
      </rPr>
      <t>" sheet.</t>
    </r>
  </si>
  <si>
    <t>South Africa</t>
  </si>
  <si>
    <t>Recent births calculated from data on number of births in last year, assuming no more than one maternity in the 12-month period preceding the census</t>
  </si>
  <si>
    <t>2% sample of the 2007 Community Survey (345,170 households)</t>
  </si>
  <si>
    <t>5.8% sample of the 2016 Community Survey (984,627 households)</t>
  </si>
  <si>
    <t xml:space="preserve">2) HIV prevalence, ART and PTMTC coverage </t>
  </si>
  <si>
    <r>
      <rPr>
        <b/>
        <vertAlign val="subscript"/>
        <sz val="11"/>
        <color theme="1"/>
        <rFont val="Times New Roman"/>
        <family val="1"/>
      </rPr>
      <t>25</t>
    </r>
    <r>
      <rPr>
        <b/>
        <i/>
        <sz val="11"/>
        <color theme="1"/>
        <rFont val="Times New Roman"/>
        <family val="1"/>
      </rPr>
      <t>q</t>
    </r>
    <r>
      <rPr>
        <b/>
        <vertAlign val="subscript"/>
        <sz val="11"/>
        <color theme="1"/>
        <rFont val="Times New Roman"/>
        <family val="1"/>
      </rPr>
      <t>25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</si>
</sst>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3" formatCode="_-* #,##0.00_-;\-* #,##0.00_-;_-* &quot;-&quot;??_-;_-@_-"/>
    <numFmt numFmtId="164" formatCode="0.000"/>
    <numFmt numFmtId="165" formatCode="0.0"/>
    <numFmt numFmtId="166" formatCode="#,##0.0000"/>
    <numFmt numFmtId="167" formatCode="0.0000"/>
    <numFmt numFmtId="168" formatCode="General_)"/>
    <numFmt numFmtId="169" formatCode="#,##0.0"/>
    <numFmt numFmtId="170" formatCode="0.00000"/>
    <numFmt numFmtId="171" formatCode="0.0000_)"/>
    <numFmt numFmtId="172" formatCode="0.000_)"/>
    <numFmt numFmtId="173" formatCode="#,##0.00000000000000"/>
  </numFmts>
  <fonts count="38" x14ac:knownFonts="1">
    <font>
      <sz val="11"/>
      <color theme="1"/>
      <name val="Calibri"/>
      <family val="2"/>
      <scheme val="minor"/>
    </font>
    <font>
      <sz val="11"/>
      <color theme="1"/>
      <name val="Calibri"/>
      <family val="2"/>
      <scheme val="minor"/>
    </font>
    <font>
      <b/>
      <sz val="11"/>
      <name val="Times New Roman"/>
      <family val="1"/>
    </font>
    <font>
      <b/>
      <i/>
      <sz val="11"/>
      <name val="Times New Roman"/>
      <family val="1"/>
    </font>
    <font>
      <b/>
      <sz val="11"/>
      <color theme="1"/>
      <name val="Times New Roman"/>
      <family val="1"/>
    </font>
    <font>
      <sz val="11"/>
      <color theme="1"/>
      <name val="Times New Roman"/>
      <family val="1"/>
    </font>
    <font>
      <sz val="11"/>
      <name val="Times New Roman"/>
      <family val="1"/>
    </font>
    <font>
      <sz val="11"/>
      <color rgb="FF006600"/>
      <name val="Times New Roman"/>
      <family val="1"/>
    </font>
    <font>
      <b/>
      <sz val="11"/>
      <color theme="9" tint="-0.499984740745262"/>
      <name val="Times New Roman"/>
      <family val="1"/>
    </font>
    <font>
      <vertAlign val="subscript"/>
      <sz val="11"/>
      <color theme="1"/>
      <name val="Times New Roman"/>
      <family val="1"/>
    </font>
    <font>
      <sz val="12"/>
      <name val="Courier"/>
      <family val="3"/>
    </font>
    <font>
      <sz val="10"/>
      <name val="Arial"/>
      <family val="2"/>
    </font>
    <font>
      <u/>
      <sz val="10"/>
      <color theme="10"/>
      <name val="Arial"/>
      <family val="2"/>
    </font>
    <font>
      <sz val="12"/>
      <name val="Times New Roman"/>
      <family val="1"/>
    </font>
    <font>
      <b/>
      <sz val="12"/>
      <name val="Times New Roman"/>
      <family val="1"/>
    </font>
    <font>
      <sz val="12"/>
      <color theme="0"/>
      <name val="Times New Roman"/>
      <family val="1"/>
    </font>
    <font>
      <b/>
      <sz val="12"/>
      <color theme="1"/>
      <name val="Times New Roman"/>
      <family val="1"/>
    </font>
    <font>
      <u/>
      <sz val="12"/>
      <color theme="10"/>
      <name val="Times New Roman"/>
      <family val="1"/>
    </font>
    <font>
      <sz val="12"/>
      <color rgb="FFFF0000"/>
      <name val="Times New Roman"/>
      <family val="1"/>
    </font>
    <font>
      <sz val="12"/>
      <color rgb="FF006600"/>
      <name val="Times New Roman"/>
      <family val="1"/>
    </font>
    <font>
      <i/>
      <sz val="12"/>
      <name val="Times New Roman"/>
      <family val="1"/>
    </font>
    <font>
      <vertAlign val="subscript"/>
      <sz val="12"/>
      <name val="Times New Roman"/>
      <family val="1"/>
    </font>
    <font>
      <b/>
      <sz val="11"/>
      <color theme="1"/>
      <name val="Calibri"/>
      <family val="2"/>
    </font>
    <font>
      <b/>
      <vertAlign val="subscript"/>
      <sz val="11"/>
      <color theme="1"/>
      <name val="Times New Roman"/>
      <family val="1"/>
    </font>
    <font>
      <b/>
      <i/>
      <sz val="11"/>
      <color theme="1"/>
      <name val="Times New Roman"/>
      <family val="1"/>
    </font>
    <font>
      <b/>
      <i/>
      <vertAlign val="subscript"/>
      <sz val="11"/>
      <color theme="1"/>
      <name val="Times New Roman"/>
      <family val="1"/>
    </font>
    <font>
      <b/>
      <vertAlign val="superscript"/>
      <sz val="11"/>
      <color theme="1"/>
      <name val="Times New Roman"/>
      <family val="1"/>
    </font>
    <font>
      <sz val="11"/>
      <name val="Calibri"/>
      <family val="2"/>
      <scheme val="minor"/>
    </font>
    <font>
      <sz val="10"/>
      <color indexed="8"/>
      <name val="Arial"/>
      <family val="2"/>
    </font>
    <font>
      <sz val="12"/>
      <name val="Arial"/>
      <family val="2"/>
    </font>
    <font>
      <b/>
      <sz val="11"/>
      <name val="Arial Narrow"/>
      <family val="2"/>
    </font>
    <font>
      <b/>
      <i/>
      <sz val="11"/>
      <name val="Arial Narrow"/>
      <family val="2"/>
    </font>
    <font>
      <sz val="10"/>
      <color rgb="FF006600"/>
      <name val="Arial"/>
      <family val="2"/>
    </font>
    <font>
      <b/>
      <sz val="10"/>
      <name val="Calibri"/>
      <family val="2"/>
    </font>
    <font>
      <b/>
      <sz val="10"/>
      <name val="Arial"/>
      <family val="2"/>
    </font>
    <font>
      <b/>
      <vertAlign val="subscript"/>
      <sz val="10"/>
      <name val="Calibri"/>
      <family val="2"/>
    </font>
    <font>
      <b/>
      <sz val="10"/>
      <name val="Arial Narrow"/>
      <family val="2"/>
    </font>
    <font>
      <b/>
      <sz val="11"/>
      <color theme="1"/>
      <name val="Times New Roman"/>
      <family val="2"/>
    </font>
  </fonts>
  <fills count="7">
    <fill>
      <patternFill patternType="none"/>
    </fill>
    <fill>
      <patternFill patternType="gray125"/>
    </fill>
    <fill>
      <patternFill patternType="solid">
        <fgColor theme="0"/>
        <bgColor indexed="64"/>
      </patternFill>
    </fill>
    <fill>
      <patternFill patternType="solid">
        <fgColor rgb="FFC6EFCE"/>
        <bgColor indexed="64"/>
      </patternFill>
    </fill>
    <fill>
      <patternFill patternType="solid">
        <fgColor rgb="FFFFEB9B"/>
        <bgColor indexed="64"/>
      </patternFill>
    </fill>
    <fill>
      <patternFill patternType="solid">
        <fgColor rgb="FFFFEB9C"/>
        <bgColor indexed="64"/>
      </patternFill>
    </fill>
    <fill>
      <patternFill patternType="solid">
        <fgColor rgb="FFFF0000"/>
        <bgColor indexed="64"/>
      </patternFill>
    </fill>
  </fills>
  <borders count="28">
    <border>
      <left/>
      <right/>
      <top/>
      <bottom/>
      <diagonal/>
    </border>
    <border>
      <left style="thin">
        <color indexed="64"/>
      </left>
      <right/>
      <top/>
      <bottom/>
      <diagonal/>
    </border>
    <border>
      <left/>
      <right/>
      <top style="thin">
        <color indexed="64"/>
      </top>
      <bottom/>
      <diagonal/>
    </border>
    <border>
      <left/>
      <right/>
      <top/>
      <bottom style="thin">
        <color indexed="64"/>
      </bottom>
      <diagonal/>
    </border>
    <border>
      <left style="medium">
        <color theme="9" tint="-0.499984740745262"/>
      </left>
      <right/>
      <top style="medium">
        <color theme="9" tint="-0.499984740745262"/>
      </top>
      <bottom style="medium">
        <color theme="9" tint="-0.499984740745262"/>
      </bottom>
      <diagonal/>
    </border>
    <border>
      <left/>
      <right style="medium">
        <color theme="9" tint="-0.499984740745262"/>
      </right>
      <top style="medium">
        <color theme="9" tint="-0.499984740745262"/>
      </top>
      <bottom style="medium">
        <color theme="9" tint="-0.499984740745262"/>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43" fontId="1" fillId="0" borderId="0" applyFont="0" applyFill="0" applyBorder="0" applyAlignment="0" applyProtection="0"/>
    <xf numFmtId="168" fontId="10" fillId="0" borderId="0"/>
    <xf numFmtId="0" fontId="11" fillId="0" borderId="0"/>
    <xf numFmtId="0" fontId="12" fillId="0" borderId="0" applyNumberFormat="0" applyFill="0" applyBorder="0" applyAlignment="0" applyProtection="0">
      <alignment vertical="top"/>
      <protection locked="0"/>
    </xf>
    <xf numFmtId="0" fontId="11" fillId="0" borderId="0"/>
  </cellStyleXfs>
  <cellXfs count="167">
    <xf numFmtId="0" fontId="0" fillId="0" borderId="0" xfId="0"/>
    <xf numFmtId="0" fontId="2" fillId="2" borderId="2" xfId="0" applyFont="1" applyFill="1" applyBorder="1" applyAlignment="1">
      <alignment horizontal="center"/>
    </xf>
    <xf numFmtId="0" fontId="2" fillId="2" borderId="2" xfId="0" applyFont="1" applyFill="1" applyBorder="1"/>
    <xf numFmtId="0" fontId="2" fillId="2" borderId="0" xfId="0" applyFont="1" applyFill="1" applyAlignment="1">
      <alignment horizontal="center"/>
    </xf>
    <xf numFmtId="0" fontId="2" fillId="2" borderId="0" xfId="0" quotePrefix="1" applyFont="1" applyFill="1" applyAlignment="1">
      <alignment horizontal="center"/>
    </xf>
    <xf numFmtId="0" fontId="2" fillId="2" borderId="0" xfId="0" applyFont="1" applyFill="1"/>
    <xf numFmtId="0" fontId="2" fillId="2" borderId="3" xfId="0" applyFont="1" applyFill="1" applyBorder="1" applyAlignment="1">
      <alignment horizontal="center"/>
    </xf>
    <xf numFmtId="0" fontId="3" fillId="2" borderId="3" xfId="0" applyFont="1" applyFill="1" applyBorder="1" applyAlignment="1">
      <alignment horizontal="center"/>
    </xf>
    <xf numFmtId="0" fontId="4" fillId="0" borderId="0" xfId="0" applyFont="1"/>
    <xf numFmtId="0" fontId="5" fillId="0" borderId="0" xfId="0" applyFont="1"/>
    <xf numFmtId="0" fontId="6" fillId="0" borderId="0" xfId="0" applyFont="1"/>
    <xf numFmtId="0" fontId="6" fillId="2" borderId="3" xfId="0" applyFont="1" applyFill="1" applyBorder="1"/>
    <xf numFmtId="0" fontId="6" fillId="2" borderId="0" xfId="0" applyFont="1" applyFill="1" applyAlignment="1">
      <alignment horizontal="center"/>
    </xf>
    <xf numFmtId="3" fontId="7" fillId="3" borderId="0" xfId="0" applyNumberFormat="1" applyFont="1" applyFill="1" applyAlignment="1" applyProtection="1">
      <alignment horizontal="right"/>
      <protection locked="0"/>
    </xf>
    <xf numFmtId="3" fontId="6" fillId="2" borderId="0" xfId="0" applyNumberFormat="1" applyFont="1" applyFill="1"/>
    <xf numFmtId="3" fontId="6" fillId="0" borderId="3" xfId="0" applyNumberFormat="1" applyFont="1" applyBorder="1"/>
    <xf numFmtId="3" fontId="6" fillId="2" borderId="3" xfId="0" applyNumberFormat="1" applyFont="1" applyFill="1" applyBorder="1"/>
    <xf numFmtId="0" fontId="6" fillId="0" borderId="0" xfId="0" applyFont="1" applyAlignment="1">
      <alignment horizontal="center"/>
    </xf>
    <xf numFmtId="3" fontId="6" fillId="0" borderId="0" xfId="0" applyNumberFormat="1" applyFont="1"/>
    <xf numFmtId="169" fontId="7" fillId="3" borderId="0" xfId="0" applyNumberFormat="1" applyFont="1" applyFill="1" applyAlignment="1" applyProtection="1">
      <alignment horizontal="right"/>
      <protection locked="0"/>
    </xf>
    <xf numFmtId="14" fontId="7" fillId="3" borderId="0" xfId="0" applyNumberFormat="1" applyFont="1" applyFill="1" applyAlignment="1" applyProtection="1">
      <alignment horizontal="right"/>
      <protection locked="0"/>
    </xf>
    <xf numFmtId="0" fontId="5" fillId="0" borderId="0" xfId="0" quotePrefix="1" applyFont="1"/>
    <xf numFmtId="0" fontId="5" fillId="0" borderId="0" xfId="0" applyFont="1" applyAlignment="1">
      <alignment horizontal="center"/>
    </xf>
    <xf numFmtId="14" fontId="5" fillId="0" borderId="0" xfId="0" applyNumberFormat="1" applyFont="1"/>
    <xf numFmtId="0" fontId="5" fillId="0" borderId="0" xfId="0" applyFont="1" applyAlignment="1">
      <alignment horizontal="right"/>
    </xf>
    <xf numFmtId="2" fontId="5" fillId="0" borderId="0" xfId="0" applyNumberFormat="1" applyFont="1"/>
    <xf numFmtId="164" fontId="5" fillId="0" borderId="0" xfId="0" applyNumberFormat="1" applyFont="1" applyAlignment="1">
      <alignment horizontal="right"/>
    </xf>
    <xf numFmtId="167" fontId="5" fillId="0" borderId="0" xfId="0" applyNumberFormat="1" applyFont="1"/>
    <xf numFmtId="0" fontId="13" fillId="0" borderId="0" xfId="0" applyFont="1"/>
    <xf numFmtId="0" fontId="14" fillId="5" borderId="6" xfId="3" applyFont="1" applyFill="1" applyBorder="1" applyAlignment="1">
      <alignment horizontal="center"/>
    </xf>
    <xf numFmtId="0" fontId="14" fillId="5" borderId="7" xfId="3" applyFont="1" applyFill="1" applyBorder="1" applyAlignment="1">
      <alignment horizontal="center"/>
    </xf>
    <xf numFmtId="0" fontId="15" fillId="0" borderId="0" xfId="0" applyFont="1"/>
    <xf numFmtId="0" fontId="14" fillId="0" borderId="0" xfId="3" applyFont="1" applyAlignment="1">
      <alignment horizontal="center"/>
    </xf>
    <xf numFmtId="0" fontId="13" fillId="0" borderId="0" xfId="3" applyFont="1" applyAlignment="1">
      <alignment horizontal="left"/>
    </xf>
    <xf numFmtId="0" fontId="16" fillId="6" borderId="0" xfId="5" applyFont="1" applyFill="1" applyAlignment="1">
      <alignment horizontal="center"/>
    </xf>
    <xf numFmtId="0" fontId="17" fillId="0" borderId="0" xfId="4" applyFont="1" applyFill="1" applyAlignment="1" applyProtection="1">
      <alignment horizontal="left"/>
    </xf>
    <xf numFmtId="0" fontId="13" fillId="0" borderId="0" xfId="0" applyFont="1" applyAlignment="1">
      <alignment wrapText="1"/>
    </xf>
    <xf numFmtId="0" fontId="14" fillId="0" borderId="0" xfId="5" applyFont="1" applyAlignment="1">
      <alignment horizontal="center"/>
    </xf>
    <xf numFmtId="0" fontId="14" fillId="0" borderId="0" xfId="0" applyFont="1"/>
    <xf numFmtId="0" fontId="13" fillId="0" borderId="0" xfId="0" applyFont="1" applyAlignment="1">
      <alignment vertical="top"/>
    </xf>
    <xf numFmtId="0" fontId="13" fillId="0" borderId="10" xfId="0" applyFont="1" applyBorder="1"/>
    <xf numFmtId="0" fontId="13" fillId="0" borderId="12" xfId="0" applyFont="1" applyBorder="1"/>
    <xf numFmtId="0" fontId="13" fillId="0" borderId="12" xfId="0" applyFont="1" applyBorder="1" applyAlignment="1">
      <alignment wrapText="1"/>
    </xf>
    <xf numFmtId="14" fontId="19" fillId="3" borderId="13" xfId="0" applyNumberFormat="1" applyFont="1" applyFill="1" applyBorder="1" applyAlignment="1" applyProtection="1">
      <alignment horizontal="left"/>
      <protection locked="0"/>
    </xf>
    <xf numFmtId="0" fontId="13" fillId="0" borderId="14" xfId="0" applyFont="1" applyBorder="1" applyAlignment="1">
      <alignment wrapText="1"/>
    </xf>
    <xf numFmtId="2" fontId="19" fillId="3" borderId="15" xfId="0" applyNumberFormat="1" applyFont="1" applyFill="1" applyBorder="1" applyAlignment="1" applyProtection="1">
      <alignment horizontal="left"/>
      <protection locked="0"/>
    </xf>
    <xf numFmtId="0" fontId="13" fillId="0" borderId="0" xfId="0" applyFont="1" applyAlignment="1">
      <alignment vertical="top" wrapText="1"/>
    </xf>
    <xf numFmtId="14" fontId="13" fillId="0" borderId="0" xfId="0" applyNumberFormat="1" applyFont="1"/>
    <xf numFmtId="0" fontId="20" fillId="0" borderId="0" xfId="0" applyFont="1" applyAlignment="1">
      <alignment vertical="top"/>
    </xf>
    <xf numFmtId="14" fontId="13" fillId="0" borderId="0" xfId="0" applyNumberFormat="1" applyFont="1" applyAlignment="1">
      <alignment wrapText="1"/>
    </xf>
    <xf numFmtId="0" fontId="18" fillId="0" borderId="0" xfId="0" applyFont="1"/>
    <xf numFmtId="0" fontId="13" fillId="0" borderId="0" xfId="0" applyFont="1" applyProtection="1">
      <protection hidden="1"/>
    </xf>
    <xf numFmtId="170" fontId="5" fillId="0" borderId="0" xfId="0" applyNumberFormat="1" applyFont="1" applyProtection="1">
      <protection hidden="1"/>
    </xf>
    <xf numFmtId="170" fontId="13" fillId="0" borderId="0" xfId="0" applyNumberFormat="1" applyFont="1"/>
    <xf numFmtId="170" fontId="5" fillId="0" borderId="0" xfId="0" applyNumberFormat="1" applyFont="1"/>
    <xf numFmtId="0" fontId="19" fillId="3" borderId="11" xfId="0" applyFont="1" applyFill="1" applyBorder="1" applyAlignment="1" applyProtection="1">
      <alignment horizontal="left"/>
      <protection locked="0"/>
    </xf>
    <xf numFmtId="0" fontId="19" fillId="3" borderId="13" xfId="0" applyFont="1" applyFill="1" applyBorder="1" applyAlignment="1" applyProtection="1">
      <alignment horizontal="left"/>
      <protection locked="0"/>
    </xf>
    <xf numFmtId="3" fontId="5" fillId="0" borderId="0" xfId="0" applyNumberFormat="1" applyFont="1"/>
    <xf numFmtId="2" fontId="5" fillId="0" borderId="0" xfId="0" applyNumberFormat="1" applyFont="1" applyAlignment="1">
      <alignment horizontal="right"/>
    </xf>
    <xf numFmtId="166" fontId="7" fillId="3" borderId="0" xfId="0" applyNumberFormat="1" applyFont="1" applyFill="1" applyAlignment="1" applyProtection="1">
      <alignment horizontal="right"/>
      <protection locked="0"/>
    </xf>
    <xf numFmtId="0" fontId="4" fillId="0" borderId="16" xfId="0" applyFont="1" applyBorder="1"/>
    <xf numFmtId="166" fontId="7" fillId="3" borderId="3" xfId="0" applyNumberFormat="1" applyFont="1" applyFill="1" applyBorder="1" applyAlignment="1" applyProtection="1">
      <alignment horizontal="right"/>
      <protection locked="0"/>
    </xf>
    <xf numFmtId="0" fontId="5" fillId="2" borderId="0" xfId="0" applyFont="1" applyFill="1"/>
    <xf numFmtId="16" fontId="5" fillId="2" borderId="0" xfId="0" quotePrefix="1" applyNumberFormat="1" applyFont="1" applyFill="1"/>
    <xf numFmtId="17" fontId="5" fillId="2" borderId="0" xfId="0" quotePrefix="1" applyNumberFormat="1" applyFont="1" applyFill="1"/>
    <xf numFmtId="0" fontId="5" fillId="2" borderId="3" xfId="0" applyFont="1" applyFill="1" applyBorder="1"/>
    <xf numFmtId="0" fontId="2" fillId="2" borderId="2" xfId="0" applyFont="1" applyFill="1" applyBorder="1" applyAlignment="1">
      <alignment horizontal="left"/>
    </xf>
    <xf numFmtId="0" fontId="2" fillId="2" borderId="3" xfId="0" applyFont="1" applyFill="1" applyBorder="1" applyAlignment="1">
      <alignment horizontal="left"/>
    </xf>
    <xf numFmtId="0" fontId="2" fillId="2" borderId="0" xfId="0" quotePrefix="1" applyFont="1" applyFill="1" applyAlignment="1">
      <alignment horizontal="left"/>
    </xf>
    <xf numFmtId="0" fontId="6" fillId="2" borderId="0" xfId="0" quotePrefix="1" applyFont="1" applyFill="1" applyAlignment="1">
      <alignment horizontal="left"/>
    </xf>
    <xf numFmtId="0" fontId="6" fillId="2" borderId="0" xfId="0" applyFont="1" applyFill="1" applyAlignment="1">
      <alignment horizontal="left"/>
    </xf>
    <xf numFmtId="0" fontId="6" fillId="2" borderId="3" xfId="0" applyFont="1" applyFill="1" applyBorder="1" applyAlignment="1">
      <alignment horizontal="left"/>
    </xf>
    <xf numFmtId="0" fontId="5" fillId="0" borderId="0" xfId="0" quotePrefix="1" applyFont="1" applyAlignment="1">
      <alignment horizontal="left"/>
    </xf>
    <xf numFmtId="164" fontId="8" fillId="4" borderId="21" xfId="1" applyNumberFormat="1" applyFont="1" applyFill="1" applyBorder="1" applyAlignment="1" applyProtection="1">
      <alignment horizontal="center"/>
    </xf>
    <xf numFmtId="0" fontId="4" fillId="2" borderId="16" xfId="0" applyFont="1" applyFill="1" applyBorder="1" applyAlignment="1">
      <alignment horizontal="left" wrapText="1"/>
    </xf>
    <xf numFmtId="0" fontId="24" fillId="2" borderId="16" xfId="0" applyFont="1" applyFill="1" applyBorder="1" applyAlignment="1">
      <alignment horizontal="center" wrapText="1"/>
    </xf>
    <xf numFmtId="0" fontId="4" fillId="2" borderId="16" xfId="0" applyFont="1" applyFill="1" applyBorder="1" applyAlignment="1">
      <alignment horizontal="center" wrapText="1"/>
    </xf>
    <xf numFmtId="167" fontId="5" fillId="2" borderId="0" xfId="0" applyNumberFormat="1" applyFont="1" applyFill="1"/>
    <xf numFmtId="165" fontId="5" fillId="2" borderId="0" xfId="0" applyNumberFormat="1" applyFont="1" applyFill="1"/>
    <xf numFmtId="2" fontId="5" fillId="2" borderId="0" xfId="0" applyNumberFormat="1" applyFont="1" applyFill="1"/>
    <xf numFmtId="0" fontId="5" fillId="2" borderId="0" xfId="0" quotePrefix="1" applyFont="1" applyFill="1"/>
    <xf numFmtId="164" fontId="5" fillId="2" borderId="0" xfId="0" applyNumberFormat="1" applyFont="1" applyFill="1"/>
    <xf numFmtId="170" fontId="5" fillId="2" borderId="0" xfId="0" applyNumberFormat="1" applyFont="1" applyFill="1"/>
    <xf numFmtId="0" fontId="5" fillId="2" borderId="3" xfId="0" quotePrefix="1" applyFont="1" applyFill="1" applyBorder="1"/>
    <xf numFmtId="167" fontId="5" fillId="2" borderId="3" xfId="0" applyNumberFormat="1" applyFont="1" applyFill="1" applyBorder="1"/>
    <xf numFmtId="165" fontId="5" fillId="2" borderId="3" xfId="0" applyNumberFormat="1" applyFont="1" applyFill="1" applyBorder="1"/>
    <xf numFmtId="164" fontId="5" fillId="2" borderId="3" xfId="0" applyNumberFormat="1" applyFont="1" applyFill="1" applyBorder="1"/>
    <xf numFmtId="170" fontId="5" fillId="2" borderId="3" xfId="0" applyNumberFormat="1" applyFont="1" applyFill="1" applyBorder="1"/>
    <xf numFmtId="0" fontId="5" fillId="2" borderId="2" xfId="0" applyFont="1" applyFill="1" applyBorder="1"/>
    <xf numFmtId="0" fontId="4" fillId="2" borderId="2" xfId="0" applyFont="1" applyFill="1" applyBorder="1" applyAlignment="1">
      <alignment horizontal="left"/>
    </xf>
    <xf numFmtId="0" fontId="5" fillId="2" borderId="2" xfId="0" applyFont="1" applyFill="1" applyBorder="1" applyAlignment="1">
      <alignment horizontal="center"/>
    </xf>
    <xf numFmtId="0" fontId="5" fillId="2" borderId="16" xfId="0" applyFont="1" applyFill="1" applyBorder="1" applyAlignment="1">
      <alignment horizontal="center"/>
    </xf>
    <xf numFmtId="0" fontId="24" fillId="2" borderId="3" xfId="0" applyFont="1" applyFill="1" applyBorder="1"/>
    <xf numFmtId="0" fontId="4" fillId="2" borderId="3" xfId="0" applyFont="1" applyFill="1" applyBorder="1" applyAlignment="1">
      <alignment horizontal="center"/>
    </xf>
    <xf numFmtId="0" fontId="5" fillId="2" borderId="0" xfId="0" applyFont="1" applyFill="1" applyAlignment="1">
      <alignment horizontal="left"/>
    </xf>
    <xf numFmtId="0" fontId="5" fillId="2" borderId="3" xfId="0" applyFont="1" applyFill="1" applyBorder="1" applyAlignment="1">
      <alignment horizontal="left"/>
    </xf>
    <xf numFmtId="167" fontId="4" fillId="2" borderId="16" xfId="0" applyNumberFormat="1" applyFont="1" applyFill="1" applyBorder="1" applyAlignment="1">
      <alignment horizontal="center" wrapText="1"/>
    </xf>
    <xf numFmtId="0" fontId="4" fillId="2" borderId="16" xfId="0" quotePrefix="1" applyFont="1" applyFill="1" applyBorder="1" applyAlignment="1">
      <alignment horizontal="center" wrapText="1"/>
    </xf>
    <xf numFmtId="0" fontId="5" fillId="2" borderId="0" xfId="0" quotePrefix="1" applyFont="1" applyFill="1" applyAlignment="1">
      <alignment horizontal="center"/>
    </xf>
    <xf numFmtId="167" fontId="5" fillId="2" borderId="0" xfId="0" quotePrefix="1" applyNumberFormat="1" applyFont="1" applyFill="1"/>
    <xf numFmtId="0" fontId="5" fillId="2" borderId="0" xfId="0" quotePrefix="1" applyFont="1" applyFill="1" applyAlignment="1">
      <alignment horizontal="left"/>
    </xf>
    <xf numFmtId="0" fontId="5" fillId="2" borderId="0" xfId="0" applyFont="1" applyFill="1" applyAlignment="1">
      <alignment horizontal="center"/>
    </xf>
    <xf numFmtId="0" fontId="5" fillId="2" borderId="3" xfId="0" quotePrefix="1" applyFont="1" applyFill="1" applyBorder="1" applyAlignment="1">
      <alignment horizontal="left"/>
    </xf>
    <xf numFmtId="0" fontId="5" fillId="2" borderId="3" xfId="0" quotePrefix="1" applyFont="1" applyFill="1" applyBorder="1" applyAlignment="1">
      <alignment horizontal="center"/>
    </xf>
    <xf numFmtId="167" fontId="5" fillId="2" borderId="3" xfId="0" quotePrefix="1" applyNumberFormat="1" applyFont="1" applyFill="1" applyBorder="1"/>
    <xf numFmtId="0" fontId="4" fillId="2" borderId="16" xfId="0" applyFont="1" applyFill="1" applyBorder="1" applyAlignment="1">
      <alignment horizontal="center"/>
    </xf>
    <xf numFmtId="0" fontId="24" fillId="2" borderId="16" xfId="0" applyFont="1" applyFill="1" applyBorder="1" applyAlignment="1">
      <alignment horizontal="center"/>
    </xf>
    <xf numFmtId="0" fontId="23" fillId="2" borderId="16" xfId="0" applyFont="1" applyFill="1" applyBorder="1" applyAlignment="1">
      <alignment horizontal="center"/>
    </xf>
    <xf numFmtId="0" fontId="4" fillId="2" borderId="16" xfId="0" applyFont="1" applyFill="1" applyBorder="1"/>
    <xf numFmtId="166" fontId="5" fillId="2" borderId="0" xfId="0" applyNumberFormat="1" applyFont="1" applyFill="1"/>
    <xf numFmtId="166" fontId="5" fillId="2" borderId="3" xfId="0" applyNumberFormat="1" applyFont="1" applyFill="1" applyBorder="1"/>
    <xf numFmtId="0" fontId="4" fillId="2" borderId="16" xfId="0" applyFont="1" applyFill="1" applyBorder="1" applyAlignment="1">
      <alignment horizontal="right"/>
    </xf>
    <xf numFmtId="0" fontId="5" fillId="2" borderId="0" xfId="0" applyFont="1" applyFill="1" applyAlignment="1">
      <alignment horizontal="right"/>
    </xf>
    <xf numFmtId="2" fontId="5" fillId="2" borderId="0" xfId="0" applyNumberFormat="1" applyFont="1" applyFill="1" applyAlignment="1">
      <alignment horizontal="right"/>
    </xf>
    <xf numFmtId="164" fontId="5" fillId="2" borderId="0" xfId="0" applyNumberFormat="1" applyFont="1" applyFill="1" applyAlignment="1">
      <alignment horizontal="right"/>
    </xf>
    <xf numFmtId="16" fontId="5" fillId="2" borderId="0" xfId="0" quotePrefix="1" applyNumberFormat="1" applyFont="1" applyFill="1" applyAlignment="1">
      <alignment horizontal="right"/>
    </xf>
    <xf numFmtId="17" fontId="5" fillId="2" borderId="0" xfId="0" quotePrefix="1" applyNumberFormat="1" applyFont="1" applyFill="1" applyAlignment="1">
      <alignment horizontal="right"/>
    </xf>
    <xf numFmtId="0" fontId="5" fillId="2" borderId="3" xfId="0" applyFont="1" applyFill="1" applyBorder="1" applyAlignment="1">
      <alignment horizontal="right"/>
    </xf>
    <xf numFmtId="2" fontId="5" fillId="2" borderId="3" xfId="0" applyNumberFormat="1" applyFont="1" applyFill="1" applyBorder="1" applyAlignment="1">
      <alignment horizontal="right"/>
    </xf>
    <xf numFmtId="164" fontId="5" fillId="2" borderId="3" xfId="0" applyNumberFormat="1" applyFont="1" applyFill="1" applyBorder="1" applyAlignment="1">
      <alignment horizontal="right"/>
    </xf>
    <xf numFmtId="0" fontId="4" fillId="2" borderId="3" xfId="0" applyFont="1" applyFill="1" applyBorder="1"/>
    <xf numFmtId="0" fontId="4" fillId="2" borderId="0" xfId="0" applyFont="1" applyFill="1"/>
    <xf numFmtId="0" fontId="2" fillId="2" borderId="0" xfId="0" applyFont="1" applyFill="1" applyAlignment="1">
      <alignment horizontal="left"/>
    </xf>
    <xf numFmtId="0" fontId="6" fillId="2" borderId="0" xfId="0" applyFont="1" applyFill="1" applyAlignment="1">
      <alignment horizontal="right"/>
    </xf>
    <xf numFmtId="0" fontId="4" fillId="2" borderId="26" xfId="0" applyFont="1" applyFill="1" applyBorder="1" applyAlignment="1">
      <alignment horizontal="left"/>
    </xf>
    <xf numFmtId="0" fontId="4" fillId="2" borderId="19" xfId="0" applyFont="1" applyFill="1" applyBorder="1" applyAlignment="1">
      <alignment horizontal="center"/>
    </xf>
    <xf numFmtId="167" fontId="5" fillId="2" borderId="1" xfId="0" applyNumberFormat="1" applyFont="1" applyFill="1" applyBorder="1"/>
    <xf numFmtId="167" fontId="5" fillId="2" borderId="19" xfId="0" applyNumberFormat="1" applyFont="1" applyFill="1" applyBorder="1"/>
    <xf numFmtId="2" fontId="4" fillId="4" borderId="12" xfId="1" applyNumberFormat="1" applyFont="1" applyFill="1" applyBorder="1" applyAlignment="1" applyProtection="1">
      <alignment horizontal="center"/>
    </xf>
    <xf numFmtId="2" fontId="2" fillId="4" borderId="14" xfId="1" applyNumberFormat="1" applyFont="1" applyFill="1" applyBorder="1" applyAlignment="1" applyProtection="1">
      <alignment horizontal="center"/>
    </xf>
    <xf numFmtId="2" fontId="2" fillId="4" borderId="15" xfId="1" applyNumberFormat="1" applyFont="1" applyFill="1" applyBorder="1" applyProtection="1"/>
    <xf numFmtId="167" fontId="2" fillId="4" borderId="24" xfId="1" applyNumberFormat="1" applyFont="1" applyFill="1" applyBorder="1" applyProtection="1"/>
    <xf numFmtId="167" fontId="2" fillId="4" borderId="25" xfId="1" applyNumberFormat="1" applyFont="1" applyFill="1" applyBorder="1" applyProtection="1"/>
    <xf numFmtId="168" fontId="2" fillId="4" borderId="4" xfId="0" applyNumberFormat="1" applyFont="1" applyFill="1" applyBorder="1" applyAlignment="1">
      <alignment horizontal="right" vertical="center"/>
    </xf>
    <xf numFmtId="2" fontId="2" fillId="4" borderId="5" xfId="1" applyNumberFormat="1" applyFont="1" applyFill="1" applyBorder="1" applyProtection="1"/>
    <xf numFmtId="0" fontId="11" fillId="0" borderId="0" xfId="0" applyFont="1"/>
    <xf numFmtId="0" fontId="28" fillId="0" borderId="0" xfId="0" applyFont="1" applyAlignment="1">
      <alignment horizontal="center"/>
    </xf>
    <xf numFmtId="0" fontId="29" fillId="0" borderId="0" xfId="0" applyFont="1"/>
    <xf numFmtId="0" fontId="31" fillId="2" borderId="2" xfId="0" applyFont="1" applyFill="1" applyBorder="1" applyAlignment="1">
      <alignment horizontal="center"/>
    </xf>
    <xf numFmtId="0" fontId="31" fillId="2" borderId="18" xfId="0" applyFont="1" applyFill="1" applyBorder="1" applyAlignment="1">
      <alignment horizontal="center"/>
    </xf>
    <xf numFmtId="0" fontId="29" fillId="2" borderId="1" xfId="0" applyFont="1" applyFill="1" applyBorder="1"/>
    <xf numFmtId="0" fontId="30" fillId="2" borderId="0" xfId="0" applyFont="1" applyFill="1" applyAlignment="1">
      <alignment horizontal="right"/>
    </xf>
    <xf numFmtId="3" fontId="32" fillId="3" borderId="0" xfId="0" applyNumberFormat="1" applyFont="1" applyFill="1" applyProtection="1">
      <protection locked="0"/>
    </xf>
    <xf numFmtId="0" fontId="33" fillId="2" borderId="0" xfId="0" applyFont="1" applyFill="1" applyAlignment="1">
      <alignment horizontal="right"/>
    </xf>
    <xf numFmtId="171" fontId="11" fillId="2" borderId="0" xfId="0" applyNumberFormat="1" applyFont="1" applyFill="1"/>
    <xf numFmtId="172" fontId="11" fillId="2" borderId="17" xfId="0" applyNumberFormat="1" applyFont="1" applyFill="1" applyBorder="1"/>
    <xf numFmtId="172" fontId="11" fillId="2" borderId="18" xfId="0" applyNumberFormat="1" applyFont="1" applyFill="1" applyBorder="1"/>
    <xf numFmtId="0" fontId="29" fillId="2" borderId="19" xfId="0" applyFont="1" applyFill="1" applyBorder="1"/>
    <xf numFmtId="0" fontId="30" fillId="2" borderId="3" xfId="0" applyFont="1" applyFill="1" applyBorder="1" applyAlignment="1">
      <alignment horizontal="right"/>
    </xf>
    <xf numFmtId="3" fontId="32" fillId="3" borderId="3" xfId="0" applyNumberFormat="1" applyFont="1" applyFill="1" applyBorder="1" applyProtection="1">
      <protection locked="0"/>
    </xf>
    <xf numFmtId="171" fontId="11" fillId="2" borderId="3" xfId="0" applyNumberFormat="1" applyFont="1" applyFill="1" applyBorder="1"/>
    <xf numFmtId="172" fontId="11" fillId="2" borderId="19" xfId="0" applyNumberFormat="1" applyFont="1" applyFill="1" applyBorder="1"/>
    <xf numFmtId="172" fontId="11" fillId="2" borderId="20" xfId="0" applyNumberFormat="1" applyFont="1" applyFill="1" applyBorder="1"/>
    <xf numFmtId="167" fontId="5" fillId="0" borderId="0" xfId="0" applyNumberFormat="1" applyFont="1" applyAlignment="1">
      <alignment horizontal="left" wrapText="1"/>
    </xf>
    <xf numFmtId="173" fontId="5" fillId="0" borderId="0" xfId="0" applyNumberFormat="1" applyFont="1"/>
    <xf numFmtId="0" fontId="36" fillId="2" borderId="3" xfId="0" applyFont="1" applyFill="1" applyBorder="1" applyAlignment="1">
      <alignment horizontal="right"/>
    </xf>
    <xf numFmtId="164" fontId="2" fillId="4" borderId="13" xfId="1" applyNumberFormat="1" applyFont="1" applyFill="1" applyBorder="1" applyProtection="1"/>
    <xf numFmtId="0" fontId="37" fillId="2" borderId="16" xfId="0" applyFont="1" applyFill="1" applyBorder="1" applyAlignment="1">
      <alignment horizontal="center" wrapText="1"/>
    </xf>
    <xf numFmtId="0" fontId="4" fillId="0" borderId="0" xfId="0" applyFont="1" applyAlignment="1">
      <alignment horizontal="right"/>
    </xf>
    <xf numFmtId="164" fontId="5" fillId="0" borderId="0" xfId="0" applyNumberFormat="1" applyFont="1"/>
    <xf numFmtId="0" fontId="14" fillId="0" borderId="8" xfId="0" applyFont="1" applyBorder="1" applyAlignment="1">
      <alignment horizontal="center"/>
    </xf>
    <xf numFmtId="0" fontId="14" fillId="0" borderId="9" xfId="0" applyFont="1" applyBorder="1" applyAlignment="1">
      <alignment horizontal="center"/>
    </xf>
    <xf numFmtId="2" fontId="2" fillId="4" borderId="22" xfId="1" applyNumberFormat="1" applyFont="1" applyFill="1" applyBorder="1" applyAlignment="1" applyProtection="1">
      <alignment horizontal="center"/>
    </xf>
    <xf numFmtId="0" fontId="27" fillId="0" borderId="23" xfId="0" applyFont="1" applyBorder="1"/>
    <xf numFmtId="0" fontId="30" fillId="2" borderId="26" xfId="0" applyFont="1" applyFill="1" applyBorder="1" applyAlignment="1">
      <alignment horizontal="center"/>
    </xf>
    <xf numFmtId="0" fontId="0" fillId="0" borderId="16" xfId="0" applyBorder="1" applyAlignment="1">
      <alignment horizontal="center"/>
    </xf>
    <xf numFmtId="0" fontId="0" fillId="0" borderId="27" xfId="0" applyBorder="1" applyAlignment="1">
      <alignment horizontal="center"/>
    </xf>
  </cellXfs>
  <cellStyles count="6">
    <cellStyle name="Comma" xfId="1" builtinId="3"/>
    <cellStyle name="Hyperlink" xfId="4" builtinId="8"/>
    <cellStyle name="Normal" xfId="0" builtinId="0"/>
    <cellStyle name="Normal 3" xfId="2"/>
    <cellStyle name="Normal 3 2" xfId="3"/>
    <cellStyle name="Normal 3 2 2" xfId="5"/>
  </cellStyles>
  <dxfs count="10">
    <dxf>
      <numFmt numFmtId="1" formatCode="0"/>
    </dxf>
    <dxf>
      <numFmt numFmtId="1" formatCode="0"/>
    </dxf>
    <dxf>
      <numFmt numFmtId="1" formatCode="0"/>
    </dxf>
    <dxf>
      <numFmt numFmtId="167" formatCode="0.0000"/>
    </dxf>
    <dxf>
      <numFmt numFmtId="1" formatCode="0"/>
    </dxf>
    <dxf>
      <numFmt numFmtId="167" formatCode="0.0000"/>
    </dxf>
    <dxf>
      <numFmt numFmtId="1" formatCode="0"/>
    </dxf>
    <dxf>
      <numFmt numFmtId="164" formatCode="0.000"/>
    </dxf>
    <dxf>
      <numFmt numFmtId="1" formatCode="0"/>
    </dxf>
    <dxf>
      <numFmt numFmtId="164" formatCode="0.000"/>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000218722659669"/>
          <c:y val="2.8252405949256338E-2"/>
          <c:w val="0.85185892388451523"/>
          <c:h val="0.79822506561679785"/>
        </c:manualLayout>
      </c:layout>
      <c:scatterChart>
        <c:scatterStyle val="lineMarker"/>
        <c:varyColors val="0"/>
        <c:ser>
          <c:idx val="0"/>
          <c:order val="0"/>
          <c:spPr>
            <a:ln w="19050">
              <a:noFill/>
            </a:ln>
          </c:spPr>
          <c:dLbls>
            <c:dLbl>
              <c:idx val="0"/>
              <c:tx>
                <c:rich>
                  <a:bodyPr/>
                  <a:lstStyle/>
                  <a:p>
                    <a:fld id="{BCB3EE04-A9B5-4A4D-823D-B47F65A484A0}"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5E80-473A-BBDF-A5F753BD65E0}"/>
                </c:ext>
              </c:extLst>
            </c:dLbl>
            <c:dLbl>
              <c:idx val="1"/>
              <c:tx>
                <c:rich>
                  <a:bodyPr/>
                  <a:lstStyle/>
                  <a:p>
                    <a:fld id="{2EDFAFF3-A0E2-4F87-B34E-1163F29F947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E80-473A-BBDF-A5F753BD65E0}"/>
                </c:ext>
              </c:extLst>
            </c:dLbl>
            <c:dLbl>
              <c:idx val="2"/>
              <c:tx>
                <c:rich>
                  <a:bodyPr/>
                  <a:lstStyle/>
                  <a:p>
                    <a:fld id="{AA4005BC-3BE6-48FA-8B4F-C00780D27AA9}"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E80-473A-BBDF-A5F753BD65E0}"/>
                </c:ext>
              </c:extLst>
            </c:dLbl>
            <c:dLbl>
              <c:idx val="3"/>
              <c:tx>
                <c:rich>
                  <a:bodyPr/>
                  <a:lstStyle/>
                  <a:p>
                    <a:fld id="{8A3D9B25-779E-402B-B105-931915A68C69}"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E80-473A-BBDF-A5F753BD65E0}"/>
                </c:ext>
              </c:extLst>
            </c:dLbl>
            <c:dLbl>
              <c:idx val="4"/>
              <c:tx>
                <c:rich>
                  <a:bodyPr/>
                  <a:lstStyle/>
                  <a:p>
                    <a:fld id="{7FD3916C-B38D-465C-A1ED-EC9A87B64DF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E80-473A-BBDF-A5F753BD65E0}"/>
                </c:ext>
              </c:extLst>
            </c:dLbl>
            <c:dLbl>
              <c:idx val="5"/>
              <c:tx>
                <c:rich>
                  <a:bodyPr/>
                  <a:lstStyle/>
                  <a:p>
                    <a:fld id="{41A9B51D-6680-439E-922B-4C02DCFD232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E80-473A-BBDF-A5F753BD65E0}"/>
                </c:ext>
              </c:extLst>
            </c:dLbl>
            <c:dLbl>
              <c:idx val="6"/>
              <c:tx>
                <c:rich>
                  <a:bodyPr/>
                  <a:lstStyle/>
                  <a:p>
                    <a:fld id="{4EC41294-3DD9-4302-83C8-882AEFABFCA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5E80-473A-BBDF-A5F753BD65E0}"/>
                </c:ext>
              </c:extLst>
            </c:dLbl>
            <c:dLbl>
              <c:idx val="7"/>
              <c:tx>
                <c:rich>
                  <a:bodyPr/>
                  <a:lstStyle/>
                  <a:p>
                    <a:fld id="{B3E5DC65-9FD8-4589-B1CF-B9D6A4390551}"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5E80-473A-BBDF-A5F753BD65E0}"/>
                </c:ext>
              </c:extLst>
            </c:dLbl>
            <c:spPr>
              <a:noFill/>
              <a:ln>
                <a:noFill/>
              </a:ln>
              <a:effectLst/>
            </c:sp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'3 - Synthetic cohort'!$D$30:$D$37</c:f>
              <c:numCache>
                <c:formatCode>0.0000</c:formatCode>
                <c:ptCount val="8"/>
                <c:pt idx="0">
                  <c:v>-1.0285620034492129</c:v>
                </c:pt>
                <c:pt idx="1">
                  <c:v>-0.85110803335305341</c:v>
                </c:pt>
                <c:pt idx="2">
                  <c:v>-0.73497608251849988</c:v>
                </c:pt>
                <c:pt idx="3">
                  <c:v>-0.59995505106296909</c:v>
                </c:pt>
                <c:pt idx="4">
                  <c:v>-0.44193349081855393</c:v>
                </c:pt>
                <c:pt idx="5">
                  <c:v>-0.25590834990414862</c:v>
                </c:pt>
                <c:pt idx="6">
                  <c:v>-3.3985918297676963E-2</c:v>
                </c:pt>
                <c:pt idx="7">
                  <c:v>0.2334640409147716</c:v>
                </c:pt>
              </c:numCache>
            </c:numRef>
          </c:xVal>
          <c:yVal>
            <c:numRef>
              <c:f>'3 - Synthetic cohort'!$R$3:$R$10</c:f>
              <c:numCache>
                <c:formatCode>0.000</c:formatCode>
                <c:ptCount val="8"/>
                <c:pt idx="0">
                  <c:v>-1.2738969274863743</c:v>
                </c:pt>
                <c:pt idx="1">
                  <c:v>-1.0154824007931447</c:v>
                </c:pt>
                <c:pt idx="2">
                  <c:v>-0.84260730148516094</c:v>
                </c:pt>
                <c:pt idx="3">
                  <c:v>-0.74004949073399617</c:v>
                </c:pt>
                <c:pt idx="4">
                  <c:v>-0.61512491400621039</c:v>
                </c:pt>
                <c:pt idx="5">
                  <c:v>-0.51171797496124327</c:v>
                </c:pt>
                <c:pt idx="6">
                  <c:v>-0.45120372998676628</c:v>
                </c:pt>
                <c:pt idx="7">
                  <c:v>-0.393830520988035</c:v>
                </c:pt>
              </c:numCache>
            </c:numRef>
          </c:yVal>
          <c:smooth val="0"/>
          <c:extLst>
            <c:ext xmlns:c15="http://schemas.microsoft.com/office/drawing/2012/chart" uri="{02D57815-91ED-43cb-92C2-25804820EDAC}">
              <c15:datalabelsRange>
                <c15:f>'3 - Synthetic cohort'!$B$3:$B$10</c15:f>
                <c15:dlblRangeCache>
                  <c:ptCount val="8"/>
                  <c:pt idx="0">
                    <c:v>10</c:v>
                  </c:pt>
                  <c:pt idx="1">
                    <c:v>15</c:v>
                  </c:pt>
                  <c:pt idx="2">
                    <c:v>20</c:v>
                  </c:pt>
                  <c:pt idx="3">
                    <c:v>25</c:v>
                  </c:pt>
                  <c:pt idx="4">
                    <c:v>30</c:v>
                  </c:pt>
                  <c:pt idx="5">
                    <c:v>35</c:v>
                  </c:pt>
                  <c:pt idx="6">
                    <c:v>40</c:v>
                  </c:pt>
                  <c:pt idx="7">
                    <c:v>45</c:v>
                  </c:pt>
                </c15:dlblRangeCache>
              </c15:datalabelsRange>
            </c:ext>
            <c:ext xmlns:c16="http://schemas.microsoft.com/office/drawing/2014/chart" uri="{C3380CC4-5D6E-409C-BE32-E72D297353CC}">
              <c16:uniqueId val="{00000000-C53D-40E1-87AB-62B5959FB5CC}"/>
            </c:ext>
          </c:extLst>
        </c:ser>
        <c:ser>
          <c:idx val="1"/>
          <c:order val="1"/>
          <c:spPr>
            <a:ln w="19050">
              <a:solidFill>
                <a:schemeClr val="accent1"/>
              </a:solidFill>
            </a:ln>
          </c:spPr>
          <c:marker>
            <c:symbol val="none"/>
          </c:marker>
          <c:xVal>
            <c:numRef>
              <c:f>'3 - Synthetic cohort'!$R$23:$R$24</c:f>
              <c:numCache>
                <c:formatCode>0.000_)</c:formatCode>
                <c:ptCount val="2"/>
                <c:pt idx="0">
                  <c:v>-1.0285620034492129</c:v>
                </c:pt>
                <c:pt idx="1">
                  <c:v>0.2334640409147716</c:v>
                </c:pt>
              </c:numCache>
            </c:numRef>
          </c:xVal>
          <c:yVal>
            <c:numRef>
              <c:f>'3 - Synthetic cohort'!$S$23:$S$24</c:f>
              <c:numCache>
                <c:formatCode>0.000_)</c:formatCode>
                <c:ptCount val="2"/>
                <c:pt idx="0">
                  <c:v>-1.1990384307712247</c:v>
                </c:pt>
                <c:pt idx="1">
                  <c:v>2.7467959039248591E-2</c:v>
                </c:pt>
              </c:numCache>
            </c:numRef>
          </c:yVal>
          <c:smooth val="0"/>
          <c:extLst>
            <c:ext xmlns:c16="http://schemas.microsoft.com/office/drawing/2014/chart" uri="{C3380CC4-5D6E-409C-BE32-E72D297353CC}">
              <c16:uniqueId val="{00000001-C53D-40E1-87AB-62B5959FB5CC}"/>
            </c:ext>
          </c:extLst>
        </c:ser>
        <c:dLbls>
          <c:showLegendKey val="0"/>
          <c:showVal val="0"/>
          <c:showCatName val="0"/>
          <c:showSerName val="0"/>
          <c:showPercent val="0"/>
          <c:showBubbleSize val="0"/>
        </c:dLbls>
        <c:axId val="82856576"/>
        <c:axId val="83222912"/>
      </c:scatterChart>
      <c:valAx>
        <c:axId val="82856576"/>
        <c:scaling>
          <c:orientation val="minMax"/>
        </c:scaling>
        <c:delete val="0"/>
        <c:axPos val="b"/>
        <c:numFmt formatCode="#,##0.0" sourceLinked="0"/>
        <c:majorTickMark val="cross"/>
        <c:minorTickMark val="none"/>
        <c:tickLblPos val="low"/>
        <c:crossAx val="83222912"/>
        <c:crosses val="autoZero"/>
        <c:crossBetween val="midCat"/>
      </c:valAx>
      <c:valAx>
        <c:axId val="83222912"/>
        <c:scaling>
          <c:orientation val="minMax"/>
        </c:scaling>
        <c:delete val="0"/>
        <c:axPos val="l"/>
        <c:numFmt formatCode="#,##0.0" sourceLinked="0"/>
        <c:majorTickMark val="cross"/>
        <c:minorTickMark val="none"/>
        <c:tickLblPos val="low"/>
        <c:crossAx val="82856576"/>
        <c:crosses val="autoZero"/>
        <c:crossBetween val="midCat"/>
        <c:majorUnit val="0.5"/>
      </c:valAx>
    </c:plotArea>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12</xdr:col>
      <xdr:colOff>1</xdr:colOff>
      <xdr:row>25</xdr:row>
      <xdr:rowOff>7620</xdr:rowOff>
    </xdr:from>
    <xdr:to>
      <xdr:col>19</xdr:col>
      <xdr:colOff>7620</xdr:colOff>
      <xdr:row>40</xdr:row>
      <xdr:rowOff>22860</xdr:rowOff>
    </xdr:to>
    <xdr:graphicFrame macro="">
      <xdr:nvGraphicFramePr>
        <xdr:cNvPr id="3" name="Chart 2">
          <a:extLst>
            <a:ext uri="{FF2B5EF4-FFF2-40B4-BE49-F238E27FC236}">
              <a16:creationId xmlns:a16="http://schemas.microsoft.com/office/drawing/2014/main" id="{9F68373B-74A5-48CC-BF9B-15B4E65F61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17</xdr:row>
      <xdr:rowOff>15240</xdr:rowOff>
    </xdr:from>
    <xdr:to>
      <xdr:col>5</xdr:col>
      <xdr:colOff>52845</xdr:colOff>
      <xdr:row>19</xdr:row>
      <xdr:rowOff>98946</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188720" y="2994660"/>
          <a:ext cx="1881645" cy="43422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H65"/>
  <sheetViews>
    <sheetView showGridLines="0" zoomScale="85" zoomScaleNormal="85" workbookViewId="0">
      <selection activeCell="E7" sqref="E7"/>
    </sheetView>
  </sheetViews>
  <sheetFormatPr defaultColWidth="11.88671875" defaultRowHeight="15.6" x14ac:dyDescent="0.3"/>
  <cols>
    <col min="1" max="1" width="5.33203125" style="28" customWidth="1"/>
    <col min="2" max="2" width="91" style="28" customWidth="1"/>
    <col min="3" max="3" width="29.44140625" style="28" customWidth="1"/>
    <col min="4" max="5" width="14.77734375" style="28" customWidth="1"/>
    <col min="6" max="6" width="15.44140625" style="28" customWidth="1"/>
    <col min="7" max="7" width="14.5546875" style="28" customWidth="1"/>
    <col min="8" max="16384" width="11.88671875" style="28"/>
  </cols>
  <sheetData>
    <row r="1" spans="1:4" x14ac:dyDescent="0.3">
      <c r="B1" s="29" t="s">
        <v>73</v>
      </c>
    </row>
    <row r="2" spans="1:4" x14ac:dyDescent="0.3">
      <c r="B2" s="30" t="s">
        <v>57</v>
      </c>
      <c r="C2" s="31" t="s">
        <v>58</v>
      </c>
    </row>
    <row r="3" spans="1:4" x14ac:dyDescent="0.3">
      <c r="B3" s="32"/>
    </row>
    <row r="4" spans="1:4" ht="15" customHeight="1" x14ac:dyDescent="0.3">
      <c r="B4" s="33" t="s">
        <v>59</v>
      </c>
    </row>
    <row r="5" spans="1:4" x14ac:dyDescent="0.3">
      <c r="B5" s="34" t="s">
        <v>74</v>
      </c>
      <c r="C5" s="35"/>
    </row>
    <row r="6" spans="1:4" s="36" customFormat="1" ht="15.75" customHeight="1" x14ac:dyDescent="0.3">
      <c r="B6" s="37"/>
      <c r="C6" s="28"/>
      <c r="D6" s="28"/>
    </row>
    <row r="7" spans="1:4" ht="105.75" customHeight="1" x14ac:dyDescent="0.3">
      <c r="B7" s="36" t="s">
        <v>90</v>
      </c>
      <c r="C7" s="36"/>
      <c r="D7" s="36"/>
    </row>
    <row r="8" spans="1:4" ht="16.2" thickBot="1" x14ac:dyDescent="0.35"/>
    <row r="9" spans="1:4" ht="16.2" thickBot="1" x14ac:dyDescent="0.35">
      <c r="B9" s="38" t="s">
        <v>60</v>
      </c>
      <c r="C9" s="160" t="s">
        <v>61</v>
      </c>
      <c r="D9" s="161"/>
    </row>
    <row r="10" spans="1:4" ht="15.75" customHeight="1" x14ac:dyDescent="0.3">
      <c r="A10" s="39" t="s">
        <v>62</v>
      </c>
      <c r="B10" s="36" t="s">
        <v>63</v>
      </c>
      <c r="C10" s="40" t="s">
        <v>64</v>
      </c>
      <c r="D10" s="55" t="s">
        <v>166</v>
      </c>
    </row>
    <row r="11" spans="1:4" ht="31.5" customHeight="1" x14ac:dyDescent="0.3">
      <c r="A11" s="39" t="s">
        <v>65</v>
      </c>
      <c r="B11" s="36" t="s">
        <v>66</v>
      </c>
      <c r="C11" s="41" t="s">
        <v>67</v>
      </c>
      <c r="D11" s="56" t="s">
        <v>68</v>
      </c>
    </row>
    <row r="12" spans="1:4" ht="31.5" customHeight="1" x14ac:dyDescent="0.3">
      <c r="A12" s="39" t="s">
        <v>69</v>
      </c>
      <c r="B12" s="36" t="s">
        <v>78</v>
      </c>
      <c r="C12" s="42" t="s">
        <v>75</v>
      </c>
      <c r="D12" s="43">
        <v>39127</v>
      </c>
    </row>
    <row r="13" spans="1:4" ht="31.5" customHeight="1" x14ac:dyDescent="0.3">
      <c r="A13" s="39" t="s">
        <v>70</v>
      </c>
      <c r="B13" s="36" t="s">
        <v>79</v>
      </c>
      <c r="C13" s="42" t="s">
        <v>76</v>
      </c>
      <c r="D13" s="43">
        <v>42470</v>
      </c>
    </row>
    <row r="14" spans="1:4" ht="33.6" customHeight="1" thickBot="1" x14ac:dyDescent="0.35">
      <c r="A14" s="39" t="s">
        <v>71</v>
      </c>
      <c r="B14" s="36" t="s">
        <v>136</v>
      </c>
      <c r="C14" s="44" t="s">
        <v>137</v>
      </c>
      <c r="D14" s="45" t="s">
        <v>77</v>
      </c>
    </row>
    <row r="15" spans="1:4" ht="64.2" customHeight="1" x14ac:dyDescent="0.3">
      <c r="A15" s="46" t="s">
        <v>101</v>
      </c>
      <c r="B15" s="36" t="s">
        <v>134</v>
      </c>
      <c r="C15" s="36"/>
      <c r="D15" s="47"/>
    </row>
    <row r="16" spans="1:4" ht="49.2" customHeight="1" x14ac:dyDescent="0.3">
      <c r="A16" s="48" t="s">
        <v>72</v>
      </c>
      <c r="B16" s="46" t="s">
        <v>135</v>
      </c>
      <c r="C16" s="36"/>
      <c r="D16" s="49"/>
    </row>
    <row r="17" spans="1:4" s="36" customFormat="1" ht="63" customHeight="1" x14ac:dyDescent="0.3">
      <c r="A17" s="39" t="s">
        <v>102</v>
      </c>
      <c r="B17" s="36" t="s">
        <v>138</v>
      </c>
      <c r="D17" s="28"/>
    </row>
    <row r="18" spans="1:4" ht="49.2" customHeight="1" x14ac:dyDescent="0.3">
      <c r="A18" s="39" t="s">
        <v>103</v>
      </c>
      <c r="B18" s="36" t="s">
        <v>165</v>
      </c>
    </row>
    <row r="19" spans="1:4" ht="63" customHeight="1" x14ac:dyDescent="0.3">
      <c r="B19" s="50"/>
    </row>
    <row r="20" spans="1:4" ht="47.25" customHeight="1" x14ac:dyDescent="0.3"/>
    <row r="21" spans="1:4" ht="63" customHeight="1" x14ac:dyDescent="0.3"/>
    <row r="22" spans="1:4" ht="94.5" customHeight="1" x14ac:dyDescent="0.3"/>
    <row r="42" spans="2:8" x14ac:dyDescent="0.3">
      <c r="B42" s="51"/>
    </row>
    <row r="43" spans="2:8" x14ac:dyDescent="0.3">
      <c r="B43" s="51"/>
    </row>
    <row r="44" spans="2:8" x14ac:dyDescent="0.3">
      <c r="B44" s="51"/>
    </row>
    <row r="45" spans="2:8" x14ac:dyDescent="0.3">
      <c r="B45" s="51"/>
    </row>
    <row r="46" spans="2:8" x14ac:dyDescent="0.3">
      <c r="B46" s="51"/>
      <c r="E46" s="51"/>
      <c r="F46" s="51"/>
      <c r="G46" s="51"/>
    </row>
    <row r="47" spans="2:8" x14ac:dyDescent="0.3">
      <c r="B47" s="51"/>
      <c r="H47" s="38"/>
    </row>
    <row r="48" spans="2:8" x14ac:dyDescent="0.3">
      <c r="B48" s="51"/>
    </row>
    <row r="49" spans="2:7" x14ac:dyDescent="0.3">
      <c r="B49" s="51"/>
    </row>
    <row r="50" spans="2:7" x14ac:dyDescent="0.3">
      <c r="B50" s="51"/>
    </row>
    <row r="51" spans="2:7" x14ac:dyDescent="0.3">
      <c r="B51" s="51"/>
    </row>
    <row r="52" spans="2:7" x14ac:dyDescent="0.3">
      <c r="B52" s="51"/>
    </row>
    <row r="53" spans="2:7" x14ac:dyDescent="0.3">
      <c r="B53" s="51"/>
    </row>
    <row r="54" spans="2:7" x14ac:dyDescent="0.3">
      <c r="B54" s="51"/>
    </row>
    <row r="55" spans="2:7" x14ac:dyDescent="0.3">
      <c r="B55" s="51"/>
    </row>
    <row r="56" spans="2:7" x14ac:dyDescent="0.3">
      <c r="B56" s="51"/>
    </row>
    <row r="57" spans="2:7" x14ac:dyDescent="0.3">
      <c r="B57" s="51"/>
    </row>
    <row r="58" spans="2:7" x14ac:dyDescent="0.3">
      <c r="B58" s="51"/>
    </row>
    <row r="59" spans="2:7" x14ac:dyDescent="0.3">
      <c r="B59" s="51"/>
    </row>
    <row r="61" spans="2:7" x14ac:dyDescent="0.3">
      <c r="C61" s="51"/>
      <c r="D61" s="51"/>
    </row>
    <row r="63" spans="2:7" x14ac:dyDescent="0.3">
      <c r="E63" s="52"/>
      <c r="F63" s="52"/>
      <c r="G63" s="51"/>
    </row>
    <row r="64" spans="2:7" x14ac:dyDescent="0.3">
      <c r="E64" s="53"/>
      <c r="F64" s="54"/>
    </row>
    <row r="65" spans="5:6" x14ac:dyDescent="0.3">
      <c r="E65" s="53"/>
      <c r="F65" s="54"/>
    </row>
  </sheetData>
  <mergeCells count="1">
    <mergeCell ref="C9:D9"/>
  </mergeCells>
  <dataValidations count="2">
    <dataValidation type="list" allowBlank="1" showInputMessage="1" showErrorMessage="1" sqref="D14">
      <formula1>"Recent births, WPP"</formula1>
    </dataValidation>
    <dataValidation type="list" showInputMessage="1" showErrorMessage="1" sqref="D11">
      <formula1>"UN General,Princeton East,Princeton North,Princeton South,Princeton West,AIDS,Other"</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S77"/>
  <sheetViews>
    <sheetView zoomScaleNormal="100" workbookViewId="0"/>
  </sheetViews>
  <sheetFormatPr defaultColWidth="11.5546875" defaultRowHeight="13.8" x14ac:dyDescent="0.25"/>
  <cols>
    <col min="1" max="1" width="9.109375" style="9" customWidth="1"/>
    <col min="2" max="3" width="11.5546875" style="9"/>
    <col min="4" max="4" width="13.21875" style="9" customWidth="1"/>
    <col min="5" max="5" width="11.5546875" style="9"/>
    <col min="6" max="6" width="17.21875" style="9" customWidth="1"/>
    <col min="7" max="7" width="14.44140625" style="9" customWidth="1"/>
    <col min="8" max="8" width="11.5546875" style="9"/>
    <col min="9" max="9" width="13.77734375" style="9" customWidth="1"/>
    <col min="10" max="10" width="12.109375" style="9" customWidth="1"/>
    <col min="11" max="13" width="11.5546875" style="9"/>
    <col min="14" max="14" width="5.88671875" style="9" customWidth="1"/>
    <col min="15" max="16384" width="11.5546875" style="9"/>
  </cols>
  <sheetData>
    <row r="1" spans="1:16" x14ac:dyDescent="0.25">
      <c r="A1" s="121" t="s">
        <v>41</v>
      </c>
      <c r="B1" s="62"/>
      <c r="C1" s="13" t="str">
        <f>Instructions!D10</f>
        <v>South Africa</v>
      </c>
      <c r="H1" s="60" t="s">
        <v>82</v>
      </c>
      <c r="I1" s="60"/>
      <c r="J1" s="60"/>
      <c r="K1" s="60"/>
      <c r="L1" s="60"/>
      <c r="M1" s="60"/>
      <c r="N1" s="60"/>
      <c r="O1" s="60" t="s">
        <v>83</v>
      </c>
      <c r="P1" s="60"/>
    </row>
    <row r="2" spans="1:16" x14ac:dyDescent="0.25">
      <c r="A2" s="121" t="s">
        <v>42</v>
      </c>
      <c r="B2" s="62"/>
      <c r="C2" s="20">
        <f>Instructions!D12</f>
        <v>39127</v>
      </c>
      <c r="H2" s="120"/>
      <c r="I2" s="120" t="s">
        <v>18</v>
      </c>
      <c r="J2" s="120"/>
      <c r="K2" s="120" t="s">
        <v>19</v>
      </c>
      <c r="L2" s="120"/>
      <c r="M2" s="120" t="s">
        <v>17</v>
      </c>
      <c r="N2" s="120"/>
      <c r="O2" s="120"/>
      <c r="P2" s="120" t="s">
        <v>84</v>
      </c>
    </row>
    <row r="3" spans="1:16" x14ac:dyDescent="0.25">
      <c r="A3" s="121" t="s">
        <v>43</v>
      </c>
      <c r="B3" s="62"/>
      <c r="C3" s="20">
        <f>Instructions!D13</f>
        <v>42470</v>
      </c>
      <c r="H3" s="62">
        <v>1970.5</v>
      </c>
      <c r="I3" s="19">
        <v>0</v>
      </c>
      <c r="J3" s="62">
        <v>1970.5</v>
      </c>
      <c r="K3" s="19">
        <v>0</v>
      </c>
      <c r="L3" s="62">
        <v>1970.5</v>
      </c>
      <c r="M3" s="19">
        <v>0</v>
      </c>
      <c r="N3" s="62"/>
      <c r="O3" s="62">
        <v>1950.5</v>
      </c>
      <c r="P3" s="19">
        <v>28.405999999999999</v>
      </c>
    </row>
    <row r="4" spans="1:16" x14ac:dyDescent="0.25">
      <c r="A4" s="121" t="s">
        <v>23</v>
      </c>
      <c r="B4" s="62"/>
      <c r="C4" s="78">
        <f>YEAR(C$3)+YEARFRAC(DATE(YEAR(C$3),1,1),C$3,1) - (YEAR(C$2)+YEARFRAC(DATE(YEAR(C$2),1,1),C$2,1))</f>
        <v>9.1526760985102555</v>
      </c>
      <c r="H4" s="62">
        <f>H3+1</f>
        <v>1971.5</v>
      </c>
      <c r="I4" s="19">
        <v>0</v>
      </c>
      <c r="J4" s="62">
        <f>J3+1</f>
        <v>1971.5</v>
      </c>
      <c r="K4" s="19">
        <v>0</v>
      </c>
      <c r="L4" s="62">
        <f t="shared" ref="L4:L35" si="0">L3+1</f>
        <v>1971.5</v>
      </c>
      <c r="M4" s="19">
        <v>0</v>
      </c>
      <c r="N4" s="62"/>
      <c r="O4" s="62">
        <f>O3+1</f>
        <v>1951.5</v>
      </c>
      <c r="P4" s="19">
        <v>28.439</v>
      </c>
    </row>
    <row r="5" spans="1:16" x14ac:dyDescent="0.25">
      <c r="H5" s="62">
        <f t="shared" ref="H5:J56" si="1">H4+1</f>
        <v>1972.5</v>
      </c>
      <c r="I5" s="19">
        <v>0</v>
      </c>
      <c r="J5" s="62">
        <f t="shared" si="1"/>
        <v>1972.5</v>
      </c>
      <c r="K5" s="19">
        <v>0</v>
      </c>
      <c r="L5" s="62">
        <f t="shared" si="0"/>
        <v>1972.5</v>
      </c>
      <c r="M5" s="19">
        <v>0</v>
      </c>
      <c r="N5" s="62"/>
      <c r="O5" s="62">
        <f t="shared" ref="O5" si="2">O4+1</f>
        <v>1952.5</v>
      </c>
      <c r="P5" s="19">
        <v>28.478999999999999</v>
      </c>
    </row>
    <row r="6" spans="1:16" x14ac:dyDescent="0.25">
      <c r="A6" s="121" t="s">
        <v>20</v>
      </c>
      <c r="B6" s="62"/>
      <c r="C6" s="62">
        <f>YEAR(C$2)</f>
        <v>2007</v>
      </c>
      <c r="H6" s="62">
        <f t="shared" si="1"/>
        <v>1973.5</v>
      </c>
      <c r="I6" s="19">
        <v>0.01</v>
      </c>
      <c r="J6" s="62">
        <f t="shared" si="1"/>
        <v>1973.5</v>
      </c>
      <c r="K6" s="19">
        <v>0</v>
      </c>
      <c r="L6" s="62">
        <f t="shared" si="0"/>
        <v>1973.5</v>
      </c>
      <c r="M6" s="19">
        <v>0</v>
      </c>
      <c r="N6" s="62"/>
      <c r="O6" s="62">
        <f t="shared" ref="O6" si="3">O5+1</f>
        <v>1953.5</v>
      </c>
      <c r="P6" s="19">
        <v>28.523</v>
      </c>
    </row>
    <row r="7" spans="1:16" x14ac:dyDescent="0.25">
      <c r="A7" s="121" t="s">
        <v>40</v>
      </c>
      <c r="B7" s="62"/>
      <c r="C7" s="62"/>
      <c r="H7" s="62">
        <f t="shared" si="1"/>
        <v>1974.5</v>
      </c>
      <c r="I7" s="19">
        <v>0.01</v>
      </c>
      <c r="J7" s="62">
        <f t="shared" si="1"/>
        <v>1974.5</v>
      </c>
      <c r="K7" s="19">
        <v>0</v>
      </c>
      <c r="L7" s="62">
        <f t="shared" si="0"/>
        <v>1974.5</v>
      </c>
      <c r="M7" s="19">
        <v>0</v>
      </c>
      <c r="N7" s="62"/>
      <c r="O7" s="62">
        <f t="shared" ref="O7" si="4">O6+1</f>
        <v>1954.5</v>
      </c>
      <c r="P7" s="19">
        <v>28.541</v>
      </c>
    </row>
    <row r="8" spans="1:16" x14ac:dyDescent="0.25">
      <c r="A8" s="66" t="s">
        <v>29</v>
      </c>
      <c r="B8" s="1" t="s">
        <v>45</v>
      </c>
      <c r="C8" s="1" t="s">
        <v>46</v>
      </c>
      <c r="D8" s="1" t="s">
        <v>1</v>
      </c>
      <c r="E8" s="1" t="s">
        <v>2</v>
      </c>
      <c r="F8" s="1" t="s">
        <v>99</v>
      </c>
      <c r="H8" s="62">
        <f t="shared" si="1"/>
        <v>1975.5</v>
      </c>
      <c r="I8" s="19">
        <v>0.02</v>
      </c>
      <c r="J8" s="62">
        <f t="shared" si="1"/>
        <v>1975.5</v>
      </c>
      <c r="K8" s="19">
        <v>0</v>
      </c>
      <c r="L8" s="62">
        <f t="shared" si="0"/>
        <v>1975.5</v>
      </c>
      <c r="M8" s="19">
        <v>0</v>
      </c>
      <c r="N8" s="62"/>
      <c r="O8" s="62">
        <f t="shared" ref="O8" si="5">O7+1</f>
        <v>1955.5</v>
      </c>
      <c r="P8" s="19">
        <v>28.552</v>
      </c>
    </row>
    <row r="9" spans="1:16" x14ac:dyDescent="0.25">
      <c r="A9" s="67" t="s">
        <v>32</v>
      </c>
      <c r="B9" s="6" t="s">
        <v>44</v>
      </c>
      <c r="C9" s="6" t="s">
        <v>47</v>
      </c>
      <c r="D9" s="6"/>
      <c r="E9" s="6"/>
      <c r="F9" s="6" t="s">
        <v>100</v>
      </c>
      <c r="H9" s="62">
        <f t="shared" si="1"/>
        <v>1976.5</v>
      </c>
      <c r="I9" s="19">
        <v>0.02</v>
      </c>
      <c r="J9" s="62">
        <f t="shared" si="1"/>
        <v>1976.5</v>
      </c>
      <c r="K9" s="19">
        <v>0</v>
      </c>
      <c r="L9" s="62">
        <f t="shared" si="0"/>
        <v>1976.5</v>
      </c>
      <c r="M9" s="19">
        <v>0</v>
      </c>
      <c r="N9" s="62"/>
      <c r="O9" s="62">
        <f t="shared" ref="O9" si="6">O8+1</f>
        <v>1956.5</v>
      </c>
      <c r="P9" s="19">
        <v>28.562999999999999</v>
      </c>
    </row>
    <row r="10" spans="1:16" x14ac:dyDescent="0.25">
      <c r="A10" s="62" t="s">
        <v>3</v>
      </c>
      <c r="B10" s="13">
        <v>2331994</v>
      </c>
      <c r="C10" s="13">
        <v>55504</v>
      </c>
      <c r="D10" s="13">
        <v>1784</v>
      </c>
      <c r="E10" s="13">
        <v>2389282</v>
      </c>
      <c r="F10" s="59">
        <f>B10/(B10+C10)</f>
        <v>0.97675223183433035</v>
      </c>
      <c r="H10" s="62">
        <f t="shared" si="1"/>
        <v>1977.5</v>
      </c>
      <c r="I10" s="19">
        <v>0.03</v>
      </c>
      <c r="J10" s="62">
        <f t="shared" si="1"/>
        <v>1977.5</v>
      </c>
      <c r="K10" s="19">
        <v>0</v>
      </c>
      <c r="L10" s="62">
        <f t="shared" si="0"/>
        <v>1977.5</v>
      </c>
      <c r="M10" s="19">
        <v>0</v>
      </c>
      <c r="N10" s="62"/>
      <c r="O10" s="62">
        <f t="shared" ref="O10" si="7">O9+1</f>
        <v>1957.5</v>
      </c>
      <c r="P10" s="19">
        <v>28.556000000000001</v>
      </c>
    </row>
    <row r="11" spans="1:16" x14ac:dyDescent="0.25">
      <c r="A11" s="63" t="s">
        <v>4</v>
      </c>
      <c r="B11" s="13">
        <v>2145596</v>
      </c>
      <c r="C11" s="13">
        <v>140547</v>
      </c>
      <c r="D11" s="13">
        <v>4194</v>
      </c>
      <c r="E11" s="13">
        <v>2290337</v>
      </c>
      <c r="F11" s="59">
        <f t="shared" ref="F11:F20" si="8">B11/(B11+C11)</f>
        <v>0.93852221842640637</v>
      </c>
      <c r="H11" s="62">
        <f t="shared" si="1"/>
        <v>1978.5</v>
      </c>
      <c r="I11" s="19">
        <v>0.04</v>
      </c>
      <c r="J11" s="62">
        <f t="shared" si="1"/>
        <v>1978.5</v>
      </c>
      <c r="K11" s="19">
        <v>0</v>
      </c>
      <c r="L11" s="62">
        <f t="shared" si="0"/>
        <v>1978.5</v>
      </c>
      <c r="M11" s="19">
        <v>0</v>
      </c>
      <c r="N11" s="62"/>
      <c r="O11" s="62">
        <f t="shared" ref="O11" si="9">O10+1</f>
        <v>1958.5</v>
      </c>
      <c r="P11" s="19">
        <v>28.539000000000001</v>
      </c>
    </row>
    <row r="12" spans="1:16" x14ac:dyDescent="0.25">
      <c r="A12" s="64" t="s">
        <v>5</v>
      </c>
      <c r="B12" s="13">
        <v>2292293</v>
      </c>
      <c r="C12" s="13">
        <v>243383</v>
      </c>
      <c r="D12" s="13">
        <v>5477</v>
      </c>
      <c r="E12" s="13">
        <v>2541153</v>
      </c>
      <c r="F12" s="59">
        <f t="shared" si="8"/>
        <v>0.90401652261566545</v>
      </c>
      <c r="H12" s="62">
        <f t="shared" si="1"/>
        <v>1979.5</v>
      </c>
      <c r="I12" s="19">
        <v>0.05</v>
      </c>
      <c r="J12" s="62">
        <f t="shared" si="1"/>
        <v>1979.5</v>
      </c>
      <c r="K12" s="19">
        <v>0</v>
      </c>
      <c r="L12" s="62">
        <f t="shared" si="0"/>
        <v>1979.5</v>
      </c>
      <c r="M12" s="19">
        <v>0</v>
      </c>
      <c r="N12" s="62"/>
      <c r="O12" s="62">
        <f t="shared" ref="O12" si="10">O11+1</f>
        <v>1959.5</v>
      </c>
      <c r="P12" s="19">
        <v>28.428999999999998</v>
      </c>
    </row>
    <row r="13" spans="1:16" x14ac:dyDescent="0.25">
      <c r="A13" s="62" t="s">
        <v>6</v>
      </c>
      <c r="B13" s="13">
        <v>2253004</v>
      </c>
      <c r="C13" s="13">
        <v>309620</v>
      </c>
      <c r="D13" s="13">
        <v>4115</v>
      </c>
      <c r="E13" s="13">
        <v>2566738</v>
      </c>
      <c r="F13" s="59">
        <f t="shared" si="8"/>
        <v>0.87917852950725506</v>
      </c>
      <c r="H13" s="62">
        <f t="shared" si="1"/>
        <v>1980.5</v>
      </c>
      <c r="I13" s="19">
        <v>7.0000000000000007E-2</v>
      </c>
      <c r="J13" s="62">
        <f t="shared" si="1"/>
        <v>1980.5</v>
      </c>
      <c r="K13" s="19">
        <v>0</v>
      </c>
      <c r="L13" s="62">
        <f t="shared" si="0"/>
        <v>1980.5</v>
      </c>
      <c r="M13" s="19">
        <v>0</v>
      </c>
      <c r="N13" s="62"/>
      <c r="O13" s="62">
        <f t="shared" ref="O13" si="11">O12+1</f>
        <v>1960.5</v>
      </c>
      <c r="P13" s="19">
        <v>28.337</v>
      </c>
    </row>
    <row r="14" spans="1:16" x14ac:dyDescent="0.25">
      <c r="A14" s="62" t="s">
        <v>7</v>
      </c>
      <c r="B14" s="13">
        <v>2128266</v>
      </c>
      <c r="C14" s="13">
        <v>339064</v>
      </c>
      <c r="D14" s="13">
        <v>4876</v>
      </c>
      <c r="E14" s="13">
        <v>2472206</v>
      </c>
      <c r="F14" s="59">
        <f t="shared" si="8"/>
        <v>0.86257857684217354</v>
      </c>
      <c r="H14" s="62">
        <f t="shared" si="1"/>
        <v>1981.5</v>
      </c>
      <c r="I14" s="19">
        <v>0.08</v>
      </c>
      <c r="J14" s="62">
        <f t="shared" si="1"/>
        <v>1981.5</v>
      </c>
      <c r="K14" s="19">
        <v>0</v>
      </c>
      <c r="L14" s="62">
        <f t="shared" si="0"/>
        <v>1981.5</v>
      </c>
      <c r="M14" s="19">
        <v>0</v>
      </c>
      <c r="N14" s="62"/>
      <c r="O14" s="62">
        <f t="shared" ref="O14" si="12">O13+1</f>
        <v>1961.5</v>
      </c>
      <c r="P14" s="19">
        <v>28.257000000000001</v>
      </c>
    </row>
    <row r="15" spans="1:16" x14ac:dyDescent="0.25">
      <c r="A15" s="62" t="s">
        <v>8</v>
      </c>
      <c r="B15" s="13">
        <v>1661128</v>
      </c>
      <c r="C15" s="13">
        <v>332511</v>
      </c>
      <c r="D15" s="13">
        <v>2954</v>
      </c>
      <c r="E15" s="13">
        <v>1996593</v>
      </c>
      <c r="F15" s="59">
        <f t="shared" si="8"/>
        <v>0.83321403724545917</v>
      </c>
      <c r="H15" s="62">
        <f t="shared" si="1"/>
        <v>1982.5</v>
      </c>
      <c r="I15" s="19">
        <v>0.09</v>
      </c>
      <c r="J15" s="62">
        <f t="shared" si="1"/>
        <v>1982.5</v>
      </c>
      <c r="K15" s="19">
        <v>0</v>
      </c>
      <c r="L15" s="62">
        <f t="shared" si="0"/>
        <v>1982.5</v>
      </c>
      <c r="M15" s="19">
        <v>0</v>
      </c>
      <c r="N15" s="62"/>
      <c r="O15" s="62">
        <f t="shared" ref="O15" si="13">O14+1</f>
        <v>1962.5</v>
      </c>
      <c r="P15" s="19">
        <v>28.158000000000001</v>
      </c>
    </row>
    <row r="16" spans="1:16" x14ac:dyDescent="0.25">
      <c r="A16" s="62" t="s">
        <v>9</v>
      </c>
      <c r="B16" s="13">
        <v>1425626</v>
      </c>
      <c r="C16" s="13">
        <v>396664</v>
      </c>
      <c r="D16" s="13">
        <v>2244</v>
      </c>
      <c r="E16" s="13">
        <v>1824534</v>
      </c>
      <c r="F16" s="59">
        <f t="shared" si="8"/>
        <v>0.78232663297279792</v>
      </c>
      <c r="H16" s="62">
        <f t="shared" si="1"/>
        <v>1983.5</v>
      </c>
      <c r="I16" s="19">
        <v>0.11</v>
      </c>
      <c r="J16" s="62">
        <f t="shared" si="1"/>
        <v>1983.5</v>
      </c>
      <c r="K16" s="19">
        <v>0</v>
      </c>
      <c r="L16" s="62">
        <f t="shared" si="0"/>
        <v>1983.5</v>
      </c>
      <c r="M16" s="19">
        <v>0</v>
      </c>
      <c r="N16" s="62"/>
      <c r="O16" s="62">
        <f t="shared" ref="O16" si="14">O15+1</f>
        <v>1963.5</v>
      </c>
      <c r="P16" s="19">
        <v>28.081</v>
      </c>
    </row>
    <row r="17" spans="1:16" x14ac:dyDescent="0.25">
      <c r="A17" s="62" t="s">
        <v>10</v>
      </c>
      <c r="B17" s="13">
        <v>1153343</v>
      </c>
      <c r="C17" s="13">
        <v>507596</v>
      </c>
      <c r="D17" s="13">
        <v>2209</v>
      </c>
      <c r="E17" s="13">
        <v>1663148</v>
      </c>
      <c r="F17" s="59">
        <f t="shared" si="8"/>
        <v>0.69439214805600924</v>
      </c>
      <c r="H17" s="62">
        <f t="shared" si="1"/>
        <v>1984.5</v>
      </c>
      <c r="I17" s="19">
        <v>0.13</v>
      </c>
      <c r="J17" s="62">
        <f t="shared" si="1"/>
        <v>1984.5</v>
      </c>
      <c r="K17" s="19">
        <v>0</v>
      </c>
      <c r="L17" s="62">
        <f t="shared" si="0"/>
        <v>1984.5</v>
      </c>
      <c r="M17" s="19">
        <v>0</v>
      </c>
      <c r="N17" s="62"/>
      <c r="O17" s="62">
        <f t="shared" ref="O17" si="15">O16+1</f>
        <v>1964.5</v>
      </c>
      <c r="P17" s="19">
        <v>27.986000000000001</v>
      </c>
    </row>
    <row r="18" spans="1:16" x14ac:dyDescent="0.25">
      <c r="A18" s="62" t="s">
        <v>11</v>
      </c>
      <c r="B18" s="13">
        <v>908544</v>
      </c>
      <c r="C18" s="13">
        <v>626448</v>
      </c>
      <c r="D18" s="13">
        <v>2126</v>
      </c>
      <c r="E18" s="13">
        <v>1537117</v>
      </c>
      <c r="F18" s="59">
        <f t="shared" si="8"/>
        <v>0.59188842678007447</v>
      </c>
      <c r="H18" s="62">
        <f t="shared" si="1"/>
        <v>1985.5</v>
      </c>
      <c r="I18" s="19">
        <v>0.14000000000000001</v>
      </c>
      <c r="J18" s="62">
        <f t="shared" si="1"/>
        <v>1985.5</v>
      </c>
      <c r="K18" s="19">
        <v>0</v>
      </c>
      <c r="L18" s="62">
        <f t="shared" si="0"/>
        <v>1985.5</v>
      </c>
      <c r="M18" s="19">
        <v>0</v>
      </c>
      <c r="N18" s="62"/>
      <c r="O18" s="62">
        <f t="shared" ref="O18" si="16">O17+1</f>
        <v>1965.5</v>
      </c>
      <c r="P18" s="19">
        <v>27.92</v>
      </c>
    </row>
    <row r="19" spans="1:16" x14ac:dyDescent="0.25">
      <c r="A19" s="62" t="s">
        <v>12</v>
      </c>
      <c r="B19" s="13">
        <v>631760</v>
      </c>
      <c r="C19" s="13">
        <v>679850</v>
      </c>
      <c r="D19" s="13">
        <v>1656</v>
      </c>
      <c r="E19" s="13">
        <v>1313266</v>
      </c>
      <c r="F19" s="59">
        <f t="shared" si="8"/>
        <v>0.48166756886574513</v>
      </c>
      <c r="H19" s="62">
        <f t="shared" si="1"/>
        <v>1986.5</v>
      </c>
      <c r="I19" s="19">
        <v>0.16</v>
      </c>
      <c r="J19" s="62">
        <f t="shared" si="1"/>
        <v>1986.5</v>
      </c>
      <c r="K19" s="19">
        <v>0</v>
      </c>
      <c r="L19" s="62">
        <f t="shared" si="0"/>
        <v>1986.5</v>
      </c>
      <c r="M19" s="19">
        <v>0</v>
      </c>
      <c r="N19" s="62"/>
      <c r="O19" s="62">
        <f t="shared" ref="O19" si="17">O18+1</f>
        <v>1966.5</v>
      </c>
      <c r="P19" s="19">
        <v>27.876999999999999</v>
      </c>
    </row>
    <row r="20" spans="1:16" x14ac:dyDescent="0.25">
      <c r="A20" s="65" t="s">
        <v>13</v>
      </c>
      <c r="B20" s="13">
        <v>395482</v>
      </c>
      <c r="C20" s="13">
        <v>689787</v>
      </c>
      <c r="D20" s="13">
        <v>1387</v>
      </c>
      <c r="E20" s="13">
        <v>1086656</v>
      </c>
      <c r="F20" s="61">
        <f t="shared" si="8"/>
        <v>0.36440919255963267</v>
      </c>
      <c r="H20" s="62">
        <f t="shared" si="1"/>
        <v>1987.5</v>
      </c>
      <c r="I20" s="19">
        <v>0.18</v>
      </c>
      <c r="J20" s="62">
        <f t="shared" si="1"/>
        <v>1987.5</v>
      </c>
      <c r="K20" s="19">
        <v>0</v>
      </c>
      <c r="L20" s="62">
        <f t="shared" si="0"/>
        <v>1987.5</v>
      </c>
      <c r="M20" s="19">
        <v>0</v>
      </c>
      <c r="N20" s="62"/>
      <c r="O20" s="62">
        <f t="shared" ref="O20" si="18">O19+1</f>
        <v>1967.5</v>
      </c>
      <c r="P20" s="19">
        <v>27.838000000000001</v>
      </c>
    </row>
    <row r="21" spans="1:16" x14ac:dyDescent="0.25">
      <c r="H21" s="62">
        <f t="shared" si="1"/>
        <v>1988.5</v>
      </c>
      <c r="I21" s="19">
        <v>0.23</v>
      </c>
      <c r="J21" s="62">
        <f t="shared" si="1"/>
        <v>1988.5</v>
      </c>
      <c r="K21" s="19">
        <v>0</v>
      </c>
      <c r="L21" s="62">
        <f t="shared" si="0"/>
        <v>1988.5</v>
      </c>
      <c r="M21" s="19">
        <v>0</v>
      </c>
      <c r="N21" s="62"/>
      <c r="O21" s="62">
        <f t="shared" ref="O21" si="19">O20+1</f>
        <v>1968.5</v>
      </c>
      <c r="P21" s="19">
        <v>27.832999999999998</v>
      </c>
    </row>
    <row r="22" spans="1:16" x14ac:dyDescent="0.25">
      <c r="H22" s="62">
        <f t="shared" si="1"/>
        <v>1989.5</v>
      </c>
      <c r="I22" s="19">
        <v>0.36</v>
      </c>
      <c r="J22" s="62">
        <f t="shared" si="1"/>
        <v>1989.5</v>
      </c>
      <c r="K22" s="19">
        <v>0</v>
      </c>
      <c r="L22" s="62">
        <f t="shared" si="0"/>
        <v>1989.5</v>
      </c>
      <c r="M22" s="19">
        <v>0</v>
      </c>
      <c r="N22" s="62"/>
      <c r="O22" s="62">
        <f t="shared" ref="O22" si="20">O21+1</f>
        <v>1969.5</v>
      </c>
      <c r="P22" s="19">
        <v>27.808</v>
      </c>
    </row>
    <row r="23" spans="1:16" ht="14.4" x14ac:dyDescent="0.3">
      <c r="A23" s="122" t="s">
        <v>133</v>
      </c>
      <c r="B23" s="62"/>
      <c r="C23" s="123" t="s">
        <v>27</v>
      </c>
      <c r="D23" s="13" t="s">
        <v>28</v>
      </c>
      <c r="H23" s="62">
        <f t="shared" si="1"/>
        <v>1990.5</v>
      </c>
      <c r="I23" s="19">
        <v>0.64</v>
      </c>
      <c r="J23" s="62">
        <f t="shared" si="1"/>
        <v>1990.5</v>
      </c>
      <c r="K23" s="19">
        <v>0</v>
      </c>
      <c r="L23" s="62">
        <f t="shared" si="0"/>
        <v>1990.5</v>
      </c>
      <c r="M23" s="19">
        <v>0</v>
      </c>
      <c r="N23" s="62"/>
      <c r="O23" s="62">
        <f t="shared" ref="O23" si="21">O22+1</f>
        <v>1970.5</v>
      </c>
      <c r="P23" s="19">
        <v>27.789000000000001</v>
      </c>
    </row>
    <row r="24" spans="1:16" x14ac:dyDescent="0.25">
      <c r="A24" s="66"/>
      <c r="B24" s="1" t="s">
        <v>30</v>
      </c>
      <c r="C24" s="1" t="s">
        <v>31</v>
      </c>
      <c r="D24" s="2"/>
      <c r="H24" s="62">
        <f t="shared" si="1"/>
        <v>1991.5</v>
      </c>
      <c r="I24" s="19">
        <v>1.1399999999999999</v>
      </c>
      <c r="J24" s="62">
        <f t="shared" si="1"/>
        <v>1991.5</v>
      </c>
      <c r="K24" s="19">
        <v>0</v>
      </c>
      <c r="L24" s="62">
        <f t="shared" si="0"/>
        <v>1991.5</v>
      </c>
      <c r="M24" s="19">
        <v>0</v>
      </c>
      <c r="N24" s="62"/>
      <c r="O24" s="62">
        <f t="shared" ref="O24" si="22">O23+1</f>
        <v>1971.5</v>
      </c>
      <c r="P24" s="19">
        <v>27.759</v>
      </c>
    </row>
    <row r="25" spans="1:16" x14ac:dyDescent="0.25">
      <c r="A25" s="68" t="s">
        <v>29</v>
      </c>
      <c r="B25" s="4" t="s">
        <v>33</v>
      </c>
      <c r="C25" s="3" t="s">
        <v>34</v>
      </c>
      <c r="D25" s="5"/>
      <c r="H25" s="62">
        <f t="shared" si="1"/>
        <v>1992.5</v>
      </c>
      <c r="I25" s="19">
        <v>1.91</v>
      </c>
      <c r="J25" s="62">
        <f t="shared" si="1"/>
        <v>1992.5</v>
      </c>
      <c r="K25" s="19">
        <v>0</v>
      </c>
      <c r="L25" s="62">
        <f t="shared" si="0"/>
        <v>1992.5</v>
      </c>
      <c r="M25" s="19">
        <v>0</v>
      </c>
      <c r="N25" s="62"/>
      <c r="O25" s="62">
        <f t="shared" ref="O25" si="23">O24+1</f>
        <v>1972.5</v>
      </c>
      <c r="P25" s="19">
        <v>27.733000000000001</v>
      </c>
    </row>
    <row r="26" spans="1:16" ht="14.4" x14ac:dyDescent="0.3">
      <c r="A26" s="67" t="s">
        <v>32</v>
      </c>
      <c r="B26" s="6" t="s">
        <v>37</v>
      </c>
      <c r="C26" s="7" t="s">
        <v>35</v>
      </c>
      <c r="D26" s="6" t="s">
        <v>38</v>
      </c>
      <c r="H26" s="62">
        <f t="shared" si="1"/>
        <v>1993.5</v>
      </c>
      <c r="I26" s="19">
        <v>2.98</v>
      </c>
      <c r="J26" s="62">
        <f t="shared" si="1"/>
        <v>1993.5</v>
      </c>
      <c r="K26" s="19">
        <v>0</v>
      </c>
      <c r="L26" s="62">
        <f t="shared" si="0"/>
        <v>1993.5</v>
      </c>
      <c r="M26" s="19">
        <v>0</v>
      </c>
      <c r="N26" s="62"/>
      <c r="O26" s="62">
        <f t="shared" ref="O26" si="24">O25+1</f>
        <v>1973.5</v>
      </c>
      <c r="P26" s="19">
        <v>27.706</v>
      </c>
    </row>
    <row r="27" spans="1:16" x14ac:dyDescent="0.25">
      <c r="A27" s="72" t="s">
        <v>5</v>
      </c>
      <c r="B27" s="13">
        <v>3145.6666666666665</v>
      </c>
      <c r="C27" s="12">
        <f>IF(D23="Age at interview",12,12.5)</f>
        <v>12</v>
      </c>
      <c r="D27" s="14">
        <f>B27*C27</f>
        <v>37748</v>
      </c>
      <c r="H27" s="62">
        <f t="shared" si="1"/>
        <v>1994.5</v>
      </c>
      <c r="I27" s="19">
        <v>4.3099999999999996</v>
      </c>
      <c r="J27" s="62">
        <f t="shared" si="1"/>
        <v>1994.5</v>
      </c>
      <c r="K27" s="19">
        <v>0</v>
      </c>
      <c r="L27" s="62">
        <f t="shared" si="0"/>
        <v>1994.5</v>
      </c>
      <c r="M27" s="19">
        <v>0</v>
      </c>
      <c r="N27" s="62"/>
      <c r="O27" s="62">
        <f t="shared" ref="O27" si="25">O26+1</f>
        <v>1974.5</v>
      </c>
      <c r="P27" s="19">
        <v>27.678000000000001</v>
      </c>
    </row>
    <row r="28" spans="1:16" x14ac:dyDescent="0.25">
      <c r="A28" s="70" t="s">
        <v>6</v>
      </c>
      <c r="B28" s="13">
        <v>153256.33333333331</v>
      </c>
      <c r="C28" s="12">
        <f>IF(D23="Age at interview",17,17.5)</f>
        <v>17</v>
      </c>
      <c r="D28" s="14">
        <f>B28*C28</f>
        <v>2605357.6666666665</v>
      </c>
      <c r="H28" s="62">
        <f t="shared" si="1"/>
        <v>1995.5</v>
      </c>
      <c r="I28" s="19">
        <v>5.82</v>
      </c>
      <c r="J28" s="62">
        <f t="shared" si="1"/>
        <v>1995.5</v>
      </c>
      <c r="K28" s="19">
        <v>0</v>
      </c>
      <c r="L28" s="62">
        <f t="shared" si="0"/>
        <v>1995.5</v>
      </c>
      <c r="M28" s="19">
        <v>0</v>
      </c>
      <c r="N28" s="62"/>
      <c r="O28" s="62">
        <f t="shared" ref="O28" si="26">O27+1</f>
        <v>1975.5</v>
      </c>
      <c r="P28" s="19">
        <v>27.640999999999998</v>
      </c>
    </row>
    <row r="29" spans="1:16" x14ac:dyDescent="0.25">
      <c r="A29" s="70" t="s">
        <v>7</v>
      </c>
      <c r="B29" s="13">
        <v>311243.06666666665</v>
      </c>
      <c r="C29" s="12">
        <f>C28+5</f>
        <v>22</v>
      </c>
      <c r="D29" s="14">
        <f t="shared" ref="D29:D35" si="27">B29*C29</f>
        <v>6847347.4666666668</v>
      </c>
      <c r="H29" s="62">
        <f t="shared" si="1"/>
        <v>1996.5</v>
      </c>
      <c r="I29" s="19">
        <v>7.43</v>
      </c>
      <c r="J29" s="62">
        <f t="shared" si="1"/>
        <v>1996.5</v>
      </c>
      <c r="K29" s="19">
        <v>0</v>
      </c>
      <c r="L29" s="62">
        <f t="shared" si="0"/>
        <v>1996.5</v>
      </c>
      <c r="M29" s="19">
        <v>0</v>
      </c>
      <c r="N29" s="62"/>
      <c r="O29" s="62">
        <f t="shared" ref="O29" si="28">O28+1</f>
        <v>1976.5</v>
      </c>
      <c r="P29" s="19">
        <v>27.634</v>
      </c>
    </row>
    <row r="30" spans="1:16" x14ac:dyDescent="0.25">
      <c r="A30" s="70" t="s">
        <v>8</v>
      </c>
      <c r="B30" s="13">
        <v>258662.13333333333</v>
      </c>
      <c r="C30" s="12">
        <f t="shared" ref="C30:C35" si="29">C29+5</f>
        <v>27</v>
      </c>
      <c r="D30" s="14">
        <f t="shared" si="27"/>
        <v>6983877.5999999996</v>
      </c>
      <c r="H30" s="62">
        <f t="shared" si="1"/>
        <v>1997.5</v>
      </c>
      <c r="I30" s="19">
        <v>9.06</v>
      </c>
      <c r="J30" s="62">
        <f t="shared" si="1"/>
        <v>1997.5</v>
      </c>
      <c r="K30" s="19">
        <v>0</v>
      </c>
      <c r="L30" s="62">
        <f t="shared" si="0"/>
        <v>1997.5</v>
      </c>
      <c r="M30" s="19">
        <v>0</v>
      </c>
      <c r="N30" s="62"/>
      <c r="O30" s="62">
        <f t="shared" ref="O30" si="30">O29+1</f>
        <v>1977.5</v>
      </c>
      <c r="P30" s="19">
        <v>27.606999999999999</v>
      </c>
    </row>
    <row r="31" spans="1:16" x14ac:dyDescent="0.25">
      <c r="A31" s="70" t="s">
        <v>9</v>
      </c>
      <c r="B31" s="13">
        <v>197524.86666666667</v>
      </c>
      <c r="C31" s="12">
        <f t="shared" si="29"/>
        <v>32</v>
      </c>
      <c r="D31" s="14">
        <f t="shared" si="27"/>
        <v>6320795.7333333334</v>
      </c>
      <c r="H31" s="62">
        <f t="shared" si="1"/>
        <v>1998.5</v>
      </c>
      <c r="I31" s="19">
        <v>10.67</v>
      </c>
      <c r="J31" s="62">
        <f t="shared" si="1"/>
        <v>1998.5</v>
      </c>
      <c r="K31" s="19">
        <v>0</v>
      </c>
      <c r="L31" s="62">
        <f t="shared" si="0"/>
        <v>1998.5</v>
      </c>
      <c r="M31" s="19">
        <v>0</v>
      </c>
      <c r="N31" s="62"/>
      <c r="O31" s="62">
        <f t="shared" ref="O31" si="31">O30+1</f>
        <v>1978.5</v>
      </c>
      <c r="P31" s="19">
        <v>27.600999999999999</v>
      </c>
    </row>
    <row r="32" spans="1:16" x14ac:dyDescent="0.25">
      <c r="A32" s="70" t="s">
        <v>10</v>
      </c>
      <c r="B32" s="13">
        <v>120665.46666666667</v>
      </c>
      <c r="C32" s="12">
        <f t="shared" si="29"/>
        <v>37</v>
      </c>
      <c r="D32" s="14">
        <f t="shared" si="27"/>
        <v>4464622.2666666666</v>
      </c>
      <c r="H32" s="62">
        <f t="shared" si="1"/>
        <v>1999.5</v>
      </c>
      <c r="I32" s="19">
        <v>12.17</v>
      </c>
      <c r="J32" s="62">
        <f t="shared" si="1"/>
        <v>1999.5</v>
      </c>
      <c r="K32" s="19">
        <v>0</v>
      </c>
      <c r="L32" s="62">
        <f t="shared" si="0"/>
        <v>1999.5</v>
      </c>
      <c r="M32" s="19">
        <v>0</v>
      </c>
      <c r="N32" s="62"/>
      <c r="O32" s="62">
        <f t="shared" ref="O32" si="32">O31+1</f>
        <v>1979.5</v>
      </c>
      <c r="P32" s="19">
        <v>27.59</v>
      </c>
    </row>
    <row r="33" spans="1:19" x14ac:dyDescent="0.25">
      <c r="A33" s="70" t="s">
        <v>11</v>
      </c>
      <c r="B33" s="13">
        <v>46926.400000000001</v>
      </c>
      <c r="C33" s="12">
        <f t="shared" si="29"/>
        <v>42</v>
      </c>
      <c r="D33" s="14">
        <f t="shared" si="27"/>
        <v>1970908.8</v>
      </c>
      <c r="H33" s="62">
        <f t="shared" si="1"/>
        <v>2000.5</v>
      </c>
      <c r="I33" s="19">
        <v>13.53</v>
      </c>
      <c r="J33" s="62">
        <f t="shared" si="1"/>
        <v>2000.5</v>
      </c>
      <c r="K33" s="19">
        <v>0.4</v>
      </c>
      <c r="L33" s="62">
        <f t="shared" si="0"/>
        <v>2000.5</v>
      </c>
      <c r="M33" s="19">
        <v>0.31</v>
      </c>
      <c r="N33" s="62"/>
      <c r="O33" s="62">
        <f t="shared" ref="O33" si="33">O32+1</f>
        <v>1980.5</v>
      </c>
      <c r="P33" s="19">
        <v>27.556000000000001</v>
      </c>
    </row>
    <row r="34" spans="1:19" x14ac:dyDescent="0.25">
      <c r="A34" s="70" t="s">
        <v>12</v>
      </c>
      <c r="B34" s="13">
        <v>8870</v>
      </c>
      <c r="C34" s="12">
        <f t="shared" si="29"/>
        <v>47</v>
      </c>
      <c r="D34" s="14">
        <f t="shared" si="27"/>
        <v>416890</v>
      </c>
      <c r="H34" s="62">
        <f t="shared" si="1"/>
        <v>2001.5</v>
      </c>
      <c r="I34" s="19">
        <v>14.71</v>
      </c>
      <c r="J34" s="62">
        <f t="shared" si="1"/>
        <v>2001.5</v>
      </c>
      <c r="K34" s="19">
        <v>1.1000000000000001</v>
      </c>
      <c r="L34" s="62">
        <f t="shared" si="0"/>
        <v>2001.5</v>
      </c>
      <c r="M34" s="19">
        <v>1.43</v>
      </c>
      <c r="N34" s="62"/>
      <c r="O34" s="62">
        <f t="shared" ref="O34" si="34">O33+1</f>
        <v>1981.5</v>
      </c>
      <c r="P34" s="19">
        <v>27.452999999999999</v>
      </c>
    </row>
    <row r="35" spans="1:19" x14ac:dyDescent="0.25">
      <c r="A35" s="72" t="s">
        <v>13</v>
      </c>
      <c r="B35" s="13">
        <v>0</v>
      </c>
      <c r="C35" s="12">
        <f t="shared" si="29"/>
        <v>52</v>
      </c>
      <c r="D35" s="14">
        <f t="shared" si="27"/>
        <v>0</v>
      </c>
      <c r="H35" s="62">
        <f t="shared" si="1"/>
        <v>2002.5</v>
      </c>
      <c r="I35" s="19">
        <v>15.72</v>
      </c>
      <c r="J35" s="62">
        <f t="shared" si="1"/>
        <v>2002.5</v>
      </c>
      <c r="K35" s="19">
        <v>1.77</v>
      </c>
      <c r="L35" s="62">
        <f t="shared" si="0"/>
        <v>2002.5</v>
      </c>
      <c r="M35" s="19">
        <v>3.94</v>
      </c>
      <c r="N35" s="62"/>
      <c r="O35" s="62">
        <f t="shared" ref="O35" si="35">O34+1</f>
        <v>1982.5</v>
      </c>
      <c r="P35" s="19">
        <v>27.388999999999999</v>
      </c>
    </row>
    <row r="36" spans="1:19" ht="14.4" thickBot="1" x14ac:dyDescent="0.3">
      <c r="A36" s="71" t="s">
        <v>36</v>
      </c>
      <c r="B36" s="15">
        <f>SUM(B27:B35)</f>
        <v>1100293.9333333333</v>
      </c>
      <c r="C36" s="11"/>
      <c r="D36" s="16">
        <f>SUM(D27:D35)</f>
        <v>29647547.533333331</v>
      </c>
      <c r="H36" s="62">
        <f t="shared" si="1"/>
        <v>2003.5</v>
      </c>
      <c r="I36" s="19">
        <v>16.55</v>
      </c>
      <c r="J36" s="62">
        <f t="shared" si="1"/>
        <v>2003.5</v>
      </c>
      <c r="K36" s="19">
        <v>2.4900000000000002</v>
      </c>
      <c r="L36" s="62">
        <f t="shared" ref="L36:L56" si="36">L35+1</f>
        <v>2003.5</v>
      </c>
      <c r="M36" s="19">
        <v>8.1999999999999993</v>
      </c>
      <c r="N36" s="62"/>
      <c r="O36" s="62">
        <f t="shared" ref="O36" si="37">O35+1</f>
        <v>1983.5</v>
      </c>
      <c r="P36" s="19">
        <v>27.300999999999998</v>
      </c>
    </row>
    <row r="37" spans="1:19" ht="15" thickBot="1" x14ac:dyDescent="0.3">
      <c r="A37" s="17"/>
      <c r="B37" s="18"/>
      <c r="C37" s="133" t="s">
        <v>152</v>
      </c>
      <c r="D37" s="134">
        <f>D36/B36</f>
        <v>26.945115877823916</v>
      </c>
      <c r="H37" s="62">
        <f t="shared" si="1"/>
        <v>2004.5</v>
      </c>
      <c r="I37" s="19">
        <v>17.239999999999998</v>
      </c>
      <c r="J37" s="62">
        <f t="shared" si="1"/>
        <v>2004.5</v>
      </c>
      <c r="K37" s="19">
        <v>3.5</v>
      </c>
      <c r="L37" s="62">
        <f t="shared" si="36"/>
        <v>2004.5</v>
      </c>
      <c r="M37" s="19">
        <v>15.42</v>
      </c>
      <c r="N37" s="62"/>
      <c r="O37" s="62">
        <f t="shared" ref="O37" si="38">O36+1</f>
        <v>1984.5</v>
      </c>
      <c r="P37" s="19">
        <v>27.183</v>
      </c>
    </row>
    <row r="38" spans="1:19" x14ac:dyDescent="0.25">
      <c r="H38" s="62">
        <f t="shared" si="1"/>
        <v>2005.5</v>
      </c>
      <c r="I38" s="19">
        <v>17.86</v>
      </c>
      <c r="J38" s="62">
        <f t="shared" si="1"/>
        <v>2005.5</v>
      </c>
      <c r="K38" s="19">
        <v>5.38</v>
      </c>
      <c r="L38" s="62">
        <f t="shared" si="36"/>
        <v>2005.5</v>
      </c>
      <c r="M38" s="19">
        <v>24.79</v>
      </c>
      <c r="N38" s="62"/>
      <c r="O38" s="62">
        <f t="shared" ref="O38" si="39">O37+1</f>
        <v>1985.5</v>
      </c>
      <c r="P38" s="19">
        <v>27.207000000000001</v>
      </c>
    </row>
    <row r="39" spans="1:19" x14ac:dyDescent="0.25">
      <c r="A39" s="10"/>
      <c r="B39" s="18"/>
      <c r="H39" s="62">
        <f t="shared" si="1"/>
        <v>2006.5</v>
      </c>
      <c r="I39" s="19">
        <v>18.45</v>
      </c>
      <c r="J39" s="62">
        <f t="shared" si="1"/>
        <v>2006.5</v>
      </c>
      <c r="K39" s="19">
        <v>9.7200000000000006</v>
      </c>
      <c r="L39" s="62">
        <f t="shared" si="36"/>
        <v>2006.5</v>
      </c>
      <c r="M39" s="19">
        <v>33.9</v>
      </c>
      <c r="N39" s="62"/>
      <c r="O39" s="62">
        <f t="shared" ref="O39" si="40">O38+1</f>
        <v>1986.5</v>
      </c>
      <c r="P39" s="19">
        <v>27.28</v>
      </c>
    </row>
    <row r="40" spans="1:19" x14ac:dyDescent="0.25">
      <c r="A40" s="121" t="s">
        <v>39</v>
      </c>
      <c r="B40" s="62"/>
      <c r="C40" s="62">
        <f>YEAR(C$3)</f>
        <v>2016</v>
      </c>
      <c r="H40" s="62">
        <f t="shared" si="1"/>
        <v>2007.5</v>
      </c>
      <c r="I40" s="19">
        <v>19.079999999999998</v>
      </c>
      <c r="J40" s="62">
        <f t="shared" si="1"/>
        <v>2007.5</v>
      </c>
      <c r="K40" s="19">
        <v>16.59</v>
      </c>
      <c r="L40" s="62">
        <f t="shared" si="36"/>
        <v>2007.5</v>
      </c>
      <c r="M40" s="19">
        <v>45.64</v>
      </c>
      <c r="N40" s="62"/>
      <c r="O40" s="62">
        <f t="shared" ref="O40" si="41">O39+1</f>
        <v>1987.5</v>
      </c>
      <c r="P40" s="19">
        <v>27.28</v>
      </c>
    </row>
    <row r="41" spans="1:19" x14ac:dyDescent="0.25">
      <c r="A41" s="121" t="s">
        <v>40</v>
      </c>
      <c r="B41" s="62"/>
      <c r="C41" s="62"/>
      <c r="H41" s="62">
        <f t="shared" si="1"/>
        <v>2008.5</v>
      </c>
      <c r="I41" s="19">
        <v>19.72</v>
      </c>
      <c r="J41" s="62">
        <f t="shared" si="1"/>
        <v>2008.5</v>
      </c>
      <c r="K41" s="19">
        <v>24.11</v>
      </c>
      <c r="L41" s="62">
        <f t="shared" si="36"/>
        <v>2008.5</v>
      </c>
      <c r="M41" s="19">
        <v>59.47</v>
      </c>
      <c r="N41" s="62"/>
      <c r="O41" s="62">
        <f t="shared" ref="O41" si="42">O40+1</f>
        <v>1988.5</v>
      </c>
      <c r="P41" s="19">
        <v>27.321000000000002</v>
      </c>
    </row>
    <row r="42" spans="1:19" x14ac:dyDescent="0.25">
      <c r="A42" s="66" t="s">
        <v>29</v>
      </c>
      <c r="B42" s="1" t="s">
        <v>45</v>
      </c>
      <c r="C42" s="1" t="s">
        <v>46</v>
      </c>
      <c r="D42" s="1"/>
      <c r="E42" s="1"/>
      <c r="F42" s="1" t="s">
        <v>99</v>
      </c>
      <c r="H42" s="62">
        <f t="shared" si="1"/>
        <v>2009.5</v>
      </c>
      <c r="I42" s="19">
        <v>20.34</v>
      </c>
      <c r="J42" s="62">
        <f t="shared" si="1"/>
        <v>2009.5</v>
      </c>
      <c r="K42" s="19">
        <v>43.65</v>
      </c>
      <c r="L42" s="62">
        <f t="shared" si="36"/>
        <v>2009.5</v>
      </c>
      <c r="M42" s="19">
        <v>72.510000000000005</v>
      </c>
      <c r="N42" s="62"/>
      <c r="O42" s="62">
        <f t="shared" ref="O42" si="43">O41+1</f>
        <v>1989.5</v>
      </c>
      <c r="P42" s="19">
        <v>27.353999999999999</v>
      </c>
    </row>
    <row r="43" spans="1:19" x14ac:dyDescent="0.25">
      <c r="A43" s="67" t="s">
        <v>32</v>
      </c>
      <c r="B43" s="6" t="s">
        <v>44</v>
      </c>
      <c r="C43" s="6" t="s">
        <v>47</v>
      </c>
      <c r="D43" s="6" t="s">
        <v>1</v>
      </c>
      <c r="E43" s="6" t="s">
        <v>2</v>
      </c>
      <c r="F43" s="6" t="s">
        <v>100</v>
      </c>
      <c r="H43" s="62">
        <f t="shared" si="1"/>
        <v>2010.5</v>
      </c>
      <c r="I43" s="19">
        <v>20.97</v>
      </c>
      <c r="J43" s="62">
        <f t="shared" si="1"/>
        <v>2010.5</v>
      </c>
      <c r="K43" s="19">
        <v>39.76</v>
      </c>
      <c r="L43" s="62">
        <f t="shared" si="36"/>
        <v>2010.5</v>
      </c>
      <c r="M43" s="19">
        <v>84.21</v>
      </c>
      <c r="N43" s="62"/>
      <c r="O43" s="62">
        <f t="shared" ref="O43" si="44">O42+1</f>
        <v>1990.5</v>
      </c>
      <c r="P43" s="19">
        <v>27.375</v>
      </c>
    </row>
    <row r="44" spans="1:19" x14ac:dyDescent="0.25">
      <c r="A44" s="62" t="s">
        <v>3</v>
      </c>
      <c r="B44" s="13">
        <v>2924762</v>
      </c>
      <c r="C44" s="13">
        <v>27981</v>
      </c>
      <c r="D44" s="13">
        <v>7164</v>
      </c>
      <c r="E44" s="13">
        <v>2959907</v>
      </c>
      <c r="F44" s="59">
        <f>B44/(B44+C44)</f>
        <v>0.99052372658236765</v>
      </c>
      <c r="H44" s="62">
        <f t="shared" si="1"/>
        <v>2011.5</v>
      </c>
      <c r="I44" s="19">
        <v>21.55</v>
      </c>
      <c r="J44" s="62">
        <f t="shared" si="1"/>
        <v>2011.5</v>
      </c>
      <c r="K44" s="19">
        <v>43.16</v>
      </c>
      <c r="L44" s="62">
        <f t="shared" si="36"/>
        <v>2011.5</v>
      </c>
      <c r="M44" s="19">
        <v>92.14</v>
      </c>
      <c r="N44" s="62"/>
      <c r="O44" s="62">
        <f t="shared" ref="O44" si="45">O43+1</f>
        <v>1991.5</v>
      </c>
      <c r="P44" s="19">
        <v>27.506</v>
      </c>
    </row>
    <row r="45" spans="1:19" x14ac:dyDescent="0.25">
      <c r="A45" s="63" t="s">
        <v>4</v>
      </c>
      <c r="B45" s="13">
        <v>2672545</v>
      </c>
      <c r="C45" s="13">
        <v>107667</v>
      </c>
      <c r="D45" s="13">
        <v>11282</v>
      </c>
      <c r="E45" s="13">
        <v>2791495</v>
      </c>
      <c r="F45" s="59">
        <f t="shared" ref="F45:F54" si="46">B45/(B45+C45)</f>
        <v>0.96127381652909927</v>
      </c>
      <c r="H45" s="62">
        <f t="shared" si="1"/>
        <v>2012.5</v>
      </c>
      <c r="I45" s="19">
        <v>22.04</v>
      </c>
      <c r="J45" s="62">
        <f t="shared" si="1"/>
        <v>2012.5</v>
      </c>
      <c r="K45" s="19">
        <v>52.42</v>
      </c>
      <c r="L45" s="62">
        <f t="shared" si="36"/>
        <v>2012.5</v>
      </c>
      <c r="M45" s="19">
        <v>92.9</v>
      </c>
      <c r="N45" s="62"/>
      <c r="O45" s="62">
        <f t="shared" ref="O45" si="47">O44+1</f>
        <v>1992.5</v>
      </c>
      <c r="P45" s="19">
        <v>27.576000000000001</v>
      </c>
    </row>
    <row r="46" spans="1:19" x14ac:dyDescent="0.25">
      <c r="A46" s="64" t="s">
        <v>5</v>
      </c>
      <c r="B46" s="13">
        <v>2353654</v>
      </c>
      <c r="C46" s="13">
        <v>216185</v>
      </c>
      <c r="D46" s="13">
        <v>15253</v>
      </c>
      <c r="E46" s="13">
        <v>2585092</v>
      </c>
      <c r="F46" s="59">
        <f t="shared" si="46"/>
        <v>0.91587605293561192</v>
      </c>
      <c r="H46" s="62">
        <f t="shared" si="1"/>
        <v>2013.5</v>
      </c>
      <c r="I46" s="19">
        <v>22.41</v>
      </c>
      <c r="J46" s="62">
        <f t="shared" si="1"/>
        <v>2013.5</v>
      </c>
      <c r="K46" s="19">
        <v>60.95</v>
      </c>
      <c r="L46" s="62">
        <f t="shared" si="36"/>
        <v>2013.5</v>
      </c>
      <c r="M46" s="19">
        <v>99.42</v>
      </c>
      <c r="N46" s="62"/>
      <c r="O46" s="62">
        <f t="shared" ref="O46" si="48">O45+1</f>
        <v>1993.5</v>
      </c>
      <c r="P46" s="19">
        <v>27.649000000000001</v>
      </c>
    </row>
    <row r="47" spans="1:19" x14ac:dyDescent="0.25">
      <c r="A47" s="62" t="s">
        <v>6</v>
      </c>
      <c r="B47" s="13">
        <v>2188445</v>
      </c>
      <c r="C47" s="13">
        <v>339472</v>
      </c>
      <c r="D47" s="13">
        <v>21260</v>
      </c>
      <c r="E47" s="13">
        <v>2549178</v>
      </c>
      <c r="F47" s="59">
        <f t="shared" si="46"/>
        <v>0.86571078085237763</v>
      </c>
      <c r="H47" s="62">
        <f t="shared" si="1"/>
        <v>2014.5</v>
      </c>
      <c r="I47" s="19">
        <v>22.71</v>
      </c>
      <c r="J47" s="62">
        <f t="shared" si="1"/>
        <v>2014.5</v>
      </c>
      <c r="K47" s="19">
        <v>64.319999999999993</v>
      </c>
      <c r="L47" s="62">
        <f t="shared" si="36"/>
        <v>2014.5</v>
      </c>
      <c r="M47" s="19">
        <v>100</v>
      </c>
      <c r="N47" s="62"/>
      <c r="O47" s="62">
        <f t="shared" ref="O47" si="49">O46+1</f>
        <v>1994.5</v>
      </c>
      <c r="P47" s="19">
        <v>27.666</v>
      </c>
    </row>
    <row r="48" spans="1:19" x14ac:dyDescent="0.25">
      <c r="A48" s="62" t="s">
        <v>7</v>
      </c>
      <c r="B48" s="13">
        <v>2165157</v>
      </c>
      <c r="C48" s="13">
        <v>451291</v>
      </c>
      <c r="D48" s="13">
        <v>26896</v>
      </c>
      <c r="E48" s="13">
        <v>2643344</v>
      </c>
      <c r="F48" s="59">
        <f t="shared" si="46"/>
        <v>0.82751768810234339</v>
      </c>
      <c r="H48" s="62">
        <f t="shared" si="1"/>
        <v>2015.5</v>
      </c>
      <c r="I48" s="19">
        <v>22.95</v>
      </c>
      <c r="J48" s="62">
        <f t="shared" si="1"/>
        <v>2015.5</v>
      </c>
      <c r="K48" s="19">
        <v>60.35</v>
      </c>
      <c r="L48" s="62">
        <f t="shared" si="36"/>
        <v>2015.5</v>
      </c>
      <c r="M48" s="19">
        <v>100</v>
      </c>
      <c r="N48" s="62"/>
      <c r="O48" s="62">
        <f t="shared" ref="O48" si="50">O47+1</f>
        <v>1995.5</v>
      </c>
      <c r="P48" s="19">
        <v>27.632999999999999</v>
      </c>
      <c r="Q48" s="57"/>
      <c r="R48" s="57"/>
      <c r="S48" s="57"/>
    </row>
    <row r="49" spans="1:19" x14ac:dyDescent="0.25">
      <c r="A49" s="62" t="s">
        <v>8</v>
      </c>
      <c r="B49" s="13">
        <v>2072974</v>
      </c>
      <c r="C49" s="13">
        <v>508650</v>
      </c>
      <c r="D49" s="13">
        <v>32490</v>
      </c>
      <c r="E49" s="13">
        <v>2614113</v>
      </c>
      <c r="F49" s="59">
        <f t="shared" si="46"/>
        <v>0.80297285739518998</v>
      </c>
      <c r="H49" s="62">
        <f t="shared" si="1"/>
        <v>2016.5</v>
      </c>
      <c r="I49" s="19">
        <v>23.17</v>
      </c>
      <c r="J49" s="62">
        <f t="shared" si="1"/>
        <v>2016.5</v>
      </c>
      <c r="K49" s="19">
        <v>56.88</v>
      </c>
      <c r="L49" s="62">
        <f t="shared" si="36"/>
        <v>2016.5</v>
      </c>
      <c r="M49" s="19">
        <v>100</v>
      </c>
      <c r="N49" s="62"/>
      <c r="O49" s="62">
        <f t="shared" ref="O49" si="51">O48+1</f>
        <v>1996.5</v>
      </c>
      <c r="P49" s="19">
        <v>27.544</v>
      </c>
      <c r="Q49" s="57"/>
      <c r="R49" s="57"/>
      <c r="S49" s="57"/>
    </row>
    <row r="50" spans="1:19" x14ac:dyDescent="0.25">
      <c r="A50" s="62" t="s">
        <v>9</v>
      </c>
      <c r="B50" s="13">
        <v>1742115</v>
      </c>
      <c r="C50" s="13">
        <v>493352</v>
      </c>
      <c r="D50" s="13">
        <v>32473</v>
      </c>
      <c r="E50" s="13">
        <v>2267940</v>
      </c>
      <c r="F50" s="59">
        <f t="shared" si="46"/>
        <v>0.77930696360089413</v>
      </c>
      <c r="H50" s="62">
        <f t="shared" si="1"/>
        <v>2017.5</v>
      </c>
      <c r="I50" s="19">
        <v>23.22</v>
      </c>
      <c r="J50" s="62">
        <f t="shared" si="1"/>
        <v>2017.5</v>
      </c>
      <c r="K50" s="19">
        <v>61.3</v>
      </c>
      <c r="L50" s="62">
        <f t="shared" si="36"/>
        <v>2017.5</v>
      </c>
      <c r="M50" s="19">
        <v>95.07</v>
      </c>
      <c r="N50" s="62"/>
      <c r="O50" s="62">
        <f t="shared" ref="O50" si="52">O49+1</f>
        <v>1997.5</v>
      </c>
      <c r="P50" s="19">
        <v>27.451000000000001</v>
      </c>
      <c r="Q50" s="57"/>
      <c r="R50" s="57"/>
      <c r="S50" s="57"/>
    </row>
    <row r="51" spans="1:19" x14ac:dyDescent="0.25">
      <c r="A51" s="62" t="s">
        <v>10</v>
      </c>
      <c r="B51" s="13">
        <v>1418310</v>
      </c>
      <c r="C51" s="13">
        <v>486802</v>
      </c>
      <c r="D51" s="13">
        <v>37987</v>
      </c>
      <c r="E51" s="13">
        <v>1943099</v>
      </c>
      <c r="F51" s="59">
        <f t="shared" si="46"/>
        <v>0.74447591532676294</v>
      </c>
      <c r="H51" s="62">
        <f t="shared" si="1"/>
        <v>2018.5</v>
      </c>
      <c r="I51" s="19">
        <v>23.12</v>
      </c>
      <c r="J51" s="62">
        <f t="shared" si="1"/>
        <v>2018.5</v>
      </c>
      <c r="K51" s="19">
        <v>64.650000000000006</v>
      </c>
      <c r="L51" s="62">
        <f t="shared" si="36"/>
        <v>2018.5</v>
      </c>
      <c r="M51" s="19">
        <v>96.86</v>
      </c>
      <c r="N51" s="62"/>
      <c r="O51" s="62">
        <f t="shared" ref="O51" si="53">O50+1</f>
        <v>1998.5</v>
      </c>
      <c r="P51" s="19">
        <v>27.341000000000001</v>
      </c>
      <c r="Q51" s="57"/>
      <c r="R51" s="57"/>
      <c r="S51" s="57"/>
    </row>
    <row r="52" spans="1:19" x14ac:dyDescent="0.25">
      <c r="A52" s="62" t="s">
        <v>11</v>
      </c>
      <c r="B52" s="13">
        <v>1065126</v>
      </c>
      <c r="C52" s="13">
        <v>530690</v>
      </c>
      <c r="D52" s="13">
        <v>43347</v>
      </c>
      <c r="E52" s="13">
        <v>1639163</v>
      </c>
      <c r="F52" s="59">
        <f t="shared" si="46"/>
        <v>0.66744912947357338</v>
      </c>
      <c r="H52" s="62">
        <f t="shared" si="1"/>
        <v>2019.5</v>
      </c>
      <c r="I52" s="19">
        <v>22.9</v>
      </c>
      <c r="J52" s="62">
        <f t="shared" si="1"/>
        <v>2019.5</v>
      </c>
      <c r="K52" s="19">
        <v>68.37</v>
      </c>
      <c r="L52" s="62">
        <f t="shared" si="36"/>
        <v>2019.5</v>
      </c>
      <c r="M52" s="19">
        <v>97.53</v>
      </c>
      <c r="N52" s="62"/>
      <c r="O52" s="62">
        <f t="shared" ref="O52" si="54">O51+1</f>
        <v>1999.5</v>
      </c>
      <c r="P52" s="19">
        <v>27.215</v>
      </c>
      <c r="Q52" s="57"/>
      <c r="R52" s="57"/>
      <c r="S52" s="57"/>
    </row>
    <row r="53" spans="1:19" x14ac:dyDescent="0.25">
      <c r="A53" s="62" t="s">
        <v>12</v>
      </c>
      <c r="B53" s="13">
        <v>775885</v>
      </c>
      <c r="C53" s="13">
        <v>596606</v>
      </c>
      <c r="D53" s="13">
        <v>50654</v>
      </c>
      <c r="E53" s="13">
        <v>1423146</v>
      </c>
      <c r="F53" s="59">
        <f t="shared" si="46"/>
        <v>0.56531153938350054</v>
      </c>
      <c r="H53" s="62">
        <f t="shared" si="1"/>
        <v>2020.5</v>
      </c>
      <c r="I53" s="19">
        <v>22.57</v>
      </c>
      <c r="J53" s="62">
        <f t="shared" si="1"/>
        <v>2020.5</v>
      </c>
      <c r="K53" s="19">
        <v>72.2</v>
      </c>
      <c r="L53" s="62">
        <f t="shared" si="36"/>
        <v>2020.5</v>
      </c>
      <c r="M53" s="19">
        <v>98.06</v>
      </c>
      <c r="N53" s="62"/>
      <c r="O53" s="62">
        <f t="shared" ref="O53" si="55">O52+1</f>
        <v>2000.5</v>
      </c>
      <c r="P53" s="19">
        <v>27.065000000000001</v>
      </c>
      <c r="Q53" s="57"/>
      <c r="R53" s="57"/>
      <c r="S53" s="57"/>
    </row>
    <row r="54" spans="1:19" x14ac:dyDescent="0.25">
      <c r="A54" s="65" t="s">
        <v>13</v>
      </c>
      <c r="B54" s="13">
        <v>508192</v>
      </c>
      <c r="C54" s="13">
        <v>650364</v>
      </c>
      <c r="D54" s="13">
        <v>60613</v>
      </c>
      <c r="E54" s="13">
        <v>1219169</v>
      </c>
      <c r="F54" s="61">
        <f t="shared" si="46"/>
        <v>0.43864258611582002</v>
      </c>
      <c r="H54" s="62">
        <f t="shared" si="1"/>
        <v>2021.5</v>
      </c>
      <c r="I54" s="19">
        <v>22.22</v>
      </c>
      <c r="J54" s="62">
        <f t="shared" si="1"/>
        <v>2021.5</v>
      </c>
      <c r="K54" s="19">
        <v>71.7</v>
      </c>
      <c r="L54" s="62">
        <f t="shared" si="36"/>
        <v>2021.5</v>
      </c>
      <c r="M54" s="19">
        <v>98.06</v>
      </c>
      <c r="N54" s="62"/>
      <c r="O54" s="62">
        <f t="shared" ref="O54" si="56">O53+1</f>
        <v>2001.5</v>
      </c>
      <c r="P54" s="19">
        <v>27.091999999999999</v>
      </c>
      <c r="Q54" s="57"/>
      <c r="R54" s="57"/>
      <c r="S54" s="57"/>
    </row>
    <row r="55" spans="1:19" x14ac:dyDescent="0.25">
      <c r="H55" s="62">
        <f t="shared" si="1"/>
        <v>2022.5</v>
      </c>
      <c r="I55" s="19">
        <v>21.84</v>
      </c>
      <c r="J55" s="62">
        <f t="shared" si="1"/>
        <v>2022.5</v>
      </c>
      <c r="K55" s="19">
        <v>71.3</v>
      </c>
      <c r="L55" s="62">
        <f t="shared" si="36"/>
        <v>2022.5</v>
      </c>
      <c r="M55" s="19">
        <v>98.06</v>
      </c>
      <c r="N55" s="62"/>
      <c r="O55" s="62">
        <f t="shared" ref="O55" si="57">O54+1</f>
        <v>2002.5</v>
      </c>
      <c r="P55" s="19">
        <v>27.097999999999999</v>
      </c>
      <c r="Q55" s="57"/>
      <c r="R55" s="57"/>
      <c r="S55" s="57"/>
    </row>
    <row r="56" spans="1:19" x14ac:dyDescent="0.25">
      <c r="H56" s="62">
        <f t="shared" si="1"/>
        <v>2023.5</v>
      </c>
      <c r="I56" s="19">
        <v>21.4</v>
      </c>
      <c r="J56" s="62">
        <f t="shared" si="1"/>
        <v>2023.5</v>
      </c>
      <c r="K56" s="19">
        <v>70.900000000000006</v>
      </c>
      <c r="L56" s="62">
        <f t="shared" si="36"/>
        <v>2023.5</v>
      </c>
      <c r="M56" s="19">
        <v>98.06</v>
      </c>
      <c r="N56" s="62"/>
      <c r="O56" s="62">
        <f t="shared" ref="O56:O77" si="58">O55+1</f>
        <v>2003.5</v>
      </c>
      <c r="P56" s="19">
        <v>26.991</v>
      </c>
      <c r="Q56" s="57"/>
      <c r="R56" s="57"/>
      <c r="S56" s="57"/>
    </row>
    <row r="57" spans="1:19" ht="14.4" x14ac:dyDescent="0.3">
      <c r="A57" s="122" t="s">
        <v>133</v>
      </c>
      <c r="B57" s="62"/>
      <c r="C57" s="123" t="s">
        <v>27</v>
      </c>
      <c r="D57" s="13" t="s">
        <v>28</v>
      </c>
      <c r="O57" s="62">
        <f t="shared" si="58"/>
        <v>2004.5</v>
      </c>
      <c r="P57" s="19">
        <v>26.98</v>
      </c>
      <c r="Q57" s="57"/>
      <c r="R57" s="57"/>
      <c r="S57" s="57"/>
    </row>
    <row r="58" spans="1:19" x14ac:dyDescent="0.25">
      <c r="A58" s="66"/>
      <c r="B58" s="1" t="s">
        <v>30</v>
      </c>
      <c r="C58" s="1" t="s">
        <v>31</v>
      </c>
      <c r="D58" s="2"/>
      <c r="O58" s="62">
        <f t="shared" si="58"/>
        <v>2005.5</v>
      </c>
      <c r="P58" s="19">
        <v>27.143999999999998</v>
      </c>
      <c r="Q58" s="57"/>
      <c r="R58" s="57"/>
      <c r="S58" s="57"/>
    </row>
    <row r="59" spans="1:19" x14ac:dyDescent="0.25">
      <c r="A59" s="68" t="s">
        <v>29</v>
      </c>
      <c r="B59" s="4" t="s">
        <v>33</v>
      </c>
      <c r="C59" s="3" t="s">
        <v>34</v>
      </c>
      <c r="D59" s="5"/>
      <c r="O59" s="62">
        <f t="shared" si="58"/>
        <v>2006.5</v>
      </c>
      <c r="P59" s="19">
        <v>26.959</v>
      </c>
    </row>
    <row r="60" spans="1:19" ht="14.4" x14ac:dyDescent="0.3">
      <c r="A60" s="67" t="s">
        <v>32</v>
      </c>
      <c r="B60" s="6" t="s">
        <v>37</v>
      </c>
      <c r="C60" s="7" t="s">
        <v>35</v>
      </c>
      <c r="D60" s="6" t="s">
        <v>38</v>
      </c>
      <c r="O60" s="62">
        <f t="shared" si="58"/>
        <v>2007.5</v>
      </c>
      <c r="P60" s="19">
        <v>26.923999999999999</v>
      </c>
    </row>
    <row r="61" spans="1:19" x14ac:dyDescent="0.25">
      <c r="A61" s="69" t="s">
        <v>5</v>
      </c>
      <c r="B61" s="13">
        <v>1256</v>
      </c>
      <c r="C61" s="12">
        <f>IF(D57="Age at interview",12,12.5)</f>
        <v>12</v>
      </c>
      <c r="D61" s="14">
        <f>B61*C61</f>
        <v>15072</v>
      </c>
      <c r="O61" s="62">
        <f t="shared" si="58"/>
        <v>2008.5</v>
      </c>
      <c r="P61" s="19">
        <v>26.701000000000001</v>
      </c>
    </row>
    <row r="62" spans="1:19" x14ac:dyDescent="0.25">
      <c r="A62" s="70" t="s">
        <v>6</v>
      </c>
      <c r="B62" s="13">
        <v>122375</v>
      </c>
      <c r="C62" s="12">
        <f>IF(D57="Age at interview",17,17.5)</f>
        <v>17</v>
      </c>
      <c r="D62" s="14">
        <f>B62*C62</f>
        <v>2080375</v>
      </c>
      <c r="O62" s="62">
        <f t="shared" si="58"/>
        <v>2009.5</v>
      </c>
      <c r="P62" s="19">
        <v>26.616</v>
      </c>
    </row>
    <row r="63" spans="1:19" x14ac:dyDescent="0.25">
      <c r="A63" s="70" t="s">
        <v>7</v>
      </c>
      <c r="B63" s="13">
        <v>266142</v>
      </c>
      <c r="C63" s="12">
        <f t="shared" ref="C63:C69" si="59">C62+5</f>
        <v>22</v>
      </c>
      <c r="D63" s="14">
        <f t="shared" ref="D63:D68" si="60">B63*C63</f>
        <v>5855124</v>
      </c>
      <c r="O63" s="62">
        <f t="shared" si="58"/>
        <v>2010.5</v>
      </c>
      <c r="P63" s="19">
        <v>26.596</v>
      </c>
    </row>
    <row r="64" spans="1:19" x14ac:dyDescent="0.25">
      <c r="A64" s="70" t="s">
        <v>8</v>
      </c>
      <c r="B64" s="13">
        <v>260482</v>
      </c>
      <c r="C64" s="12">
        <f t="shared" si="59"/>
        <v>27</v>
      </c>
      <c r="D64" s="14">
        <f t="shared" si="60"/>
        <v>7033014</v>
      </c>
      <c r="O64" s="62">
        <f t="shared" si="58"/>
        <v>2011.5</v>
      </c>
      <c r="P64" s="19">
        <v>26.486999999999998</v>
      </c>
    </row>
    <row r="65" spans="1:16" x14ac:dyDescent="0.25">
      <c r="A65" s="70" t="s">
        <v>9</v>
      </c>
      <c r="B65" s="13">
        <v>201517</v>
      </c>
      <c r="C65" s="12">
        <f t="shared" si="59"/>
        <v>32</v>
      </c>
      <c r="D65" s="14">
        <f t="shared" si="60"/>
        <v>6448544</v>
      </c>
      <c r="O65" s="62">
        <f t="shared" si="58"/>
        <v>2012.5</v>
      </c>
      <c r="P65" s="19">
        <v>26.597999999999999</v>
      </c>
    </row>
    <row r="66" spans="1:16" x14ac:dyDescent="0.25">
      <c r="A66" s="70" t="s">
        <v>10</v>
      </c>
      <c r="B66" s="13">
        <v>115301</v>
      </c>
      <c r="C66" s="12">
        <f t="shared" si="59"/>
        <v>37</v>
      </c>
      <c r="D66" s="14">
        <f t="shared" si="60"/>
        <v>4266137</v>
      </c>
      <c r="O66" s="62">
        <f t="shared" si="58"/>
        <v>2013.5</v>
      </c>
      <c r="P66" s="19">
        <v>26.515000000000001</v>
      </c>
    </row>
    <row r="67" spans="1:16" x14ac:dyDescent="0.25">
      <c r="A67" s="70" t="s">
        <v>11</v>
      </c>
      <c r="B67" s="13">
        <v>42166</v>
      </c>
      <c r="C67" s="12">
        <f t="shared" si="59"/>
        <v>42</v>
      </c>
      <c r="D67" s="14">
        <f t="shared" si="60"/>
        <v>1770972</v>
      </c>
      <c r="O67" s="62">
        <f t="shared" si="58"/>
        <v>2014.5</v>
      </c>
      <c r="P67" s="19">
        <v>26.472999999999999</v>
      </c>
    </row>
    <row r="68" spans="1:16" x14ac:dyDescent="0.25">
      <c r="A68" s="70" t="s">
        <v>12</v>
      </c>
      <c r="B68" s="13">
        <v>6580</v>
      </c>
      <c r="C68" s="12">
        <f t="shared" si="59"/>
        <v>47</v>
      </c>
      <c r="D68" s="14">
        <f t="shared" si="60"/>
        <v>309260</v>
      </c>
      <c r="O68" s="62">
        <f t="shared" si="58"/>
        <v>2015.5</v>
      </c>
      <c r="P68" s="19">
        <v>26.710999999999999</v>
      </c>
    </row>
    <row r="69" spans="1:16" x14ac:dyDescent="0.25">
      <c r="A69" s="70" t="s">
        <v>48</v>
      </c>
      <c r="B69" s="13">
        <v>270</v>
      </c>
      <c r="C69" s="12">
        <f t="shared" si="59"/>
        <v>52</v>
      </c>
      <c r="D69" s="14">
        <f>B69*C69</f>
        <v>14040</v>
      </c>
      <c r="O69" s="62">
        <f t="shared" si="58"/>
        <v>2016.5</v>
      </c>
      <c r="P69" s="19">
        <v>27.021000000000001</v>
      </c>
    </row>
    <row r="70" spans="1:16" ht="14.4" thickBot="1" x14ac:dyDescent="0.3">
      <c r="A70" s="71" t="s">
        <v>36</v>
      </c>
      <c r="B70" s="15">
        <f>SUM(B61:B69)</f>
        <v>1016089</v>
      </c>
      <c r="C70" s="11"/>
      <c r="D70" s="16">
        <f>SUM(D61:D69)</f>
        <v>27792538</v>
      </c>
      <c r="O70" s="62">
        <f t="shared" si="58"/>
        <v>2017.5</v>
      </c>
      <c r="P70" s="19">
        <v>27.376999999999999</v>
      </c>
    </row>
    <row r="71" spans="1:16" ht="15" thickBot="1" x14ac:dyDescent="0.3">
      <c r="A71" s="17"/>
      <c r="B71" s="18"/>
      <c r="C71" s="133" t="s">
        <v>152</v>
      </c>
      <c r="D71" s="134">
        <f>D70/B70</f>
        <v>27.352464203430998</v>
      </c>
      <c r="O71" s="62">
        <f t="shared" si="58"/>
        <v>2018.5</v>
      </c>
      <c r="P71" s="19">
        <v>27.661000000000001</v>
      </c>
    </row>
    <row r="72" spans="1:16" x14ac:dyDescent="0.25">
      <c r="O72" s="62">
        <f t="shared" si="58"/>
        <v>2019.5</v>
      </c>
      <c r="P72" s="19">
        <v>27.673999999999999</v>
      </c>
    </row>
    <row r="73" spans="1:16" x14ac:dyDescent="0.25">
      <c r="O73" s="62">
        <f t="shared" si="58"/>
        <v>2020.5</v>
      </c>
      <c r="P73" s="19">
        <v>27.768000000000001</v>
      </c>
    </row>
    <row r="74" spans="1:16" x14ac:dyDescent="0.25">
      <c r="O74" s="62">
        <f t="shared" si="58"/>
        <v>2021.5</v>
      </c>
      <c r="P74" s="19">
        <v>27.846</v>
      </c>
    </row>
    <row r="75" spans="1:16" x14ac:dyDescent="0.25">
      <c r="O75" s="62">
        <f t="shared" si="58"/>
        <v>2022.5</v>
      </c>
      <c r="P75" s="19">
        <v>27.835999999999999</v>
      </c>
    </row>
    <row r="76" spans="1:16" x14ac:dyDescent="0.25">
      <c r="O76" s="62">
        <f t="shared" si="58"/>
        <v>2023.5</v>
      </c>
      <c r="P76" s="19">
        <v>27.791</v>
      </c>
    </row>
    <row r="77" spans="1:16" x14ac:dyDescent="0.25">
      <c r="O77" s="62">
        <f t="shared" si="58"/>
        <v>2024.5</v>
      </c>
      <c r="P77" s="19">
        <v>27.719000000000001</v>
      </c>
    </row>
  </sheetData>
  <dataValidations count="2">
    <dataValidation type="decimal" operator="greaterThanOrEqual" allowBlank="1" showInputMessage="1" showErrorMessage="1" sqref="B28:B34 B62:B68">
      <formula1>0</formula1>
    </dataValidation>
    <dataValidation type="list" allowBlank="1" showInputMessage="1" showErrorMessage="1" sqref="D23 D57">
      <formula1>"age at interview,age at birth"</formula1>
    </dataValidation>
  </dataValidation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99FF"/>
  </sheetPr>
  <dimension ref="A1:AS39"/>
  <sheetViews>
    <sheetView workbookViewId="0"/>
  </sheetViews>
  <sheetFormatPr defaultRowHeight="13.8" x14ac:dyDescent="0.25"/>
  <cols>
    <col min="1" max="1" width="14.5546875" style="9" customWidth="1"/>
    <col min="2" max="3" width="8.88671875" style="9"/>
    <col min="4" max="4" width="10.5546875" style="9" customWidth="1"/>
    <col min="5" max="5" width="10.77734375" style="9" customWidth="1"/>
    <col min="6" max="6" width="12" style="9" customWidth="1"/>
    <col min="7" max="9" width="8.88671875" style="9"/>
    <col min="10" max="10" width="8.88671875" style="9" customWidth="1"/>
    <col min="11" max="12" width="8.88671875" style="9"/>
    <col min="13" max="15" width="8.88671875" style="9" customWidth="1"/>
    <col min="16" max="16" width="8.88671875" style="9"/>
    <col min="17" max="17" width="8.88671875" style="9" customWidth="1"/>
    <col min="18" max="23" width="8.88671875" style="9"/>
    <col min="24" max="24" width="8.88671875" style="9" customWidth="1"/>
    <col min="25" max="30" width="8.88671875" style="9"/>
    <col min="31" max="31" width="11.21875" style="9" customWidth="1"/>
    <col min="32" max="32" width="8.88671875" style="9" customWidth="1"/>
    <col min="33" max="16384" width="8.88671875" style="9"/>
  </cols>
  <sheetData>
    <row r="1" spans="1:45" ht="14.4" thickBot="1" x14ac:dyDescent="0.3">
      <c r="A1" s="8" t="s">
        <v>0</v>
      </c>
      <c r="B1" s="9" t="str">
        <f>'1- Input data'!C1</f>
        <v>South Africa</v>
      </c>
      <c r="C1" s="9">
        <f>YEAR(D1)</f>
        <v>2007</v>
      </c>
      <c r="D1" s="23">
        <f>'1- Input data'!C2</f>
        <v>39127</v>
      </c>
      <c r="E1" s="58">
        <f>YEAR(D1)+YEARFRAC(DATE(YEAR(D1),1,1),D1,1)</f>
        <v>2007.1205479452055</v>
      </c>
      <c r="F1" s="23"/>
      <c r="G1" s="9" t="s">
        <v>91</v>
      </c>
      <c r="H1" s="25">
        <f>(E1+E15)/2</f>
        <v>2011.6968859944607</v>
      </c>
      <c r="K1" s="9" t="s">
        <v>50</v>
      </c>
      <c r="R1" s="9" t="s">
        <v>51</v>
      </c>
      <c r="Y1" s="9" t="s">
        <v>89</v>
      </c>
      <c r="AG1" s="9" t="s">
        <v>130</v>
      </c>
      <c r="AN1" s="9" t="s">
        <v>132</v>
      </c>
    </row>
    <row r="2" spans="1:45" ht="18" x14ac:dyDescent="0.35">
      <c r="A2" s="105" t="s">
        <v>14</v>
      </c>
      <c r="B2" s="106" t="s">
        <v>15</v>
      </c>
      <c r="C2" s="105" t="s">
        <v>126</v>
      </c>
      <c r="D2" s="107" t="s">
        <v>125</v>
      </c>
      <c r="E2" s="105" t="s">
        <v>120</v>
      </c>
      <c r="F2" s="107" t="s">
        <v>121</v>
      </c>
      <c r="G2" s="107" t="s">
        <v>122</v>
      </c>
      <c r="H2" s="105" t="s">
        <v>123</v>
      </c>
      <c r="I2" s="73" t="s">
        <v>124</v>
      </c>
      <c r="K2" s="111" t="s">
        <v>14</v>
      </c>
      <c r="L2" s="105" t="s">
        <v>118</v>
      </c>
      <c r="M2" s="105" t="s">
        <v>148</v>
      </c>
      <c r="N2" s="105" t="s">
        <v>149</v>
      </c>
      <c r="O2" s="105" t="s">
        <v>150</v>
      </c>
      <c r="P2" s="105" t="s">
        <v>151</v>
      </c>
      <c r="Q2" s="24"/>
      <c r="R2" s="111" t="s">
        <v>14</v>
      </c>
      <c r="S2" s="105" t="s">
        <v>118</v>
      </c>
      <c r="T2" s="105" t="s">
        <v>148</v>
      </c>
      <c r="U2" s="105" t="s">
        <v>149</v>
      </c>
      <c r="V2" s="105" t="s">
        <v>150</v>
      </c>
      <c r="W2" s="105" t="s">
        <v>151</v>
      </c>
      <c r="X2" s="24"/>
      <c r="Y2" s="111" t="s">
        <v>14</v>
      </c>
      <c r="Z2" s="105" t="s">
        <v>118</v>
      </c>
      <c r="AA2" s="105" t="s">
        <v>148</v>
      </c>
      <c r="AB2" s="105" t="s">
        <v>149</v>
      </c>
      <c r="AC2" s="105" t="s">
        <v>150</v>
      </c>
      <c r="AD2" s="105" t="s">
        <v>151</v>
      </c>
      <c r="AE2" s="108" t="s">
        <v>119</v>
      </c>
      <c r="AG2" s="106" t="s">
        <v>49</v>
      </c>
      <c r="AH2" s="105" t="s">
        <v>148</v>
      </c>
      <c r="AI2" s="105" t="s">
        <v>149</v>
      </c>
      <c r="AJ2" s="105" t="s">
        <v>150</v>
      </c>
      <c r="AK2" s="105" t="s">
        <v>151</v>
      </c>
      <c r="AL2" s="108" t="s">
        <v>91</v>
      </c>
      <c r="AN2" s="106" t="s">
        <v>49</v>
      </c>
      <c r="AO2" s="105" t="s">
        <v>148</v>
      </c>
      <c r="AP2" s="105" t="s">
        <v>149</v>
      </c>
      <c r="AQ2" s="105" t="s">
        <v>150</v>
      </c>
      <c r="AR2" s="105" t="s">
        <v>151</v>
      </c>
      <c r="AS2" s="108" t="s">
        <v>91</v>
      </c>
    </row>
    <row r="3" spans="1:45" x14ac:dyDescent="0.25">
      <c r="A3" s="62" t="s">
        <v>3</v>
      </c>
      <c r="B3" s="62">
        <v>0</v>
      </c>
      <c r="C3" s="77">
        <f>'1- Input data'!B10/('1- Input data'!B10+'1- Input data'!C10)</f>
        <v>0.97675223183433035</v>
      </c>
      <c r="D3" s="81">
        <f>AL$8</f>
        <v>0.1884094520547949</v>
      </c>
      <c r="E3" s="81">
        <f>IFERROR(N3+(P3-N3)*((L3-M3)/(O3-M3)),0)</f>
        <v>0.17314739726027437</v>
      </c>
      <c r="F3" s="81">
        <f>IFERROR(U3+(W3-U3)*((S3-T3)/(V3-T3)),0)</f>
        <v>0.1654953424657595</v>
      </c>
      <c r="G3" s="81">
        <f>AL$3</f>
        <v>0.13983164383562088</v>
      </c>
      <c r="H3" s="77">
        <f>IF(B31+C31*(E3*(1-F3))+D31*G3&lt;1, B31+C31*(E3*(1-F3))+D31*G3, 1)</f>
        <v>0.98807099410443355</v>
      </c>
      <c r="I3" s="131">
        <f t="shared" ref="I3:I13" si="0">H3*C3</f>
        <v>0.96510054870227091</v>
      </c>
      <c r="K3" s="112" t="s">
        <v>3</v>
      </c>
      <c r="L3" s="113">
        <f>YEAR(D$1)+YEARFRAC(DATE(YEAR(D$1),1,1),D$1,1)-(B3+2.5)</f>
        <v>2004.6205479452055</v>
      </c>
      <c r="M3" s="112">
        <f>VLOOKUP(L3,'1- Input data'!H$3:I$56,1, TRUE)</f>
        <v>2004.5</v>
      </c>
      <c r="N3" s="114">
        <f>VLOOKUP(M3,'1- Input data'!H$3:I$56,2, TRUE)/100</f>
        <v>0.1724</v>
      </c>
      <c r="O3" s="112">
        <f>M3+1</f>
        <v>2005.5</v>
      </c>
      <c r="P3" s="114">
        <f>VLOOKUP(O3,'1- Input data'!H$3:I$56,2, TRUE)/100</f>
        <v>0.17859999999999998</v>
      </c>
      <c r="Q3" s="24"/>
      <c r="R3" s="112" t="s">
        <v>3</v>
      </c>
      <c r="S3" s="113">
        <f>L3</f>
        <v>2004.6205479452055</v>
      </c>
      <c r="T3" s="112">
        <f>M3</f>
        <v>2004.5</v>
      </c>
      <c r="U3" s="114">
        <f>VLOOKUP(T3,'1- Input data'!L$3:M$56,2, TRUE)/100</f>
        <v>0.1542</v>
      </c>
      <c r="V3" s="112">
        <f>T3+1</f>
        <v>2005.5</v>
      </c>
      <c r="W3" s="114">
        <f>VLOOKUP(V3,'1- Input data'!L$3:M$56,2, TRUE)/100</f>
        <v>0.24789999999999998</v>
      </c>
      <c r="X3" s="26"/>
      <c r="Y3" s="112" t="s">
        <v>3</v>
      </c>
      <c r="Z3" s="113">
        <f>S3</f>
        <v>2004.6205479452055</v>
      </c>
      <c r="AA3" s="112">
        <f>VLOOKUP(Z3,'1- Input data'!O$3:P$77,1, TRUE)</f>
        <v>2004.5</v>
      </c>
      <c r="AB3" s="114">
        <f>VLOOKUP(AA3,'1- Input data'!O$3:P$56,2, TRUE)</f>
        <v>26.991</v>
      </c>
      <c r="AC3" s="112">
        <f>AA3+1</f>
        <v>2005.5</v>
      </c>
      <c r="AD3" s="114">
        <f>VLOOKUP(AC3,'1- Input data'!O$3:P$56,2, TRUE)</f>
        <v>26.991</v>
      </c>
      <c r="AE3" s="79">
        <f>IFERROR(AB3+(AD3-AB3)*((Z3-AA3)/(AC3-AA3)),0)</f>
        <v>26.991</v>
      </c>
      <c r="AF3" s="24"/>
      <c r="AG3" s="113">
        <f>YEAR(D$1)+YEARFRAC(DATE(YEAR(D$1),1,1),D$1,1)</f>
        <v>2007.1205479452055</v>
      </c>
      <c r="AH3" s="112">
        <f>VLOOKUP(AG3,'1- Input data'!J$3:K$56,1, TRUE)</f>
        <v>2006.5</v>
      </c>
      <c r="AI3" s="114">
        <f>VLOOKUP(AH3,'1- Input data'!J$3:K$56,2, TRUE)/100</f>
        <v>9.7200000000000009E-2</v>
      </c>
      <c r="AJ3" s="112">
        <f>AH3+1</f>
        <v>2007.5</v>
      </c>
      <c r="AK3" s="114">
        <f>VLOOKUP(AJ3,'1- Input data'!J$3:K$56,2, TRUE)/100</f>
        <v>0.16589999999999999</v>
      </c>
      <c r="AL3" s="77">
        <f>IFERROR(AI3+(AG3-AH3)*((AK3-AI3)/(AJ3-AH3)),0)</f>
        <v>0.13983164383562088</v>
      </c>
      <c r="AN3" s="113">
        <f>AN8</f>
        <v>2011.6968859944607</v>
      </c>
      <c r="AO3" s="112">
        <f>VLOOKUP(AN3,'1- Input data'!J$3:K$56,1, TRUE)</f>
        <v>2011.5</v>
      </c>
      <c r="AP3" s="114">
        <f>VLOOKUP(AO3,'1- Input data'!J$3:K$56,2, TRUE)/100</f>
        <v>0.43159999999999998</v>
      </c>
      <c r="AQ3" s="112">
        <f>AO3+1</f>
        <v>2012.5</v>
      </c>
      <c r="AR3" s="114">
        <f>VLOOKUP(AQ3,'1- Input data'!J$3:K$56,2, TRUE)/100</f>
        <v>0.5242</v>
      </c>
      <c r="AS3" s="77">
        <f>IFERROR(AP3+(AN3-AO3)*((AR3-AP3)/(AQ3-AO3)),0)</f>
        <v>0.4498316430870582</v>
      </c>
    </row>
    <row r="4" spans="1:45" x14ac:dyDescent="0.25">
      <c r="A4" s="63" t="s">
        <v>4</v>
      </c>
      <c r="B4" s="62">
        <f>5+B3</f>
        <v>5</v>
      </c>
      <c r="C4" s="77">
        <f>'1- Input data'!B11/('1- Input data'!B11+'1- Input data'!C11)</f>
        <v>0.93852221842640637</v>
      </c>
      <c r="D4" s="81">
        <f t="shared" ref="D4:D13" si="1">AL$8</f>
        <v>0.1884094520547949</v>
      </c>
      <c r="E4" s="81">
        <f t="shared" ref="E4:E13" si="2">IFERROR(N4+(P4-N4)*((L4-M4)/(O4-M4)),0)</f>
        <v>0.12333945205479541</v>
      </c>
      <c r="F4" s="81">
        <f t="shared" ref="F4:F13" si="3">IFERROR(U4+(W4-U4)*((S4-T4)/(V4-T4)),0)</f>
        <v>3.7369863013718711E-4</v>
      </c>
      <c r="G4" s="81">
        <f t="shared" ref="G4:G13" si="4">AL$3</f>
        <v>0.13983164383562088</v>
      </c>
      <c r="H4" s="77">
        <f>IF(B32+C32*(E4*(1-F4))+D32*G4&lt;1, B32+C32*(E4*(1-F4))+D32*G4, 1)</f>
        <v>0.97213930574216245</v>
      </c>
      <c r="I4" s="131">
        <f t="shared" si="0"/>
        <v>0.91237433784464084</v>
      </c>
      <c r="K4" s="115" t="s">
        <v>4</v>
      </c>
      <c r="L4" s="113">
        <f t="shared" ref="L4:L13" si="5">YEAR(D$1)+YEARFRAC(DATE(YEAR(D$1),1,1),D$1,1)-(B4+2.5)</f>
        <v>1999.6205479452055</v>
      </c>
      <c r="M4" s="112">
        <f>VLOOKUP(L4,'1- Input data'!H$3:I$56,1, TRUE)</f>
        <v>1999.5</v>
      </c>
      <c r="N4" s="114">
        <f>VLOOKUP(M4,'1- Input data'!H$3:I$56,2, TRUE)/100</f>
        <v>0.1217</v>
      </c>
      <c r="O4" s="112">
        <f t="shared" ref="O4:O13" si="6">M4+1</f>
        <v>2000.5</v>
      </c>
      <c r="P4" s="114">
        <f>VLOOKUP(O4,'1- Input data'!H$3:I$56,2, TRUE)/100</f>
        <v>0.1353</v>
      </c>
      <c r="Q4" s="24"/>
      <c r="R4" s="115" t="s">
        <v>4</v>
      </c>
      <c r="S4" s="113">
        <f t="shared" ref="S4:S13" si="7">L4</f>
        <v>1999.6205479452055</v>
      </c>
      <c r="T4" s="112">
        <f t="shared" ref="T4:T13" si="8">M4</f>
        <v>1999.5</v>
      </c>
      <c r="U4" s="114">
        <f>VLOOKUP(T4,'1- Input data'!L$3:M$56,2, TRUE)/100</f>
        <v>0</v>
      </c>
      <c r="V4" s="112">
        <f t="shared" ref="V4:V13" si="9">T4+1</f>
        <v>2000.5</v>
      </c>
      <c r="W4" s="114">
        <f>VLOOKUP(V4,'1- Input data'!L$3:M$56,2, TRUE)/100</f>
        <v>3.0999999999999999E-3</v>
      </c>
      <c r="X4" s="26"/>
      <c r="Y4" s="115" t="s">
        <v>4</v>
      </c>
      <c r="Z4" s="113">
        <f t="shared" ref="Z4:Z13" si="10">S4</f>
        <v>1999.6205479452055</v>
      </c>
      <c r="AA4" s="112">
        <f>VLOOKUP(Z4,'1- Input data'!O$3:P$77,1, TRUE)</f>
        <v>1999.5</v>
      </c>
      <c r="AB4" s="114">
        <f>VLOOKUP(AA4,'1- Input data'!O$3:P$56,2, TRUE)</f>
        <v>27.215</v>
      </c>
      <c r="AC4" s="112">
        <f t="shared" ref="AC4:AC13" si="11">AA4+1</f>
        <v>2000.5</v>
      </c>
      <c r="AD4" s="114">
        <f>VLOOKUP(AC4,'1- Input data'!O$3:P$56,2, TRUE)</f>
        <v>27.065000000000001</v>
      </c>
      <c r="AE4" s="79">
        <f t="shared" ref="AE4:AE12" si="12">IFERROR(AB4+(AD4-AB4)*((Z4-AA4)/(AC4-AA4)),0)</f>
        <v>27.196917808219169</v>
      </c>
      <c r="AF4" s="24"/>
    </row>
    <row r="5" spans="1:45" x14ac:dyDescent="0.25">
      <c r="A5" s="64" t="s">
        <v>5</v>
      </c>
      <c r="B5" s="62">
        <f t="shared" ref="B5:B13" si="13">5+B4</f>
        <v>10</v>
      </c>
      <c r="C5" s="77">
        <f>'1- Input data'!B12/('1- Input data'!B12+'1- Input data'!C12)</f>
        <v>0.90401652261566545</v>
      </c>
      <c r="D5" s="81">
        <f t="shared" si="1"/>
        <v>0.1884094520547949</v>
      </c>
      <c r="E5" s="81">
        <f t="shared" si="2"/>
        <v>4.4920273972603716E-2</v>
      </c>
      <c r="F5" s="81">
        <f t="shared" si="3"/>
        <v>0</v>
      </c>
      <c r="G5" s="81">
        <f t="shared" si="4"/>
        <v>0.13983164383562088</v>
      </c>
      <c r="H5" s="77">
        <f t="shared" ref="H5:H9" si="14">IF(B33+C33*(E5*(1-F5))+D33*G5&lt;1, B33+C33*(E5*(1-F5))+D33*G5, 1)</f>
        <v>0.98614889249315041</v>
      </c>
      <c r="I5" s="131">
        <f t="shared" si="0"/>
        <v>0.89149489257294756</v>
      </c>
      <c r="K5" s="116" t="s">
        <v>5</v>
      </c>
      <c r="L5" s="113">
        <f t="shared" si="5"/>
        <v>1994.6205479452055</v>
      </c>
      <c r="M5" s="112">
        <f>VLOOKUP(L5,'1- Input data'!H$3:I$56,1, TRUE)</f>
        <v>1994.5</v>
      </c>
      <c r="N5" s="114">
        <f>VLOOKUP(M5,'1- Input data'!H$3:I$56,2, TRUE)/100</f>
        <v>4.3099999999999999E-2</v>
      </c>
      <c r="O5" s="112">
        <f t="shared" si="6"/>
        <v>1995.5</v>
      </c>
      <c r="P5" s="114">
        <f>VLOOKUP(O5,'1- Input data'!H$3:I$56,2, TRUE)/100</f>
        <v>5.8200000000000002E-2</v>
      </c>
      <c r="Q5" s="24"/>
      <c r="R5" s="116" t="s">
        <v>5</v>
      </c>
      <c r="S5" s="113">
        <f t="shared" si="7"/>
        <v>1994.6205479452055</v>
      </c>
      <c r="T5" s="112">
        <f t="shared" si="8"/>
        <v>1994.5</v>
      </c>
      <c r="U5" s="114">
        <f>VLOOKUP(T5,'1- Input data'!L$3:M$56,2, TRUE)/100</f>
        <v>0</v>
      </c>
      <c r="V5" s="112">
        <f t="shared" si="9"/>
        <v>1995.5</v>
      </c>
      <c r="W5" s="114">
        <f>VLOOKUP(V5,'1- Input data'!L$3:M$56,2, TRUE)/100</f>
        <v>0</v>
      </c>
      <c r="X5" s="26"/>
      <c r="Y5" s="116" t="s">
        <v>5</v>
      </c>
      <c r="Z5" s="113">
        <f t="shared" si="10"/>
        <v>1994.6205479452055</v>
      </c>
      <c r="AA5" s="112">
        <f>VLOOKUP(Z5,'1- Input data'!O$3:P$77,1, TRUE)</f>
        <v>1994.5</v>
      </c>
      <c r="AB5" s="114">
        <f>VLOOKUP(AA5,'1- Input data'!O$3:P$56,2, TRUE)</f>
        <v>27.666</v>
      </c>
      <c r="AC5" s="112">
        <f t="shared" si="11"/>
        <v>1995.5</v>
      </c>
      <c r="AD5" s="114">
        <f>VLOOKUP(AC5,'1- Input data'!O$3:P$56,2, TRUE)</f>
        <v>27.632999999999999</v>
      </c>
      <c r="AE5" s="79">
        <f t="shared" si="12"/>
        <v>27.662021917808218</v>
      </c>
      <c r="AF5" s="24"/>
    </row>
    <row r="6" spans="1:45" x14ac:dyDescent="0.25">
      <c r="A6" s="62" t="s">
        <v>6</v>
      </c>
      <c r="B6" s="62">
        <f t="shared" si="13"/>
        <v>15</v>
      </c>
      <c r="C6" s="77">
        <f>'1- Input data'!B13/('1- Input data'!B13+'1- Input data'!C13)</f>
        <v>0.87917852950725506</v>
      </c>
      <c r="D6" s="81">
        <f t="shared" si="1"/>
        <v>0.1884094520547949</v>
      </c>
      <c r="E6" s="81">
        <f t="shared" si="2"/>
        <v>3.9375342465755234E-3</v>
      </c>
      <c r="F6" s="81">
        <f t="shared" si="3"/>
        <v>0</v>
      </c>
      <c r="G6" s="81">
        <f t="shared" si="4"/>
        <v>0.13983164383562088</v>
      </c>
      <c r="H6" s="77">
        <f t="shared" si="14"/>
        <v>1</v>
      </c>
      <c r="I6" s="131">
        <f t="shared" si="0"/>
        <v>0.87917852950725506</v>
      </c>
      <c r="K6" s="112" t="s">
        <v>6</v>
      </c>
      <c r="L6" s="113">
        <f t="shared" si="5"/>
        <v>1989.6205479452055</v>
      </c>
      <c r="M6" s="112">
        <f>VLOOKUP(L6,'1- Input data'!H$3:I$56,1, TRUE)</f>
        <v>1989.5</v>
      </c>
      <c r="N6" s="114">
        <f>VLOOKUP(M6,'1- Input data'!H$3:I$56,2, TRUE)/100</f>
        <v>3.5999999999999999E-3</v>
      </c>
      <c r="O6" s="112">
        <f t="shared" si="6"/>
        <v>1990.5</v>
      </c>
      <c r="P6" s="114">
        <f>VLOOKUP(O6,'1- Input data'!H$3:I$56,2, TRUE)/100</f>
        <v>6.4000000000000003E-3</v>
      </c>
      <c r="Q6" s="24"/>
      <c r="R6" s="112" t="s">
        <v>6</v>
      </c>
      <c r="S6" s="113">
        <f t="shared" si="7"/>
        <v>1989.6205479452055</v>
      </c>
      <c r="T6" s="112">
        <f t="shared" si="8"/>
        <v>1989.5</v>
      </c>
      <c r="U6" s="114">
        <f>VLOOKUP(T6,'1- Input data'!L$3:M$56,2, TRUE)/100</f>
        <v>0</v>
      </c>
      <c r="V6" s="112">
        <f t="shared" si="9"/>
        <v>1990.5</v>
      </c>
      <c r="W6" s="114">
        <f>VLOOKUP(V6,'1- Input data'!L$3:M$56,2, TRUE)/100</f>
        <v>0</v>
      </c>
      <c r="X6" s="26"/>
      <c r="Y6" s="112" t="s">
        <v>6</v>
      </c>
      <c r="Z6" s="113">
        <f t="shared" si="10"/>
        <v>1989.6205479452055</v>
      </c>
      <c r="AA6" s="112">
        <f>VLOOKUP(Z6,'1- Input data'!O$3:P$77,1, TRUE)</f>
        <v>1989.5</v>
      </c>
      <c r="AB6" s="114">
        <f>VLOOKUP(AA6,'1- Input data'!O$3:P$56,2, TRUE)</f>
        <v>27.353999999999999</v>
      </c>
      <c r="AC6" s="112">
        <f t="shared" si="11"/>
        <v>1990.5</v>
      </c>
      <c r="AD6" s="114">
        <f>VLOOKUP(AC6,'1- Input data'!O$3:P$56,2, TRUE)</f>
        <v>27.375</v>
      </c>
      <c r="AE6" s="79">
        <f t="shared" si="12"/>
        <v>27.356531506849315</v>
      </c>
      <c r="AF6" s="24"/>
      <c r="AG6" s="9" t="s">
        <v>129</v>
      </c>
      <c r="AN6" s="9" t="s">
        <v>131</v>
      </c>
    </row>
    <row r="7" spans="1:45" ht="16.2" x14ac:dyDescent="0.35">
      <c r="A7" s="62" t="s">
        <v>7</v>
      </c>
      <c r="B7" s="62">
        <f t="shared" si="13"/>
        <v>20</v>
      </c>
      <c r="C7" s="77">
        <f>'1- Input data'!B14/('1- Input data'!B14+'1- Input data'!C14)</f>
        <v>0.86257857684217354</v>
      </c>
      <c r="D7" s="81">
        <f t="shared" si="1"/>
        <v>0.1884094520547949</v>
      </c>
      <c r="E7" s="81">
        <f t="shared" si="2"/>
        <v>1.3120547945205544E-3</v>
      </c>
      <c r="F7" s="81">
        <f t="shared" si="3"/>
        <v>0</v>
      </c>
      <c r="G7" s="81">
        <f t="shared" si="4"/>
        <v>0.13983164383562088</v>
      </c>
      <c r="H7" s="77">
        <f t="shared" si="14"/>
        <v>1</v>
      </c>
      <c r="I7" s="131">
        <f t="shared" si="0"/>
        <v>0.86257857684217354</v>
      </c>
      <c r="K7" s="112" t="s">
        <v>7</v>
      </c>
      <c r="L7" s="113">
        <f t="shared" si="5"/>
        <v>1984.6205479452055</v>
      </c>
      <c r="M7" s="112">
        <f>VLOOKUP(L7,'1- Input data'!H$3:I$56,1, TRUE)</f>
        <v>1984.5</v>
      </c>
      <c r="N7" s="114">
        <f>VLOOKUP(M7,'1- Input data'!H$3:I$56,2, TRUE)/100</f>
        <v>1.2999999999999999E-3</v>
      </c>
      <c r="O7" s="112">
        <f t="shared" si="6"/>
        <v>1985.5</v>
      </c>
      <c r="P7" s="114">
        <f>VLOOKUP(O7,'1- Input data'!H$3:I$56,2, TRUE)/100</f>
        <v>1.4000000000000002E-3</v>
      </c>
      <c r="Q7" s="24"/>
      <c r="R7" s="112" t="s">
        <v>7</v>
      </c>
      <c r="S7" s="113">
        <f t="shared" si="7"/>
        <v>1984.6205479452055</v>
      </c>
      <c r="T7" s="112">
        <f t="shared" si="8"/>
        <v>1984.5</v>
      </c>
      <c r="U7" s="114">
        <f>VLOOKUP(T7,'1- Input data'!L$3:M$56,2, TRUE)/100</f>
        <v>0</v>
      </c>
      <c r="V7" s="112">
        <f t="shared" si="9"/>
        <v>1985.5</v>
      </c>
      <c r="W7" s="114">
        <f>VLOOKUP(V7,'1- Input data'!L$3:M$56,2, TRUE)/100</f>
        <v>0</v>
      </c>
      <c r="X7" s="26"/>
      <c r="Y7" s="112" t="s">
        <v>7</v>
      </c>
      <c r="Z7" s="113">
        <f t="shared" si="10"/>
        <v>1984.6205479452055</v>
      </c>
      <c r="AA7" s="112">
        <f>VLOOKUP(Z7,'1- Input data'!O$3:P$77,1, TRUE)</f>
        <v>1984.5</v>
      </c>
      <c r="AB7" s="114">
        <f>VLOOKUP(AA7,'1- Input data'!O$3:P$56,2, TRUE)</f>
        <v>27.183</v>
      </c>
      <c r="AC7" s="112">
        <f t="shared" si="11"/>
        <v>1985.5</v>
      </c>
      <c r="AD7" s="114">
        <f>VLOOKUP(AC7,'1- Input data'!O$3:P$56,2, TRUE)</f>
        <v>27.207000000000001</v>
      </c>
      <c r="AE7" s="79">
        <f t="shared" si="12"/>
        <v>27.185893150684933</v>
      </c>
      <c r="AF7" s="24"/>
      <c r="AG7" s="106" t="s">
        <v>49</v>
      </c>
      <c r="AH7" s="105" t="s">
        <v>148</v>
      </c>
      <c r="AI7" s="105" t="s">
        <v>149</v>
      </c>
      <c r="AJ7" s="105" t="s">
        <v>150</v>
      </c>
      <c r="AK7" s="105" t="s">
        <v>151</v>
      </c>
      <c r="AL7" s="108" t="s">
        <v>91</v>
      </c>
      <c r="AN7" s="106" t="s">
        <v>49</v>
      </c>
      <c r="AO7" s="105" t="s">
        <v>148</v>
      </c>
      <c r="AP7" s="105" t="s">
        <v>149</v>
      </c>
      <c r="AQ7" s="105" t="s">
        <v>150</v>
      </c>
      <c r="AR7" s="105" t="s">
        <v>151</v>
      </c>
      <c r="AS7" s="108" t="s">
        <v>91</v>
      </c>
    </row>
    <row r="8" spans="1:45" x14ac:dyDescent="0.25">
      <c r="A8" s="62" t="s">
        <v>8</v>
      </c>
      <c r="B8" s="62">
        <f t="shared" si="13"/>
        <v>25</v>
      </c>
      <c r="C8" s="77">
        <f>'1- Input data'!B15/('1- Input data'!B15+'1- Input data'!C15)</f>
        <v>0.83321403724545917</v>
      </c>
      <c r="D8" s="81">
        <f t="shared" si="1"/>
        <v>0.1884094520547949</v>
      </c>
      <c r="E8" s="81">
        <f t="shared" si="2"/>
        <v>5.2410958904110889E-4</v>
      </c>
      <c r="F8" s="81">
        <f t="shared" si="3"/>
        <v>0</v>
      </c>
      <c r="G8" s="81">
        <f t="shared" si="4"/>
        <v>0.13983164383562088</v>
      </c>
      <c r="H8" s="77">
        <f t="shared" si="14"/>
        <v>1</v>
      </c>
      <c r="I8" s="131">
        <f t="shared" si="0"/>
        <v>0.83321403724545917</v>
      </c>
      <c r="K8" s="112" t="s">
        <v>8</v>
      </c>
      <c r="L8" s="113">
        <f t="shared" si="5"/>
        <v>1979.6205479452055</v>
      </c>
      <c r="M8" s="112">
        <f>VLOOKUP(L8,'1- Input data'!H$3:I$56,1, TRUE)</f>
        <v>1979.5</v>
      </c>
      <c r="N8" s="114">
        <f>VLOOKUP(M8,'1- Input data'!H$3:I$56,2, TRUE)/100</f>
        <v>5.0000000000000001E-4</v>
      </c>
      <c r="O8" s="112">
        <f t="shared" si="6"/>
        <v>1980.5</v>
      </c>
      <c r="P8" s="114">
        <f>VLOOKUP(O8,'1- Input data'!H$3:I$56,2, TRUE)/100</f>
        <v>7.000000000000001E-4</v>
      </c>
      <c r="Q8" s="24"/>
      <c r="R8" s="112" t="s">
        <v>8</v>
      </c>
      <c r="S8" s="113">
        <f t="shared" si="7"/>
        <v>1979.6205479452055</v>
      </c>
      <c r="T8" s="112">
        <f t="shared" si="8"/>
        <v>1979.5</v>
      </c>
      <c r="U8" s="114">
        <f>VLOOKUP(T8,'1- Input data'!L$3:M$56,2, TRUE)/100</f>
        <v>0</v>
      </c>
      <c r="V8" s="112">
        <f t="shared" si="9"/>
        <v>1980.5</v>
      </c>
      <c r="W8" s="114">
        <f>VLOOKUP(V8,'1- Input data'!L$3:M$56,2, TRUE)/100</f>
        <v>0</v>
      </c>
      <c r="X8" s="26"/>
      <c r="Y8" s="112" t="s">
        <v>8</v>
      </c>
      <c r="Z8" s="113">
        <f t="shared" si="10"/>
        <v>1979.6205479452055</v>
      </c>
      <c r="AA8" s="112">
        <f>VLOOKUP(Z8,'1- Input data'!O$3:P$77,1, TRUE)</f>
        <v>1979.5</v>
      </c>
      <c r="AB8" s="114">
        <f>VLOOKUP(AA8,'1- Input data'!O$3:P$56,2, TRUE)</f>
        <v>27.59</v>
      </c>
      <c r="AC8" s="112">
        <f t="shared" si="11"/>
        <v>1980.5</v>
      </c>
      <c r="AD8" s="114">
        <f>VLOOKUP(AC8,'1- Input data'!O$3:P$56,2, TRUE)</f>
        <v>27.556000000000001</v>
      </c>
      <c r="AE8" s="79">
        <f t="shared" si="12"/>
        <v>27.585901369863013</v>
      </c>
      <c r="AF8" s="24"/>
      <c r="AG8" s="113">
        <f>YEAR(D$1)+YEARFRAC(DATE(YEAR(D$1),1,1),D$1,1)</f>
        <v>2007.1205479452055</v>
      </c>
      <c r="AH8" s="112">
        <f>VLOOKUP(AG8,'1- Input data'!H$3:I$56,1, TRUE)</f>
        <v>2006.5</v>
      </c>
      <c r="AI8" s="114">
        <f>VLOOKUP(AH8,'1- Input data'!H$3:I$56,2, TRUE)/100</f>
        <v>0.1845</v>
      </c>
      <c r="AJ8" s="112">
        <f>AH8+1</f>
        <v>2007.5</v>
      </c>
      <c r="AK8" s="114">
        <f>VLOOKUP(AJ8,'1- Input data'!H$3:I$56,2, TRUE)/100</f>
        <v>0.19079999999999997</v>
      </c>
      <c r="AL8" s="77">
        <f>IFERROR(AI8+(AG8-AH8)*((AK8-AI8)/(AJ8-AH8)),0)</f>
        <v>0.1884094520547949</v>
      </c>
      <c r="AN8" s="113">
        <f>H1</f>
        <v>2011.6968859944607</v>
      </c>
      <c r="AO8" s="112">
        <f>VLOOKUP(AN8,'1- Input data'!H$3:I$56,1, TRUE)</f>
        <v>2011.5</v>
      </c>
      <c r="AP8" s="114">
        <f>VLOOKUP(AO8,'1- Input data'!H$3:I$56,2, TRUE)/100</f>
        <v>0.2155</v>
      </c>
      <c r="AQ8" s="112">
        <f>AO8+1</f>
        <v>2012.5</v>
      </c>
      <c r="AR8" s="114">
        <f>VLOOKUP(AQ8,'1- Input data'!H$3:I$56,2, TRUE)/100</f>
        <v>0.22039999999999998</v>
      </c>
      <c r="AS8" s="77">
        <f>IFERROR(AP8+(AN8-AO8)*((AR8-AP8)/(AQ8-AO8)),0)</f>
        <v>0.21646474137285729</v>
      </c>
    </row>
    <row r="9" spans="1:45" x14ac:dyDescent="0.25">
      <c r="A9" s="62" t="s">
        <v>9</v>
      </c>
      <c r="B9" s="62">
        <f t="shared" si="13"/>
        <v>30</v>
      </c>
      <c r="C9" s="77">
        <f>'1- Input data'!B16/('1- Input data'!B16+'1- Input data'!C16)</f>
        <v>0.78232663297279792</v>
      </c>
      <c r="D9" s="81">
        <f t="shared" si="1"/>
        <v>0.1884094520547949</v>
      </c>
      <c r="E9" s="81">
        <f t="shared" si="2"/>
        <v>1.1205479452055443E-4</v>
      </c>
      <c r="F9" s="81">
        <f t="shared" si="3"/>
        <v>0</v>
      </c>
      <c r="G9" s="81">
        <f t="shared" si="4"/>
        <v>0.13983164383562088</v>
      </c>
      <c r="H9" s="77">
        <f t="shared" si="14"/>
        <v>1</v>
      </c>
      <c r="I9" s="131">
        <f t="shared" si="0"/>
        <v>0.78232663297279792</v>
      </c>
      <c r="K9" s="112" t="s">
        <v>9</v>
      </c>
      <c r="L9" s="113">
        <f t="shared" si="5"/>
        <v>1974.6205479452055</v>
      </c>
      <c r="M9" s="112">
        <f>VLOOKUP(L9,'1- Input data'!H$3:I$56,1, TRUE)</f>
        <v>1974.5</v>
      </c>
      <c r="N9" s="114">
        <f>VLOOKUP(M9,'1- Input data'!H$3:I$56,2, TRUE)/100</f>
        <v>1E-4</v>
      </c>
      <c r="O9" s="112">
        <f t="shared" si="6"/>
        <v>1975.5</v>
      </c>
      <c r="P9" s="114">
        <f>VLOOKUP(O9,'1- Input data'!H$3:I$56,2, TRUE)/100</f>
        <v>2.0000000000000001E-4</v>
      </c>
      <c r="Q9" s="24"/>
      <c r="R9" s="112" t="s">
        <v>9</v>
      </c>
      <c r="S9" s="113">
        <f t="shared" si="7"/>
        <v>1974.6205479452055</v>
      </c>
      <c r="T9" s="112">
        <f t="shared" si="8"/>
        <v>1974.5</v>
      </c>
      <c r="U9" s="114">
        <f>VLOOKUP(T9,'1- Input data'!L$3:M$56,2, TRUE)/100</f>
        <v>0</v>
      </c>
      <c r="V9" s="112">
        <f t="shared" si="9"/>
        <v>1975.5</v>
      </c>
      <c r="W9" s="114">
        <f>VLOOKUP(V9,'1- Input data'!L$3:M$56,2, TRUE)/100</f>
        <v>0</v>
      </c>
      <c r="X9" s="26"/>
      <c r="Y9" s="112" t="s">
        <v>9</v>
      </c>
      <c r="Z9" s="113">
        <f t="shared" si="10"/>
        <v>1974.6205479452055</v>
      </c>
      <c r="AA9" s="112">
        <f>VLOOKUP(Z9,'1- Input data'!O$3:P$77,1, TRUE)</f>
        <v>1974.5</v>
      </c>
      <c r="AB9" s="114">
        <f>VLOOKUP(AA9,'1- Input data'!O$3:P$56,2, TRUE)</f>
        <v>27.678000000000001</v>
      </c>
      <c r="AC9" s="112">
        <f t="shared" si="11"/>
        <v>1975.5</v>
      </c>
      <c r="AD9" s="114">
        <f>VLOOKUP(AC9,'1- Input data'!O$3:P$56,2, TRUE)</f>
        <v>27.640999999999998</v>
      </c>
      <c r="AE9" s="79">
        <f t="shared" si="12"/>
        <v>27.673539726027396</v>
      </c>
      <c r="AF9" s="24"/>
    </row>
    <row r="10" spans="1:45" x14ac:dyDescent="0.25">
      <c r="A10" s="62" t="s">
        <v>10</v>
      </c>
      <c r="B10" s="62">
        <f t="shared" si="13"/>
        <v>35</v>
      </c>
      <c r="C10" s="77">
        <f>'1- Input data'!B17/('1- Input data'!B17+'1- Input data'!C17)</f>
        <v>0.69439214805600924</v>
      </c>
      <c r="D10" s="81">
        <f t="shared" si="1"/>
        <v>0.1884094520547949</v>
      </c>
      <c r="E10" s="81">
        <f t="shared" si="2"/>
        <v>0</v>
      </c>
      <c r="F10" s="81">
        <f t="shared" si="3"/>
        <v>0</v>
      </c>
      <c r="G10" s="81">
        <f t="shared" si="4"/>
        <v>0.13983164383562088</v>
      </c>
      <c r="H10" s="77">
        <v>1</v>
      </c>
      <c r="I10" s="131">
        <f t="shared" si="0"/>
        <v>0.69439214805600924</v>
      </c>
      <c r="K10" s="112" t="s">
        <v>10</v>
      </c>
      <c r="L10" s="113">
        <f t="shared" si="5"/>
        <v>1969.6205479452055</v>
      </c>
      <c r="M10" s="112" t="e">
        <f>VLOOKUP(L10,'1- Input data'!H$3:I$56,1, TRUE)</f>
        <v>#N/A</v>
      </c>
      <c r="N10" s="114" t="e">
        <f>VLOOKUP(M10,'1- Input data'!H$3:I$56,2, TRUE)/100</f>
        <v>#N/A</v>
      </c>
      <c r="O10" s="112" t="e">
        <f t="shared" si="6"/>
        <v>#N/A</v>
      </c>
      <c r="P10" s="114" t="e">
        <f>VLOOKUP(O10,'1- Input data'!H$3:I$56,2, TRUE)/100</f>
        <v>#N/A</v>
      </c>
      <c r="Q10" s="24"/>
      <c r="R10" s="112" t="s">
        <v>10</v>
      </c>
      <c r="S10" s="113">
        <f t="shared" si="7"/>
        <v>1969.6205479452055</v>
      </c>
      <c r="T10" s="112" t="e">
        <f t="shared" si="8"/>
        <v>#N/A</v>
      </c>
      <c r="U10" s="114" t="e">
        <f>VLOOKUP(T10,'1- Input data'!L$3:M$56,2, TRUE)/100</f>
        <v>#N/A</v>
      </c>
      <c r="V10" s="112" t="e">
        <f t="shared" si="9"/>
        <v>#N/A</v>
      </c>
      <c r="W10" s="114" t="e">
        <f>VLOOKUP(V10,'1- Input data'!L$3:M$56,2, TRUE)/100</f>
        <v>#N/A</v>
      </c>
      <c r="X10" s="26"/>
      <c r="Y10" s="112" t="s">
        <v>10</v>
      </c>
      <c r="Z10" s="113">
        <f t="shared" si="10"/>
        <v>1969.6205479452055</v>
      </c>
      <c r="AA10" s="112">
        <f>VLOOKUP(Z10,'1- Input data'!O$3:P$77,1, TRUE)</f>
        <v>1969.5</v>
      </c>
      <c r="AB10" s="114">
        <f>VLOOKUP(AA10,'1- Input data'!O$3:P$56,2, TRUE)</f>
        <v>27.808</v>
      </c>
      <c r="AC10" s="112">
        <f t="shared" si="11"/>
        <v>1970.5</v>
      </c>
      <c r="AD10" s="114">
        <f>VLOOKUP(AC10,'1- Input data'!O$3:P$56,2, TRUE)</f>
        <v>27.789000000000001</v>
      </c>
      <c r="AE10" s="79">
        <f t="shared" si="12"/>
        <v>27.805709589041093</v>
      </c>
      <c r="AF10" s="24"/>
    </row>
    <row r="11" spans="1:45" x14ac:dyDescent="0.25">
      <c r="A11" s="62" t="s">
        <v>11</v>
      </c>
      <c r="B11" s="62">
        <f t="shared" si="13"/>
        <v>40</v>
      </c>
      <c r="C11" s="77">
        <f>'1- Input data'!B18/('1- Input data'!B18+'1- Input data'!C18)</f>
        <v>0.59188842678007447</v>
      </c>
      <c r="D11" s="81">
        <f t="shared" si="1"/>
        <v>0.1884094520547949</v>
      </c>
      <c r="E11" s="81">
        <f t="shared" si="2"/>
        <v>0</v>
      </c>
      <c r="F11" s="81">
        <f t="shared" si="3"/>
        <v>0</v>
      </c>
      <c r="G11" s="81">
        <f t="shared" si="4"/>
        <v>0.13983164383562088</v>
      </c>
      <c r="H11" s="77">
        <v>1</v>
      </c>
      <c r="I11" s="131">
        <f t="shared" si="0"/>
        <v>0.59188842678007447</v>
      </c>
      <c r="K11" s="112" t="s">
        <v>11</v>
      </c>
      <c r="L11" s="113">
        <f t="shared" si="5"/>
        <v>1964.6205479452055</v>
      </c>
      <c r="M11" s="112" t="e">
        <f>VLOOKUP(L11,'1- Input data'!H$3:I$56,1, TRUE)</f>
        <v>#N/A</v>
      </c>
      <c r="N11" s="114" t="e">
        <f>VLOOKUP(M11,'1- Input data'!H$3:I$56,2, TRUE)/100</f>
        <v>#N/A</v>
      </c>
      <c r="O11" s="112" t="e">
        <f t="shared" si="6"/>
        <v>#N/A</v>
      </c>
      <c r="P11" s="114" t="e">
        <f>VLOOKUP(O11,'1- Input data'!H$3:I$56,2, TRUE)/100</f>
        <v>#N/A</v>
      </c>
      <c r="Q11" s="24"/>
      <c r="R11" s="112" t="s">
        <v>11</v>
      </c>
      <c r="S11" s="113">
        <f t="shared" si="7"/>
        <v>1964.6205479452055</v>
      </c>
      <c r="T11" s="112" t="e">
        <f t="shared" si="8"/>
        <v>#N/A</v>
      </c>
      <c r="U11" s="114" t="e">
        <f>VLOOKUP(T11,'1- Input data'!L$3:M$56,2, TRUE)/100</f>
        <v>#N/A</v>
      </c>
      <c r="V11" s="112" t="e">
        <f t="shared" si="9"/>
        <v>#N/A</v>
      </c>
      <c r="W11" s="114" t="e">
        <f>VLOOKUP(V11,'1- Input data'!L$3:M$56,2, TRUE)/100</f>
        <v>#N/A</v>
      </c>
      <c r="X11" s="26"/>
      <c r="Y11" s="112" t="s">
        <v>11</v>
      </c>
      <c r="Z11" s="113">
        <f t="shared" si="10"/>
        <v>1964.6205479452055</v>
      </c>
      <c r="AA11" s="112">
        <f>VLOOKUP(Z11,'1- Input data'!O$3:P$77,1, TRUE)</f>
        <v>1964.5</v>
      </c>
      <c r="AB11" s="114">
        <f>VLOOKUP(AA11,'1- Input data'!O$3:P$56,2, TRUE)</f>
        <v>27.986000000000001</v>
      </c>
      <c r="AC11" s="112">
        <f t="shared" si="11"/>
        <v>1965.5</v>
      </c>
      <c r="AD11" s="114">
        <f>VLOOKUP(AC11,'1- Input data'!O$3:P$56,2, TRUE)</f>
        <v>27.92</v>
      </c>
      <c r="AE11" s="79">
        <f t="shared" si="12"/>
        <v>27.978043835616436</v>
      </c>
      <c r="AF11" s="24"/>
    </row>
    <row r="12" spans="1:45" x14ac:dyDescent="0.25">
      <c r="A12" s="62" t="s">
        <v>12</v>
      </c>
      <c r="B12" s="62">
        <f t="shared" si="13"/>
        <v>45</v>
      </c>
      <c r="C12" s="77">
        <f>'1- Input data'!B19/('1- Input data'!B19+'1- Input data'!C19)</f>
        <v>0.48166756886574513</v>
      </c>
      <c r="D12" s="81">
        <f t="shared" si="1"/>
        <v>0.1884094520547949</v>
      </c>
      <c r="E12" s="81">
        <f t="shared" si="2"/>
        <v>0</v>
      </c>
      <c r="F12" s="81">
        <f t="shared" si="3"/>
        <v>0</v>
      </c>
      <c r="G12" s="81">
        <f t="shared" si="4"/>
        <v>0.13983164383562088</v>
      </c>
      <c r="H12" s="77">
        <v>1</v>
      </c>
      <c r="I12" s="131">
        <f t="shared" si="0"/>
        <v>0.48166756886574513</v>
      </c>
      <c r="K12" s="112" t="s">
        <v>12</v>
      </c>
      <c r="L12" s="113">
        <f t="shared" si="5"/>
        <v>1959.6205479452055</v>
      </c>
      <c r="M12" s="112" t="e">
        <f>VLOOKUP(L12,'1- Input data'!H$3:I$56,1, TRUE)</f>
        <v>#N/A</v>
      </c>
      <c r="N12" s="114" t="e">
        <f>VLOOKUP(M12,'1- Input data'!H$3:I$56,2, TRUE)/100</f>
        <v>#N/A</v>
      </c>
      <c r="O12" s="112" t="e">
        <f t="shared" si="6"/>
        <v>#N/A</v>
      </c>
      <c r="P12" s="114" t="e">
        <f>VLOOKUP(O12,'1- Input data'!H$3:I$56,2, TRUE)/100</f>
        <v>#N/A</v>
      </c>
      <c r="Q12" s="24"/>
      <c r="R12" s="112" t="s">
        <v>12</v>
      </c>
      <c r="S12" s="113">
        <f t="shared" si="7"/>
        <v>1959.6205479452055</v>
      </c>
      <c r="T12" s="112" t="e">
        <f t="shared" si="8"/>
        <v>#N/A</v>
      </c>
      <c r="U12" s="114" t="e">
        <f>VLOOKUP(T12,'1- Input data'!L$3:M$56,2, TRUE)/100</f>
        <v>#N/A</v>
      </c>
      <c r="V12" s="112" t="e">
        <f t="shared" si="9"/>
        <v>#N/A</v>
      </c>
      <c r="W12" s="114" t="e">
        <f>VLOOKUP(V12,'1- Input data'!L$3:M$56,2, TRUE)/100</f>
        <v>#N/A</v>
      </c>
      <c r="X12" s="26"/>
      <c r="Y12" s="112" t="s">
        <v>12</v>
      </c>
      <c r="Z12" s="113">
        <f t="shared" si="10"/>
        <v>1959.6205479452055</v>
      </c>
      <c r="AA12" s="112">
        <f>VLOOKUP(Z12,'1- Input data'!O$3:P$77,1, TRUE)</f>
        <v>1959.5</v>
      </c>
      <c r="AB12" s="114">
        <f>VLOOKUP(AA12,'1- Input data'!O$3:P$56,2, TRUE)</f>
        <v>28.428999999999998</v>
      </c>
      <c r="AC12" s="112">
        <f t="shared" si="11"/>
        <v>1960.5</v>
      </c>
      <c r="AD12" s="114">
        <f>VLOOKUP(AC12,'1- Input data'!O$3:P$56,2, TRUE)</f>
        <v>28.337</v>
      </c>
      <c r="AE12" s="79">
        <f t="shared" si="12"/>
        <v>28.417909589041088</v>
      </c>
      <c r="AF12" s="24"/>
      <c r="AG12" s="24"/>
      <c r="AH12" s="24"/>
      <c r="AI12" s="24"/>
      <c r="AJ12" s="24"/>
      <c r="AK12" s="24"/>
    </row>
    <row r="13" spans="1:45" ht="14.4" thickBot="1" x14ac:dyDescent="0.3">
      <c r="A13" s="65" t="s">
        <v>13</v>
      </c>
      <c r="B13" s="65">
        <f t="shared" si="13"/>
        <v>50</v>
      </c>
      <c r="C13" s="84">
        <f>'1- Input data'!B20/('1- Input data'!B20+'1- Input data'!C20)</f>
        <v>0.36440919255963267</v>
      </c>
      <c r="D13" s="86">
        <f t="shared" si="1"/>
        <v>0.1884094520547949</v>
      </c>
      <c r="E13" s="86">
        <f t="shared" si="2"/>
        <v>0</v>
      </c>
      <c r="F13" s="86">
        <f t="shared" si="3"/>
        <v>0</v>
      </c>
      <c r="G13" s="86">
        <f t="shared" si="4"/>
        <v>0.13983164383562088</v>
      </c>
      <c r="H13" s="84">
        <v>1</v>
      </c>
      <c r="I13" s="132">
        <f t="shared" si="0"/>
        <v>0.36440919255963267</v>
      </c>
      <c r="K13" s="117" t="s">
        <v>13</v>
      </c>
      <c r="L13" s="118">
        <f t="shared" si="5"/>
        <v>1954.6205479452055</v>
      </c>
      <c r="M13" s="117" t="e">
        <f>VLOOKUP(L13,'1- Input data'!H$3:I$56,1, TRUE)</f>
        <v>#N/A</v>
      </c>
      <c r="N13" s="119" t="e">
        <f>VLOOKUP(M13,'1- Input data'!H$3:I$56,2, TRUE)/100</f>
        <v>#N/A</v>
      </c>
      <c r="O13" s="117" t="e">
        <f t="shared" si="6"/>
        <v>#N/A</v>
      </c>
      <c r="P13" s="119" t="e">
        <f>VLOOKUP(O13,'1- Input data'!H$3:I$56,2, TRUE)/100</f>
        <v>#N/A</v>
      </c>
      <c r="Q13" s="24"/>
      <c r="R13" s="117" t="s">
        <v>13</v>
      </c>
      <c r="S13" s="118">
        <f t="shared" si="7"/>
        <v>1954.6205479452055</v>
      </c>
      <c r="T13" s="117" t="e">
        <f t="shared" si="8"/>
        <v>#N/A</v>
      </c>
      <c r="U13" s="119" t="e">
        <f>VLOOKUP(T13,'1- Input data'!L$3:M$56,2, TRUE)/100</f>
        <v>#N/A</v>
      </c>
      <c r="V13" s="117" t="e">
        <f t="shared" si="9"/>
        <v>#N/A</v>
      </c>
      <c r="W13" s="119" t="e">
        <f>VLOOKUP(V13,'1- Input data'!L$3:M$56,2, TRUE)/100</f>
        <v>#N/A</v>
      </c>
      <c r="X13" s="26"/>
      <c r="Y13" s="117" t="s">
        <v>13</v>
      </c>
      <c r="Z13" s="118">
        <f t="shared" si="10"/>
        <v>1954.6205479452055</v>
      </c>
      <c r="AA13" s="117">
        <f>VLOOKUP(Z13,'1- Input data'!O$3:P$77,1, TRUE)</f>
        <v>1954.5</v>
      </c>
      <c r="AB13" s="119">
        <f>VLOOKUP(AA13,'1- Input data'!O$3:P$56,2, TRUE)</f>
        <v>28.541</v>
      </c>
      <c r="AC13" s="117">
        <f t="shared" si="11"/>
        <v>1955.5</v>
      </c>
      <c r="AD13" s="119">
        <f>VLOOKUP(AC13,'1- Input data'!O$3:P$56,2, TRUE)</f>
        <v>28.552</v>
      </c>
      <c r="AE13" s="86"/>
      <c r="AF13" s="24"/>
      <c r="AG13" s="24"/>
      <c r="AH13" s="24"/>
      <c r="AI13" s="24"/>
      <c r="AJ13" s="24"/>
      <c r="AK13" s="24"/>
    </row>
    <row r="14" spans="1:45" x14ac:dyDescent="0.25">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row>
    <row r="15" spans="1:45" ht="14.4" thickBot="1" x14ac:dyDescent="0.3">
      <c r="A15" s="8" t="s">
        <v>16</v>
      </c>
      <c r="B15" s="9" t="str">
        <f>B1</f>
        <v>South Africa</v>
      </c>
      <c r="C15" s="9">
        <f>YEAR(D15)</f>
        <v>2016</v>
      </c>
      <c r="D15" s="23">
        <f>'1- Input data'!C3</f>
        <v>42470</v>
      </c>
      <c r="E15" s="58">
        <f>YEAR(D15)+YEARFRAC(DATE(YEAR(D15),1,1),D15,1)</f>
        <v>2016.2732240437158</v>
      </c>
      <c r="F15" s="23"/>
      <c r="G15" s="23"/>
      <c r="K15" s="9" t="s">
        <v>50</v>
      </c>
      <c r="R15" s="9" t="s">
        <v>51</v>
      </c>
      <c r="Y15" s="9" t="s">
        <v>89</v>
      </c>
      <c r="AG15" s="9" t="s">
        <v>127</v>
      </c>
    </row>
    <row r="16" spans="1:45" ht="18" x14ac:dyDescent="0.35">
      <c r="A16" s="105" t="s">
        <v>14</v>
      </c>
      <c r="B16" s="106" t="s">
        <v>15</v>
      </c>
      <c r="C16" s="105" t="s">
        <v>126</v>
      </c>
      <c r="D16" s="107" t="s">
        <v>125</v>
      </c>
      <c r="E16" s="105" t="s">
        <v>120</v>
      </c>
      <c r="F16" s="107" t="s">
        <v>121</v>
      </c>
      <c r="G16" s="107" t="s">
        <v>122</v>
      </c>
      <c r="H16" s="105" t="s">
        <v>123</v>
      </c>
      <c r="I16" s="73" t="s">
        <v>124</v>
      </c>
      <c r="K16" s="111" t="s">
        <v>14</v>
      </c>
      <c r="L16" s="105" t="s">
        <v>118</v>
      </c>
      <c r="M16" s="105" t="s">
        <v>148</v>
      </c>
      <c r="N16" s="105" t="s">
        <v>149</v>
      </c>
      <c r="O16" s="105" t="s">
        <v>150</v>
      </c>
      <c r="P16" s="105" t="s">
        <v>151</v>
      </c>
      <c r="Q16" s="24"/>
      <c r="R16" s="111" t="s">
        <v>14</v>
      </c>
      <c r="S16" s="105" t="s">
        <v>118</v>
      </c>
      <c r="T16" s="105" t="s">
        <v>148</v>
      </c>
      <c r="U16" s="105" t="s">
        <v>149</v>
      </c>
      <c r="V16" s="105" t="s">
        <v>150</v>
      </c>
      <c r="W16" s="105" t="s">
        <v>151</v>
      </c>
      <c r="X16" s="24"/>
      <c r="Y16" s="111" t="s">
        <v>14</v>
      </c>
      <c r="Z16" s="105" t="s">
        <v>118</v>
      </c>
      <c r="AA16" s="105" t="s">
        <v>148</v>
      </c>
      <c r="AB16" s="105" t="s">
        <v>149</v>
      </c>
      <c r="AC16" s="105" t="s">
        <v>150</v>
      </c>
      <c r="AD16" s="105" t="s">
        <v>151</v>
      </c>
      <c r="AE16" s="108" t="s">
        <v>119</v>
      </c>
      <c r="AF16" s="24"/>
      <c r="AG16" s="106" t="s">
        <v>49</v>
      </c>
      <c r="AH16" s="105" t="s">
        <v>148</v>
      </c>
      <c r="AI16" s="105" t="s">
        <v>149</v>
      </c>
      <c r="AJ16" s="105" t="s">
        <v>150</v>
      </c>
      <c r="AK16" s="105" t="s">
        <v>151</v>
      </c>
      <c r="AL16" s="108" t="s">
        <v>91</v>
      </c>
    </row>
    <row r="17" spans="1:38" x14ac:dyDescent="0.25">
      <c r="A17" s="62" t="s">
        <v>3</v>
      </c>
      <c r="B17" s="62">
        <v>0</v>
      </c>
      <c r="C17" s="77">
        <f>'1- Input data'!B44/('1- Input data'!B44+'1- Input data'!C44)</f>
        <v>0.99052372658236765</v>
      </c>
      <c r="D17" s="81">
        <f>AL$22</f>
        <v>0.23120109289617477</v>
      </c>
      <c r="E17" s="81">
        <f>IFERROR(N17+(P17-N17)*((L17-M17)/(O17-M17)),0)</f>
        <v>0.22491967213114739</v>
      </c>
      <c r="F17" s="81">
        <f>IFERROR(U17+(W17-U17)*((S17-T17)/(V17-T17)),0)</f>
        <v>0.99578469945355164</v>
      </c>
      <c r="G17" s="81">
        <f>AL$17</f>
        <v>0.57666912568306172</v>
      </c>
      <c r="H17" s="77">
        <f>IF(B31+C31*(E17*(1-F17))+D31*G17&lt;1, B31+C31*(E17*(1-F17))+D31*G17, 1)</f>
        <v>0.99917324928004281</v>
      </c>
      <c r="I17" s="131">
        <f t="shared" ref="I17:I27" si="15">H17*C17</f>
        <v>0.98970481037828095</v>
      </c>
      <c r="K17" s="112" t="s">
        <v>3</v>
      </c>
      <c r="L17" s="113">
        <f t="shared" ref="L17:L27" si="16">YEAR(D$15)+YEARFRAC(DATE(YEAR(D$15),1,1),D$15,1)-(B17+2.5)</f>
        <v>2013.7732240437158</v>
      </c>
      <c r="M17" s="112">
        <f>VLOOKUP(L17,'1- Input data'!H$3:I$56,1, TRUE)</f>
        <v>2013.5</v>
      </c>
      <c r="N17" s="114">
        <f>VLOOKUP(M17,'1- Input data'!H$3:I$56,2, TRUE)/100</f>
        <v>0.22409999999999999</v>
      </c>
      <c r="O17" s="112">
        <f>M17+1</f>
        <v>2014.5</v>
      </c>
      <c r="P17" s="114">
        <f>VLOOKUP(O17,'1- Input data'!H$3:I$56,2, TRUE)/100</f>
        <v>0.2271</v>
      </c>
      <c r="Q17" s="24"/>
      <c r="R17" s="112" t="s">
        <v>3</v>
      </c>
      <c r="S17" s="113">
        <f>L17</f>
        <v>2013.7732240437158</v>
      </c>
      <c r="T17" s="112">
        <f>M17</f>
        <v>2013.5</v>
      </c>
      <c r="U17" s="114">
        <f>VLOOKUP(T17,'1- Input data'!L$3:M$56,2, TRUE)/100</f>
        <v>0.99419999999999997</v>
      </c>
      <c r="V17" s="112">
        <f>T17+1</f>
        <v>2014.5</v>
      </c>
      <c r="W17" s="114">
        <f>VLOOKUP(V17,'1- Input data'!L$3:M$56,2, TRUE)/100</f>
        <v>1</v>
      </c>
      <c r="X17" s="26"/>
      <c r="Y17" s="112" t="s">
        <v>3</v>
      </c>
      <c r="Z17" s="113">
        <f>S17</f>
        <v>2013.7732240437158</v>
      </c>
      <c r="AA17" s="112">
        <f>VLOOKUP(Z17,'1- Input data'!O$3:P$77,1, TRUE)</f>
        <v>2013.5</v>
      </c>
      <c r="AB17" s="114">
        <f>VLOOKUP(AA17,'1- Input data'!O$3:P$56,2, TRUE)</f>
        <v>26.991</v>
      </c>
      <c r="AC17" s="112">
        <f>AA17+1</f>
        <v>2014.5</v>
      </c>
      <c r="AD17" s="114">
        <f>VLOOKUP(AC17,'1- Input data'!O$3:P$56,2, TRUE)</f>
        <v>26.991</v>
      </c>
      <c r="AE17" s="79">
        <f>IFERROR(AB17+(AD17-AB17)*((Z17-AA17)/(AC17-AA17)),0)</f>
        <v>26.991</v>
      </c>
      <c r="AF17" s="24"/>
      <c r="AG17" s="113">
        <f>YEAR(D$15)+YEARFRAC(DATE(YEAR(D$15),1,1),D$15,1)</f>
        <v>2016.2732240437158</v>
      </c>
      <c r="AH17" s="112">
        <f>VLOOKUP(AG17,'1- Input data'!J$3:K$56,1, TRUE)</f>
        <v>2015.5</v>
      </c>
      <c r="AI17" s="114">
        <f>VLOOKUP(AH17,'1- Input data'!J$3:K$56,2, TRUE)/100</f>
        <v>0.60350000000000004</v>
      </c>
      <c r="AJ17" s="112">
        <f>AH17+1</f>
        <v>2016.5</v>
      </c>
      <c r="AK17" s="114">
        <f>VLOOKUP(AJ17,'1- Input data'!J$3:K$56,2, TRUE)/100</f>
        <v>0.56879999999999997</v>
      </c>
      <c r="AL17" s="77">
        <f>IFERROR(AI17+(AG17-AH17)*((AK17-AI17)/(AJ17-AH17)),0)</f>
        <v>0.57666912568306172</v>
      </c>
    </row>
    <row r="18" spans="1:38" x14ac:dyDescent="0.25">
      <c r="A18" s="63" t="s">
        <v>4</v>
      </c>
      <c r="B18" s="62">
        <f>5+B17</f>
        <v>5</v>
      </c>
      <c r="C18" s="77">
        <f>'1- Input data'!B45/('1- Input data'!B45+'1- Input data'!C45)</f>
        <v>0.96127381652909927</v>
      </c>
      <c r="D18" s="81">
        <f>AL$22</f>
        <v>0.23120109289617477</v>
      </c>
      <c r="E18" s="81">
        <f t="shared" ref="E18:E27" si="17">IFERROR(N18+(P18-N18)*((L18-M18)/(O18-M18)),0)</f>
        <v>0.19889398907103795</v>
      </c>
      <c r="F18" s="81">
        <f t="shared" ref="F18:F27" si="18">IFERROR(U18+(W18-U18)*((S18-T18)/(V18-T18)),0)</f>
        <v>0.63032841530054029</v>
      </c>
      <c r="G18" s="81">
        <f>AL$17</f>
        <v>0.57666912568306172</v>
      </c>
      <c r="H18" s="77">
        <f t="shared" ref="H18:H23" si="19">IF(B32+C32*(E18*(1-F18))+D32*G18&lt;1, B32+C32*(E18*(1-F18))+D32*G18, 1)</f>
        <v>0.9849638964754065</v>
      </c>
      <c r="I18" s="131">
        <f t="shared" si="15"/>
        <v>0.94682000390828658</v>
      </c>
      <c r="K18" s="115" t="s">
        <v>4</v>
      </c>
      <c r="L18" s="113">
        <f t="shared" si="16"/>
        <v>2008.7732240437158</v>
      </c>
      <c r="M18" s="112">
        <f>VLOOKUP(L18,'1- Input data'!H$3:I$56,1, TRUE)</f>
        <v>2008.5</v>
      </c>
      <c r="N18" s="114">
        <f>VLOOKUP(M18,'1- Input data'!H$3:I$56,2, TRUE)/100</f>
        <v>0.19719999999999999</v>
      </c>
      <c r="O18" s="112">
        <f t="shared" ref="O18:O27" si="20">M18+1</f>
        <v>2009.5</v>
      </c>
      <c r="P18" s="114">
        <f>VLOOKUP(O18,'1- Input data'!H$3:I$56,2, TRUE)/100</f>
        <v>0.2034</v>
      </c>
      <c r="Q18" s="24"/>
      <c r="R18" s="115" t="s">
        <v>4</v>
      </c>
      <c r="S18" s="113">
        <f t="shared" ref="S18:S27" si="21">L18</f>
        <v>2008.7732240437158</v>
      </c>
      <c r="T18" s="112">
        <f t="shared" ref="T18:T27" si="22">M18</f>
        <v>2008.5</v>
      </c>
      <c r="U18" s="114">
        <f>VLOOKUP(T18,'1- Input data'!L$3:M$56,2, TRUE)/100</f>
        <v>0.59470000000000001</v>
      </c>
      <c r="V18" s="112">
        <f t="shared" ref="V18:V27" si="23">T18+1</f>
        <v>2009.5</v>
      </c>
      <c r="W18" s="114">
        <f>VLOOKUP(V18,'1- Input data'!L$3:M$56,2, TRUE)/100</f>
        <v>0.72510000000000008</v>
      </c>
      <c r="X18" s="26"/>
      <c r="Y18" s="115" t="s">
        <v>4</v>
      </c>
      <c r="Z18" s="113">
        <f t="shared" ref="Z18:Z27" si="24">S18</f>
        <v>2008.7732240437158</v>
      </c>
      <c r="AA18" s="112">
        <f>VLOOKUP(Z18,'1- Input data'!O$3:P$77,1, TRUE)</f>
        <v>2008.5</v>
      </c>
      <c r="AB18" s="114">
        <f>VLOOKUP(AA18,'1- Input data'!O$3:P$56,2, TRUE)</f>
        <v>26.991</v>
      </c>
      <c r="AC18" s="112">
        <f t="shared" ref="AC18:AC27" si="25">AA18+1</f>
        <v>2009.5</v>
      </c>
      <c r="AD18" s="114">
        <f>VLOOKUP(AC18,'1- Input data'!O$3:P$56,2, TRUE)</f>
        <v>26.991</v>
      </c>
      <c r="AE18" s="79">
        <f t="shared" ref="AE18:AE26" si="26">IFERROR(AB18+(AD18-AB18)*((Z18-AA18)/(AC18-AA18)),0)</f>
        <v>26.991</v>
      </c>
      <c r="AF18" s="24"/>
    </row>
    <row r="19" spans="1:38" x14ac:dyDescent="0.25">
      <c r="A19" s="64" t="s">
        <v>5</v>
      </c>
      <c r="B19" s="62">
        <f t="shared" ref="B19:B27" si="27">5+B18</f>
        <v>10</v>
      </c>
      <c r="C19" s="77">
        <f>'1- Input data'!B46/('1- Input data'!B46+'1- Input data'!C46)</f>
        <v>0.91587605293561192</v>
      </c>
      <c r="D19" s="81">
        <f t="shared" ref="D19:D27" si="28">AL$22</f>
        <v>0.23120109289617477</v>
      </c>
      <c r="E19" s="81">
        <f t="shared" si="17"/>
        <v>0.16738524590163903</v>
      </c>
      <c r="F19" s="81">
        <f t="shared" si="18"/>
        <v>0.10172677595628074</v>
      </c>
      <c r="G19" s="81">
        <f t="shared" ref="G19:G27" si="29">AL$17</f>
        <v>0.57666912568306172</v>
      </c>
      <c r="H19" s="77">
        <f>IF(B33+C33*(E19*(1-F19))+D33*G19&lt;1, B33+C33*(E19*(1-F19))+D33*G19, 1)</f>
        <v>0.95541882185426852</v>
      </c>
      <c r="I19" s="131">
        <f t="shared" si="15"/>
        <v>0.87504521946028002</v>
      </c>
      <c r="K19" s="116" t="s">
        <v>5</v>
      </c>
      <c r="L19" s="113">
        <f t="shared" si="16"/>
        <v>2003.7732240437158</v>
      </c>
      <c r="M19" s="112">
        <f>VLOOKUP(L19,'1- Input data'!H$3:I$56,1, TRUE)</f>
        <v>2003.5</v>
      </c>
      <c r="N19" s="114">
        <f>VLOOKUP(M19,'1- Input data'!H$3:I$56,2, TRUE)/100</f>
        <v>0.16550000000000001</v>
      </c>
      <c r="O19" s="112">
        <f t="shared" si="20"/>
        <v>2004.5</v>
      </c>
      <c r="P19" s="114">
        <f>VLOOKUP(O19,'1- Input data'!H$3:I$56,2, TRUE)/100</f>
        <v>0.1724</v>
      </c>
      <c r="Q19" s="24"/>
      <c r="R19" s="116" t="s">
        <v>5</v>
      </c>
      <c r="S19" s="113">
        <f t="shared" si="21"/>
        <v>2003.7732240437158</v>
      </c>
      <c r="T19" s="112">
        <f t="shared" si="22"/>
        <v>2003.5</v>
      </c>
      <c r="U19" s="114">
        <f>VLOOKUP(T19,'1- Input data'!L$3:M$56,2, TRUE)/100</f>
        <v>8.199999999999999E-2</v>
      </c>
      <c r="V19" s="112">
        <f t="shared" si="23"/>
        <v>2004.5</v>
      </c>
      <c r="W19" s="114">
        <f>VLOOKUP(V19,'1- Input data'!L$3:M$56,2, TRUE)/100</f>
        <v>0.1542</v>
      </c>
      <c r="X19" s="26"/>
      <c r="Y19" s="116" t="s">
        <v>5</v>
      </c>
      <c r="Z19" s="113">
        <f t="shared" si="24"/>
        <v>2003.7732240437158</v>
      </c>
      <c r="AA19" s="112">
        <f>VLOOKUP(Z19,'1- Input data'!O$3:P$77,1, TRUE)</f>
        <v>2003.5</v>
      </c>
      <c r="AB19" s="114">
        <f>VLOOKUP(AA19,'1- Input data'!O$3:P$56,2, TRUE)</f>
        <v>26.991</v>
      </c>
      <c r="AC19" s="112">
        <f t="shared" si="25"/>
        <v>2004.5</v>
      </c>
      <c r="AD19" s="114">
        <f>VLOOKUP(AC19,'1- Input data'!O$3:P$56,2, TRUE)</f>
        <v>26.991</v>
      </c>
      <c r="AE19" s="79">
        <f t="shared" si="26"/>
        <v>26.991</v>
      </c>
      <c r="AF19" s="24"/>
    </row>
    <row r="20" spans="1:38" x14ac:dyDescent="0.25">
      <c r="A20" s="62" t="s">
        <v>6</v>
      </c>
      <c r="B20" s="62">
        <f t="shared" si="27"/>
        <v>15</v>
      </c>
      <c r="C20" s="77">
        <f>'1- Input data'!B47/('1- Input data'!B47+'1- Input data'!C47)</f>
        <v>0.86571078085237763</v>
      </c>
      <c r="D20" s="81">
        <f t="shared" si="28"/>
        <v>0.23120109289617477</v>
      </c>
      <c r="E20" s="81">
        <f t="shared" si="17"/>
        <v>0.110798360655737</v>
      </c>
      <c r="F20" s="81">
        <f t="shared" si="18"/>
        <v>0</v>
      </c>
      <c r="G20" s="81">
        <f t="shared" si="29"/>
        <v>0.57666912568306172</v>
      </c>
      <c r="H20" s="77">
        <f t="shared" si="19"/>
        <v>0.96345907081967253</v>
      </c>
      <c r="I20" s="131">
        <f t="shared" si="15"/>
        <v>0.83407690451860494</v>
      </c>
      <c r="K20" s="112" t="s">
        <v>6</v>
      </c>
      <c r="L20" s="113">
        <f t="shared" si="16"/>
        <v>1998.7732240437158</v>
      </c>
      <c r="M20" s="112">
        <f>VLOOKUP(L20,'1- Input data'!H$3:I$56,1, TRUE)</f>
        <v>1998.5</v>
      </c>
      <c r="N20" s="114">
        <f>VLOOKUP(M20,'1- Input data'!H$3:I$56,2, TRUE)/100</f>
        <v>0.1067</v>
      </c>
      <c r="O20" s="112">
        <f t="shared" si="20"/>
        <v>1999.5</v>
      </c>
      <c r="P20" s="114">
        <f>VLOOKUP(O20,'1- Input data'!H$3:I$56,2, TRUE)/100</f>
        <v>0.1217</v>
      </c>
      <c r="Q20" s="24"/>
      <c r="R20" s="112" t="s">
        <v>6</v>
      </c>
      <c r="S20" s="113">
        <f t="shared" si="21"/>
        <v>1998.7732240437158</v>
      </c>
      <c r="T20" s="112">
        <f t="shared" si="22"/>
        <v>1998.5</v>
      </c>
      <c r="U20" s="114">
        <f>VLOOKUP(T20,'1- Input data'!L$3:M$56,2, TRUE)/100</f>
        <v>0</v>
      </c>
      <c r="V20" s="112">
        <f t="shared" si="23"/>
        <v>1999.5</v>
      </c>
      <c r="W20" s="114">
        <f>VLOOKUP(V20,'1- Input data'!L$3:M$56,2, TRUE)/100</f>
        <v>0</v>
      </c>
      <c r="X20" s="26"/>
      <c r="Y20" s="112" t="s">
        <v>6</v>
      </c>
      <c r="Z20" s="113">
        <f t="shared" si="24"/>
        <v>1998.7732240437158</v>
      </c>
      <c r="AA20" s="112">
        <f>VLOOKUP(Z20,'1- Input data'!O$3:P$77,1, TRUE)</f>
        <v>1998.5</v>
      </c>
      <c r="AB20" s="114">
        <f>VLOOKUP(AA20,'1- Input data'!O$3:P$56,2, TRUE)</f>
        <v>27.341000000000001</v>
      </c>
      <c r="AC20" s="112">
        <f t="shared" si="25"/>
        <v>1999.5</v>
      </c>
      <c r="AD20" s="114">
        <f>VLOOKUP(AC20,'1- Input data'!O$3:P$56,2, TRUE)</f>
        <v>27.215</v>
      </c>
      <c r="AE20" s="79">
        <f t="shared" si="26"/>
        <v>27.306573770491809</v>
      </c>
      <c r="AF20" s="24"/>
      <c r="AG20" s="9" t="s">
        <v>128</v>
      </c>
    </row>
    <row r="21" spans="1:38" ht="16.2" x14ac:dyDescent="0.35">
      <c r="A21" s="62" t="s">
        <v>7</v>
      </c>
      <c r="B21" s="62">
        <f t="shared" si="27"/>
        <v>20</v>
      </c>
      <c r="C21" s="77">
        <f>'1- Input data'!B48/('1- Input data'!B48+'1- Input data'!C48)</f>
        <v>0.82751768810234339</v>
      </c>
      <c r="D21" s="81">
        <f t="shared" si="28"/>
        <v>0.23120109289617477</v>
      </c>
      <c r="E21" s="81">
        <f>IFERROR(N21+(P21-N21)*((L21-M21)/(O21-M21)),0)</f>
        <v>3.3433879781420137E-2</v>
      </c>
      <c r="F21" s="81">
        <f t="shared" si="18"/>
        <v>0</v>
      </c>
      <c r="G21" s="81">
        <f t="shared" si="29"/>
        <v>0.57666912568306172</v>
      </c>
      <c r="H21" s="77">
        <f t="shared" si="19"/>
        <v>0.99139508704918067</v>
      </c>
      <c r="I21" s="131">
        <f t="shared" si="15"/>
        <v>0.82039697043095949</v>
      </c>
      <c r="K21" s="112" t="s">
        <v>7</v>
      </c>
      <c r="L21" s="113">
        <f t="shared" si="16"/>
        <v>1993.7732240437158</v>
      </c>
      <c r="M21" s="112">
        <f>VLOOKUP(L21,'1- Input data'!H$3:I$56,1, TRUE)</f>
        <v>1993.5</v>
      </c>
      <c r="N21" s="114">
        <f>VLOOKUP(M21,'1- Input data'!H$3:I$56,2, TRUE)/100</f>
        <v>2.98E-2</v>
      </c>
      <c r="O21" s="112">
        <f t="shared" si="20"/>
        <v>1994.5</v>
      </c>
      <c r="P21" s="114">
        <f>VLOOKUP(O21,'1- Input data'!H$3:I$56,2, TRUE)/100</f>
        <v>4.3099999999999999E-2</v>
      </c>
      <c r="Q21" s="24"/>
      <c r="R21" s="112" t="s">
        <v>7</v>
      </c>
      <c r="S21" s="113">
        <f t="shared" si="21"/>
        <v>1993.7732240437158</v>
      </c>
      <c r="T21" s="112">
        <f t="shared" si="22"/>
        <v>1993.5</v>
      </c>
      <c r="U21" s="114">
        <f>VLOOKUP(T21,'1- Input data'!L$3:M$56,2, TRUE)/100</f>
        <v>0</v>
      </c>
      <c r="V21" s="112">
        <f t="shared" si="23"/>
        <v>1994.5</v>
      </c>
      <c r="W21" s="114">
        <f>VLOOKUP(V21,'1- Input data'!L$3:M$56,2, TRUE)/100</f>
        <v>0</v>
      </c>
      <c r="X21" s="26"/>
      <c r="Y21" s="112" t="s">
        <v>7</v>
      </c>
      <c r="Z21" s="113">
        <f t="shared" si="24"/>
        <v>1993.7732240437158</v>
      </c>
      <c r="AA21" s="112">
        <f>VLOOKUP(Z21,'1- Input data'!O$3:P$77,1, TRUE)</f>
        <v>1993.5</v>
      </c>
      <c r="AB21" s="114">
        <f>VLOOKUP(AA21,'1- Input data'!O$3:P$56,2, TRUE)</f>
        <v>27.649000000000001</v>
      </c>
      <c r="AC21" s="112">
        <f t="shared" si="25"/>
        <v>1994.5</v>
      </c>
      <c r="AD21" s="114">
        <f>VLOOKUP(AC21,'1- Input data'!O$3:P$56,2, TRUE)</f>
        <v>27.666</v>
      </c>
      <c r="AE21" s="79">
        <f t="shared" si="26"/>
        <v>27.65364480874317</v>
      </c>
      <c r="AF21" s="24"/>
      <c r="AG21" s="106" t="s">
        <v>49</v>
      </c>
      <c r="AH21" s="105" t="s">
        <v>148</v>
      </c>
      <c r="AI21" s="105" t="s">
        <v>149</v>
      </c>
      <c r="AJ21" s="105" t="s">
        <v>150</v>
      </c>
      <c r="AK21" s="105" t="s">
        <v>151</v>
      </c>
      <c r="AL21" s="108" t="s">
        <v>91</v>
      </c>
    </row>
    <row r="22" spans="1:38" x14ac:dyDescent="0.25">
      <c r="A22" s="62" t="s">
        <v>8</v>
      </c>
      <c r="B22" s="62">
        <f t="shared" si="27"/>
        <v>25</v>
      </c>
      <c r="C22" s="77">
        <f>'1- Input data'!B49/('1- Input data'!B49+'1- Input data'!C49)</f>
        <v>0.80297285739518998</v>
      </c>
      <c r="D22" s="81">
        <f t="shared" si="28"/>
        <v>0.23120109289617477</v>
      </c>
      <c r="E22" s="81">
        <f t="shared" si="17"/>
        <v>2.6551912568305398E-3</v>
      </c>
      <c r="F22" s="81">
        <f t="shared" si="18"/>
        <v>0</v>
      </c>
      <c r="G22" s="81">
        <f t="shared" si="29"/>
        <v>0.57666912568306172</v>
      </c>
      <c r="H22" s="77">
        <f t="shared" si="19"/>
        <v>1</v>
      </c>
      <c r="I22" s="131">
        <f t="shared" si="15"/>
        <v>0.80297285739518998</v>
      </c>
      <c r="K22" s="112" t="s">
        <v>8</v>
      </c>
      <c r="L22" s="113">
        <f t="shared" si="16"/>
        <v>1988.7732240437158</v>
      </c>
      <c r="M22" s="112">
        <f>VLOOKUP(L22,'1- Input data'!H$3:I$56,1, TRUE)</f>
        <v>1988.5</v>
      </c>
      <c r="N22" s="114">
        <f>VLOOKUP(M22,'1- Input data'!H$3:I$56,2, TRUE)/100</f>
        <v>2.3E-3</v>
      </c>
      <c r="O22" s="112">
        <f t="shared" si="20"/>
        <v>1989.5</v>
      </c>
      <c r="P22" s="114">
        <f>VLOOKUP(O22,'1- Input data'!H$3:I$56,2, TRUE)/100</f>
        <v>3.5999999999999999E-3</v>
      </c>
      <c r="Q22" s="24"/>
      <c r="R22" s="112" t="s">
        <v>8</v>
      </c>
      <c r="S22" s="113">
        <f t="shared" si="21"/>
        <v>1988.7732240437158</v>
      </c>
      <c r="T22" s="112">
        <f t="shared" si="22"/>
        <v>1988.5</v>
      </c>
      <c r="U22" s="114">
        <f>VLOOKUP(T22,'1- Input data'!L$3:M$56,2, TRUE)/100</f>
        <v>0</v>
      </c>
      <c r="V22" s="112">
        <f t="shared" si="23"/>
        <v>1989.5</v>
      </c>
      <c r="W22" s="114">
        <f>VLOOKUP(V22,'1- Input data'!L$3:M$56,2, TRUE)/100</f>
        <v>0</v>
      </c>
      <c r="X22" s="26"/>
      <c r="Y22" s="112" t="s">
        <v>8</v>
      </c>
      <c r="Z22" s="113">
        <f t="shared" si="24"/>
        <v>1988.7732240437158</v>
      </c>
      <c r="AA22" s="112">
        <f>VLOOKUP(Z22,'1- Input data'!O$3:P$77,1, TRUE)</f>
        <v>1988.5</v>
      </c>
      <c r="AB22" s="114">
        <f>VLOOKUP(AA22,'1- Input data'!O$3:P$56,2, TRUE)</f>
        <v>27.321000000000002</v>
      </c>
      <c r="AC22" s="112">
        <f t="shared" si="25"/>
        <v>1989.5</v>
      </c>
      <c r="AD22" s="114">
        <f>VLOOKUP(AC22,'1- Input data'!O$3:P$56,2, TRUE)</f>
        <v>27.353999999999999</v>
      </c>
      <c r="AE22" s="79">
        <f t="shared" si="26"/>
        <v>27.330016393442623</v>
      </c>
      <c r="AF22" s="24"/>
      <c r="AG22" s="113">
        <f>YEAR(D$15)+YEARFRAC(DATE(YEAR(D$15),1,1),D$15,1)</f>
        <v>2016.2732240437158</v>
      </c>
      <c r="AH22" s="112">
        <f>VLOOKUP(AG22,'1- Input data'!H$3:I$56,1, TRUE)</f>
        <v>2015.5</v>
      </c>
      <c r="AI22" s="114">
        <f>VLOOKUP(AH22,'1- Input data'!H$3:I$56,2, TRUE)/100</f>
        <v>0.22949999999999998</v>
      </c>
      <c r="AJ22" s="112">
        <f>AH22+1</f>
        <v>2016.5</v>
      </c>
      <c r="AK22" s="114">
        <f>VLOOKUP(AJ22,'1- Input data'!H$3:I$56,2, TRUE)/100</f>
        <v>0.23170000000000002</v>
      </c>
      <c r="AL22" s="77">
        <f>IFERROR(AI22+(AG22-AH22)*((AK22-AI22)/(AJ22-AH22)),0)</f>
        <v>0.23120109289617477</v>
      </c>
    </row>
    <row r="23" spans="1:38" x14ac:dyDescent="0.25">
      <c r="A23" s="62" t="s">
        <v>9</v>
      </c>
      <c r="B23" s="62">
        <f t="shared" si="27"/>
        <v>30</v>
      </c>
      <c r="C23" s="77">
        <f>'1- Input data'!B50/('1- Input data'!B50+'1- Input data'!C50)</f>
        <v>0.77930696360089413</v>
      </c>
      <c r="D23" s="81">
        <f t="shared" si="28"/>
        <v>0.23120109289617477</v>
      </c>
      <c r="E23" s="81">
        <f t="shared" si="17"/>
        <v>1.1546448087431599E-3</v>
      </c>
      <c r="F23" s="81">
        <f t="shared" si="18"/>
        <v>0</v>
      </c>
      <c r="G23" s="81">
        <f t="shared" si="29"/>
        <v>0.57666912568306172</v>
      </c>
      <c r="H23" s="77">
        <f t="shared" si="19"/>
        <v>0.99976284051912567</v>
      </c>
      <c r="I23" s="131">
        <f t="shared" si="15"/>
        <v>0.77912214356596476</v>
      </c>
      <c r="K23" s="112" t="s">
        <v>9</v>
      </c>
      <c r="L23" s="113">
        <f t="shared" si="16"/>
        <v>1983.7732240437158</v>
      </c>
      <c r="M23" s="112">
        <f>VLOOKUP(L23,'1- Input data'!H$3:I$56,1, TRUE)</f>
        <v>1983.5</v>
      </c>
      <c r="N23" s="114">
        <f>VLOOKUP(M23,'1- Input data'!H$3:I$56,2, TRUE)/100</f>
        <v>1.1000000000000001E-3</v>
      </c>
      <c r="O23" s="112">
        <f t="shared" si="20"/>
        <v>1984.5</v>
      </c>
      <c r="P23" s="114">
        <f>VLOOKUP(O23,'1- Input data'!H$3:I$56,2, TRUE)/100</f>
        <v>1.2999999999999999E-3</v>
      </c>
      <c r="Q23" s="24"/>
      <c r="R23" s="112" t="s">
        <v>9</v>
      </c>
      <c r="S23" s="113">
        <f t="shared" si="21"/>
        <v>1983.7732240437158</v>
      </c>
      <c r="T23" s="112">
        <f t="shared" si="22"/>
        <v>1983.5</v>
      </c>
      <c r="U23" s="114">
        <f>VLOOKUP(T23,'1- Input data'!L$3:M$56,2, TRUE)/100</f>
        <v>0</v>
      </c>
      <c r="V23" s="112">
        <f t="shared" si="23"/>
        <v>1984.5</v>
      </c>
      <c r="W23" s="114">
        <f>VLOOKUP(V23,'1- Input data'!L$3:M$56,2, TRUE)/100</f>
        <v>0</v>
      </c>
      <c r="X23" s="26"/>
      <c r="Y23" s="112" t="s">
        <v>9</v>
      </c>
      <c r="Z23" s="113">
        <f t="shared" si="24"/>
        <v>1983.7732240437158</v>
      </c>
      <c r="AA23" s="112">
        <f>VLOOKUP(Z23,'1- Input data'!O$3:P$77,1, TRUE)</f>
        <v>1983.5</v>
      </c>
      <c r="AB23" s="114">
        <f>VLOOKUP(AA23,'1- Input data'!O$3:P$56,2, TRUE)</f>
        <v>27.300999999999998</v>
      </c>
      <c r="AC23" s="112">
        <f t="shared" si="25"/>
        <v>1984.5</v>
      </c>
      <c r="AD23" s="114">
        <f>VLOOKUP(AC23,'1- Input data'!O$3:P$56,2, TRUE)</f>
        <v>27.183</v>
      </c>
      <c r="AE23" s="79">
        <f t="shared" si="26"/>
        <v>27.268759562841534</v>
      </c>
      <c r="AF23" s="24"/>
    </row>
    <row r="24" spans="1:38" x14ac:dyDescent="0.25">
      <c r="A24" s="62" t="s">
        <v>10</v>
      </c>
      <c r="B24" s="62">
        <f t="shared" si="27"/>
        <v>35</v>
      </c>
      <c r="C24" s="77">
        <f>'1- Input data'!B51/('1- Input data'!B51+'1- Input data'!C51)</f>
        <v>0.74447591532676294</v>
      </c>
      <c r="D24" s="81">
        <f t="shared" si="28"/>
        <v>0.23120109289617477</v>
      </c>
      <c r="E24" s="81">
        <f t="shared" si="17"/>
        <v>4.2732240437158E-4</v>
      </c>
      <c r="F24" s="81">
        <f t="shared" si="18"/>
        <v>0</v>
      </c>
      <c r="G24" s="81">
        <f t="shared" si="29"/>
        <v>0.57666912568306172</v>
      </c>
      <c r="H24" s="77">
        <v>1</v>
      </c>
      <c r="I24" s="131">
        <f t="shared" si="15"/>
        <v>0.74447591532676294</v>
      </c>
      <c r="K24" s="112" t="s">
        <v>10</v>
      </c>
      <c r="L24" s="113">
        <f t="shared" si="16"/>
        <v>1978.7732240437158</v>
      </c>
      <c r="M24" s="112">
        <f>VLOOKUP(L24,'1- Input data'!H$3:I$56,1, TRUE)</f>
        <v>1978.5</v>
      </c>
      <c r="N24" s="114">
        <f>VLOOKUP(M24,'1- Input data'!H$3:I$56,2, TRUE)/100</f>
        <v>4.0000000000000002E-4</v>
      </c>
      <c r="O24" s="112">
        <f t="shared" si="20"/>
        <v>1979.5</v>
      </c>
      <c r="P24" s="114">
        <f>VLOOKUP(O24,'1- Input data'!H$3:I$56,2, TRUE)/100</f>
        <v>5.0000000000000001E-4</v>
      </c>
      <c r="Q24" s="24"/>
      <c r="R24" s="112" t="s">
        <v>10</v>
      </c>
      <c r="S24" s="113">
        <f t="shared" si="21"/>
        <v>1978.7732240437158</v>
      </c>
      <c r="T24" s="112">
        <f t="shared" si="22"/>
        <v>1978.5</v>
      </c>
      <c r="U24" s="114">
        <f>VLOOKUP(T24,'1- Input data'!L$3:M$56,2, TRUE)/100</f>
        <v>0</v>
      </c>
      <c r="V24" s="112">
        <f t="shared" si="23"/>
        <v>1979.5</v>
      </c>
      <c r="W24" s="114">
        <f>VLOOKUP(V24,'1- Input data'!L$3:M$56,2, TRUE)/100</f>
        <v>0</v>
      </c>
      <c r="X24" s="26"/>
      <c r="Y24" s="112" t="s">
        <v>10</v>
      </c>
      <c r="Z24" s="113">
        <f t="shared" si="24"/>
        <v>1978.7732240437158</v>
      </c>
      <c r="AA24" s="112">
        <f>VLOOKUP(Z24,'1- Input data'!O$3:P$77,1, TRUE)</f>
        <v>1978.5</v>
      </c>
      <c r="AB24" s="114">
        <f>VLOOKUP(AA24,'1- Input data'!O$3:P$56,2, TRUE)</f>
        <v>27.600999999999999</v>
      </c>
      <c r="AC24" s="112">
        <f t="shared" si="25"/>
        <v>1979.5</v>
      </c>
      <c r="AD24" s="114">
        <f>VLOOKUP(AC24,'1- Input data'!O$3:P$56,2, TRUE)</f>
        <v>27.59</v>
      </c>
      <c r="AE24" s="79">
        <f t="shared" si="26"/>
        <v>27.597994535519124</v>
      </c>
      <c r="AF24" s="24"/>
    </row>
    <row r="25" spans="1:38" x14ac:dyDescent="0.25">
      <c r="A25" s="62" t="s">
        <v>11</v>
      </c>
      <c r="B25" s="62">
        <f t="shared" si="27"/>
        <v>40</v>
      </c>
      <c r="C25" s="77">
        <f>'1- Input data'!B52/('1- Input data'!B52+'1- Input data'!C52)</f>
        <v>0.66744912947357338</v>
      </c>
      <c r="D25" s="81">
        <f t="shared" si="28"/>
        <v>0.23120109289617477</v>
      </c>
      <c r="E25" s="81">
        <f t="shared" si="17"/>
        <v>1E-4</v>
      </c>
      <c r="F25" s="81">
        <f t="shared" si="18"/>
        <v>0</v>
      </c>
      <c r="G25" s="81">
        <f t="shared" si="29"/>
        <v>0.57666912568306172</v>
      </c>
      <c r="H25" s="77">
        <v>1</v>
      </c>
      <c r="I25" s="131">
        <f t="shared" si="15"/>
        <v>0.66744912947357338</v>
      </c>
      <c r="K25" s="112" t="s">
        <v>11</v>
      </c>
      <c r="L25" s="113">
        <f t="shared" si="16"/>
        <v>1973.7732240437158</v>
      </c>
      <c r="M25" s="112">
        <f>VLOOKUP(L25,'1- Input data'!H$3:I$56,1, TRUE)</f>
        <v>1973.5</v>
      </c>
      <c r="N25" s="114">
        <f>VLOOKUP(M25,'1- Input data'!H$3:I$56,2, TRUE)/100</f>
        <v>1E-4</v>
      </c>
      <c r="O25" s="112">
        <f t="shared" si="20"/>
        <v>1974.5</v>
      </c>
      <c r="P25" s="114">
        <f>VLOOKUP(O25,'1- Input data'!H$3:I$56,2, TRUE)/100</f>
        <v>1E-4</v>
      </c>
      <c r="Q25" s="24"/>
      <c r="R25" s="112" t="s">
        <v>11</v>
      </c>
      <c r="S25" s="113">
        <f t="shared" si="21"/>
        <v>1973.7732240437158</v>
      </c>
      <c r="T25" s="112">
        <f t="shared" si="22"/>
        <v>1973.5</v>
      </c>
      <c r="U25" s="114">
        <f>VLOOKUP(T25,'1- Input data'!L$3:M$56,2, TRUE)/100</f>
        <v>0</v>
      </c>
      <c r="V25" s="112">
        <f t="shared" si="23"/>
        <v>1974.5</v>
      </c>
      <c r="W25" s="114">
        <f>VLOOKUP(V25,'1- Input data'!L$3:M$56,2, TRUE)/100</f>
        <v>0</v>
      </c>
      <c r="X25" s="26"/>
      <c r="Y25" s="112" t="s">
        <v>11</v>
      </c>
      <c r="Z25" s="113">
        <f t="shared" si="24"/>
        <v>1973.7732240437158</v>
      </c>
      <c r="AA25" s="112">
        <f>VLOOKUP(Z25,'1- Input data'!O$3:P$77,1, TRUE)</f>
        <v>1973.5</v>
      </c>
      <c r="AB25" s="114">
        <f>VLOOKUP(AA25,'1- Input data'!O$3:P$56,2, TRUE)</f>
        <v>27.706</v>
      </c>
      <c r="AC25" s="112">
        <f t="shared" si="25"/>
        <v>1974.5</v>
      </c>
      <c r="AD25" s="114">
        <f>VLOOKUP(AC25,'1- Input data'!O$3:P$56,2, TRUE)</f>
        <v>27.678000000000001</v>
      </c>
      <c r="AE25" s="79">
        <f t="shared" si="26"/>
        <v>27.698349726775959</v>
      </c>
      <c r="AF25" s="24"/>
    </row>
    <row r="26" spans="1:38" x14ac:dyDescent="0.25">
      <c r="A26" s="62" t="s">
        <v>12</v>
      </c>
      <c r="B26" s="62">
        <f t="shared" si="27"/>
        <v>45</v>
      </c>
      <c r="C26" s="77">
        <f>'1- Input data'!B53/('1- Input data'!B53+'1- Input data'!C53)</f>
        <v>0.56531153938350054</v>
      </c>
      <c r="D26" s="81">
        <f t="shared" si="28"/>
        <v>0.23120109289617477</v>
      </c>
      <c r="E26" s="81">
        <f t="shared" si="17"/>
        <v>0</v>
      </c>
      <c r="F26" s="81">
        <f t="shared" si="18"/>
        <v>0</v>
      </c>
      <c r="G26" s="81">
        <f t="shared" si="29"/>
        <v>0.57666912568306172</v>
      </c>
      <c r="H26" s="77">
        <v>1</v>
      </c>
      <c r="I26" s="131">
        <f t="shared" si="15"/>
        <v>0.56531153938350054</v>
      </c>
      <c r="K26" s="112" t="s">
        <v>12</v>
      </c>
      <c r="L26" s="113">
        <f t="shared" si="16"/>
        <v>1968.7732240437158</v>
      </c>
      <c r="M26" s="112" t="e">
        <f>VLOOKUP(L26,'1- Input data'!H$3:I$56,1, TRUE)</f>
        <v>#N/A</v>
      </c>
      <c r="N26" s="114" t="e">
        <f>VLOOKUP(M26,'1- Input data'!H$3:I$56,2, TRUE)/100</f>
        <v>#N/A</v>
      </c>
      <c r="O26" s="112" t="e">
        <f t="shared" si="20"/>
        <v>#N/A</v>
      </c>
      <c r="P26" s="114" t="e">
        <f>VLOOKUP(O26,'1- Input data'!H$3:I$56,2, TRUE)/100</f>
        <v>#N/A</v>
      </c>
      <c r="Q26" s="24"/>
      <c r="R26" s="112" t="s">
        <v>12</v>
      </c>
      <c r="S26" s="113">
        <f t="shared" si="21"/>
        <v>1968.7732240437158</v>
      </c>
      <c r="T26" s="112" t="e">
        <f t="shared" si="22"/>
        <v>#N/A</v>
      </c>
      <c r="U26" s="114" t="e">
        <f>VLOOKUP(T26,'1- Input data'!L$3:M$56,2, TRUE)/100</f>
        <v>#N/A</v>
      </c>
      <c r="V26" s="112" t="e">
        <f t="shared" si="23"/>
        <v>#N/A</v>
      </c>
      <c r="W26" s="114" t="e">
        <f>VLOOKUP(V26,'1- Input data'!L$3:M$56,2, TRUE)/100</f>
        <v>#N/A</v>
      </c>
      <c r="X26" s="26"/>
      <c r="Y26" s="112" t="s">
        <v>12</v>
      </c>
      <c r="Z26" s="113">
        <f t="shared" si="24"/>
        <v>1968.7732240437158</v>
      </c>
      <c r="AA26" s="112">
        <f>VLOOKUP(Z26,'1- Input data'!O$3:P$77,1, TRUE)</f>
        <v>1968.5</v>
      </c>
      <c r="AB26" s="114">
        <f>VLOOKUP(AA26,'1- Input data'!O$3:P$56,2, TRUE)</f>
        <v>27.832999999999998</v>
      </c>
      <c r="AC26" s="112">
        <f t="shared" si="25"/>
        <v>1969.5</v>
      </c>
      <c r="AD26" s="114">
        <f>VLOOKUP(AC26,'1- Input data'!O$3:P$56,2, TRUE)</f>
        <v>27.808</v>
      </c>
      <c r="AE26" s="79">
        <f t="shared" si="26"/>
        <v>27.826169398907105</v>
      </c>
      <c r="AF26" s="24"/>
      <c r="AG26" s="24"/>
      <c r="AH26" s="24"/>
      <c r="AI26" s="24"/>
      <c r="AJ26" s="24"/>
      <c r="AK26" s="24"/>
    </row>
    <row r="27" spans="1:38" ht="14.4" thickBot="1" x14ac:dyDescent="0.3">
      <c r="A27" s="65" t="s">
        <v>13</v>
      </c>
      <c r="B27" s="65">
        <f t="shared" si="27"/>
        <v>50</v>
      </c>
      <c r="C27" s="84">
        <f>'1- Input data'!B54/('1- Input data'!B54+'1- Input data'!C54)</f>
        <v>0.43864258611582002</v>
      </c>
      <c r="D27" s="86">
        <f t="shared" si="28"/>
        <v>0.23120109289617477</v>
      </c>
      <c r="E27" s="86">
        <f t="shared" si="17"/>
        <v>0</v>
      </c>
      <c r="F27" s="86">
        <f t="shared" si="18"/>
        <v>0</v>
      </c>
      <c r="G27" s="86">
        <f t="shared" si="29"/>
        <v>0.57666912568306172</v>
      </c>
      <c r="H27" s="84">
        <v>1</v>
      </c>
      <c r="I27" s="132">
        <f t="shared" si="15"/>
        <v>0.43864258611582002</v>
      </c>
      <c r="K27" s="117" t="s">
        <v>13</v>
      </c>
      <c r="L27" s="118">
        <f t="shared" si="16"/>
        <v>1963.7732240437158</v>
      </c>
      <c r="M27" s="117" t="e">
        <f>VLOOKUP(L27,'1- Input data'!H$3:I$56,1, TRUE)</f>
        <v>#N/A</v>
      </c>
      <c r="N27" s="119" t="e">
        <f>VLOOKUP(M27,'1- Input data'!H$3:I$56,2, TRUE)/100</f>
        <v>#N/A</v>
      </c>
      <c r="O27" s="117" t="e">
        <f t="shared" si="20"/>
        <v>#N/A</v>
      </c>
      <c r="P27" s="119" t="e">
        <f>VLOOKUP(O27,'1- Input data'!H$3:I$56,2, TRUE)/100</f>
        <v>#N/A</v>
      </c>
      <c r="Q27" s="24"/>
      <c r="R27" s="117" t="s">
        <v>13</v>
      </c>
      <c r="S27" s="118">
        <f t="shared" si="21"/>
        <v>1963.7732240437158</v>
      </c>
      <c r="T27" s="117" t="e">
        <f t="shared" si="22"/>
        <v>#N/A</v>
      </c>
      <c r="U27" s="119" t="e">
        <f>VLOOKUP(T27,'1- Input data'!L$3:M$56,2, TRUE)/100</f>
        <v>#N/A</v>
      </c>
      <c r="V27" s="117" t="e">
        <f t="shared" si="23"/>
        <v>#N/A</v>
      </c>
      <c r="W27" s="119" t="e">
        <f>VLOOKUP(V27,'1- Input data'!L$3:M$56,2, TRUE)/100</f>
        <v>#N/A</v>
      </c>
      <c r="X27" s="26"/>
      <c r="Y27" s="117" t="s">
        <v>13</v>
      </c>
      <c r="Z27" s="118">
        <f t="shared" si="24"/>
        <v>1963.7732240437158</v>
      </c>
      <c r="AA27" s="117">
        <f>VLOOKUP(Z27,'1- Input data'!O$3:P$77,1, TRUE)</f>
        <v>1963.5</v>
      </c>
      <c r="AB27" s="119">
        <f>VLOOKUP(AA27,'1- Input data'!O$3:P$56,2, TRUE)</f>
        <v>28.081</v>
      </c>
      <c r="AC27" s="117">
        <f t="shared" si="25"/>
        <v>1964.5</v>
      </c>
      <c r="AD27" s="119">
        <f>VLOOKUP(AC27,'1- Input data'!O$3:P$56,2, TRUE)</f>
        <v>27.986000000000001</v>
      </c>
      <c r="AE27" s="117"/>
      <c r="AF27" s="24"/>
      <c r="AG27" s="24"/>
      <c r="AH27" s="24"/>
      <c r="AI27" s="24"/>
      <c r="AJ27" s="24"/>
      <c r="AK27" s="158" t="s">
        <v>163</v>
      </c>
      <c r="AL27" s="27">
        <f>AL22*(1-AL17)-AL8*(1-AL3)</f>
        <v>-6.4189287861035005E-2</v>
      </c>
    </row>
    <row r="29" spans="1:38" x14ac:dyDescent="0.25">
      <c r="A29" s="8" t="s">
        <v>21</v>
      </c>
    </row>
    <row r="30" spans="1:38" ht="16.2" x14ac:dyDescent="0.35">
      <c r="A30" s="108" t="s">
        <v>15</v>
      </c>
      <c r="B30" s="76" t="s">
        <v>105</v>
      </c>
      <c r="C30" s="76" t="s">
        <v>106</v>
      </c>
      <c r="D30" s="76" t="s">
        <v>107</v>
      </c>
      <c r="E30" s="22"/>
      <c r="F30" s="22"/>
    </row>
    <row r="31" spans="1:38" x14ac:dyDescent="0.25">
      <c r="A31" s="62">
        <v>0</v>
      </c>
      <c r="B31" s="109">
        <v>1</v>
      </c>
      <c r="C31" s="109">
        <v>-8.1299999999999997E-2</v>
      </c>
      <c r="D31" s="109">
        <v>-1.2999999999999999E-3</v>
      </c>
      <c r="E31" s="27"/>
      <c r="F31" s="27"/>
      <c r="I31" s="54"/>
    </row>
    <row r="32" spans="1:38" x14ac:dyDescent="0.25">
      <c r="A32" s="62">
        <v>5</v>
      </c>
      <c r="B32" s="109">
        <v>1</v>
      </c>
      <c r="C32" s="109">
        <v>-0.2296</v>
      </c>
      <c r="D32" s="109">
        <v>3.2000000000000002E-3</v>
      </c>
      <c r="E32" s="27"/>
      <c r="F32" s="27"/>
      <c r="I32" s="54"/>
    </row>
    <row r="33" spans="1:9" x14ac:dyDescent="0.25">
      <c r="A33" s="62">
        <v>10</v>
      </c>
      <c r="B33" s="109">
        <v>1</v>
      </c>
      <c r="C33" s="109">
        <v>-0.3594</v>
      </c>
      <c r="D33" s="109">
        <v>1.6400000000000001E-2</v>
      </c>
      <c r="E33" s="27"/>
      <c r="F33" s="27"/>
      <c r="I33" s="54"/>
    </row>
    <row r="34" spans="1:9" x14ac:dyDescent="0.25">
      <c r="A34" s="62">
        <v>15</v>
      </c>
      <c r="B34" s="109">
        <v>1</v>
      </c>
      <c r="C34" s="109">
        <v>-0.4672</v>
      </c>
      <c r="D34" s="109">
        <v>2.64E-2</v>
      </c>
      <c r="E34" s="27"/>
      <c r="F34" s="27"/>
      <c r="I34" s="54"/>
    </row>
    <row r="35" spans="1:9" x14ac:dyDescent="0.25">
      <c r="A35" s="62">
        <v>20</v>
      </c>
      <c r="B35" s="109">
        <v>0.99990000000000001</v>
      </c>
      <c r="C35" s="109">
        <v>-0.52</v>
      </c>
      <c r="D35" s="109">
        <v>1.54E-2</v>
      </c>
      <c r="E35" s="27"/>
      <c r="F35" s="27"/>
      <c r="I35" s="54"/>
    </row>
    <row r="36" spans="1:9" x14ac:dyDescent="0.25">
      <c r="A36" s="62">
        <v>25</v>
      </c>
      <c r="B36" s="109">
        <v>0.99990000000000001</v>
      </c>
      <c r="C36" s="109">
        <v>-0.55000000000000004</v>
      </c>
      <c r="D36" s="109">
        <v>5.4000000000000003E-3</v>
      </c>
      <c r="E36" s="27"/>
      <c r="F36" s="27"/>
      <c r="I36" s="54"/>
    </row>
    <row r="37" spans="1:9" x14ac:dyDescent="0.25">
      <c r="A37" s="65">
        <v>30</v>
      </c>
      <c r="B37" s="110">
        <v>1</v>
      </c>
      <c r="C37" s="110">
        <v>-0.55500000000000005</v>
      </c>
      <c r="D37" s="110">
        <v>6.9999999999999999E-4</v>
      </c>
      <c r="E37" s="27"/>
      <c r="F37" s="27"/>
      <c r="I37" s="54"/>
    </row>
    <row r="38" spans="1:9" x14ac:dyDescent="0.25">
      <c r="I38" s="54"/>
    </row>
    <row r="39" spans="1:9" x14ac:dyDescent="0.25">
      <c r="I39" s="54"/>
    </row>
  </sheetData>
  <conditionalFormatting sqref="D3:G13">
    <cfRule type="cellIs" dxfId="9" priority="4" operator="greaterThan">
      <formula>0</formula>
    </cfRule>
    <cfRule type="cellIs" dxfId="8" priority="5" operator="equal">
      <formula>0</formula>
    </cfRule>
  </conditionalFormatting>
  <conditionalFormatting sqref="D17:G27">
    <cfRule type="cellIs" dxfId="7" priority="2" operator="greaterThan">
      <formula>0</formula>
    </cfRule>
    <cfRule type="cellIs" dxfId="6" priority="3" operator="equal">
      <formula>0</formula>
    </cfRule>
  </conditionalFormatting>
  <conditionalFormatting sqref="H3:H13">
    <cfRule type="cellIs" dxfId="5" priority="10" operator="lessThan">
      <formula>1</formula>
    </cfRule>
    <cfRule type="cellIs" dxfId="4" priority="11" operator="equal">
      <formula>1</formula>
    </cfRule>
  </conditionalFormatting>
  <conditionalFormatting sqref="H17:H27">
    <cfRule type="cellIs" dxfId="3" priority="6" operator="lessThan">
      <formula>1</formula>
    </cfRule>
    <cfRule type="cellIs" dxfId="2" priority="7" operator="equal">
      <formula>1</formula>
    </cfRule>
  </conditionalFormatting>
  <conditionalFormatting sqref="N3:N13 U3:U13 W3:W13 N17:N27 U17:U27 W17:W27">
    <cfRule type="cellIs" dxfId="1" priority="1" operator="equal">
      <formula>0</formula>
    </cfRule>
  </conditionalFormatting>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X41"/>
  <sheetViews>
    <sheetView tabSelected="1" workbookViewId="0"/>
  </sheetViews>
  <sheetFormatPr defaultRowHeight="14.4" x14ac:dyDescent="0.3"/>
  <cols>
    <col min="1" max="3" width="11" style="9" customWidth="1"/>
    <col min="4" max="4" width="11.33203125" style="9" customWidth="1"/>
    <col min="5" max="20" width="11" style="9" customWidth="1"/>
    <col min="22" max="22" width="8.88671875" style="9"/>
    <col min="23" max="23" width="17.44140625" style="9" bestFit="1" customWidth="1"/>
    <col min="24" max="16384" width="8.88671875" style="9"/>
  </cols>
  <sheetData>
    <row r="1" spans="1:24" ht="44.4" customHeight="1" x14ac:dyDescent="0.35">
      <c r="A1" s="74" t="s">
        <v>14</v>
      </c>
      <c r="B1" s="75" t="s">
        <v>15</v>
      </c>
      <c r="C1" s="76" t="s">
        <v>142</v>
      </c>
      <c r="D1" s="76" t="s">
        <v>147</v>
      </c>
      <c r="E1" s="76" t="s">
        <v>22</v>
      </c>
      <c r="F1" s="76" t="s">
        <v>24</v>
      </c>
      <c r="G1" s="76" t="s">
        <v>143</v>
      </c>
      <c r="H1" s="76" t="s">
        <v>144</v>
      </c>
      <c r="I1" s="157" t="s">
        <v>104</v>
      </c>
      <c r="J1" s="76" t="s">
        <v>146</v>
      </c>
      <c r="K1" s="157" t="s">
        <v>164</v>
      </c>
      <c r="L1" s="75" t="str">
        <f>IF($J3=0,B14,G14)</f>
        <v>β5</v>
      </c>
      <c r="M1" s="75" t="str">
        <f t="shared" ref="M1:P1" si="0">IF($J3=0,C14,H14)</f>
        <v>β6</v>
      </c>
      <c r="N1" s="75" t="str">
        <f t="shared" si="0"/>
        <v>β7</v>
      </c>
      <c r="O1" s="75" t="str">
        <f t="shared" si="0"/>
        <v>β8</v>
      </c>
      <c r="P1" s="75" t="str">
        <f t="shared" si="0"/>
        <v>β9</v>
      </c>
      <c r="Q1" s="76" t="s">
        <v>110</v>
      </c>
      <c r="R1" s="76" t="s">
        <v>158</v>
      </c>
      <c r="S1" s="76" t="s">
        <v>55</v>
      </c>
      <c r="T1" s="76" t="s">
        <v>171</v>
      </c>
      <c r="U1" s="76" t="s">
        <v>111</v>
      </c>
      <c r="V1"/>
    </row>
    <row r="2" spans="1:24" x14ac:dyDescent="0.3">
      <c r="A2" s="62" t="s">
        <v>3</v>
      </c>
      <c r="B2" s="62"/>
      <c r="C2" s="77">
        <f>'2- Adjustments to proportions'!I3</f>
        <v>0.96510054870227091</v>
      </c>
      <c r="D2" s="77">
        <f>'2- Adjustments to proportions'!I17</f>
        <v>0.98970481037828095</v>
      </c>
      <c r="E2" s="77">
        <f>LN(D2/C2)/'1- Input data'!C$4</f>
        <v>2.7505000289861407E-3</v>
      </c>
      <c r="F2" s="77">
        <f>SQRT(D2*C2)*EXP(E2*2.5)</f>
        <v>0.98406874701749281</v>
      </c>
      <c r="G2" s="78"/>
      <c r="H2" s="62"/>
      <c r="I2" s="79"/>
      <c r="J2" s="62"/>
      <c r="K2" s="62"/>
      <c r="L2" s="62"/>
      <c r="M2" s="62"/>
      <c r="N2" s="62"/>
      <c r="O2" s="62"/>
      <c r="P2" s="62"/>
      <c r="Q2" s="62"/>
      <c r="R2" s="62"/>
      <c r="S2" s="62"/>
      <c r="T2" s="62"/>
      <c r="U2" s="62"/>
      <c r="V2"/>
    </row>
    <row r="3" spans="1:24" x14ac:dyDescent="0.3">
      <c r="A3" s="63" t="s">
        <v>4</v>
      </c>
      <c r="B3" s="80">
        <v>10</v>
      </c>
      <c r="C3" s="77">
        <f>'2- Adjustments to proportions'!I4</f>
        <v>0.91237433784464084</v>
      </c>
      <c r="D3" s="77">
        <f>'2- Adjustments to proportions'!I18</f>
        <v>0.94682000390828658</v>
      </c>
      <c r="E3" s="77">
        <f>LN(D3/C3)/'1- Input data'!C$4</f>
        <v>4.0489405403011606E-3</v>
      </c>
      <c r="F3" s="77">
        <f>SQRT(D3*C3)*EXP(E2*5+E3*2.5)</f>
        <v>0.95189481112593366</v>
      </c>
      <c r="G3" s="78">
        <f>IF(Instructions!D$14="Recent births", ('1- Input data'!D$37+'1- Input data'!D$71)/2, ('2- Adjustments to proportions'!AE4+'2- Adjustments to proportions'!AE18)/2)</f>
        <v>27.093958904109584</v>
      </c>
      <c r="H3" s="81">
        <f>'2- Adjustments to proportions'!AS8</f>
        <v>0.21646474137285729</v>
      </c>
      <c r="I3" s="81">
        <f>'2- Adjustments to proportions'!D18-'2- Adjustments to proportions'!D4</f>
        <v>4.2791640841379874E-2</v>
      </c>
      <c r="J3" s="81">
        <f>'2- Adjustments to proportions'!AS3</f>
        <v>0.4498316430870582</v>
      </c>
      <c r="K3" s="81">
        <f>'2- Adjustments to proportions'!AL27</f>
        <v>-6.4189287861035005E-2</v>
      </c>
      <c r="L3" s="77">
        <f>IF(J3=0,B15,G15)</f>
        <v>-0.353182881308647</v>
      </c>
      <c r="M3" s="82">
        <f t="shared" ref="M3:M10" si="1">IF(J3=0,C15,H15)</f>
        <v>2.0713827306276301E-3</v>
      </c>
      <c r="N3" s="77">
        <f t="shared" ref="N3:N10" si="2">IF(J3=0,D15,I15)</f>
        <v>1.3029672904268099</v>
      </c>
      <c r="O3" s="77">
        <f t="shared" ref="O3:O10" si="3">IF(J3=0,E15,J15)</f>
        <v>-0.13362230771643299</v>
      </c>
      <c r="P3" s="77">
        <f t="shared" ref="P3:P10" si="4">IF(J3=0,F15,K15)</f>
        <v>-1.73920887716492E-3</v>
      </c>
      <c r="Q3" s="81">
        <f>L3+M3*G3+N3*F3+O3*H3*(1-J3)+P3*IF(J3=0,I3,K3)</f>
        <v>0.92742516397560359</v>
      </c>
      <c r="R3" s="81">
        <f>0.5*LN((1-Q3)/Q3)</f>
        <v>-1.2738969274863743</v>
      </c>
      <c r="S3" s="77">
        <f>-0.5*LN(1+(Q3/C30-1/$C$28)/(1-Q3))</f>
        <v>-0.28689988737702082</v>
      </c>
      <c r="T3" s="81">
        <f>1-(1+EXP(2*(S3+$B$28)))/(1+EXP(2*(S3+$B$33)))</f>
        <v>0.1556995862557139</v>
      </c>
      <c r="U3" s="81">
        <f t="shared" ref="U3:U10" si="5">1-(1+EXP(2*(S3+$B$26)))/(1+EXP(2*(S3+$B$35)))</f>
        <v>0.30258796992944792</v>
      </c>
      <c r="V3"/>
    </row>
    <row r="4" spans="1:24" x14ac:dyDescent="0.3">
      <c r="A4" s="64" t="s">
        <v>5</v>
      </c>
      <c r="B4" s="80">
        <f t="shared" ref="B4:B10" si="6">B3+5</f>
        <v>15</v>
      </c>
      <c r="C4" s="77">
        <f>'2- Adjustments to proportions'!I5</f>
        <v>0.89149489257294756</v>
      </c>
      <c r="D4" s="77">
        <f>'2- Adjustments to proportions'!I19</f>
        <v>0.87504521946028002</v>
      </c>
      <c r="E4" s="77">
        <f>LN(D4/C4)/'1- Input data'!C$4</f>
        <v>-2.0348304314995202E-3</v>
      </c>
      <c r="F4" s="77">
        <f>SQRT(D4*C4)*EXP(SUM(E$2:E3)*5+E4*2.5)</f>
        <v>0.90913878664505099</v>
      </c>
      <c r="G4" s="78">
        <f>IF(Instructions!D$14="Recent births", ('1- Input data'!D$37+'1- Input data'!D$71)/2, ('2- Adjustments to proportions'!AE5+'2- Adjustments to proportions'!AE19)/2)</f>
        <v>27.326510958904109</v>
      </c>
      <c r="H4" s="81">
        <f>H3</f>
        <v>0.21646474137285729</v>
      </c>
      <c r="I4" s="81">
        <f>'2- Adjustments to proportions'!D19-'2- Adjustments to proportions'!D5</f>
        <v>4.2791640841379874E-2</v>
      </c>
      <c r="J4" s="81">
        <f>J3</f>
        <v>0.4498316430870582</v>
      </c>
      <c r="K4" s="81">
        <f>K3</f>
        <v>-6.4189287861035005E-2</v>
      </c>
      <c r="L4" s="77">
        <f t="shared" ref="L4:L10" si="7">IF(J4=0,B16,G16)</f>
        <v>-0.23931832774074599</v>
      </c>
      <c r="M4" s="82">
        <f>IF(J4=0,C16,H16)</f>
        <v>2.5806310733475901E-3</v>
      </c>
      <c r="N4" s="77">
        <f t="shared" si="2"/>
        <v>1.17315156049862</v>
      </c>
      <c r="O4" s="77">
        <f t="shared" si="3"/>
        <v>-0.10556068041505901</v>
      </c>
      <c r="P4" s="77">
        <f t="shared" si="4"/>
        <v>1.83429690620448E-2</v>
      </c>
      <c r="Q4" s="81">
        <f t="shared" ref="Q4:Q10" si="8">L4+M4*G4+N4*F4+O4*H4*(1-J4)+P4*IF(J4=0,I4,K4)</f>
        <v>0.8840100417619311</v>
      </c>
      <c r="R4" s="81">
        <f t="shared" ref="R4:R10" si="9">0.5*LN((1-Q4)/Q4)</f>
        <v>-1.0154824007931447</v>
      </c>
      <c r="S4" s="77">
        <f t="shared" ref="S4:S9" si="10">-0.5*LN(1+(Q4/C31-1/$C$28)/(1-Q4))</f>
        <v>-0.19474736993910288</v>
      </c>
      <c r="T4" s="81">
        <f t="shared" ref="T4:T10" si="11">1-(1+EXP(2*(S4+$B$28)))/(1+EXP(2*(S4+$B$33)))</f>
        <v>0.17818999868800567</v>
      </c>
      <c r="U4" s="81">
        <f t="shared" si="5"/>
        <v>0.33974226375067174</v>
      </c>
      <c r="V4"/>
    </row>
    <row r="5" spans="1:24" x14ac:dyDescent="0.3">
      <c r="A5" s="62" t="s">
        <v>6</v>
      </c>
      <c r="B5" s="80">
        <f t="shared" si="6"/>
        <v>20</v>
      </c>
      <c r="C5" s="77">
        <f>'2- Adjustments to proportions'!I6</f>
        <v>0.87917852950725506</v>
      </c>
      <c r="D5" s="77">
        <f>'2- Adjustments to proportions'!I20</f>
        <v>0.83407690451860494</v>
      </c>
      <c r="E5" s="77">
        <f>LN(D5/C5)/'1- Input data'!C$4</f>
        <v>-5.7537677479516242E-3</v>
      </c>
      <c r="F5" s="77">
        <f>SQRT(D5*C5)*EXP(SUM(E$2:E4)*5+E5*2.5)</f>
        <v>0.86445169501549846</v>
      </c>
      <c r="G5" s="78">
        <f>IF(Instructions!D$14="Recent births", ('1- Input data'!D$37+'1- Input data'!D$71)/2, ('2- Adjustments to proportions'!AE6+'2- Adjustments to proportions'!AE20)/2)</f>
        <v>27.331552638670562</v>
      </c>
      <c r="H5" s="81">
        <f t="shared" ref="H5:K10" si="12">H4</f>
        <v>0.21646474137285729</v>
      </c>
      <c r="I5" s="81">
        <f>'2- Adjustments to proportions'!D20-'2- Adjustments to proportions'!D6</f>
        <v>4.2791640841379874E-2</v>
      </c>
      <c r="J5" s="81">
        <f t="shared" si="12"/>
        <v>0.4498316430870582</v>
      </c>
      <c r="K5" s="81">
        <f t="shared" si="12"/>
        <v>-6.4189287861035005E-2</v>
      </c>
      <c r="L5" s="77">
        <f t="shared" si="7"/>
        <v>-0.16927116322622601</v>
      </c>
      <c r="M5" s="82">
        <f t="shared" si="1"/>
        <v>3.1185128804229801E-3</v>
      </c>
      <c r="N5" s="77">
        <f>IF(J5=0,D17,I17)</f>
        <v>1.0853955190425999</v>
      </c>
      <c r="O5" s="77">
        <f t="shared" si="3"/>
        <v>-0.107118206258426</v>
      </c>
      <c r="P5" s="77">
        <f t="shared" si="4"/>
        <v>-3.2966426297575298E-2</v>
      </c>
      <c r="Q5" s="81">
        <f t="shared" si="8"/>
        <v>0.84359379645292221</v>
      </c>
      <c r="R5" s="81">
        <f t="shared" si="9"/>
        <v>-0.84260730148516094</v>
      </c>
      <c r="S5" s="77">
        <f t="shared" si="10"/>
        <v>-0.1288217358981634</v>
      </c>
      <c r="T5" s="81">
        <f t="shared" si="11"/>
        <v>0.19541949270394843</v>
      </c>
      <c r="U5" s="81">
        <f t="shared" si="5"/>
        <v>0.36726773829012105</v>
      </c>
      <c r="V5"/>
    </row>
    <row r="6" spans="1:24" x14ac:dyDescent="0.3">
      <c r="A6" s="62" t="s">
        <v>7</v>
      </c>
      <c r="B6" s="80">
        <f t="shared" si="6"/>
        <v>25</v>
      </c>
      <c r="C6" s="77">
        <f>'2- Adjustments to proportions'!I7</f>
        <v>0.86257857684217354</v>
      </c>
      <c r="D6" s="77">
        <f>'2- Adjustments to proportions'!I21</f>
        <v>0.82039697043095949</v>
      </c>
      <c r="E6" s="77">
        <f>LN(D6/C6)/'1- Input data'!C$4</f>
        <v>-5.4779514105983747E-3</v>
      </c>
      <c r="F6" s="77">
        <f>SQRT(D6*C6)*EXP(SUM(E$2:E5)*5+E6*2.5)</f>
        <v>0.82568770778658418</v>
      </c>
      <c r="G6" s="78">
        <f>IF(Instructions!D$14="Recent births", ('1- Input data'!D$37+'1- Input data'!D$71)/2, ('2- Adjustments to proportions'!AE7+'2- Adjustments to proportions'!AE21)/2)</f>
        <v>27.41976897971405</v>
      </c>
      <c r="H6" s="81">
        <f t="shared" si="12"/>
        <v>0.21646474137285729</v>
      </c>
      <c r="I6" s="81">
        <f>'2- Adjustments to proportions'!D21-'2- Adjustments to proportions'!D7</f>
        <v>4.2791640841379874E-2</v>
      </c>
      <c r="J6" s="81">
        <f t="shared" si="12"/>
        <v>0.4498316430870582</v>
      </c>
      <c r="K6" s="81">
        <f t="shared" si="12"/>
        <v>-6.4189287861035005E-2</v>
      </c>
      <c r="L6" s="77">
        <f t="shared" si="7"/>
        <v>-0.15589600299596601</v>
      </c>
      <c r="M6" s="82">
        <f t="shared" si="1"/>
        <v>4.4921083110519401E-3</v>
      </c>
      <c r="N6" s="77">
        <f t="shared" si="2"/>
        <v>1.0441897859521001</v>
      </c>
      <c r="O6" s="77">
        <f t="shared" si="3"/>
        <v>-0.18663730365778999</v>
      </c>
      <c r="P6" s="77">
        <f t="shared" si="4"/>
        <v>-0.114712444607727</v>
      </c>
      <c r="Q6" s="81">
        <f t="shared" si="8"/>
        <v>0.81458753080741142</v>
      </c>
      <c r="R6" s="81">
        <f t="shared" si="9"/>
        <v>-0.74004949073399617</v>
      </c>
      <c r="S6" s="77">
        <f t="shared" si="10"/>
        <v>-0.16668593691156275</v>
      </c>
      <c r="T6" s="81">
        <f t="shared" si="11"/>
        <v>0.18541246919258847</v>
      </c>
      <c r="U6" s="81">
        <f t="shared" si="5"/>
        <v>0.35137730533277001</v>
      </c>
      <c r="V6"/>
    </row>
    <row r="7" spans="1:24" x14ac:dyDescent="0.3">
      <c r="A7" s="62" t="s">
        <v>8</v>
      </c>
      <c r="B7" s="80">
        <f t="shared" si="6"/>
        <v>30</v>
      </c>
      <c r="C7" s="77">
        <f>'2- Adjustments to proportions'!I8</f>
        <v>0.83321403724545917</v>
      </c>
      <c r="D7" s="77">
        <f>'2- Adjustments to proportions'!I22</f>
        <v>0.80297285739518998</v>
      </c>
      <c r="E7" s="77">
        <f>LN(D7/C7)/'1- Input data'!C$4</f>
        <v>-4.03921698550658E-3</v>
      </c>
      <c r="F7" s="77">
        <f>SQRT(D7*C7)*EXP(SUM(E$2:E6)*5+E7*2.5)</f>
        <v>0.78397109158125211</v>
      </c>
      <c r="G7" s="78">
        <f>IF(Instructions!D$14="Recent births", ('1- Input data'!D$37+'1- Input data'!D$71)/2, ('2- Adjustments to proportions'!AE8+'2- Adjustments to proportions'!AE22)/2)</f>
        <v>27.457958881652818</v>
      </c>
      <c r="H7" s="81">
        <f t="shared" si="12"/>
        <v>0.21646474137285729</v>
      </c>
      <c r="I7" s="81">
        <f>'2- Adjustments to proportions'!D22-'2- Adjustments to proportions'!D8</f>
        <v>4.2791640841379874E-2</v>
      </c>
      <c r="J7" s="81">
        <f t="shared" si="12"/>
        <v>0.4498316430870582</v>
      </c>
      <c r="K7" s="81">
        <f t="shared" si="12"/>
        <v>-6.4189287861035005E-2</v>
      </c>
      <c r="L7" s="77">
        <f>IF(J7=0,B19,G19)</f>
        <v>-0.191526099927397</v>
      </c>
      <c r="M7" s="82">
        <f t="shared" si="1"/>
        <v>6.8649689996713101E-3</v>
      </c>
      <c r="N7" s="77">
        <f t="shared" si="2"/>
        <v>1.0222867172632299</v>
      </c>
      <c r="O7" s="77">
        <f t="shared" si="3"/>
        <v>-0.246632431328696</v>
      </c>
      <c r="P7" s="77">
        <f t="shared" si="4"/>
        <v>-7.5076217001971507E-2</v>
      </c>
      <c r="Q7" s="81">
        <f t="shared" si="8"/>
        <v>0.77386229702350728</v>
      </c>
      <c r="R7" s="81">
        <f t="shared" si="9"/>
        <v>-0.61512491400621039</v>
      </c>
      <c r="S7" s="77">
        <f t="shared" si="10"/>
        <v>-0.20488607021963012</v>
      </c>
      <c r="T7" s="81">
        <f t="shared" si="11"/>
        <v>0.17562232662040589</v>
      </c>
      <c r="U7" s="81">
        <f t="shared" si="5"/>
        <v>0.33557172099415278</v>
      </c>
      <c r="V7"/>
    </row>
    <row r="8" spans="1:24" x14ac:dyDescent="0.3">
      <c r="A8" s="62" t="s">
        <v>9</v>
      </c>
      <c r="B8" s="80">
        <f t="shared" si="6"/>
        <v>35</v>
      </c>
      <c r="C8" s="77">
        <f>'2- Adjustments to proportions'!I9</f>
        <v>0.78232663297279792</v>
      </c>
      <c r="D8" s="77">
        <f>'2- Adjustments to proportions'!I23</f>
        <v>0.77912214356596476</v>
      </c>
      <c r="E8" s="77">
        <f>LN(D8/C8)/'1- Input data'!C$4</f>
        <v>-4.4844956842742255E-4</v>
      </c>
      <c r="F8" s="77">
        <f>SQRT(D8*C8)*EXP(SUM(E$2:E7)*5+E8*2.5)</f>
        <v>0.73993869027444081</v>
      </c>
      <c r="G8" s="78">
        <f>IF(Instructions!D$14="Recent births", ('1- Input data'!D$37+'1- Input data'!D$71)/2, ('2- Adjustments to proportions'!AE9+'2- Adjustments to proportions'!AE23)/2)</f>
        <v>27.471149644434465</v>
      </c>
      <c r="H8" s="81">
        <f t="shared" si="12"/>
        <v>0.21646474137285729</v>
      </c>
      <c r="I8" s="81">
        <f>'2- Adjustments to proportions'!D23-'2- Adjustments to proportions'!D9</f>
        <v>4.2791640841379874E-2</v>
      </c>
      <c r="J8" s="81">
        <f t="shared" si="12"/>
        <v>0.4498316430870582</v>
      </c>
      <c r="K8" s="81">
        <f t="shared" si="12"/>
        <v>-6.4189287861035005E-2</v>
      </c>
      <c r="L8" s="77">
        <f t="shared" si="7"/>
        <v>-0.27079270379694098</v>
      </c>
      <c r="M8" s="82">
        <f t="shared" si="1"/>
        <v>9.9607014662946303E-3</v>
      </c>
      <c r="N8" s="77">
        <f t="shared" si="2"/>
        <v>1.0241012296707299</v>
      </c>
      <c r="O8" s="77">
        <f t="shared" si="3"/>
        <v>-0.221979415795482</v>
      </c>
      <c r="P8" s="77">
        <f t="shared" si="4"/>
        <v>-2.2838466171402401E-2</v>
      </c>
      <c r="Q8" s="81">
        <f t="shared" si="8"/>
        <v>0.73564134029056449</v>
      </c>
      <c r="R8" s="81">
        <f t="shared" si="9"/>
        <v>-0.51171797496124327</v>
      </c>
      <c r="S8" s="77">
        <f t="shared" si="10"/>
        <v>-0.29867829617009373</v>
      </c>
      <c r="T8" s="81">
        <f t="shared" si="11"/>
        <v>0.15296545695887298</v>
      </c>
      <c r="U8" s="81">
        <f t="shared" si="5"/>
        <v>0.29797321913866948</v>
      </c>
      <c r="V8"/>
    </row>
    <row r="9" spans="1:24" x14ac:dyDescent="0.3">
      <c r="A9" s="62" t="s">
        <v>10</v>
      </c>
      <c r="B9" s="80">
        <f t="shared" si="6"/>
        <v>40</v>
      </c>
      <c r="C9" s="77">
        <f>'2- Adjustments to proportions'!I10</f>
        <v>0.69439214805600924</v>
      </c>
      <c r="D9" s="77">
        <f>'2- Adjustments to proportions'!I24</f>
        <v>0.74447591532676294</v>
      </c>
      <c r="E9" s="77">
        <f>LN(D9/C9)/'1- Input data'!C$4</f>
        <v>7.6091019675644791E-3</v>
      </c>
      <c r="F9" s="77">
        <f>SQRT(D9*C9)*EXP(SUM(E$2:E8)*5+E9*2.5)</f>
        <v>0.69374714910877178</v>
      </c>
      <c r="G9" s="78">
        <f>IF(Instructions!D$14="Recent births", ('1- Input data'!D$37+'1- Input data'!D$71)/2, ('2- Adjustments to proportions'!AE10+'2- Adjustments to proportions'!AE24)/2)</f>
        <v>27.701852062280111</v>
      </c>
      <c r="H9" s="81">
        <f t="shared" si="12"/>
        <v>0.21646474137285729</v>
      </c>
      <c r="I9" s="81">
        <f>'2- Adjustments to proportions'!D24-'2- Adjustments to proportions'!D10</f>
        <v>4.2791640841379874E-2</v>
      </c>
      <c r="J9" s="81">
        <f t="shared" si="12"/>
        <v>0.4498316430870582</v>
      </c>
      <c r="K9" s="81">
        <f t="shared" si="12"/>
        <v>-6.4189287861035005E-2</v>
      </c>
      <c r="L9" s="77">
        <f t="shared" si="7"/>
        <v>-0.38013915478108501</v>
      </c>
      <c r="M9" s="82">
        <f t="shared" si="1"/>
        <v>1.3593055654323401E-2</v>
      </c>
      <c r="N9" s="77">
        <f t="shared" si="2"/>
        <v>1.05360033966495</v>
      </c>
      <c r="O9" s="77">
        <f t="shared" si="3"/>
        <v>-0.170765341251885</v>
      </c>
      <c r="P9" s="77">
        <f t="shared" si="4"/>
        <v>-6.9090746248952201E-2</v>
      </c>
      <c r="Q9" s="81">
        <f>L9+M9*G9+N9*F9+O9*H9*(1-J9)+P9*IF(J9=0,I9,K9)</f>
        <v>0.71144398502653383</v>
      </c>
      <c r="R9" s="81">
        <f t="shared" si="9"/>
        <v>-0.45120372998676628</v>
      </c>
      <c r="S9" s="77">
        <f t="shared" si="10"/>
        <v>-0.47677276476423269</v>
      </c>
      <c r="T9" s="81">
        <f t="shared" si="11"/>
        <v>0.11564374067718708</v>
      </c>
      <c r="U9" s="81">
        <f t="shared" si="5"/>
        <v>0.23273921388699614</v>
      </c>
      <c r="V9"/>
    </row>
    <row r="10" spans="1:24" x14ac:dyDescent="0.3">
      <c r="A10" s="65" t="s">
        <v>11</v>
      </c>
      <c r="B10" s="83">
        <f t="shared" si="6"/>
        <v>45</v>
      </c>
      <c r="C10" s="84">
        <f>'2- Adjustments to proportions'!I11</f>
        <v>0.59188842678007447</v>
      </c>
      <c r="D10" s="84">
        <f>'2- Adjustments to proportions'!I25</f>
        <v>0.66744912947357338</v>
      </c>
      <c r="E10" s="84">
        <f>LN(D10/C10)/'1- Input data'!C$4</f>
        <v>1.3126764970802542E-2</v>
      </c>
      <c r="F10" s="84">
        <f>SQRT(D10*C10)*EXP(SUM(E$2:E9)*5+E10*2.5)</f>
        <v>0.63872832484493147</v>
      </c>
      <c r="G10" s="85">
        <f>IF(Instructions!D$14="Recent births", ('1- Input data'!D$37+'1- Input data'!D$71)/2, ('2- Adjustments to proportions'!AE11+'2- Adjustments to proportions'!AE25)/2)</f>
        <v>27.838196781196196</v>
      </c>
      <c r="H10" s="86">
        <f t="shared" si="12"/>
        <v>0.21646474137285729</v>
      </c>
      <c r="I10" s="86">
        <f>'2- Adjustments to proportions'!D25-'2- Adjustments to proportions'!D11</f>
        <v>4.2791640841379874E-2</v>
      </c>
      <c r="J10" s="86">
        <f t="shared" si="12"/>
        <v>0.4498316430870582</v>
      </c>
      <c r="K10" s="86">
        <f t="shared" si="12"/>
        <v>-6.4189287861035005E-2</v>
      </c>
      <c r="L10" s="84">
        <f t="shared" si="7"/>
        <v>-0.51186403468587405</v>
      </c>
      <c r="M10" s="87">
        <f t="shared" si="1"/>
        <v>1.7550162827040399E-2</v>
      </c>
      <c r="N10" s="84">
        <f t="shared" si="2"/>
        <v>1.1132092238738001</v>
      </c>
      <c r="O10" s="84">
        <f t="shared" si="3"/>
        <v>-0.13182557837591</v>
      </c>
      <c r="P10" s="84">
        <f t="shared" si="4"/>
        <v>-0.238188567817781</v>
      </c>
      <c r="Q10" s="86">
        <f t="shared" si="8"/>
        <v>0.68732889043200929</v>
      </c>
      <c r="R10" s="86">
        <f t="shared" si="9"/>
        <v>-0.393830520988035</v>
      </c>
      <c r="S10" s="84">
        <f>-0.5*LN(1+(Q10/C37-1/$C$28)/(1-Q10))</f>
        <v>-0.70141140163128446</v>
      </c>
      <c r="T10" s="86">
        <f t="shared" si="11"/>
        <v>7.9110151441226018E-2</v>
      </c>
      <c r="U10" s="86">
        <f t="shared" si="5"/>
        <v>0.16455323019060819</v>
      </c>
      <c r="V10"/>
    </row>
    <row r="11" spans="1:24" ht="15" thickBot="1" x14ac:dyDescent="0.35">
      <c r="U11" s="9"/>
      <c r="V11"/>
    </row>
    <row r="12" spans="1:24" ht="14.4" customHeight="1" x14ac:dyDescent="0.3">
      <c r="A12" s="8" t="s">
        <v>21</v>
      </c>
      <c r="M12" s="159"/>
      <c r="N12" s="159"/>
      <c r="O12" s="159"/>
      <c r="P12" s="159"/>
      <c r="S12" s="153"/>
      <c r="T12" s="162" t="s">
        <v>56</v>
      </c>
      <c r="U12" s="163"/>
      <c r="V12"/>
    </row>
    <row r="13" spans="1:24" ht="16.2" x14ac:dyDescent="0.35">
      <c r="A13" s="88"/>
      <c r="B13" s="89" t="s">
        <v>25</v>
      </c>
      <c r="C13" s="90"/>
      <c r="D13" s="90"/>
      <c r="E13" s="90"/>
      <c r="F13" s="90"/>
      <c r="G13" s="124" t="s">
        <v>26</v>
      </c>
      <c r="H13" s="91"/>
      <c r="I13" s="91"/>
      <c r="J13" s="91"/>
      <c r="K13" s="91"/>
      <c r="M13" s="159"/>
      <c r="N13" s="159"/>
      <c r="O13" s="159"/>
      <c r="P13" s="159"/>
      <c r="S13" s="153"/>
      <c r="T13" s="128" t="s">
        <v>171</v>
      </c>
      <c r="U13" s="156">
        <f ca="1">5*SUM(INDIRECT(ADDRESS(ROW($T$2)+MATCH($O$23+5,$B$3:$B$10),COLUMN($T$2))):INDIRECT(ADDRESS(ROW($T$2)+MATCH($O$24+1,$B$3:$B$10),COLUMN($T$2))))/(O24+1-O23)</f>
        <v>0.17388488840325589</v>
      </c>
      <c r="V13"/>
    </row>
    <row r="14" spans="1:24" ht="16.2" x14ac:dyDescent="0.35">
      <c r="A14" s="92" t="s">
        <v>15</v>
      </c>
      <c r="B14" s="76" t="s">
        <v>105</v>
      </c>
      <c r="C14" s="76" t="s">
        <v>106</v>
      </c>
      <c r="D14" s="76" t="s">
        <v>107</v>
      </c>
      <c r="E14" s="76" t="s">
        <v>108</v>
      </c>
      <c r="F14" s="76" t="s">
        <v>109</v>
      </c>
      <c r="G14" s="125" t="s">
        <v>112</v>
      </c>
      <c r="H14" s="93" t="s">
        <v>113</v>
      </c>
      <c r="I14" s="93" t="s">
        <v>114</v>
      </c>
      <c r="J14" s="93" t="s">
        <v>115</v>
      </c>
      <c r="K14" s="93" t="s">
        <v>116</v>
      </c>
      <c r="M14" s="159"/>
      <c r="N14" s="159"/>
      <c r="O14" s="159"/>
      <c r="P14" s="159"/>
      <c r="S14" s="153"/>
      <c r="T14" s="128" t="s">
        <v>111</v>
      </c>
      <c r="U14" s="156">
        <f ca="1">5*SUM(INDIRECT(ADDRESS(ROW($U$2)+MATCH($O$23+5,$B$3:$B$10),COLUMN($U$2))):INDIRECT(ADDRESS(ROW($U$2)+MATCH($O$24+1,$B$3:$B$10),COLUMN($U$2))))/(O24+1-O23)</f>
        <v>0.33242003623930549</v>
      </c>
      <c r="V14"/>
    </row>
    <row r="15" spans="1:24" ht="15" thickBot="1" x14ac:dyDescent="0.35">
      <c r="A15" s="94">
        <v>10</v>
      </c>
      <c r="B15" s="77">
        <v>-0.27418961781712697</v>
      </c>
      <c r="C15" s="82">
        <v>9.9359829818680299E-4</v>
      </c>
      <c r="D15" s="77">
        <v>1.2455366611465699</v>
      </c>
      <c r="E15" s="77">
        <v>-0.20392171703676201</v>
      </c>
      <c r="F15" s="77">
        <v>0.26087978253025801</v>
      </c>
      <c r="G15" s="126">
        <v>-0.353182881308647</v>
      </c>
      <c r="H15" s="82">
        <v>2.0713827306276301E-3</v>
      </c>
      <c r="I15" s="77">
        <v>1.3029672904268099</v>
      </c>
      <c r="J15" s="77">
        <v>-0.13362230771643299</v>
      </c>
      <c r="K15" s="77">
        <v>-1.73920887716492E-3</v>
      </c>
      <c r="M15" s="159"/>
      <c r="N15" s="159"/>
      <c r="O15" s="159"/>
      <c r="P15" s="159"/>
      <c r="S15" s="153"/>
      <c r="T15" s="129" t="s">
        <v>145</v>
      </c>
      <c r="U15" s="130">
        <f>YEAR('1- Input data'!C2)+YEARFRAC(DATE(YEAR('1- Input data'!C2),1,1),'1- Input data'!C2,1) +((YEAR('1- Input data'!C3)+YEARFRAC(DATE(YEAR('1- Input data'!C3),1,1),'1- Input data'!C3,1))-YEAR('1- Input data'!C2)-YEARFRAC(DATE(YEAR('1- Input data'!C2),1,1),'1- Input data'!C2,1))/2</f>
        <v>2011.6968859944607</v>
      </c>
      <c r="V15"/>
      <c r="X15" s="27"/>
    </row>
    <row r="16" spans="1:24" x14ac:dyDescent="0.3">
      <c r="A16" s="94">
        <v>15</v>
      </c>
      <c r="B16" s="77">
        <v>-0.14884870370321701</v>
      </c>
      <c r="C16" s="82">
        <v>1.5589492223106499E-3</v>
      </c>
      <c r="D16" s="77">
        <v>1.10531464967079</v>
      </c>
      <c r="E16" s="77">
        <v>-0.26112047459167098</v>
      </c>
      <c r="F16" s="77">
        <v>0.353923879422056</v>
      </c>
      <c r="G16" s="126">
        <v>-0.23931832774074599</v>
      </c>
      <c r="H16" s="82">
        <v>2.5806310733475901E-3</v>
      </c>
      <c r="I16" s="77">
        <v>1.17315156049862</v>
      </c>
      <c r="J16" s="77">
        <v>-0.10556068041505901</v>
      </c>
      <c r="K16" s="77">
        <v>1.83429690620448E-2</v>
      </c>
      <c r="M16" s="159"/>
      <c r="N16" s="159"/>
      <c r="O16" s="159"/>
      <c r="P16" s="159"/>
      <c r="R16" s="153"/>
    </row>
    <row r="17" spans="1:23" x14ac:dyDescent="0.3">
      <c r="A17" s="94">
        <v>20</v>
      </c>
      <c r="B17" s="77">
        <v>-0.112309508695488</v>
      </c>
      <c r="C17" s="82">
        <v>2.69536818964186E-3</v>
      </c>
      <c r="D17" s="77">
        <v>1.03873329415231</v>
      </c>
      <c r="E17" s="77">
        <v>-0.27472344843475599</v>
      </c>
      <c r="F17" s="77">
        <v>0.37106344764615401</v>
      </c>
      <c r="G17" s="126">
        <v>-0.16927116322622601</v>
      </c>
      <c r="H17" s="82">
        <v>3.1185128804229801E-3</v>
      </c>
      <c r="I17" s="77">
        <v>1.0853955190425999</v>
      </c>
      <c r="J17" s="77">
        <v>-0.107118206258426</v>
      </c>
      <c r="K17" s="77">
        <v>-3.2966426297575298E-2</v>
      </c>
      <c r="M17" s="159"/>
      <c r="N17" s="159"/>
      <c r="O17" s="159"/>
      <c r="P17" s="159"/>
      <c r="R17" s="153"/>
    </row>
    <row r="18" spans="1:23" x14ac:dyDescent="0.3">
      <c r="A18" s="94">
        <v>25</v>
      </c>
      <c r="B18" s="77">
        <v>-0.13363462247249799</v>
      </c>
      <c r="C18" s="82">
        <v>4.6610670303504197E-3</v>
      </c>
      <c r="D18" s="77">
        <v>1.0082265549704901</v>
      </c>
      <c r="E18" s="77">
        <v>-0.28409213555832202</v>
      </c>
      <c r="F18" s="77">
        <v>0.33857804831827998</v>
      </c>
      <c r="G18" s="126">
        <v>-0.15589600299596601</v>
      </c>
      <c r="H18" s="82">
        <v>4.4921083110519401E-3</v>
      </c>
      <c r="I18" s="77">
        <v>1.0441897859521001</v>
      </c>
      <c r="J18" s="77">
        <v>-0.18663730365778999</v>
      </c>
      <c r="K18" s="77">
        <v>-0.114712444607727</v>
      </c>
      <c r="M18" s="159"/>
      <c r="N18" s="159"/>
      <c r="O18" s="159"/>
      <c r="P18" s="159"/>
      <c r="R18" s="153"/>
    </row>
    <row r="19" spans="1:23" x14ac:dyDescent="0.3">
      <c r="A19" s="94">
        <v>30</v>
      </c>
      <c r="B19" s="77">
        <v>-0.20506548628031601</v>
      </c>
      <c r="C19" s="82">
        <v>7.5390620432289899E-3</v>
      </c>
      <c r="D19" s="77">
        <v>1.0078019292459499</v>
      </c>
      <c r="E19" s="77">
        <v>-0.27010880556124101</v>
      </c>
      <c r="F19" s="77">
        <v>0.29949901737766998</v>
      </c>
      <c r="G19" s="126">
        <v>-0.191526099927397</v>
      </c>
      <c r="H19" s="82">
        <v>6.8649689996713101E-3</v>
      </c>
      <c r="I19" s="77">
        <v>1.0222867172632299</v>
      </c>
      <c r="J19" s="77">
        <v>-0.246632431328696</v>
      </c>
      <c r="K19" s="77">
        <v>-7.5076217001971507E-2</v>
      </c>
      <c r="R19" s="153"/>
    </row>
    <row r="20" spans="1:23" x14ac:dyDescent="0.3">
      <c r="A20" s="94">
        <v>35</v>
      </c>
      <c r="B20" s="77">
        <v>-0.30739228532309598</v>
      </c>
      <c r="C20" s="82">
        <v>1.1272648140424699E-2</v>
      </c>
      <c r="D20" s="77">
        <v>1.01820155115521</v>
      </c>
      <c r="E20" s="77">
        <v>-0.22125986339815601</v>
      </c>
      <c r="F20" s="77">
        <v>0.26489259486508498</v>
      </c>
      <c r="G20" s="126">
        <v>-0.27079270379694098</v>
      </c>
      <c r="H20" s="82">
        <v>9.9607014662946303E-3</v>
      </c>
      <c r="I20" s="77">
        <v>1.0241012296707299</v>
      </c>
      <c r="J20" s="77">
        <v>-0.221979415795482</v>
      </c>
      <c r="K20" s="77">
        <v>-2.2838466171402401E-2</v>
      </c>
      <c r="N20" s="135"/>
      <c r="R20" s="153"/>
    </row>
    <row r="21" spans="1:23" ht="15" x14ac:dyDescent="0.25">
      <c r="A21" s="94">
        <v>40</v>
      </c>
      <c r="B21" s="77">
        <v>-0.45798608652817502</v>
      </c>
      <c r="C21" s="82">
        <v>1.62149450809221E-2</v>
      </c>
      <c r="D21" s="77">
        <v>1.0529988180266601</v>
      </c>
      <c r="E21" s="77">
        <v>-0.132314934149978</v>
      </c>
      <c r="F21" s="77">
        <v>0.176954263183001</v>
      </c>
      <c r="G21" s="126">
        <v>-0.38013915478108501</v>
      </c>
      <c r="H21" s="82">
        <v>1.3593055654323401E-2</v>
      </c>
      <c r="I21" s="77">
        <v>1.05360033966495</v>
      </c>
      <c r="J21" s="77">
        <v>-0.170765341251885</v>
      </c>
      <c r="K21" s="77">
        <v>-6.9090746248952201E-2</v>
      </c>
      <c r="N21" s="137"/>
      <c r="O21" s="135"/>
      <c r="P21" s="136"/>
      <c r="Q21" s="135"/>
      <c r="R21" s="135"/>
      <c r="S21" s="136"/>
      <c r="T21" s="135"/>
      <c r="U21" s="135"/>
      <c r="W21" s="154"/>
    </row>
    <row r="22" spans="1:23" x14ac:dyDescent="0.3">
      <c r="A22" s="95">
        <v>45</v>
      </c>
      <c r="B22" s="84">
        <v>-0.62436655728796198</v>
      </c>
      <c r="C22" s="87">
        <v>2.1485902238226901E-2</v>
      </c>
      <c r="D22" s="84">
        <v>1.1031155054128501</v>
      </c>
      <c r="E22" s="84">
        <v>-3.4288565739086299E-2</v>
      </c>
      <c r="F22" s="84">
        <v>6.7058492354760205E-2</v>
      </c>
      <c r="G22" s="127">
        <v>-0.51186403468587405</v>
      </c>
      <c r="H22" s="87">
        <v>1.7550162827040399E-2</v>
      </c>
      <c r="I22" s="84">
        <v>1.1132092238738001</v>
      </c>
      <c r="J22" s="84">
        <v>-0.13182557837591</v>
      </c>
      <c r="K22" s="84">
        <v>-0.238188567817781</v>
      </c>
      <c r="M22" s="164" t="s">
        <v>153</v>
      </c>
      <c r="N22" s="165"/>
      <c r="O22" s="165"/>
      <c r="P22" s="165"/>
      <c r="Q22" s="166"/>
      <c r="R22" s="138" t="s">
        <v>54</v>
      </c>
      <c r="S22" s="139" t="s">
        <v>154</v>
      </c>
    </row>
    <row r="23" spans="1:23" ht="16.2" x14ac:dyDescent="0.35">
      <c r="M23" s="140"/>
      <c r="N23" s="141" t="s">
        <v>155</v>
      </c>
      <c r="O23" s="142">
        <v>5</v>
      </c>
      <c r="P23" s="143" t="s">
        <v>162</v>
      </c>
      <c r="Q23" s="144">
        <f ca="1">INTERCEPT(INDIRECT(ADDRESS(ROW($R$2)+MATCH($O$23+5,$B$3:$B$10),COLUMN($R$2))):INDIRECT(ADDRESS(ROW($R$2)+MATCH($O$24+1,$B$3:$B$10),COLUMN($R$2))),INDIRECT(ADDRESS(ROW($D$29)+MATCH($O$23+5,$B$3:$B$10),COLUMN($D$29))):INDIRECT(ADDRESS(ROW($D$29)+MATCH($O$24+1,$B$3:$B$10),COLUMN($D$29))))</f>
        <v>-0.19942524910943804</v>
      </c>
      <c r="R23" s="145">
        <f>D30</f>
        <v>-1.0285620034492129</v>
      </c>
      <c r="S23" s="146">
        <f ca="1">$Q$23+$Q$24*R23</f>
        <v>-1.1990384307712247</v>
      </c>
    </row>
    <row r="24" spans="1:23" ht="18" x14ac:dyDescent="0.4">
      <c r="A24" s="8" t="s">
        <v>98</v>
      </c>
      <c r="E24" s="9" t="s">
        <v>97</v>
      </c>
      <c r="F24" s="27"/>
      <c r="H24" s="27"/>
      <c r="J24" s="27"/>
      <c r="K24" s="22" t="s">
        <v>117</v>
      </c>
      <c r="M24" s="147"/>
      <c r="N24" s="148" t="s">
        <v>156</v>
      </c>
      <c r="O24" s="149">
        <v>34</v>
      </c>
      <c r="P24" s="155" t="s">
        <v>161</v>
      </c>
      <c r="Q24" s="150">
        <f ca="1">SLOPE(INDIRECT(ADDRESS(ROW($R$2)+MATCH($O$23+5,$B$3:$B$10),COLUMN($R$2))):INDIRECT(ADDRESS(ROW($R$2)+MATCH($O$24+1,$B$3:$B$10),COLUMN($R$2))),INDIRECT(ADDRESS(ROW($D$29)+MATCH($O$23+5,$B$3:$B$10),COLUMN($D$29))):INDIRECT(ADDRESS(ROW($D$29)+MATCH($O$24+1,$B$3:$B$10),COLUMN($D$29))))</f>
        <v>0.97185505425015872</v>
      </c>
      <c r="R24" s="151">
        <f>D37</f>
        <v>0.2334640409147716</v>
      </c>
      <c r="S24" s="152">
        <f ca="1">$Q$23+$Q$24*R24</f>
        <v>2.7467959039248591E-2</v>
      </c>
    </row>
    <row r="25" spans="1:23" ht="29.4" x14ac:dyDescent="0.35">
      <c r="A25" s="74" t="s">
        <v>139</v>
      </c>
      <c r="B25" s="76" t="s">
        <v>140</v>
      </c>
      <c r="C25" s="76" t="s">
        <v>141</v>
      </c>
      <c r="D25" s="76" t="s">
        <v>157</v>
      </c>
      <c r="E25" s="76" t="s">
        <v>139</v>
      </c>
      <c r="F25" s="96" t="s">
        <v>92</v>
      </c>
      <c r="G25" s="97" t="s">
        <v>93</v>
      </c>
      <c r="H25" s="96" t="s">
        <v>94</v>
      </c>
      <c r="I25" s="97" t="s">
        <v>95</v>
      </c>
      <c r="J25" s="96" t="s">
        <v>96</v>
      </c>
      <c r="K25" s="96" t="s">
        <v>68</v>
      </c>
      <c r="M25" s="135"/>
      <c r="N25" s="135"/>
      <c r="O25" s="135"/>
      <c r="P25" s="135"/>
      <c r="Q25" s="135"/>
      <c r="R25" s="135"/>
      <c r="S25" s="135"/>
    </row>
    <row r="26" spans="1:23" x14ac:dyDescent="0.3">
      <c r="A26" s="94">
        <v>15</v>
      </c>
      <c r="B26" s="77">
        <f>IF(Instructions!D$11= "AIDS", '3 - Synthetic cohort'!K26,
 IF(Instructions!D$11="UN General", '3 - Synthetic cohort'!F26,
 IF(Instructions!D$11="Princeton East", '3 - Synthetic cohort'!G26,
 IF(Instructions!D$11="Princeton North", '3 - Synthetic cohort'!H26,
 IF(Instructions!D$11="Princeton South", '3 - Synthetic cohort'!I26,
 IF(Instructions!D$11="Princeton West", '3 - Synthetic cohort'!J26))))))</f>
        <v>-1.0190362906620025</v>
      </c>
      <c r="C26" s="77">
        <f>1/(1+EXP(2*B26))</f>
        <v>0.88473686022992692</v>
      </c>
      <c r="D26" s="62"/>
      <c r="E26" s="98">
        <v>15</v>
      </c>
      <c r="F26" s="77">
        <v>-1.0121945536850769</v>
      </c>
      <c r="G26" s="99">
        <v>-0.97971406825728613</v>
      </c>
      <c r="H26" s="77">
        <v>-0.96635456814626275</v>
      </c>
      <c r="I26" s="99">
        <v>-0.88990310948808893</v>
      </c>
      <c r="J26" s="77">
        <v>-1.0293119689456429</v>
      </c>
      <c r="K26" s="77">
        <v>-1.0190362906620025</v>
      </c>
      <c r="M26" s="135"/>
      <c r="N26" s="135"/>
      <c r="O26" s="135"/>
      <c r="P26" s="135"/>
      <c r="Q26" s="135"/>
      <c r="R26" s="135"/>
      <c r="S26" s="135"/>
    </row>
    <row r="27" spans="1:23" x14ac:dyDescent="0.3">
      <c r="A27" s="100">
        <f>A26+5</f>
        <v>20</v>
      </c>
      <c r="B27" s="77">
        <f>IF(Instructions!D$11= "AIDS", '3 - Synthetic cohort'!K27,
 IF(Instructions!D$11="UN General", '3 - Synthetic cohort'!F27,
 IF(Instructions!D$11="Princeton East", '3 - Synthetic cohort'!G27,
 IF(Instructions!D$11="Princeton North", '3 - Synthetic cohort'!H27,
 IF(Instructions!D$11="Princeton South", '3 - Synthetic cohort'!I27,
 IF(Instructions!D$11="Princeton West", '3 - Synthetic cohort'!J27))))))</f>
        <v>-0.90868722106918232</v>
      </c>
      <c r="C27" s="77">
        <f>1/(1+EXP(2*B27))</f>
        <v>0.86025078256936516</v>
      </c>
      <c r="D27" s="62"/>
      <c r="E27" s="101">
        <v>20</v>
      </c>
      <c r="F27" s="77">
        <v>-0.97234684182353803</v>
      </c>
      <c r="G27" s="77">
        <v>-0.94156371692343144</v>
      </c>
      <c r="H27" s="77">
        <v>-0.91382222014342573</v>
      </c>
      <c r="I27" s="77">
        <v>-0.85999289910331278</v>
      </c>
      <c r="J27" s="77">
        <v>-0.97893414503700538</v>
      </c>
      <c r="K27" s="77">
        <v>-0.90868722106918232</v>
      </c>
      <c r="M27" s="135"/>
      <c r="N27" s="135"/>
      <c r="O27" s="135"/>
      <c r="P27" s="135"/>
      <c r="Q27" s="135"/>
      <c r="R27" s="135"/>
      <c r="S27" s="135"/>
    </row>
    <row r="28" spans="1:23" x14ac:dyDescent="0.3">
      <c r="A28" s="100">
        <f t="shared" ref="A28:A40" si="13">A27+5</f>
        <v>25</v>
      </c>
      <c r="B28" s="77">
        <f>IF(Instructions!D$11= "AIDS", '3 - Synthetic cohort'!K28,
 IF(Instructions!D$11="UN General", '3 - Synthetic cohort'!F28,
 IF(Instructions!D$11="Princeton East", '3 - Synthetic cohort'!G28,
 IF(Instructions!D$11="Princeton North", '3 - Synthetic cohort'!H28,
 IF(Instructions!D$11="Princeton South", '3 - Synthetic cohort'!I28,
 IF(Instructions!D$11="Princeton West", '3 - Synthetic cohort'!J28))))))</f>
        <v>-0.74909520239224869</v>
      </c>
      <c r="C28" s="77">
        <f t="shared" ref="C28:C35" si="14">1/(1+EXP(2*B28))</f>
        <v>0.81730442636868916</v>
      </c>
      <c r="D28" s="62"/>
      <c r="E28" s="98">
        <v>25</v>
      </c>
      <c r="F28" s="77">
        <v>-0.92078751270821413</v>
      </c>
      <c r="G28" s="99">
        <v>-0.89159541950333177</v>
      </c>
      <c r="H28" s="77">
        <v>-0.85013265027358209</v>
      </c>
      <c r="I28" s="99">
        <v>-0.82016153698599226</v>
      </c>
      <c r="J28" s="77">
        <v>-0.91633966970304337</v>
      </c>
      <c r="K28" s="77">
        <v>-0.74909520239224869</v>
      </c>
      <c r="M28" s="135"/>
      <c r="N28" s="135"/>
      <c r="O28" s="135"/>
      <c r="P28" s="135"/>
      <c r="Q28" s="135"/>
      <c r="R28" s="135"/>
      <c r="S28" s="135"/>
    </row>
    <row r="29" spans="1:23" x14ac:dyDescent="0.3">
      <c r="A29" s="100">
        <f t="shared" si="13"/>
        <v>30</v>
      </c>
      <c r="B29" s="77">
        <f>IF(Instructions!D$11= "AIDS", '3 - Synthetic cohort'!K29,
 IF(Instructions!D$11="UN General", '3 - Synthetic cohort'!F29,
 IF(Instructions!D$11="Princeton East", '3 - Synthetic cohort'!G29,
 IF(Instructions!D$11="Princeton North", '3 - Synthetic cohort'!H29,
 IF(Instructions!D$11="Princeton South", '3 - Synthetic cohort'!I29,
 IF(Instructions!D$11="Princeton West", '3 - Synthetic cohort'!J29))))))</f>
        <v>-0.5976638264287264</v>
      </c>
      <c r="C29" s="77">
        <f t="shared" si="14"/>
        <v>0.7676925562852156</v>
      </c>
      <c r="D29" s="77"/>
      <c r="E29" s="98">
        <v>30</v>
      </c>
      <c r="F29" s="77">
        <v>-0.86548423243967132</v>
      </c>
      <c r="G29" s="99">
        <v>-0.84219551169775642</v>
      </c>
      <c r="H29" s="77">
        <v>-0.78726242697886062</v>
      </c>
      <c r="I29" s="99">
        <v>-0.78007392332133241</v>
      </c>
      <c r="J29" s="77">
        <v>-0.85459253778955946</v>
      </c>
      <c r="K29" s="77">
        <v>-0.5976638264287264</v>
      </c>
      <c r="M29" s="135"/>
      <c r="N29" s="135"/>
      <c r="O29" s="135"/>
      <c r="P29" s="135"/>
      <c r="Q29" s="135"/>
      <c r="R29" s="135"/>
      <c r="S29" s="135"/>
    </row>
    <row r="30" spans="1:23" x14ac:dyDescent="0.3">
      <c r="A30" s="100">
        <f t="shared" si="13"/>
        <v>35</v>
      </c>
      <c r="B30" s="77">
        <f>IF(Instructions!D$11= "AIDS", '3 - Synthetic cohort'!K30,
 IF(Instructions!D$11="UN General", '3 - Synthetic cohort'!F30,
 IF(Instructions!D$11="Princeton East", '3 - Synthetic cohort'!G30,
 IF(Instructions!D$11="Princeton North", '3 - Synthetic cohort'!H30,
 IF(Instructions!D$11="Princeton South", '3 - Synthetic cohort'!I30,
 IF(Instructions!D$11="Princeton West", '3 - Synthetic cohort'!J30))))))</f>
        <v>-0.48388709423556725</v>
      </c>
      <c r="C30" s="77">
        <f t="shared" si="14"/>
        <v>0.72467562410872377</v>
      </c>
      <c r="D30" s="77">
        <f>0.5*LN((C$28-C30)/C30)</f>
        <v>-1.0285620034492129</v>
      </c>
      <c r="E30" s="101">
        <v>35</v>
      </c>
      <c r="F30" s="77">
        <v>-0.80533674084601314</v>
      </c>
      <c r="G30" s="77">
        <v>-0.79104803230330434</v>
      </c>
      <c r="H30" s="77">
        <v>-0.72474545944961821</v>
      </c>
      <c r="I30" s="77">
        <v>-0.73709896740170688</v>
      </c>
      <c r="J30" s="77">
        <v>-0.79123192333414838</v>
      </c>
      <c r="K30" s="77">
        <v>-0.48388709423556725</v>
      </c>
      <c r="M30" s="135"/>
      <c r="N30" s="135"/>
      <c r="O30" s="135"/>
      <c r="P30" s="135"/>
      <c r="Q30" s="135"/>
      <c r="R30" s="135"/>
      <c r="S30" s="135"/>
    </row>
    <row r="31" spans="1:23" x14ac:dyDescent="0.3">
      <c r="A31" s="100">
        <f t="shared" si="13"/>
        <v>40</v>
      </c>
      <c r="B31" s="77">
        <f>IF(Instructions!D$11= "AIDS", '3 - Synthetic cohort'!K31,
 IF(Instructions!D$11="UN General", '3 - Synthetic cohort'!F31,
 IF(Instructions!D$11="Princeton East", '3 - Synthetic cohort'!G31,
 IF(Instructions!D$11="Princeton North", '3 - Synthetic cohort'!H31,
 IF(Instructions!D$11="Princeton South", '3 - Synthetic cohort'!I31,
 IF(Instructions!D$11="Princeton West", '3 - Synthetic cohort'!J31))))))</f>
        <v>-0.40309179245798843</v>
      </c>
      <c r="C31" s="77">
        <f t="shared" si="14"/>
        <v>0.6912956536783974</v>
      </c>
      <c r="D31" s="77">
        <f t="shared" ref="D31:D37" si="15">0.5*LN((C$28-C31)/C31)</f>
        <v>-0.85110803335305341</v>
      </c>
      <c r="E31" s="98">
        <v>40</v>
      </c>
      <c r="F31" s="77">
        <v>-0.73732521540819196</v>
      </c>
      <c r="G31" s="99">
        <v>-0.73425391825061403</v>
      </c>
      <c r="H31" s="77">
        <v>-0.66077403595339856</v>
      </c>
      <c r="I31" s="99">
        <v>-0.69020740216054988</v>
      </c>
      <c r="J31" s="77">
        <v>-0.72290929940989257</v>
      </c>
      <c r="K31" s="77">
        <v>-0.40309179245798843</v>
      </c>
      <c r="M31" s="135"/>
      <c r="N31" s="135"/>
      <c r="O31" s="135"/>
      <c r="P31" s="135"/>
      <c r="Q31" s="135"/>
      <c r="R31" s="135"/>
      <c r="S31" s="135"/>
    </row>
    <row r="32" spans="1:23" x14ac:dyDescent="0.3">
      <c r="A32" s="100">
        <f t="shared" si="13"/>
        <v>45</v>
      </c>
      <c r="B32" s="77">
        <f>IF(Instructions!D$11= "AIDS", '3 - Synthetic cohort'!K32,
 IF(Instructions!D$11="UN General", '3 - Synthetic cohort'!F32,
 IF(Instructions!D$11="Princeton East", '3 - Synthetic cohort'!G32,
 IF(Instructions!D$11="Princeton North", '3 - Synthetic cohort'!H32,
 IF(Instructions!D$11="Princeton South", '3 - Synthetic cohort'!I32,
 IF(Instructions!D$11="Princeton West", '3 - Synthetic cohort'!J32))))))</f>
        <v>-0.34172767313734953</v>
      </c>
      <c r="C32" s="77">
        <f t="shared" si="14"/>
        <v>0.66450945804880357</v>
      </c>
      <c r="D32" s="77">
        <f t="shared" si="15"/>
        <v>-0.73497608251849988</v>
      </c>
      <c r="E32" s="98">
        <v>45</v>
      </c>
      <c r="F32" s="77">
        <v>-0.65863624320988345</v>
      </c>
      <c r="G32" s="99">
        <v>-0.66825754255920489</v>
      </c>
      <c r="H32" s="77">
        <v>-0.5904613819796557</v>
      </c>
      <c r="I32" s="99">
        <v>-0.63449440257961387</v>
      </c>
      <c r="J32" s="77">
        <v>-0.6461549890735192</v>
      </c>
      <c r="K32" s="77">
        <v>-0.34172767313734953</v>
      </c>
      <c r="M32" s="135"/>
      <c r="N32" s="135"/>
      <c r="O32" s="135"/>
      <c r="P32" s="135"/>
      <c r="Q32" s="135"/>
      <c r="R32" s="135"/>
      <c r="S32" s="135"/>
    </row>
    <row r="33" spans="1:19" x14ac:dyDescent="0.3">
      <c r="A33" s="100">
        <f t="shared" si="13"/>
        <v>50</v>
      </c>
      <c r="B33" s="77">
        <f>IF(Instructions!D$11= "AIDS", '3 - Synthetic cohort'!K33,
 IF(Instructions!D$11="UN General", '3 - Synthetic cohort'!F33,
 IF(Instructions!D$11="Princeton East", '3 - Synthetic cohort'!G33,
 IF(Instructions!D$11="Princeton North", '3 - Synthetic cohort'!H33,
 IF(Instructions!D$11="Princeton South", '3 - Synthetic cohort'!I33,
 IF(Instructions!D$11="Princeton West", '3 - Synthetic cohort'!J33))))))</f>
        <v>-0.26204925902883125</v>
      </c>
      <c r="C33" s="77">
        <f t="shared" si="14"/>
        <v>0.6281056364085158</v>
      </c>
      <c r="D33" s="77">
        <f t="shared" si="15"/>
        <v>-0.59995505106296909</v>
      </c>
      <c r="E33" s="101">
        <v>50</v>
      </c>
      <c r="F33" s="77">
        <v>-0.56432091512237903</v>
      </c>
      <c r="G33" s="77">
        <v>-0.58660888869906025</v>
      </c>
      <c r="H33" s="77">
        <v>-0.51474890543256313</v>
      </c>
      <c r="I33" s="77">
        <v>-0.56821295557201257</v>
      </c>
      <c r="J33" s="77">
        <v>-0.55659173180953114</v>
      </c>
      <c r="K33" s="77">
        <v>-0.26204925902883125</v>
      </c>
      <c r="M33" s="135"/>
      <c r="N33" s="135"/>
      <c r="O33" s="135"/>
      <c r="P33" s="135"/>
      <c r="Q33" s="135"/>
      <c r="R33" s="135"/>
      <c r="S33" s="135"/>
    </row>
    <row r="34" spans="1:19" ht="15.6" x14ac:dyDescent="0.3">
      <c r="A34" s="100">
        <f t="shared" si="13"/>
        <v>55</v>
      </c>
      <c r="B34" s="77">
        <f>IF(Instructions!D$11= "AIDS", '3 - Synthetic cohort'!K34,
 IF(Instructions!D$11="UN General", '3 - Synthetic cohort'!F34,
 IF(Instructions!D$11="Princeton East", '3 - Synthetic cohort'!G34,
 IF(Instructions!D$11="Princeton North", '3 - Synthetic cohort'!H34,
 IF(Instructions!D$11="Princeton South", '3 - Synthetic cohort'!I34,
 IF(Instructions!D$11="Princeton West", '3 - Synthetic cohort'!J34))))))</f>
        <v>-0.15798816106459881</v>
      </c>
      <c r="C34" s="77">
        <f t="shared" si="14"/>
        <v>0.57834333925841475</v>
      </c>
      <c r="D34" s="77">
        <f t="shared" si="15"/>
        <v>-0.44193349081855393</v>
      </c>
      <c r="E34" s="98">
        <v>55</v>
      </c>
      <c r="F34" s="77">
        <v>-0.44835796349979129</v>
      </c>
      <c r="G34" s="99">
        <v>-0.48111641634940366</v>
      </c>
      <c r="H34" s="77">
        <v>-0.42188099777551347</v>
      </c>
      <c r="I34" s="99">
        <v>-0.48239734581505644</v>
      </c>
      <c r="J34" s="77">
        <v>-0.44666706004400114</v>
      </c>
      <c r="K34" s="77">
        <v>-0.15798816106459881</v>
      </c>
      <c r="M34" s="137"/>
      <c r="N34" s="137"/>
      <c r="O34" s="137"/>
      <c r="P34" s="137"/>
      <c r="Q34" s="137"/>
      <c r="R34" s="135"/>
      <c r="S34" s="135"/>
    </row>
    <row r="35" spans="1:19" ht="15.6" x14ac:dyDescent="0.3">
      <c r="A35" s="100">
        <f t="shared" si="13"/>
        <v>60</v>
      </c>
      <c r="B35" s="77">
        <f>IF(Instructions!D$11= "AIDS", '3 - Synthetic cohort'!K35,
 IF(Instructions!D$11="UN General", '3 - Synthetic cohort'!F35,
 IF(Instructions!D$11="Princeton East", '3 - Synthetic cohort'!G35,
 IF(Instructions!D$11="Princeton North", '3 - Synthetic cohort'!H35,
 IF(Instructions!D$11="Princeton South", '3 - Synthetic cohort'!I35,
 IF(Instructions!D$11="Princeton West", '3 - Synthetic cohort'!J35))))))</f>
        <v>-2.2013733772545899E-2</v>
      </c>
      <c r="C35" s="77">
        <f t="shared" si="14"/>
        <v>0.51100508923853971</v>
      </c>
      <c r="D35" s="77">
        <f t="shared" si="15"/>
        <v>-0.25590834990414862</v>
      </c>
      <c r="E35" s="98">
        <v>60</v>
      </c>
      <c r="F35" s="77">
        <v>-0.30638850188113281</v>
      </c>
      <c r="G35" s="99">
        <v>-0.34745214284807552</v>
      </c>
      <c r="H35" s="77">
        <v>-0.31373408763068089</v>
      </c>
      <c r="I35" s="99">
        <v>-0.37368650277193127</v>
      </c>
      <c r="J35" s="77">
        <v>-0.31288957869926254</v>
      </c>
      <c r="K35" s="77">
        <v>-2.2013733772545899E-2</v>
      </c>
      <c r="M35" s="137"/>
      <c r="N35" s="137"/>
      <c r="O35" s="137"/>
      <c r="P35" s="137"/>
      <c r="Q35" s="137"/>
      <c r="R35" s="135"/>
      <c r="S35" s="135"/>
    </row>
    <row r="36" spans="1:19" ht="15.6" x14ac:dyDescent="0.3">
      <c r="A36" s="100">
        <f t="shared" si="13"/>
        <v>65</v>
      </c>
      <c r="B36" s="77">
        <f>IF(Instructions!D$11= "AIDS", '3 - Synthetic cohort'!K36,
 IF(Instructions!D$11="UN General", '3 - Synthetic cohort'!F36,
 IF(Instructions!D$11="Princeton East", '3 - Synthetic cohort'!G36,
 IF(Instructions!D$11="Princeton North", '3 - Synthetic cohort'!H36,
 IF(Instructions!D$11="Princeton South", '3 - Synthetic cohort'!I36,
 IF(Instructions!D$11="Princeton West", '3 - Synthetic cohort'!J36))))))</f>
        <v>0.15618718293827644</v>
      </c>
      <c r="C36" s="77">
        <f t="shared" ref="C36:C40" si="16">1/(1+EXP(2*B36))</f>
        <v>0.4225352891437606</v>
      </c>
      <c r="D36" s="77">
        <f t="shared" si="15"/>
        <v>-3.3985918297676963E-2</v>
      </c>
      <c r="E36" s="101">
        <v>65</v>
      </c>
      <c r="F36" s="77">
        <v>-0.13218620461701414</v>
      </c>
      <c r="G36" s="77">
        <v>-0.17916315353789958</v>
      </c>
      <c r="H36" s="77">
        <v>-0.17374005998585826</v>
      </c>
      <c r="I36" s="77">
        <v>-0.22956293913585316</v>
      </c>
      <c r="J36" s="77">
        <v>-0.14574826715382799</v>
      </c>
      <c r="K36" s="77">
        <v>0.15618718293827644</v>
      </c>
      <c r="M36" s="137"/>
      <c r="N36" s="137"/>
      <c r="O36" s="137"/>
      <c r="P36" s="137"/>
      <c r="Q36" s="137"/>
      <c r="R36" s="135"/>
      <c r="S36" s="135"/>
    </row>
    <row r="37" spans="1:19" ht="15.6" x14ac:dyDescent="0.3">
      <c r="A37" s="100">
        <f t="shared" si="13"/>
        <v>70</v>
      </c>
      <c r="B37" s="77">
        <f>IF(Instructions!D$11= "AIDS", '3 - Synthetic cohort'!K37,
 IF(Instructions!D$11="UN General", '3 - Synthetic cohort'!F37,
 IF(Instructions!D$11="Princeton East", '3 - Synthetic cohort'!G37,
 IF(Instructions!D$11="Princeton North", '3 - Synthetic cohort'!H37,
 IF(Instructions!D$11="Princeton South", '3 - Synthetic cohort'!I37,
 IF(Instructions!D$11="Princeton West", '3 - Synthetic cohort'!J37))))))</f>
        <v>0.38855515160543486</v>
      </c>
      <c r="C37" s="77">
        <f t="shared" si="16"/>
        <v>0.31494301579263917</v>
      </c>
      <c r="D37" s="77">
        <f t="shared" si="15"/>
        <v>0.2334640409147716</v>
      </c>
      <c r="E37" s="98">
        <v>70</v>
      </c>
      <c r="F37" s="77">
        <v>8.1075417880201409E-2</v>
      </c>
      <c r="G37" s="99">
        <v>3.4873769526037102E-2</v>
      </c>
      <c r="H37" s="77">
        <v>7.709813626405328E-3</v>
      </c>
      <c r="I37" s="99">
        <v>-4.0702942595531359E-2</v>
      </c>
      <c r="J37" s="77">
        <v>6.0162515402529336E-2</v>
      </c>
      <c r="K37" s="77">
        <v>0.38855515160543486</v>
      </c>
      <c r="M37" s="137"/>
      <c r="N37" s="137"/>
      <c r="O37" s="137"/>
      <c r="P37" s="137"/>
      <c r="Q37" s="137"/>
      <c r="R37" s="135"/>
      <c r="S37" s="135"/>
    </row>
    <row r="38" spans="1:19" ht="15.6" x14ac:dyDescent="0.3">
      <c r="A38" s="100">
        <f t="shared" si="13"/>
        <v>75</v>
      </c>
      <c r="B38" s="77">
        <f>IF(Instructions!D$11= "AIDS", '3 - Synthetic cohort'!K38,
 IF(Instructions!D$11="UN General", '3 - Synthetic cohort'!F38,
 IF(Instructions!D$11="Princeton East", '3 - Synthetic cohort'!G38,
 IF(Instructions!D$11="Princeton North", '3 - Synthetic cohort'!H38,
 IF(Instructions!D$11="Princeton South", '3 - Synthetic cohort'!I38,
 IF(Instructions!D$11="Princeton West", '3 - Synthetic cohort'!J38))))))</f>
        <v>0.68955523679593611</v>
      </c>
      <c r="C38" s="77">
        <f t="shared" si="16"/>
        <v>0.20115189958564808</v>
      </c>
      <c r="D38" s="62"/>
      <c r="E38" s="98">
        <v>75</v>
      </c>
      <c r="F38" s="77">
        <v>0.34157292464829403</v>
      </c>
      <c r="G38" s="99">
        <v>0.3123474009290419</v>
      </c>
      <c r="H38" s="77">
        <v>0.24438970566438267</v>
      </c>
      <c r="I38" s="99">
        <v>0.21969545818577857</v>
      </c>
      <c r="J38" s="77">
        <v>0.32200302729512403</v>
      </c>
      <c r="K38" s="77">
        <v>0.68955523679593611</v>
      </c>
      <c r="M38" s="137"/>
      <c r="N38" s="137"/>
      <c r="O38" s="137"/>
      <c r="P38" s="137"/>
      <c r="Q38" s="137"/>
      <c r="R38" s="135"/>
      <c r="S38" s="135"/>
    </row>
    <row r="39" spans="1:19" ht="15.6" x14ac:dyDescent="0.3">
      <c r="A39" s="100">
        <f t="shared" si="13"/>
        <v>80</v>
      </c>
      <c r="B39" s="77">
        <f>IF(Instructions!D$11= "AIDS", '3 - Synthetic cohort'!K39,
 IF(Instructions!D$11="UN General", '3 - Synthetic cohort'!F39,
 IF(Instructions!D$11="Princeton East", '3 - Synthetic cohort'!G39,
 IF(Instructions!D$11="Princeton North", '3 - Synthetic cohort'!H39,
 IF(Instructions!D$11="Princeton South", '3 - Synthetic cohort'!I39,
 IF(Instructions!D$11="Princeton West", '3 - Synthetic cohort'!J39))))))</f>
        <v>1.0868989921247891</v>
      </c>
      <c r="C39" s="77">
        <f t="shared" si="16"/>
        <v>0.10212823900192645</v>
      </c>
      <c r="D39" s="62"/>
      <c r="E39" s="101">
        <v>80</v>
      </c>
      <c r="F39" s="77">
        <v>0.6615291707175992</v>
      </c>
      <c r="G39" s="77">
        <v>0.67726953010875401</v>
      </c>
      <c r="H39" s="77">
        <v>0.5542075593189103</v>
      </c>
      <c r="I39" s="77">
        <v>0.58006843196258251</v>
      </c>
      <c r="J39" s="77">
        <v>0.66202299315788493</v>
      </c>
      <c r="K39" s="77">
        <v>1.0868989921247891</v>
      </c>
      <c r="M39" s="137"/>
      <c r="N39" s="137"/>
      <c r="O39" s="137"/>
      <c r="P39" s="137"/>
      <c r="Q39" s="137"/>
      <c r="R39" s="135"/>
      <c r="S39" s="135"/>
    </row>
    <row r="40" spans="1:19" ht="15.6" x14ac:dyDescent="0.3">
      <c r="A40" s="102">
        <f t="shared" si="13"/>
        <v>85</v>
      </c>
      <c r="B40" s="84">
        <f>IF(Instructions!D$11= "AIDS", '3 - Synthetic cohort'!K40,
 IF(Instructions!D$11="UN General", '3 - Synthetic cohort'!F40,
 IF(Instructions!D$11="Princeton East", '3 - Synthetic cohort'!G40,
 IF(Instructions!D$11="Princeton North", '3 - Synthetic cohort'!H40,
 IF(Instructions!D$11="Princeton South", '3 - Synthetic cohort'!I40,
 IF(Instructions!D$11="Princeton West", '3 - Synthetic cohort'!J40))))))</f>
        <v>1.6191743791923827</v>
      </c>
      <c r="C40" s="84">
        <f t="shared" si="16"/>
        <v>3.7747822673980046E-2</v>
      </c>
      <c r="D40" s="65"/>
      <c r="E40" s="103">
        <v>85</v>
      </c>
      <c r="F40" s="84">
        <v>1.067151820502233</v>
      </c>
      <c r="G40" s="104">
        <v>1.17951998038618</v>
      </c>
      <c r="H40" s="84">
        <v>0.97306427262294348</v>
      </c>
      <c r="I40" s="104">
        <v>1.0907265436318963</v>
      </c>
      <c r="J40" s="84">
        <v>1.1203444618292409</v>
      </c>
      <c r="K40" s="84">
        <v>1.6191743791923827</v>
      </c>
      <c r="M40" s="137"/>
      <c r="N40" s="137"/>
      <c r="O40" s="137"/>
      <c r="P40" s="137"/>
      <c r="Q40" s="137"/>
      <c r="R40" s="135"/>
      <c r="S40" s="135"/>
    </row>
    <row r="41" spans="1:19" x14ac:dyDescent="0.3">
      <c r="E41" s="21"/>
      <c r="F41" s="27"/>
      <c r="G41" s="21"/>
      <c r="H41" s="27"/>
      <c r="I41" s="21"/>
      <c r="J41" s="27"/>
      <c r="K41" s="27"/>
    </row>
  </sheetData>
  <mergeCells count="2">
    <mergeCell ref="T12:U12"/>
    <mergeCell ref="M22:Q22"/>
  </mergeCells>
  <conditionalFormatting sqref="J3:K10">
    <cfRule type="cellIs" dxfId="0" priority="2" operator="equal">
      <formula>0</formula>
    </cfRule>
  </conditionalFormatting>
  <dataValidations count="2">
    <dataValidation type="list" showDropDown="1" showInputMessage="1" showErrorMessage="1" error="Enter upper limit of final age group: 29, 34, 39,44 or 49" sqref="O24">
      <formula1>"14,19,24,29,34,39,44"</formula1>
    </dataValidation>
    <dataValidation type="list" showDropDown="1" showInputMessage="1" showErrorMessage="1" error="Enter lower limit of initial age group: 20, 25, 30, 35 or 40" sqref="O23">
      <formula1>"5,10,15,20,25,30,35"</formula1>
    </dataValidation>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2:C21"/>
  <sheetViews>
    <sheetView workbookViewId="0"/>
  </sheetViews>
  <sheetFormatPr defaultRowHeight="13.8" x14ac:dyDescent="0.25"/>
  <cols>
    <col min="1" max="1" width="5.33203125" style="9" customWidth="1"/>
    <col min="2" max="2" width="12" style="9" customWidth="1"/>
    <col min="3" max="16384" width="8.88671875" style="9"/>
  </cols>
  <sheetData>
    <row r="2" spans="2:3" x14ac:dyDescent="0.25">
      <c r="B2" s="8" t="s">
        <v>80</v>
      </c>
    </row>
    <row r="3" spans="2:3" x14ac:dyDescent="0.25">
      <c r="B3" s="9" t="s">
        <v>52</v>
      </c>
    </row>
    <row r="4" spans="2:3" x14ac:dyDescent="0.25">
      <c r="B4" s="9">
        <v>2007</v>
      </c>
      <c r="C4" s="9" t="s">
        <v>168</v>
      </c>
    </row>
    <row r="5" spans="2:3" x14ac:dyDescent="0.25">
      <c r="C5" s="10" t="s">
        <v>159</v>
      </c>
    </row>
    <row r="6" spans="2:3" x14ac:dyDescent="0.25">
      <c r="C6" s="10" t="s">
        <v>160</v>
      </c>
    </row>
    <row r="7" spans="2:3" x14ac:dyDescent="0.25">
      <c r="C7" s="10"/>
    </row>
    <row r="8" spans="2:3" x14ac:dyDescent="0.25">
      <c r="B8" s="9">
        <v>2016</v>
      </c>
      <c r="C8" s="10" t="s">
        <v>169</v>
      </c>
    </row>
    <row r="9" spans="2:3" x14ac:dyDescent="0.25">
      <c r="C9" s="10" t="s">
        <v>159</v>
      </c>
    </row>
    <row r="10" spans="2:3" x14ac:dyDescent="0.25">
      <c r="C10" s="10" t="s">
        <v>167</v>
      </c>
    </row>
    <row r="12" spans="2:3" x14ac:dyDescent="0.25">
      <c r="B12" s="8" t="s">
        <v>170</v>
      </c>
    </row>
    <row r="13" spans="2:3" x14ac:dyDescent="0.25">
      <c r="B13" s="9" t="s">
        <v>53</v>
      </c>
    </row>
    <row r="14" spans="2:3" x14ac:dyDescent="0.25">
      <c r="B14" s="9" t="s">
        <v>81</v>
      </c>
    </row>
    <row r="16" spans="2:3" x14ac:dyDescent="0.25">
      <c r="B16" s="8" t="s">
        <v>85</v>
      </c>
    </row>
    <row r="17" spans="2:2" x14ac:dyDescent="0.25">
      <c r="B17" s="9" t="s">
        <v>86</v>
      </c>
    </row>
    <row r="18" spans="2:2" x14ac:dyDescent="0.25">
      <c r="B18" s="9" t="s">
        <v>87</v>
      </c>
    </row>
    <row r="21" spans="2:2" ht="16.2" x14ac:dyDescent="0.35">
      <c r="B21" s="9" t="s">
        <v>88</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1- Input data</vt:lpstr>
      <vt:lpstr>2- Adjustments to proportions</vt:lpstr>
      <vt:lpstr>3 - Synthetic cohort</vt:lpstr>
      <vt:lpstr>Sources</vt:lpstr>
    </vt:vector>
  </TitlesOfParts>
  <Company>Université Catholique de Louvain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Reviewer</dc:creator>
  <cp:lastModifiedBy>Reviewer</cp:lastModifiedBy>
  <dcterms:created xsi:type="dcterms:W3CDTF">2024-03-13T13:21:02Z</dcterms:created>
  <dcterms:modified xsi:type="dcterms:W3CDTF">2024-04-05T14:47:53Z</dcterms:modified>
</cp:coreProperties>
</file>