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apt33090-my.sharepoint.com/personal/pedromscunha04_ua_pt/Documents/MCE/p1/"/>
    </mc:Choice>
  </mc:AlternateContent>
  <xr:revisionPtr revIDLastSave="0" documentId="8_{2FBEAB79-B8C2-40F6-9D72-EDD6CFA86D6F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Fo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" i="1" l="1"/>
  <c r="K17" i="1"/>
  <c r="J17" i="1"/>
  <c r="H17" i="1"/>
  <c r="H5" i="1"/>
  <c r="C9" i="1"/>
  <c r="C8" i="1"/>
  <c r="C7" i="1"/>
  <c r="C6" i="1"/>
  <c r="C5" i="1"/>
  <c r="K5" i="1" l="1"/>
  <c r="I17" i="1" s="1"/>
  <c r="D6" i="1"/>
  <c r="D7" i="1"/>
  <c r="D8" i="1"/>
  <c r="D9" i="1"/>
  <c r="D5" i="1"/>
  <c r="E5" i="1" s="1"/>
  <c r="I6" i="1"/>
  <c r="I7" i="1"/>
  <c r="I8" i="1"/>
  <c r="I9" i="1"/>
  <c r="I5" i="1"/>
  <c r="J5" i="1" s="1"/>
  <c r="C44" i="1"/>
  <c r="D44" i="1" s="1"/>
  <c r="E44" i="1" s="1"/>
  <c r="C43" i="1"/>
  <c r="D43" i="1" s="1"/>
  <c r="E43" i="1" s="1"/>
  <c r="C42" i="1"/>
  <c r="D42" i="1" s="1"/>
  <c r="E42" i="1" s="1"/>
  <c r="C41" i="1"/>
  <c r="D41" i="1" s="1"/>
  <c r="E41" i="1" s="1"/>
  <c r="C40" i="1"/>
  <c r="E31" i="1"/>
  <c r="F31" i="1" s="1"/>
  <c r="E30" i="1"/>
  <c r="F30" i="1" s="1"/>
  <c r="D29" i="1"/>
  <c r="E29" i="1" s="1"/>
  <c r="F29" i="1" s="1"/>
  <c r="E28" i="1"/>
  <c r="F28" i="1" s="1"/>
  <c r="E27" i="1"/>
  <c r="F27" i="1" s="1"/>
  <c r="D26" i="1"/>
  <c r="E26" i="1" s="1"/>
  <c r="F26" i="1" s="1"/>
  <c r="E25" i="1"/>
  <c r="F25" i="1" s="1"/>
  <c r="E24" i="1"/>
  <c r="F24" i="1" s="1"/>
  <c r="D23" i="1"/>
  <c r="E23" i="1" s="1"/>
  <c r="F23" i="1" s="1"/>
  <c r="E22" i="1"/>
  <c r="F22" i="1" s="1"/>
  <c r="E21" i="1"/>
  <c r="F21" i="1" s="1"/>
  <c r="D20" i="1"/>
  <c r="E20" i="1" s="1"/>
  <c r="F20" i="1" s="1"/>
  <c r="E19" i="1"/>
  <c r="F19" i="1" s="1"/>
  <c r="E18" i="1"/>
  <c r="F18" i="1" s="1"/>
  <c r="D17" i="1"/>
  <c r="E17" i="1" s="1"/>
  <c r="F17" i="1" s="1"/>
  <c r="G40" i="1" l="1"/>
  <c r="F40" i="1"/>
  <c r="K40" i="1" s="1"/>
  <c r="D40" i="1"/>
  <c r="E40" i="1" s="1"/>
  <c r="L5" i="1"/>
  <c r="M5" i="1" s="1"/>
  <c r="L40" i="1" l="1"/>
  <c r="M40" i="1"/>
</calcChain>
</file>

<file path=xl/sharedStrings.xml><?xml version="1.0" encoding="utf-8"?>
<sst xmlns="http://schemas.openxmlformats.org/spreadsheetml/2006/main" count="82" uniqueCount="53">
  <si>
    <t>Parte A - Determinação da Velocidade Inicial</t>
  </si>
  <si>
    <r>
      <rPr>
        <b/>
        <sz val="11"/>
        <color rgb="FF000000"/>
        <rFont val="Calibri"/>
      </rPr>
      <t>Distância L ± ΔL</t>
    </r>
    <r>
      <rPr>
        <b/>
        <sz val="8"/>
        <color rgb="FF000000"/>
        <rFont val="Calibri"/>
      </rPr>
      <t>m</t>
    </r>
  </si>
  <si>
    <r>
      <rPr>
        <b/>
        <sz val="11"/>
        <color rgb="FF000000"/>
        <rFont val="Calibri"/>
      </rPr>
      <t>Tempo T ± ΔT</t>
    </r>
    <r>
      <rPr>
        <b/>
        <sz val="8"/>
        <color rgb="FF000000"/>
        <rFont val="Calibri"/>
      </rPr>
      <t>m</t>
    </r>
  </si>
  <si>
    <t>Velocidade</t>
  </si>
  <si>
    <t>l</t>
  </si>
  <si>
    <r>
      <rPr>
        <sz val="11"/>
        <color rgb="FF000000"/>
        <rFont val="Calibri"/>
      </rPr>
      <t>ΔL</t>
    </r>
    <r>
      <rPr>
        <sz val="8"/>
        <color rgb="FF000000"/>
        <rFont val="Calibri"/>
      </rPr>
      <t>i</t>
    </r>
  </si>
  <si>
    <t>Média L</t>
  </si>
  <si>
    <t>δL</t>
  </si>
  <si>
    <r>
      <rPr>
        <sz val="11"/>
        <color rgb="FF000000"/>
        <rFont val="Calibri"/>
      </rPr>
      <t>ΔL</t>
    </r>
    <r>
      <rPr>
        <sz val="8"/>
        <color rgb="FF000000"/>
        <rFont val="Calibri"/>
      </rPr>
      <t>m</t>
    </r>
  </si>
  <si>
    <t>t</t>
  </si>
  <si>
    <r>
      <rPr>
        <sz val="11"/>
        <color rgb="FF000000"/>
        <rFont val="Calibri"/>
      </rPr>
      <t>Δt</t>
    </r>
    <r>
      <rPr>
        <sz val="8"/>
        <color rgb="FF000000"/>
        <rFont val="Calibri"/>
      </rPr>
      <t>i</t>
    </r>
  </si>
  <si>
    <t>T</t>
  </si>
  <si>
    <t>δT</t>
  </si>
  <si>
    <r>
      <rPr>
        <sz val="11"/>
        <color rgb="FF000000"/>
        <rFont val="Calibri"/>
      </rPr>
      <t>ΔT</t>
    </r>
    <r>
      <rPr>
        <sz val="8"/>
        <color rgb="FF000000"/>
        <rFont val="Calibri"/>
      </rPr>
      <t>m</t>
    </r>
  </si>
  <si>
    <t>v</t>
  </si>
  <si>
    <t>Δv</t>
  </si>
  <si>
    <t>Precisão</t>
  </si>
  <si>
    <t>mm</t>
  </si>
  <si>
    <t>s</t>
  </si>
  <si>
    <t>m/s</t>
  </si>
  <si>
    <t>%</t>
  </si>
  <si>
    <t>Parte B - Dependência do Alcance com o Ângulo de Disparo</t>
  </si>
  <si>
    <t>Ângulo</t>
  </si>
  <si>
    <r>
      <rPr>
        <b/>
        <sz val="11"/>
        <color rgb="FF000000"/>
        <rFont val="Calibri"/>
      </rPr>
      <t>Alcance x ± Δx</t>
    </r>
    <r>
      <rPr>
        <b/>
        <sz val="8"/>
        <color rgb="FF000000"/>
        <rFont val="Calibri"/>
      </rPr>
      <t>m</t>
    </r>
  </si>
  <si>
    <t>Altura</t>
  </si>
  <si>
    <t>Ângulo alcance máximo</t>
  </si>
  <si>
    <t>(°)</t>
  </si>
  <si>
    <t>x</t>
  </si>
  <si>
    <r>
      <rPr>
        <sz val="11"/>
        <color rgb="FF000000"/>
        <rFont val="Calibri"/>
      </rPr>
      <t>Δx</t>
    </r>
    <r>
      <rPr>
        <sz val="8"/>
        <color rgb="FF000000"/>
        <rFont val="Calibri"/>
      </rPr>
      <t>i</t>
    </r>
  </si>
  <si>
    <t>Média x</t>
  </si>
  <si>
    <t>δx</t>
  </si>
  <si>
    <r>
      <rPr>
        <sz val="11"/>
        <color rgb="FF000000"/>
        <rFont val="Calibri"/>
      </rPr>
      <t>Δx</t>
    </r>
    <r>
      <rPr>
        <sz val="8"/>
        <color rgb="FF000000"/>
        <rFont val="Calibri"/>
      </rPr>
      <t>m</t>
    </r>
  </si>
  <si>
    <r>
      <t>y</t>
    </r>
    <r>
      <rPr>
        <sz val="9"/>
        <color theme="1"/>
        <rFont val="Calibri"/>
        <family val="2"/>
        <scheme val="minor"/>
      </rPr>
      <t>i</t>
    </r>
  </si>
  <si>
    <t>Y</t>
  </si>
  <si>
    <t>Real</t>
  </si>
  <si>
    <t>265</t>
  </si>
  <si>
    <t>266</t>
  </si>
  <si>
    <t>267</t>
  </si>
  <si>
    <t>Parte C - O Pêndulo Balístico</t>
  </si>
  <si>
    <r>
      <rPr>
        <b/>
        <sz val="11"/>
        <color rgb="FF000000"/>
        <rFont val="Calibri"/>
      </rPr>
      <t>Ângulo α ± Δα</t>
    </r>
    <r>
      <rPr>
        <b/>
        <sz val="8"/>
        <color rgb="FF000000"/>
        <rFont val="Calibri"/>
      </rPr>
      <t>m</t>
    </r>
  </si>
  <si>
    <r>
      <rPr>
        <b/>
        <sz val="11"/>
        <color rgb="FF000000"/>
        <rFont val="Calibri"/>
      </rPr>
      <t>Altura h ± Δh</t>
    </r>
    <r>
      <rPr>
        <b/>
        <sz val="8"/>
        <color rgb="FF000000"/>
        <rFont val="Calibri"/>
      </rPr>
      <t>m</t>
    </r>
  </si>
  <si>
    <t>Massas</t>
  </si>
  <si>
    <t>Comprimento</t>
  </si>
  <si>
    <t>α</t>
  </si>
  <si>
    <r>
      <rPr>
        <sz val="11"/>
        <color rgb="FF000000"/>
        <rFont val="Calibri"/>
      </rPr>
      <t>Δα</t>
    </r>
    <r>
      <rPr>
        <sz val="8"/>
        <color rgb="FF000000"/>
        <rFont val="Calibri"/>
      </rPr>
      <t>i</t>
    </r>
  </si>
  <si>
    <t>Média α</t>
  </si>
  <si>
    <t>δα</t>
  </si>
  <si>
    <r>
      <rPr>
        <sz val="11"/>
        <color rgb="FF000000"/>
        <rFont val="Calibri"/>
      </rPr>
      <t>Δα</t>
    </r>
    <r>
      <rPr>
        <sz val="8"/>
        <color rgb="FF000000"/>
        <rFont val="Calibri"/>
      </rPr>
      <t>m</t>
    </r>
  </si>
  <si>
    <t>h</t>
  </si>
  <si>
    <r>
      <rPr>
        <sz val="11"/>
        <color rgb="FF000000"/>
        <rFont val="Calibri"/>
      </rPr>
      <t>Δh</t>
    </r>
    <r>
      <rPr>
        <sz val="8"/>
        <color rgb="FF000000"/>
        <rFont val="Calibri"/>
      </rPr>
      <t>i</t>
    </r>
  </si>
  <si>
    <t>Pêndulo</t>
  </si>
  <si>
    <t>Bola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</si>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</sst>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</font>
    <font>
      <b/>
      <sz val="8"/>
      <color rgb="FF000000"/>
      <name val="Calibri"/>
    </font>
    <font>
      <sz val="11"/>
      <color rgb="FF000000"/>
      <name val="Calibri"/>
    </font>
    <font>
      <sz val="8"/>
      <color rgb="FF000000"/>
      <name val="Calibri"/>
    </font>
    <font>
      <sz val="11"/>
      <color rgb="FF444444"/>
      <name val="Calibri"/>
      <family val="2"/>
      <charset val="1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/>
      <diagonal/>
    </border>
    <border>
      <left style="thin">
        <color indexed="64"/>
      </left>
      <right style="thin">
        <color indexed="64"/>
      </right>
      <top style="dotted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dotted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otted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tted">
        <color rgb="FF000000"/>
      </top>
      <bottom/>
      <diagonal/>
    </border>
    <border>
      <left style="thin">
        <color indexed="64"/>
      </left>
      <right/>
      <top style="dotted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1" fillId="0" borderId="0" xfId="0" applyFont="1" applyAlignment="1">
      <alignment vertical="center"/>
    </xf>
    <xf numFmtId="49" fontId="2" fillId="0" borderId="7" xfId="0" applyNumberFormat="1" applyFon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49" fontId="1" fillId="0" borderId="0" xfId="0" applyNumberFormat="1" applyFont="1" applyAlignment="1">
      <alignment vertical="center"/>
    </xf>
    <xf numFmtId="0" fontId="6" fillId="0" borderId="5" xfId="0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49" fontId="4" fillId="0" borderId="21" xfId="0" applyNumberFormat="1" applyFon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/>
    </xf>
    <xf numFmtId="49" fontId="0" fillId="0" borderId="27" xfId="0" applyNumberFormat="1" applyBorder="1" applyAlignment="1">
      <alignment horizontal="center" vertical="center"/>
    </xf>
    <xf numFmtId="11" fontId="0" fillId="0" borderId="15" xfId="0" applyNumberFormat="1" applyBorder="1" applyAlignment="1">
      <alignment horizontal="center" vertical="center"/>
    </xf>
    <xf numFmtId="11" fontId="0" fillId="0" borderId="18" xfId="0" applyNumberFormat="1" applyBorder="1" applyAlignment="1">
      <alignment horizontal="center" vertical="center"/>
    </xf>
    <xf numFmtId="11" fontId="0" fillId="0" borderId="23" xfId="0" applyNumberFormat="1" applyBorder="1" applyAlignment="1">
      <alignment horizontal="center" vertical="center"/>
    </xf>
    <xf numFmtId="11" fontId="0" fillId="0" borderId="16" xfId="0" applyNumberFormat="1" applyBorder="1" applyAlignment="1">
      <alignment horizontal="center" vertical="center"/>
    </xf>
    <xf numFmtId="11" fontId="0" fillId="0" borderId="19" xfId="0" applyNumberFormat="1" applyBorder="1" applyAlignment="1">
      <alignment horizontal="center" vertical="center"/>
    </xf>
    <xf numFmtId="11" fontId="0" fillId="0" borderId="10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11" fontId="0" fillId="0" borderId="28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2" fontId="0" fillId="0" borderId="32" xfId="0" applyNumberFormat="1" applyBorder="1" applyAlignment="1">
      <alignment horizontal="center" vertical="center"/>
    </xf>
    <xf numFmtId="2" fontId="0" fillId="0" borderId="33" xfId="0" applyNumberFormat="1" applyBorder="1" applyAlignment="1">
      <alignment horizontal="center" vertical="center"/>
    </xf>
    <xf numFmtId="2" fontId="0" fillId="0" borderId="34" xfId="0" applyNumberFormat="1" applyBorder="1" applyAlignment="1">
      <alignment horizontal="center" vertical="center"/>
    </xf>
    <xf numFmtId="2" fontId="0" fillId="0" borderId="30" xfId="0" applyNumberFormat="1" applyBorder="1" applyAlignment="1">
      <alignment horizontal="center" vertical="center"/>
    </xf>
    <xf numFmtId="49" fontId="1" fillId="0" borderId="39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49" fontId="2" fillId="0" borderId="37" xfId="0" applyNumberFormat="1" applyFont="1" applyBorder="1" applyAlignment="1">
      <alignment horizontal="center" vertical="center"/>
    </xf>
    <xf numFmtId="49" fontId="2" fillId="0" borderId="38" xfId="0" applyNumberFormat="1" applyFont="1" applyBorder="1" applyAlignment="1">
      <alignment horizontal="center" vertical="center"/>
    </xf>
    <xf numFmtId="49" fontId="2" fillId="0" borderId="39" xfId="0" applyNumberFormat="1" applyFont="1" applyBorder="1" applyAlignment="1">
      <alignment horizontal="center" vertical="center"/>
    </xf>
    <xf numFmtId="49" fontId="1" fillId="0" borderId="38" xfId="0" applyNumberFormat="1" applyFont="1" applyBorder="1" applyAlignment="1">
      <alignment horizontal="center" vertical="center"/>
    </xf>
    <xf numFmtId="49" fontId="1" fillId="0" borderId="39" xfId="0" applyNumberFormat="1" applyFont="1" applyBorder="1" applyAlignment="1">
      <alignment horizontal="center" vertical="center"/>
    </xf>
    <xf numFmtId="49" fontId="1" fillId="0" borderId="35" xfId="0" applyNumberFormat="1" applyFont="1" applyBorder="1" applyAlignment="1">
      <alignment horizontal="center" vertical="center"/>
    </xf>
    <xf numFmtId="49" fontId="1" fillId="0" borderId="36" xfId="0" applyNumberFormat="1" applyFont="1" applyBorder="1" applyAlignment="1">
      <alignment horizontal="center" vertical="center"/>
    </xf>
    <xf numFmtId="49" fontId="1" fillId="0" borderId="43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2" fillId="0" borderId="24" xfId="0" applyNumberFormat="1" applyFont="1" applyBorder="1" applyAlignment="1">
      <alignment horizontal="center" vertical="center"/>
    </xf>
    <xf numFmtId="11" fontId="0" fillId="0" borderId="11" xfId="0" applyNumberFormat="1" applyBorder="1" applyAlignment="1">
      <alignment horizontal="center" vertical="center"/>
    </xf>
    <xf numFmtId="11" fontId="0" fillId="0" borderId="12" xfId="0" applyNumberFormat="1" applyBorder="1" applyAlignment="1">
      <alignment horizontal="center" vertical="center"/>
    </xf>
    <xf numFmtId="11" fontId="0" fillId="0" borderId="23" xfId="0" applyNumberFormat="1" applyBorder="1" applyAlignment="1">
      <alignment horizontal="center" vertical="center"/>
    </xf>
    <xf numFmtId="10" fontId="0" fillId="0" borderId="11" xfId="0" applyNumberFormat="1" applyBorder="1" applyAlignment="1">
      <alignment horizontal="center" vertical="center"/>
    </xf>
    <xf numFmtId="10" fontId="0" fillId="0" borderId="12" xfId="0" applyNumberFormat="1" applyBorder="1" applyAlignment="1">
      <alignment horizontal="center" vertical="center"/>
    </xf>
    <xf numFmtId="10" fontId="0" fillId="0" borderId="23" xfId="0" applyNumberFormat="1" applyBorder="1" applyAlignment="1">
      <alignment horizontal="center" vertical="center"/>
    </xf>
    <xf numFmtId="49" fontId="1" fillId="0" borderId="25" xfId="0" applyNumberFormat="1" applyFont="1" applyBorder="1" applyAlignment="1">
      <alignment horizontal="center" vertical="center"/>
    </xf>
    <xf numFmtId="2" fontId="0" fillId="0" borderId="44" xfId="0" applyNumberFormat="1" applyBorder="1" applyAlignment="1">
      <alignment horizontal="center" vertical="center"/>
    </xf>
    <xf numFmtId="2" fontId="0" fillId="0" borderId="45" xfId="0" applyNumberFormat="1" applyBorder="1" applyAlignment="1">
      <alignment horizontal="center" vertical="center"/>
    </xf>
    <xf numFmtId="2" fontId="0" fillId="0" borderId="46" xfId="0" applyNumberFormat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2" fontId="0" fillId="0" borderId="41" xfId="0" applyNumberFormat="1" applyBorder="1" applyAlignment="1">
      <alignment horizontal="center" vertical="center"/>
    </xf>
    <xf numFmtId="2" fontId="0" fillId="0" borderId="42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164" fontId="0" fillId="0" borderId="0" xfId="0" applyNumberFormat="1"/>
    <xf numFmtId="10" fontId="0" fillId="0" borderId="0" xfId="0" applyNumberFormat="1"/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49" fontId="0" fillId="0" borderId="40" xfId="0" applyNumberFormat="1" applyBorder="1" applyAlignment="1">
      <alignment horizontal="center" vertical="center"/>
    </xf>
    <xf numFmtId="49" fontId="1" fillId="0" borderId="47" xfId="0" applyNumberFormat="1" applyFont="1" applyBorder="1" applyAlignment="1">
      <alignment horizontal="center" vertical="center"/>
    </xf>
    <xf numFmtId="2" fontId="0" fillId="0" borderId="48" xfId="0" applyNumberFormat="1" applyBorder="1" applyAlignment="1">
      <alignment horizontal="center" vertical="center"/>
    </xf>
    <xf numFmtId="2" fontId="0" fillId="0" borderId="49" xfId="0" applyNumberFormat="1" applyBorder="1" applyAlignment="1">
      <alignment horizontal="center" vertical="center"/>
    </xf>
    <xf numFmtId="2" fontId="0" fillId="0" borderId="50" xfId="0" applyNumberFormat="1" applyBorder="1" applyAlignment="1">
      <alignment horizontal="center" vertical="center"/>
    </xf>
    <xf numFmtId="2" fontId="0" fillId="0" borderId="47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0" xfId="0" applyBorder="1"/>
    <xf numFmtId="0" fontId="0" fillId="0" borderId="5" xfId="0" applyBorder="1" applyAlignment="1">
      <alignment horizontal="center"/>
    </xf>
    <xf numFmtId="10" fontId="0" fillId="0" borderId="4" xfId="0" applyNumberFormat="1" applyBorder="1" applyAlignment="1">
      <alignment horizontal="center" vertical="center"/>
    </xf>
    <xf numFmtId="10" fontId="0" fillId="0" borderId="7" xfId="0" applyNumberFormat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Folha1!$S$15:$S$19</c:f>
              <c:numCache>
                <c:formatCode>General</c:formatCode>
                <c:ptCount val="5"/>
                <c:pt idx="0">
                  <c:v>30</c:v>
                </c:pt>
                <c:pt idx="1">
                  <c:v>34</c:v>
                </c:pt>
                <c:pt idx="2">
                  <c:v>38</c:v>
                </c:pt>
                <c:pt idx="3">
                  <c:v>40</c:v>
                </c:pt>
                <c:pt idx="4">
                  <c:v>43</c:v>
                </c:pt>
              </c:numCache>
            </c:numRef>
          </c:xVal>
          <c:yVal>
            <c:numRef>
              <c:f>Folha1!$T$15:$T$19</c:f>
              <c:numCache>
                <c:formatCode>General</c:formatCode>
                <c:ptCount val="5"/>
                <c:pt idx="0">
                  <c:v>759</c:v>
                </c:pt>
                <c:pt idx="1">
                  <c:v>760</c:v>
                </c:pt>
                <c:pt idx="2">
                  <c:v>760</c:v>
                </c:pt>
                <c:pt idx="3">
                  <c:v>749</c:v>
                </c:pt>
                <c:pt idx="4">
                  <c:v>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0B1-41B5-B3B6-869A199F2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530968"/>
        <c:axId val="523539896"/>
      </c:scatterChart>
      <c:valAx>
        <c:axId val="523530968"/>
        <c:scaling>
          <c:orientation val="minMax"/>
          <c:max val="44"/>
          <c:min val="2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39896"/>
        <c:crosses val="autoZero"/>
        <c:crossBetween val="midCat"/>
      </c:valAx>
      <c:valAx>
        <c:axId val="52353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30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11</xdr:row>
      <xdr:rowOff>38100</xdr:rowOff>
    </xdr:from>
    <xdr:to>
      <xdr:col>22</xdr:col>
      <xdr:colOff>514350</xdr:colOff>
      <xdr:row>23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7BC0E0-6181-3769-86F4-411062AEC6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4"/>
  <sheetViews>
    <sheetView tabSelected="1" topLeftCell="A6" workbookViewId="0">
      <selection activeCell="L17" sqref="L17:L31"/>
    </sheetView>
  </sheetViews>
  <sheetFormatPr defaultRowHeight="15"/>
  <cols>
    <col min="1" max="1" width="9.85546875" customWidth="1"/>
    <col min="2" max="2" width="9.28515625" bestFit="1" customWidth="1"/>
    <col min="6" max="6" width="9.28515625" bestFit="1" customWidth="1"/>
    <col min="8" max="8" width="10.5703125" customWidth="1"/>
    <col min="9" max="9" width="15" customWidth="1"/>
    <col min="10" max="10" width="14.140625" customWidth="1"/>
    <col min="12" max="12" width="9.28515625" bestFit="1" customWidth="1"/>
    <col min="13" max="13" width="14" customWidth="1"/>
  </cols>
  <sheetData>
    <row r="1" spans="1:20">
      <c r="A1" s="63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5"/>
      <c r="L1" s="65"/>
      <c r="M1" s="66"/>
      <c r="N1" s="1"/>
    </row>
    <row r="2" spans="1:20">
      <c r="A2" s="67" t="s">
        <v>1</v>
      </c>
      <c r="B2" s="68"/>
      <c r="C2" s="68"/>
      <c r="D2" s="68"/>
      <c r="E2" s="68"/>
      <c r="F2" s="69" t="s">
        <v>2</v>
      </c>
      <c r="G2" s="70"/>
      <c r="H2" s="70"/>
      <c r="I2" s="70"/>
      <c r="J2" s="70"/>
      <c r="K2" s="63" t="s">
        <v>3</v>
      </c>
      <c r="L2" s="64"/>
      <c r="M2" s="71"/>
    </row>
    <row r="3" spans="1:20">
      <c r="A3" s="3" t="s">
        <v>4</v>
      </c>
      <c r="B3" s="4" t="s">
        <v>5</v>
      </c>
      <c r="C3" s="3" t="s">
        <v>6</v>
      </c>
      <c r="D3" s="3" t="s">
        <v>7</v>
      </c>
      <c r="E3" s="4" t="s">
        <v>8</v>
      </c>
      <c r="F3" s="3" t="s">
        <v>9</v>
      </c>
      <c r="G3" s="4" t="s">
        <v>10</v>
      </c>
      <c r="H3" s="3" t="s">
        <v>11</v>
      </c>
      <c r="I3" s="3" t="s">
        <v>12</v>
      </c>
      <c r="J3" s="4" t="s">
        <v>13</v>
      </c>
      <c r="K3" s="5" t="s">
        <v>14</v>
      </c>
      <c r="L3" s="5" t="s">
        <v>15</v>
      </c>
      <c r="M3" s="6" t="s">
        <v>16</v>
      </c>
    </row>
    <row r="4" spans="1:20">
      <c r="A4" s="3" t="s">
        <v>17</v>
      </c>
      <c r="B4" s="7" t="s">
        <v>17</v>
      </c>
      <c r="C4" s="8" t="s">
        <v>17</v>
      </c>
      <c r="D4" s="8" t="s">
        <v>17</v>
      </c>
      <c r="E4" s="8" t="s">
        <v>17</v>
      </c>
      <c r="F4" s="8" t="s">
        <v>18</v>
      </c>
      <c r="G4" s="8" t="s">
        <v>18</v>
      </c>
      <c r="H4" s="8" t="s">
        <v>18</v>
      </c>
      <c r="I4" s="8" t="s">
        <v>18</v>
      </c>
      <c r="J4" s="8" t="s">
        <v>18</v>
      </c>
      <c r="K4" s="8" t="s">
        <v>19</v>
      </c>
      <c r="L4" s="8" t="s">
        <v>19</v>
      </c>
      <c r="M4" s="8" t="s">
        <v>20</v>
      </c>
    </row>
    <row r="5" spans="1:20">
      <c r="A5" s="9">
        <v>100</v>
      </c>
      <c r="B5" s="10">
        <v>1</v>
      </c>
      <c r="C5" s="34">
        <f>AVERAGE(A5:A9)</f>
        <v>100</v>
      </c>
      <c r="D5" s="34">
        <f>ABS($C$5-A5)</f>
        <v>0</v>
      </c>
      <c r="E5" s="46">
        <f>MAX(B5:B9,D5:D9)</f>
        <v>1</v>
      </c>
      <c r="F5" s="29">
        <v>4.3900000000000002E-2</v>
      </c>
      <c r="G5" s="73">
        <v>1E-4</v>
      </c>
      <c r="H5" s="73">
        <f>AVERAGE(F5:F9)</f>
        <v>4.4540000000000003E-2</v>
      </c>
      <c r="I5" s="38">
        <f>ABS($H$5-F5)</f>
        <v>6.4000000000000168E-4</v>
      </c>
      <c r="J5" s="73">
        <f>MAX(G5:G7,I5:I7)</f>
        <v>1.1400000000000021E-3</v>
      </c>
      <c r="K5" s="73">
        <f>C5/H5*0.001</f>
        <v>2.2451728783116303</v>
      </c>
      <c r="L5" s="73">
        <f>K5*(E5/C5 + J5/H5)</f>
        <v>7.9916863073086278E-2</v>
      </c>
      <c r="M5" s="76">
        <f>1-L5/K5</f>
        <v>0.96440502918724735</v>
      </c>
    </row>
    <row r="6" spans="1:20">
      <c r="A6" s="12">
        <v>100</v>
      </c>
      <c r="B6" s="13">
        <v>1</v>
      </c>
      <c r="C6" s="36">
        <f>AVERAGE(A5:A9)</f>
        <v>100</v>
      </c>
      <c r="D6" s="36">
        <f t="shared" ref="D6:D9" si="0">ABS($C$5-A6)</f>
        <v>0</v>
      </c>
      <c r="E6" s="47"/>
      <c r="F6" s="30">
        <v>4.3400000000000001E-2</v>
      </c>
      <c r="G6" s="74"/>
      <c r="H6" s="74"/>
      <c r="I6" s="39">
        <f t="shared" ref="I6:I9" si="1">ABS($H$5-F6)</f>
        <v>1.1400000000000021E-3</v>
      </c>
      <c r="J6" s="74"/>
      <c r="K6" s="74"/>
      <c r="L6" s="74"/>
      <c r="M6" s="77"/>
    </row>
    <row r="7" spans="1:20">
      <c r="A7" s="12">
        <v>100</v>
      </c>
      <c r="B7" s="13">
        <v>1</v>
      </c>
      <c r="C7" s="36">
        <f>AVERAGE(A5:A9)</f>
        <v>100</v>
      </c>
      <c r="D7" s="36">
        <f t="shared" si="0"/>
        <v>0</v>
      </c>
      <c r="E7" s="47"/>
      <c r="F7" s="30">
        <v>4.3799999999999999E-2</v>
      </c>
      <c r="G7" s="74"/>
      <c r="H7" s="74"/>
      <c r="I7" s="39">
        <f t="shared" si="1"/>
        <v>7.4000000000000454E-4</v>
      </c>
      <c r="J7" s="74"/>
      <c r="K7" s="74"/>
      <c r="L7" s="74"/>
      <c r="M7" s="77"/>
    </row>
    <row r="8" spans="1:20">
      <c r="A8" s="12">
        <v>100</v>
      </c>
      <c r="B8" s="13">
        <v>1</v>
      </c>
      <c r="C8" s="36">
        <f>AVERAGE(A5:A9)</f>
        <v>100</v>
      </c>
      <c r="D8" s="36">
        <f t="shared" si="0"/>
        <v>0</v>
      </c>
      <c r="E8" s="47"/>
      <c r="F8" s="30">
        <v>4.4200000000000003E-2</v>
      </c>
      <c r="G8" s="74"/>
      <c r="H8" s="74"/>
      <c r="I8" s="39">
        <f t="shared" si="1"/>
        <v>3.4000000000000002E-4</v>
      </c>
      <c r="J8" s="74"/>
      <c r="K8" s="74"/>
      <c r="L8" s="74"/>
      <c r="M8" s="77"/>
    </row>
    <row r="9" spans="1:20">
      <c r="A9" s="15">
        <v>100</v>
      </c>
      <c r="B9" s="15">
        <v>1</v>
      </c>
      <c r="C9" s="35">
        <f>AVERAGE(A5:A9)</f>
        <v>100</v>
      </c>
      <c r="D9" s="35">
        <f t="shared" si="0"/>
        <v>0</v>
      </c>
      <c r="E9" s="48"/>
      <c r="F9" s="31">
        <v>4.7399999999999998E-2</v>
      </c>
      <c r="G9" s="75"/>
      <c r="H9" s="75"/>
      <c r="I9" s="37">
        <f t="shared" si="1"/>
        <v>2.8599999999999945E-3</v>
      </c>
      <c r="J9" s="75"/>
      <c r="K9" s="75"/>
      <c r="L9" s="75"/>
      <c r="M9" s="78"/>
    </row>
    <row r="12" spans="1:20">
      <c r="J12" s="16"/>
      <c r="K12" s="16"/>
      <c r="L12" s="16"/>
      <c r="M12" s="16"/>
    </row>
    <row r="14" spans="1:20">
      <c r="A14" s="63" t="s">
        <v>21</v>
      </c>
      <c r="B14" s="64"/>
      <c r="C14" s="64"/>
      <c r="D14" s="64"/>
      <c r="E14" s="64"/>
      <c r="F14" s="64"/>
      <c r="G14" s="64"/>
      <c r="H14" s="64"/>
      <c r="I14" s="65"/>
      <c r="J14" s="65"/>
      <c r="K14" s="65"/>
      <c r="L14" s="66"/>
    </row>
    <row r="15" spans="1:20">
      <c r="A15" s="2" t="s">
        <v>22</v>
      </c>
      <c r="B15" s="69" t="s">
        <v>23</v>
      </c>
      <c r="C15" s="70"/>
      <c r="D15" s="70"/>
      <c r="E15" s="70"/>
      <c r="F15" s="72"/>
      <c r="G15" s="79" t="s">
        <v>24</v>
      </c>
      <c r="H15" s="98"/>
      <c r="I15" s="94" t="s">
        <v>25</v>
      </c>
      <c r="J15" s="96"/>
      <c r="K15" s="94" t="s">
        <v>16</v>
      </c>
      <c r="L15" s="95"/>
      <c r="S15">
        <v>30</v>
      </c>
      <c r="T15">
        <v>759</v>
      </c>
    </row>
    <row r="16" spans="1:20">
      <c r="A16" s="17" t="s">
        <v>26</v>
      </c>
      <c r="B16" s="3" t="s">
        <v>27</v>
      </c>
      <c r="C16" s="4" t="s">
        <v>28</v>
      </c>
      <c r="D16" s="3" t="s">
        <v>29</v>
      </c>
      <c r="E16" s="3" t="s">
        <v>30</v>
      </c>
      <c r="F16" s="22" t="s">
        <v>31</v>
      </c>
      <c r="G16" s="97" t="s">
        <v>32</v>
      </c>
      <c r="H16" s="103" t="s">
        <v>33</v>
      </c>
      <c r="I16" s="108" t="s">
        <v>26</v>
      </c>
      <c r="J16" s="45" t="s">
        <v>34</v>
      </c>
      <c r="K16" s="113" t="s">
        <v>20</v>
      </c>
      <c r="L16" s="117"/>
      <c r="M16" s="92"/>
      <c r="O16" s="93"/>
      <c r="P16" s="93"/>
      <c r="S16">
        <v>34</v>
      </c>
      <c r="T16">
        <v>760</v>
      </c>
    </row>
    <row r="17" spans="1:20">
      <c r="A17" s="57">
        <v>30</v>
      </c>
      <c r="B17" s="26">
        <v>758</v>
      </c>
      <c r="C17" s="11">
        <v>1</v>
      </c>
      <c r="D17" s="73">
        <f>AVERAGE(B17:B19)</f>
        <v>759.33333333333337</v>
      </c>
      <c r="E17" s="11">
        <f t="shared" ref="E17:E31" si="2">D17-B17</f>
        <v>1.3333333333333712</v>
      </c>
      <c r="F17" s="21">
        <f t="shared" ref="F17:F25" si="3">MAX(E17,C17)</f>
        <v>1.3333333333333712</v>
      </c>
      <c r="G17" s="99">
        <v>261</v>
      </c>
      <c r="H17" s="105">
        <f>AVERAGE(G17:G31)</f>
        <v>263.92500000000001</v>
      </c>
      <c r="I17" s="109">
        <f>DEGREES(ATAN(1/SQRT(1+2*9.8*H17*0.001/K5^2)))</f>
        <v>35.088739036075133</v>
      </c>
      <c r="J17" s="109">
        <f>12.469/(2*0.1874)</f>
        <v>33.2684098185699</v>
      </c>
      <c r="K17" s="114">
        <f>ABS(1-I17/J17)</f>
        <v>5.4716448048838018E-2</v>
      </c>
      <c r="L17" s="76">
        <f>1-K17</f>
        <v>0.94528355195116198</v>
      </c>
      <c r="S17">
        <v>38</v>
      </c>
      <c r="T17">
        <v>760</v>
      </c>
    </row>
    <row r="18" spans="1:20">
      <c r="A18" s="58"/>
      <c r="B18" s="27">
        <v>758</v>
      </c>
      <c r="C18" s="14">
        <v>1</v>
      </c>
      <c r="D18" s="74"/>
      <c r="E18" s="14">
        <f t="shared" si="2"/>
        <v>-758</v>
      </c>
      <c r="F18" s="23">
        <f t="shared" si="3"/>
        <v>1</v>
      </c>
      <c r="G18" s="100">
        <v>261</v>
      </c>
      <c r="H18" s="106"/>
      <c r="I18" s="110"/>
      <c r="J18" s="110"/>
      <c r="K18" s="115"/>
      <c r="L18" s="77"/>
      <c r="S18">
        <v>40</v>
      </c>
      <c r="T18">
        <v>749</v>
      </c>
    </row>
    <row r="19" spans="1:20">
      <c r="A19" s="59"/>
      <c r="B19" s="28">
        <v>762</v>
      </c>
      <c r="C19" s="15">
        <v>1</v>
      </c>
      <c r="D19" s="75"/>
      <c r="E19" s="15">
        <f t="shared" si="2"/>
        <v>-762</v>
      </c>
      <c r="F19" s="24">
        <f t="shared" si="3"/>
        <v>1</v>
      </c>
      <c r="G19" s="101">
        <v>261</v>
      </c>
      <c r="H19" s="106"/>
      <c r="I19" s="110"/>
      <c r="J19" s="110"/>
      <c r="K19" s="115"/>
      <c r="L19" s="77"/>
      <c r="S19">
        <v>43</v>
      </c>
      <c r="T19">
        <v>744</v>
      </c>
    </row>
    <row r="20" spans="1:20">
      <c r="A20" s="57">
        <v>34</v>
      </c>
      <c r="B20" s="27">
        <v>765</v>
      </c>
      <c r="C20" s="11">
        <v>1</v>
      </c>
      <c r="D20" s="73">
        <f>AVERAGE(B20:B22)</f>
        <v>760</v>
      </c>
      <c r="E20" s="14">
        <f t="shared" si="2"/>
        <v>-5</v>
      </c>
      <c r="F20" s="23">
        <f t="shared" si="3"/>
        <v>1</v>
      </c>
      <c r="G20" s="102">
        <v>262.5</v>
      </c>
      <c r="H20" s="106"/>
      <c r="I20" s="110"/>
      <c r="J20" s="110"/>
      <c r="K20" s="115"/>
      <c r="L20" s="77"/>
    </row>
    <row r="21" spans="1:20">
      <c r="A21" s="58"/>
      <c r="B21" s="27">
        <v>760</v>
      </c>
      <c r="C21" s="14">
        <v>1</v>
      </c>
      <c r="D21" s="74"/>
      <c r="E21" s="14">
        <f t="shared" si="2"/>
        <v>-760</v>
      </c>
      <c r="F21" s="23">
        <f t="shared" si="3"/>
        <v>1</v>
      </c>
      <c r="G21" s="100">
        <v>262.60000000000002</v>
      </c>
      <c r="H21" s="106"/>
      <c r="I21" s="110"/>
      <c r="J21" s="110"/>
      <c r="K21" s="115"/>
      <c r="L21" s="77"/>
    </row>
    <row r="22" spans="1:20">
      <c r="A22" s="59"/>
      <c r="B22" s="28">
        <v>755</v>
      </c>
      <c r="C22" s="15">
        <v>1</v>
      </c>
      <c r="D22" s="75"/>
      <c r="E22" s="15">
        <f t="shared" si="2"/>
        <v>-755</v>
      </c>
      <c r="F22" s="24">
        <f t="shared" si="3"/>
        <v>1</v>
      </c>
      <c r="G22" s="101">
        <v>262.7</v>
      </c>
      <c r="H22" s="106"/>
      <c r="I22" s="110"/>
      <c r="J22" s="110"/>
      <c r="K22" s="115"/>
      <c r="L22" s="77"/>
    </row>
    <row r="23" spans="1:20">
      <c r="A23" s="60">
        <v>38</v>
      </c>
      <c r="B23" s="27">
        <v>762</v>
      </c>
      <c r="C23" s="11">
        <v>1</v>
      </c>
      <c r="D23" s="73">
        <f>AVERAGE(B23:B25)</f>
        <v>760</v>
      </c>
      <c r="E23" s="14">
        <f t="shared" si="2"/>
        <v>-2</v>
      </c>
      <c r="F23" s="23">
        <f t="shared" si="3"/>
        <v>1</v>
      </c>
      <c r="G23" s="99">
        <v>263.5</v>
      </c>
      <c r="H23" s="106"/>
      <c r="I23" s="110"/>
      <c r="J23" s="110"/>
      <c r="K23" s="115"/>
      <c r="L23" s="77"/>
    </row>
    <row r="24" spans="1:20">
      <c r="A24" s="61"/>
      <c r="B24" s="27">
        <v>761</v>
      </c>
      <c r="C24" s="14">
        <v>1</v>
      </c>
      <c r="D24" s="74"/>
      <c r="E24" s="14">
        <f t="shared" si="2"/>
        <v>-761</v>
      </c>
      <c r="F24" s="23">
        <f t="shared" si="3"/>
        <v>1</v>
      </c>
      <c r="G24" s="100">
        <v>263.60000000000002</v>
      </c>
      <c r="H24" s="106"/>
      <c r="I24" s="110"/>
      <c r="J24" s="110"/>
      <c r="K24" s="115"/>
      <c r="L24" s="77"/>
    </row>
    <row r="25" spans="1:20">
      <c r="A25" s="62"/>
      <c r="B25" s="28">
        <v>757</v>
      </c>
      <c r="C25" s="15">
        <v>1</v>
      </c>
      <c r="D25" s="75"/>
      <c r="E25" s="15">
        <f t="shared" si="2"/>
        <v>-757</v>
      </c>
      <c r="F25" s="24">
        <f t="shared" si="3"/>
        <v>1</v>
      </c>
      <c r="G25" s="101">
        <v>263.7</v>
      </c>
      <c r="H25" s="106"/>
      <c r="I25" s="110"/>
      <c r="J25" s="110"/>
      <c r="K25" s="115"/>
      <c r="L25" s="77"/>
    </row>
    <row r="26" spans="1:20">
      <c r="A26" s="60">
        <v>40</v>
      </c>
      <c r="B26" s="27">
        <v>745</v>
      </c>
      <c r="C26" s="11">
        <v>1</v>
      </c>
      <c r="D26" s="73">
        <f>AVERAGE(B26:B28)</f>
        <v>748.66666666666663</v>
      </c>
      <c r="E26" s="14">
        <f t="shared" si="2"/>
        <v>3.6666666666666288</v>
      </c>
      <c r="F26" s="41">
        <f t="shared" ref="F26:F31" si="4">MAX(E26,C26)</f>
        <v>3.6666666666666288</v>
      </c>
      <c r="G26" s="99">
        <v>268.39999999999998</v>
      </c>
      <c r="H26" s="106"/>
      <c r="I26" s="110"/>
      <c r="J26" s="110"/>
      <c r="K26" s="115"/>
      <c r="L26" s="77"/>
    </row>
    <row r="27" spans="1:20">
      <c r="A27" s="61"/>
      <c r="B27" s="27">
        <v>748</v>
      </c>
      <c r="C27" s="14">
        <v>1</v>
      </c>
      <c r="D27" s="74"/>
      <c r="E27" s="14">
        <f t="shared" si="2"/>
        <v>-748</v>
      </c>
      <c r="F27" s="42">
        <f t="shared" si="4"/>
        <v>1</v>
      </c>
      <c r="G27" s="100">
        <v>268.5</v>
      </c>
      <c r="H27" s="106"/>
      <c r="I27" s="110"/>
      <c r="J27" s="110"/>
      <c r="K27" s="115"/>
      <c r="L27" s="77"/>
    </row>
    <row r="28" spans="1:20">
      <c r="A28" s="62"/>
      <c r="B28" s="28">
        <v>753</v>
      </c>
      <c r="C28" s="15">
        <v>1</v>
      </c>
      <c r="D28" s="75"/>
      <c r="E28" s="15">
        <f t="shared" si="2"/>
        <v>-753</v>
      </c>
      <c r="F28" s="40">
        <f t="shared" si="4"/>
        <v>1</v>
      </c>
      <c r="G28" s="101">
        <v>268.60000000000002</v>
      </c>
      <c r="H28" s="106"/>
      <c r="I28" s="110"/>
      <c r="J28" s="110"/>
      <c r="K28" s="115"/>
      <c r="L28" s="77"/>
    </row>
    <row r="29" spans="1:20">
      <c r="A29" s="60">
        <v>43</v>
      </c>
      <c r="B29" s="27">
        <v>733</v>
      </c>
      <c r="C29" s="11">
        <v>1</v>
      </c>
      <c r="D29" s="73">
        <f>AVERAGE(B29:B31)</f>
        <v>744.16666666666663</v>
      </c>
      <c r="E29" s="14">
        <f t="shared" si="2"/>
        <v>11.166666666666629</v>
      </c>
      <c r="F29" s="41">
        <f t="shared" si="4"/>
        <v>11.166666666666629</v>
      </c>
      <c r="G29" s="99" t="s">
        <v>35</v>
      </c>
      <c r="H29" s="106"/>
      <c r="I29" s="110"/>
      <c r="J29" s="110"/>
      <c r="K29" s="115"/>
      <c r="L29" s="77"/>
    </row>
    <row r="30" spans="1:20">
      <c r="A30" s="61"/>
      <c r="B30" s="27">
        <v>749</v>
      </c>
      <c r="C30" s="14">
        <v>1</v>
      </c>
      <c r="D30" s="74"/>
      <c r="E30" s="14">
        <f t="shared" si="2"/>
        <v>-749</v>
      </c>
      <c r="F30" s="42">
        <f t="shared" si="4"/>
        <v>1</v>
      </c>
      <c r="G30" s="100" t="s">
        <v>36</v>
      </c>
      <c r="H30" s="106"/>
      <c r="I30" s="110"/>
      <c r="J30" s="110"/>
      <c r="K30" s="115"/>
      <c r="L30" s="77"/>
    </row>
    <row r="31" spans="1:20">
      <c r="A31" s="62"/>
      <c r="B31" s="28">
        <v>750.5</v>
      </c>
      <c r="C31" s="15">
        <v>1</v>
      </c>
      <c r="D31" s="75"/>
      <c r="E31" s="15">
        <f t="shared" si="2"/>
        <v>-750.5</v>
      </c>
      <c r="F31" s="40">
        <f t="shared" si="4"/>
        <v>1</v>
      </c>
      <c r="G31" s="101" t="s">
        <v>37</v>
      </c>
      <c r="H31" s="107"/>
      <c r="I31" s="111"/>
      <c r="J31" s="111"/>
      <c r="K31" s="116"/>
      <c r="L31" s="78"/>
    </row>
    <row r="32" spans="1:20">
      <c r="A32" s="18"/>
      <c r="B32" s="19"/>
      <c r="C32" s="19"/>
      <c r="D32" s="19"/>
      <c r="E32" s="19"/>
      <c r="F32" s="19"/>
      <c r="G32" s="19"/>
      <c r="H32" s="104"/>
      <c r="I32" s="20"/>
      <c r="J32" s="112"/>
    </row>
    <row r="33" spans="1:16">
      <c r="A33" s="18"/>
      <c r="B33" s="19"/>
      <c r="C33" s="19"/>
      <c r="D33" s="19"/>
      <c r="E33" s="19"/>
      <c r="F33" s="19"/>
      <c r="G33" s="19"/>
      <c r="H33" s="19"/>
      <c r="I33" s="20"/>
    </row>
    <row r="34" spans="1:16">
      <c r="A34" s="18"/>
      <c r="B34" s="19"/>
      <c r="C34" s="19"/>
      <c r="D34" s="19"/>
      <c r="E34" s="19"/>
      <c r="F34" s="19"/>
      <c r="G34" s="19"/>
      <c r="H34" s="19"/>
      <c r="I34" s="20"/>
    </row>
    <row r="36" spans="1:16">
      <c r="A36" s="54" t="s">
        <v>38</v>
      </c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6"/>
      <c r="N36" s="16"/>
      <c r="O36" s="16"/>
      <c r="P36" s="16"/>
    </row>
    <row r="37" spans="1:16">
      <c r="A37" s="49" t="s">
        <v>39</v>
      </c>
      <c r="B37" s="50"/>
      <c r="C37" s="50"/>
      <c r="D37" s="50"/>
      <c r="E37" s="51"/>
      <c r="F37" s="50" t="s">
        <v>40</v>
      </c>
      <c r="G37" s="51"/>
      <c r="H37" s="52" t="s">
        <v>41</v>
      </c>
      <c r="I37" s="53"/>
      <c r="J37" s="44" t="s">
        <v>42</v>
      </c>
      <c r="K37" s="52" t="s">
        <v>3</v>
      </c>
      <c r="L37" s="52"/>
      <c r="M37" s="53"/>
      <c r="N37" s="16"/>
      <c r="O37" s="16"/>
      <c r="P37" s="16"/>
    </row>
    <row r="38" spans="1:16">
      <c r="A38" s="3" t="s">
        <v>43</v>
      </c>
      <c r="B38" s="4" t="s">
        <v>44</v>
      </c>
      <c r="C38" s="3" t="s">
        <v>45</v>
      </c>
      <c r="D38" s="3" t="s">
        <v>46</v>
      </c>
      <c r="E38" s="4" t="s">
        <v>47</v>
      </c>
      <c r="F38" s="3" t="s">
        <v>48</v>
      </c>
      <c r="G38" s="4" t="s">
        <v>49</v>
      </c>
      <c r="H38" s="5" t="s">
        <v>50</v>
      </c>
      <c r="I38" s="5" t="s">
        <v>51</v>
      </c>
      <c r="J38" s="6" t="s">
        <v>50</v>
      </c>
      <c r="K38" s="5" t="s">
        <v>14</v>
      </c>
      <c r="L38" s="5" t="s">
        <v>15</v>
      </c>
      <c r="M38" s="6" t="s">
        <v>16</v>
      </c>
    </row>
    <row r="39" spans="1:16">
      <c r="A39" s="3" t="s">
        <v>26</v>
      </c>
      <c r="B39" s="7" t="s">
        <v>26</v>
      </c>
      <c r="C39" s="8" t="s">
        <v>26</v>
      </c>
      <c r="D39" s="8" t="s">
        <v>26</v>
      </c>
      <c r="E39" s="8" t="s">
        <v>26</v>
      </c>
      <c r="F39" s="8" t="s">
        <v>17</v>
      </c>
      <c r="G39" s="8" t="s">
        <v>17</v>
      </c>
      <c r="H39" s="8" t="s">
        <v>52</v>
      </c>
      <c r="I39" s="32" t="s">
        <v>52</v>
      </c>
      <c r="J39" s="25" t="s">
        <v>17</v>
      </c>
      <c r="K39" s="8" t="s">
        <v>19</v>
      </c>
      <c r="L39" s="8" t="s">
        <v>19</v>
      </c>
      <c r="M39" s="8" t="s">
        <v>20</v>
      </c>
    </row>
    <row r="40" spans="1:16">
      <c r="A40" s="9">
        <v>16</v>
      </c>
      <c r="B40" s="10">
        <v>1</v>
      </c>
      <c r="C40" s="11">
        <f>AVERAGE(A40:A44)</f>
        <v>16.3</v>
      </c>
      <c r="D40" s="34">
        <f>C40-A40</f>
        <v>0.30000000000000071</v>
      </c>
      <c r="E40" s="34">
        <f>MAX(D40,B40)</f>
        <v>1</v>
      </c>
      <c r="F40" s="89">
        <f>J40-(J40 * COS(RADIANS(C40)))</f>
        <v>11.334907662997296</v>
      </c>
      <c r="G40" s="46">
        <f>(1 - COS(RADIANS(C40)))*1+SIN(RADIANS(C40))*RADIANS(1)</f>
        <v>4.5093266196217355E-2</v>
      </c>
      <c r="H40" s="46">
        <v>237.1</v>
      </c>
      <c r="I40" s="83">
        <v>63</v>
      </c>
      <c r="J40" s="86">
        <v>282</v>
      </c>
      <c r="K40" s="80">
        <f>(1+H40/I40)*SQRT(2*9.8*F40*0.001)</f>
        <v>2.2452384706346544</v>
      </c>
      <c r="L40" s="46">
        <f>K40*SUM(E40/C40,G40/F40)</f>
        <v>0.14667684502727085</v>
      </c>
      <c r="M40" s="76">
        <f>1 - L40/K40</f>
        <v>0.9346720417694383</v>
      </c>
    </row>
    <row r="41" spans="1:16">
      <c r="A41" s="12">
        <v>17</v>
      </c>
      <c r="B41" s="13">
        <v>1</v>
      </c>
      <c r="C41" s="14">
        <f>AVERAGE(A40:A44)</f>
        <v>16.3</v>
      </c>
      <c r="D41" s="36">
        <f t="shared" ref="D41:D44" si="5">C41-A41</f>
        <v>-0.69999999999999929</v>
      </c>
      <c r="E41" s="36">
        <f t="shared" ref="E41:E44" si="6">MAX(D41,B41)</f>
        <v>1</v>
      </c>
      <c r="F41" s="90"/>
      <c r="G41" s="47"/>
      <c r="H41" s="47"/>
      <c r="I41" s="84"/>
      <c r="J41" s="87"/>
      <c r="K41" s="81"/>
      <c r="L41" s="47"/>
      <c r="M41" s="77"/>
    </row>
    <row r="42" spans="1:16">
      <c r="A42" s="12">
        <v>17</v>
      </c>
      <c r="B42" s="13">
        <v>1</v>
      </c>
      <c r="C42" s="14">
        <f>AVERAGE(A40:A44)</f>
        <v>16.3</v>
      </c>
      <c r="D42" s="36">
        <f t="shared" si="5"/>
        <v>-0.69999999999999929</v>
      </c>
      <c r="E42" s="36">
        <f t="shared" si="6"/>
        <v>1</v>
      </c>
      <c r="F42" s="90"/>
      <c r="G42" s="47"/>
      <c r="H42" s="47"/>
      <c r="I42" s="84"/>
      <c r="J42" s="87"/>
      <c r="K42" s="81"/>
      <c r="L42" s="47"/>
      <c r="M42" s="77"/>
    </row>
    <row r="43" spans="1:16">
      <c r="A43" s="12">
        <v>15.5</v>
      </c>
      <c r="B43" s="13">
        <v>1</v>
      </c>
      <c r="C43" s="14">
        <f>AVERAGE(A40:A44)</f>
        <v>16.3</v>
      </c>
      <c r="D43" s="36">
        <f t="shared" si="5"/>
        <v>0.80000000000000071</v>
      </c>
      <c r="E43" s="36">
        <f t="shared" si="6"/>
        <v>1</v>
      </c>
      <c r="F43" s="90"/>
      <c r="G43" s="47"/>
      <c r="H43" s="47"/>
      <c r="I43" s="84"/>
      <c r="J43" s="87"/>
      <c r="K43" s="81"/>
      <c r="L43" s="47"/>
      <c r="M43" s="77"/>
    </row>
    <row r="44" spans="1:16">
      <c r="A44" s="15">
        <v>16</v>
      </c>
      <c r="B44" s="15">
        <v>1</v>
      </c>
      <c r="C44" s="33">
        <f>AVERAGE(A40:A44)</f>
        <v>16.3</v>
      </c>
      <c r="D44" s="43">
        <f t="shared" si="5"/>
        <v>0.30000000000000071</v>
      </c>
      <c r="E44" s="43">
        <f t="shared" si="6"/>
        <v>1</v>
      </c>
      <c r="F44" s="91"/>
      <c r="G44" s="48"/>
      <c r="H44" s="48"/>
      <c r="I44" s="85"/>
      <c r="J44" s="88"/>
      <c r="K44" s="82"/>
      <c r="L44" s="48"/>
      <c r="M44" s="78"/>
    </row>
  </sheetData>
  <mergeCells count="45">
    <mergeCell ref="K16:L16"/>
    <mergeCell ref="K17:K31"/>
    <mergeCell ref="L17:L31"/>
    <mergeCell ref="A14:L14"/>
    <mergeCell ref="A1:M1"/>
    <mergeCell ref="A2:E2"/>
    <mergeCell ref="F2:J2"/>
    <mergeCell ref="K2:M2"/>
    <mergeCell ref="B15:F15"/>
    <mergeCell ref="K5:K9"/>
    <mergeCell ref="E5:E9"/>
    <mergeCell ref="J5:J9"/>
    <mergeCell ref="L5:L9"/>
    <mergeCell ref="M5:M9"/>
    <mergeCell ref="G15:H15"/>
    <mergeCell ref="H5:H9"/>
    <mergeCell ref="G5:G9"/>
    <mergeCell ref="I15:J15"/>
    <mergeCell ref="K15:L15"/>
    <mergeCell ref="A36:M36"/>
    <mergeCell ref="A17:A19"/>
    <mergeCell ref="A20:A22"/>
    <mergeCell ref="A23:A25"/>
    <mergeCell ref="A26:A28"/>
    <mergeCell ref="A29:A31"/>
    <mergeCell ref="D17:D19"/>
    <mergeCell ref="D20:D22"/>
    <mergeCell ref="D23:D25"/>
    <mergeCell ref="D26:D28"/>
    <mergeCell ref="D29:D31"/>
    <mergeCell ref="I17:I31"/>
    <mergeCell ref="H17:H31"/>
    <mergeCell ref="J17:J31"/>
    <mergeCell ref="L40:L44"/>
    <mergeCell ref="A37:E37"/>
    <mergeCell ref="F37:G37"/>
    <mergeCell ref="H37:I37"/>
    <mergeCell ref="K37:M37"/>
    <mergeCell ref="K40:K44"/>
    <mergeCell ref="G40:G44"/>
    <mergeCell ref="F40:F44"/>
    <mergeCell ref="H40:H44"/>
    <mergeCell ref="I40:I44"/>
    <mergeCell ref="J40:J44"/>
    <mergeCell ref="M40:M44"/>
  </mergeCells>
  <phoneticPr fontId="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Pedro Miguel Cunha</dc:creator>
  <cp:keywords/>
  <dc:description/>
  <cp:lastModifiedBy/>
  <cp:revision/>
  <dcterms:created xsi:type="dcterms:W3CDTF">2023-10-20T03:48:46Z</dcterms:created>
  <dcterms:modified xsi:type="dcterms:W3CDTF">2023-10-25T17:31:41Z</dcterms:modified>
  <cp:category/>
  <cp:contentStatus/>
</cp:coreProperties>
</file>